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ursulu.yeshkeyeva\Downloads\"/>
    </mc:Choice>
  </mc:AlternateContent>
  <bookViews>
    <workbookView xWindow="0" yWindow="0" windowWidth="28800" windowHeight="12435" activeTab="1"/>
  </bookViews>
  <sheets>
    <sheet name="Fixed Assets" sheetId="1" r:id="rId1"/>
    <sheet name="Income Statement" sheetId="2" r:id="rId2"/>
    <sheet name="Assumptions" sheetId="8" r:id="rId3"/>
    <sheet name="Gross Profit" sheetId="3" r:id="rId4"/>
    <sheet name="Salaries Expense" sheetId="4" r:id="rId5"/>
    <sheet name="Cost Per Unit" sheetId="5" r:id="rId6"/>
    <sheet name="Interest Expense" sheetId="6" r:id="rId7"/>
    <sheet name="R8T2" sheetId="7" r:id="rId8"/>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O2uwAzbDD2+4oVf+ZsCiC4e3+lJTFq8UuUpasUUZPE0="/>
    </ext>
  </extLst>
</workbook>
</file>

<file path=xl/calcChain.xml><?xml version="1.0" encoding="utf-8"?>
<calcChain xmlns="http://schemas.openxmlformats.org/spreadsheetml/2006/main">
  <c r="J55" i="2" l="1"/>
  <c r="C54" i="2"/>
  <c r="D54" i="2" s="1"/>
  <c r="E54" i="2" s="1"/>
  <c r="F54" i="2" s="1"/>
  <c r="G54" i="2" s="1"/>
  <c r="H54" i="2" s="1"/>
  <c r="O12" i="1"/>
  <c r="M12" i="1"/>
  <c r="K9" i="1"/>
  <c r="K12" i="1"/>
  <c r="I12" i="1"/>
  <c r="I11" i="1"/>
  <c r="O10" i="1"/>
  <c r="M10" i="1"/>
  <c r="K10" i="1"/>
  <c r="I10" i="1"/>
  <c r="O9" i="1"/>
  <c r="M9" i="1"/>
  <c r="I9" i="1"/>
  <c r="O8" i="1"/>
  <c r="M8" i="1"/>
  <c r="I8" i="1"/>
  <c r="O6" i="1"/>
  <c r="M6" i="1"/>
  <c r="K6" i="1"/>
  <c r="I6" i="1"/>
  <c r="G9" i="1"/>
  <c r="G8" i="1"/>
  <c r="G6" i="1"/>
  <c r="D14" i="4"/>
  <c r="E14" i="4"/>
  <c r="F14" i="4"/>
  <c r="G14" i="4"/>
  <c r="C14" i="4"/>
  <c r="K12" i="2"/>
  <c r="I12" i="2"/>
  <c r="G12" i="2"/>
  <c r="E12" i="2"/>
  <c r="C12" i="2"/>
  <c r="Y6" i="3"/>
  <c r="T6" i="3"/>
  <c r="O6" i="3"/>
  <c r="J6" i="3"/>
  <c r="G17" i="3"/>
  <c r="F17" i="3"/>
  <c r="F16" i="3"/>
  <c r="G16" i="3" s="1"/>
  <c r="E16" i="3"/>
  <c r="E15" i="3"/>
  <c r="F15" i="3"/>
  <c r="G15" i="3" s="1"/>
  <c r="D18" i="3"/>
  <c r="E18" i="3"/>
  <c r="C18" i="3"/>
  <c r="D15" i="3"/>
  <c r="C8" i="2"/>
  <c r="C7" i="2"/>
  <c r="K18" i="4"/>
  <c r="O18" i="4" s="1"/>
  <c r="S18" i="4" s="1"/>
  <c r="K22" i="4"/>
  <c r="O22" i="4" s="1"/>
  <c r="S22" i="4" s="1"/>
  <c r="G17" i="4"/>
  <c r="K17" i="4" s="1"/>
  <c r="O17" i="4" s="1"/>
  <c r="S17" i="4" s="1"/>
  <c r="U17" i="4" s="1"/>
  <c r="G18" i="4"/>
  <c r="G19" i="4"/>
  <c r="K19" i="4" s="1"/>
  <c r="O19" i="4" s="1"/>
  <c r="S19" i="4" s="1"/>
  <c r="G20" i="4"/>
  <c r="K20" i="4" s="1"/>
  <c r="O20" i="4" s="1"/>
  <c r="S20" i="4" s="1"/>
  <c r="G21" i="4"/>
  <c r="K21" i="4" s="1"/>
  <c r="O21" i="4" s="1"/>
  <c r="S21" i="4" s="1"/>
  <c r="G22" i="4"/>
  <c r="I7" i="2"/>
  <c r="K7" i="2"/>
  <c r="G7" i="2"/>
  <c r="E7" i="2"/>
  <c r="G18" i="3" l="1"/>
  <c r="F18" i="3"/>
  <c r="E30" i="2" l="1"/>
  <c r="G30" i="2" s="1"/>
  <c r="I30" i="2" s="1"/>
  <c r="K30" i="2" s="1"/>
  <c r="M30" i="2" s="1"/>
  <c r="I18" i="4"/>
  <c r="I17" i="4"/>
  <c r="F17" i="4"/>
  <c r="F8" i="3"/>
  <c r="F7" i="3"/>
  <c r="F6" i="3"/>
  <c r="D7" i="3"/>
  <c r="D69" i="6"/>
  <c r="F53" i="6"/>
  <c r="G53" i="6" s="1"/>
  <c r="C54" i="6" s="1"/>
  <c r="D53" i="6"/>
  <c r="D37" i="6"/>
  <c r="F37" i="6" s="1"/>
  <c r="G37" i="6" s="1"/>
  <c r="C38" i="6" s="1"/>
  <c r="D21" i="6"/>
  <c r="F21" i="6" s="1"/>
  <c r="G21" i="6" s="1"/>
  <c r="C22" i="6" s="1"/>
  <c r="B19" i="6"/>
  <c r="B35" i="6" s="1"/>
  <c r="B51" i="6" s="1"/>
  <c r="B67" i="6" s="1"/>
  <c r="F5" i="6"/>
  <c r="G5" i="6" s="1"/>
  <c r="C6" i="6" s="1"/>
  <c r="D5" i="6"/>
  <c r="A17" i="5"/>
  <c r="A18" i="5" s="1"/>
  <c r="A19" i="5" s="1"/>
  <c r="A20" i="5" s="1"/>
  <c r="A16" i="5"/>
  <c r="M9" i="5"/>
  <c r="S8" i="5"/>
  <c r="O8" i="5"/>
  <c r="K8" i="5"/>
  <c r="G8" i="5"/>
  <c r="I7" i="3" s="1"/>
  <c r="Q6" i="5"/>
  <c r="Q7" i="5" s="1"/>
  <c r="Q8" i="5" s="1"/>
  <c r="Q9" i="5" s="1"/>
  <c r="O6" i="5"/>
  <c r="S6" i="5" s="1"/>
  <c r="K6" i="5"/>
  <c r="G6" i="5"/>
  <c r="Q5" i="5"/>
  <c r="K5" i="5"/>
  <c r="O5" i="5" s="1"/>
  <c r="S5" i="5" s="1"/>
  <c r="G5" i="5"/>
  <c r="Q4" i="5"/>
  <c r="M4" i="5"/>
  <c r="M5" i="5" s="1"/>
  <c r="M6" i="5" s="1"/>
  <c r="M7" i="5" s="1"/>
  <c r="M8" i="5" s="1"/>
  <c r="G4" i="5"/>
  <c r="E4" i="5"/>
  <c r="E5" i="5" s="1"/>
  <c r="E6" i="5" s="1"/>
  <c r="E7" i="5" s="1"/>
  <c r="E8" i="5" s="1"/>
  <c r="E9" i="5" s="1"/>
  <c r="C4" i="5"/>
  <c r="C7" i="5" s="1"/>
  <c r="Q3" i="5"/>
  <c r="M3" i="5"/>
  <c r="I3" i="5"/>
  <c r="I4" i="5" s="1"/>
  <c r="I5" i="5" s="1"/>
  <c r="I6" i="5" s="1"/>
  <c r="I7" i="5" s="1"/>
  <c r="I8" i="5" s="1"/>
  <c r="I9" i="5" s="1"/>
  <c r="G3" i="5"/>
  <c r="E3" i="5"/>
  <c r="A3" i="5"/>
  <c r="A4" i="5" s="1"/>
  <c r="A5" i="5" s="1"/>
  <c r="A6" i="5" s="1"/>
  <c r="A7" i="5" s="1"/>
  <c r="A8" i="5" s="1"/>
  <c r="A9" i="5" s="1"/>
  <c r="G2" i="5"/>
  <c r="K2" i="5" s="1"/>
  <c r="O2" i="5" s="1"/>
  <c r="H1" i="5"/>
  <c r="L1" i="5" s="1"/>
  <c r="P1" i="5" s="1"/>
  <c r="T1" i="5" s="1"/>
  <c r="I22" i="4"/>
  <c r="E22" i="4"/>
  <c r="E21" i="4"/>
  <c r="E20" i="4"/>
  <c r="E19" i="4"/>
  <c r="Q18" i="4"/>
  <c r="E18" i="4"/>
  <c r="C17" i="4"/>
  <c r="E17" i="4" s="1"/>
  <c r="D12" i="4"/>
  <c r="E12" i="4" s="1"/>
  <c r="F12" i="4" s="1"/>
  <c r="G12" i="4" s="1"/>
  <c r="D7" i="4"/>
  <c r="E7" i="4" s="1"/>
  <c r="F7" i="4" s="1"/>
  <c r="G7" i="4" s="1"/>
  <c r="D5" i="4"/>
  <c r="E5" i="4" s="1"/>
  <c r="F5" i="4" s="1"/>
  <c r="G5" i="4" s="1"/>
  <c r="Y8" i="3"/>
  <c r="AA8" i="3" s="1"/>
  <c r="T8" i="3"/>
  <c r="V8" i="3" s="1"/>
  <c r="O8" i="3"/>
  <c r="Q8" i="3" s="1"/>
  <c r="N8" i="3"/>
  <c r="S8" i="3" s="1"/>
  <c r="X8" i="3" s="1"/>
  <c r="M8" i="3"/>
  <c r="R8" i="3" s="1"/>
  <c r="W8" i="3" s="1"/>
  <c r="J8" i="3"/>
  <c r="K8" i="3" s="1"/>
  <c r="H8" i="3"/>
  <c r="E8" i="3"/>
  <c r="D8" i="3"/>
  <c r="I8" i="3" s="1"/>
  <c r="Y7" i="3"/>
  <c r="Z7" i="3" s="1"/>
  <c r="X7" i="3"/>
  <c r="T7" i="3"/>
  <c r="V7" i="3" s="1"/>
  <c r="S7" i="3"/>
  <c r="O7" i="3"/>
  <c r="N7" i="3"/>
  <c r="M7" i="3"/>
  <c r="R7" i="3" s="1"/>
  <c r="W7" i="3" s="1"/>
  <c r="J7" i="3"/>
  <c r="K7" i="3" s="1"/>
  <c r="H7" i="3"/>
  <c r="E7" i="3"/>
  <c r="R6" i="3"/>
  <c r="W6" i="3" s="1"/>
  <c r="Z6" i="3" s="1"/>
  <c r="P6" i="3"/>
  <c r="M6" i="3"/>
  <c r="K6" i="3"/>
  <c r="K9" i="3" s="1"/>
  <c r="H6" i="3"/>
  <c r="E10" i="2"/>
  <c r="G10" i="2" s="1"/>
  <c r="I10" i="2" s="1"/>
  <c r="K10" i="2" s="1"/>
  <c r="E1" i="2"/>
  <c r="G1" i="2" s="1"/>
  <c r="I1" i="2" s="1"/>
  <c r="K1" i="2" s="1"/>
  <c r="G19" i="1"/>
  <c r="I19" i="1" s="1"/>
  <c r="K19" i="1" s="1"/>
  <c r="M19" i="1" s="1"/>
  <c r="D14" i="1"/>
  <c r="H13" i="1"/>
  <c r="F13" i="1"/>
  <c r="P13" i="1" s="1"/>
  <c r="H12" i="1"/>
  <c r="F12" i="1"/>
  <c r="N12" i="1" s="1"/>
  <c r="H11" i="1"/>
  <c r="F11" i="1"/>
  <c r="P11" i="1" s="1"/>
  <c r="H10" i="1"/>
  <c r="F10" i="1"/>
  <c r="N10" i="1" s="1"/>
  <c r="H9" i="1"/>
  <c r="F9" i="1"/>
  <c r="N9" i="1" s="1"/>
  <c r="H8" i="1"/>
  <c r="F8" i="1"/>
  <c r="P8" i="1" s="1"/>
  <c r="H7" i="1"/>
  <c r="F7" i="1"/>
  <c r="N7" i="1" s="1"/>
  <c r="H6" i="1"/>
  <c r="F6" i="1"/>
  <c r="P6" i="1" s="1"/>
  <c r="I4" i="1"/>
  <c r="K4" i="1" s="1"/>
  <c r="M4" i="1" s="1"/>
  <c r="O4" i="1" s="1"/>
  <c r="D6" i="3" l="1"/>
  <c r="G6" i="3" s="1"/>
  <c r="T9" i="3"/>
  <c r="L8" i="3"/>
  <c r="O9" i="3"/>
  <c r="Q7" i="3"/>
  <c r="J9" i="3"/>
  <c r="L7" i="3"/>
  <c r="M22" i="4"/>
  <c r="K4" i="5"/>
  <c r="K7" i="5" s="1"/>
  <c r="N6" i="3" s="1"/>
  <c r="Q6" i="3" s="1"/>
  <c r="Q9" i="3" s="1"/>
  <c r="G4" i="2" s="1"/>
  <c r="F14" i="1"/>
  <c r="J7" i="1"/>
  <c r="D38" i="6"/>
  <c r="F38" i="6" s="1"/>
  <c r="G38" i="6"/>
  <c r="C39" i="6" s="1"/>
  <c r="G22" i="6"/>
  <c r="C23" i="6" s="1"/>
  <c r="D22" i="6"/>
  <c r="F22" i="6" s="1"/>
  <c r="S2" i="5"/>
  <c r="D54" i="6"/>
  <c r="F54" i="6" s="1"/>
  <c r="G54" i="6" s="1"/>
  <c r="C55" i="6" s="1"/>
  <c r="E3" i="2"/>
  <c r="E9" i="2" s="1"/>
  <c r="F69" i="6"/>
  <c r="G69" i="6" s="1"/>
  <c r="C70" i="6" s="1"/>
  <c r="G14" i="1"/>
  <c r="E20" i="1" s="1"/>
  <c r="M18" i="4"/>
  <c r="K3" i="5"/>
  <c r="O3" i="5" s="1"/>
  <c r="S3" i="5" s="1"/>
  <c r="G7" i="5"/>
  <c r="I6" i="3" s="1"/>
  <c r="L6" i="3" s="1"/>
  <c r="P7" i="1"/>
  <c r="L7" i="1"/>
  <c r="P10" i="1"/>
  <c r="L10" i="1"/>
  <c r="J10" i="1"/>
  <c r="P8" i="3"/>
  <c r="U18" i="4"/>
  <c r="O4" i="5"/>
  <c r="O7" i="5" s="1"/>
  <c r="S6" i="3" s="1"/>
  <c r="V6" i="3" s="1"/>
  <c r="V9" i="3" s="1"/>
  <c r="I4" i="2" s="1"/>
  <c r="Q22" i="4"/>
  <c r="M19" i="4"/>
  <c r="P12" i="1"/>
  <c r="L12" i="1"/>
  <c r="J12" i="1"/>
  <c r="D6" i="6"/>
  <c r="Y9" i="3"/>
  <c r="AA7" i="3"/>
  <c r="P9" i="1"/>
  <c r="L9" i="1"/>
  <c r="G7" i="3"/>
  <c r="F9" i="3"/>
  <c r="C3" i="2" s="1"/>
  <c r="E9" i="3"/>
  <c r="I20" i="4"/>
  <c r="Z8" i="3"/>
  <c r="Z9" i="3" s="1"/>
  <c r="K3" i="2" s="1"/>
  <c r="K9" i="2" s="1"/>
  <c r="G8" i="3"/>
  <c r="U22" i="4"/>
  <c r="S4" i="5"/>
  <c r="J9" i="1"/>
  <c r="I21" i="4"/>
  <c r="P7" i="3"/>
  <c r="J6" i="1"/>
  <c r="J8" i="1"/>
  <c r="J11" i="1"/>
  <c r="J13" i="1"/>
  <c r="U7" i="3"/>
  <c r="U8" i="3"/>
  <c r="I19" i="4"/>
  <c r="L6" i="1"/>
  <c r="L8" i="1"/>
  <c r="L11" i="1"/>
  <c r="L13" i="1"/>
  <c r="U6" i="3"/>
  <c r="N6" i="1"/>
  <c r="N8" i="1"/>
  <c r="N11" i="1"/>
  <c r="N13" i="1"/>
  <c r="G9" i="3" l="1"/>
  <c r="C9" i="2"/>
  <c r="P9" i="3"/>
  <c r="G3" i="2" s="1"/>
  <c r="G9" i="2" s="1"/>
  <c r="J17" i="4"/>
  <c r="E8" i="2" s="1"/>
  <c r="M37" i="2"/>
  <c r="G37" i="2"/>
  <c r="K37" i="2"/>
  <c r="I37" i="2"/>
  <c r="E37" i="2"/>
  <c r="D55" i="6"/>
  <c r="F55" i="6" s="1"/>
  <c r="G55" i="6" s="1"/>
  <c r="C56" i="6" s="1"/>
  <c r="M21" i="4"/>
  <c r="S7" i="5"/>
  <c r="X6" i="3" s="1"/>
  <c r="AA6" i="3" s="1"/>
  <c r="AA9" i="3" s="1"/>
  <c r="K4" i="2" s="1"/>
  <c r="K5" i="2" s="1"/>
  <c r="D23" i="6"/>
  <c r="M14" i="1"/>
  <c r="K20" i="1" s="1"/>
  <c r="M20" i="4"/>
  <c r="U9" i="3"/>
  <c r="I3" i="2" s="1"/>
  <c r="D39" i="6"/>
  <c r="O14" i="1"/>
  <c r="M20" i="1" s="1"/>
  <c r="C4" i="2"/>
  <c r="C5" i="2" s="1"/>
  <c r="L9" i="3"/>
  <c r="E4" i="2"/>
  <c r="E5" i="2" s="1"/>
  <c r="I14" i="1"/>
  <c r="G20" i="1" s="1"/>
  <c r="F6" i="6"/>
  <c r="G6" i="6" s="1"/>
  <c r="C7" i="6" s="1"/>
  <c r="D70" i="6"/>
  <c r="U19" i="4"/>
  <c r="Q19" i="4"/>
  <c r="K14" i="1"/>
  <c r="I20" i="1" s="1"/>
  <c r="G5" i="2" l="1"/>
  <c r="I5" i="2"/>
  <c r="I9" i="2"/>
  <c r="K45" i="2"/>
  <c r="M45" i="2"/>
  <c r="G45" i="2"/>
  <c r="I45" i="2"/>
  <c r="D56" i="6"/>
  <c r="U20" i="4"/>
  <c r="Q20" i="4"/>
  <c r="D7" i="6"/>
  <c r="F39" i="6"/>
  <c r="G39" i="6" s="1"/>
  <c r="C40" i="6" s="1"/>
  <c r="M17" i="4"/>
  <c r="N17" i="4" s="1"/>
  <c r="G8" i="2" s="1"/>
  <c r="U21" i="4"/>
  <c r="Q21" i="4"/>
  <c r="F23" i="6"/>
  <c r="G23" i="6" s="1"/>
  <c r="C24" i="6" s="1"/>
  <c r="F70" i="6"/>
  <c r="G70" i="6" s="1"/>
  <c r="C71" i="6" s="1"/>
  <c r="I46" i="2" l="1"/>
  <c r="I35" i="2" s="1"/>
  <c r="K46" i="2"/>
  <c r="K35" i="2" s="1"/>
  <c r="E46" i="2"/>
  <c r="M46" i="2"/>
  <c r="M35" i="2" s="1"/>
  <c r="D71" i="6"/>
  <c r="F56" i="6"/>
  <c r="G56" i="6" s="1"/>
  <c r="C57" i="6" s="1"/>
  <c r="D40" i="6"/>
  <c r="D24" i="6"/>
  <c r="F7" i="6"/>
  <c r="G7" i="6" s="1"/>
  <c r="C8" i="6" s="1"/>
  <c r="V17" i="4"/>
  <c r="K8" i="2" s="1"/>
  <c r="Q17" i="4"/>
  <c r="R17" i="4" s="1"/>
  <c r="I8" i="2" s="1"/>
  <c r="E35" i="2" l="1"/>
  <c r="E45" i="2"/>
  <c r="G46" i="2"/>
  <c r="G35" i="2" s="1"/>
  <c r="D8" i="6"/>
  <c r="F40" i="6"/>
  <c r="G40" i="6" s="1"/>
  <c r="C41" i="6" s="1"/>
  <c r="D57" i="6"/>
  <c r="F24" i="6"/>
  <c r="G24" i="6" s="1"/>
  <c r="C25" i="6" s="1"/>
  <c r="F71" i="6"/>
  <c r="G71" i="6" s="1"/>
  <c r="C72" i="6" s="1"/>
  <c r="D25" i="6" l="1"/>
  <c r="D72" i="6"/>
  <c r="F57" i="6"/>
  <c r="G57" i="6" s="1"/>
  <c r="C58" i="6" s="1"/>
  <c r="F8" i="6"/>
  <c r="G8" i="6" s="1"/>
  <c r="C9" i="6" s="1"/>
  <c r="D41" i="6"/>
  <c r="F41" i="6" l="1"/>
  <c r="G41" i="6" s="1"/>
  <c r="C42" i="6" s="1"/>
  <c r="D9" i="6"/>
  <c r="F72" i="6"/>
  <c r="G72" i="6" s="1"/>
  <c r="C73" i="6" s="1"/>
  <c r="D58" i="6"/>
  <c r="F58" i="6" s="1"/>
  <c r="G58" i="6" s="1"/>
  <c r="C59" i="6" s="1"/>
  <c r="F25" i="6"/>
  <c r="G25" i="6" s="1"/>
  <c r="C26" i="6" s="1"/>
  <c r="D59" i="6" l="1"/>
  <c r="F59" i="6" s="1"/>
  <c r="G59" i="6"/>
  <c r="C60" i="6" s="1"/>
  <c r="D26" i="6"/>
  <c r="D73" i="6"/>
  <c r="F73" i="6" s="1"/>
  <c r="G73" i="6" s="1"/>
  <c r="C74" i="6" s="1"/>
  <c r="F9" i="6"/>
  <c r="G9" i="6" s="1"/>
  <c r="C10" i="6" s="1"/>
  <c r="D42" i="6"/>
  <c r="D74" i="6" l="1"/>
  <c r="F74" i="6" s="1"/>
  <c r="G74" i="6" s="1"/>
  <c r="C75" i="6" s="1"/>
  <c r="D10" i="6"/>
  <c r="F42" i="6"/>
  <c r="G42" i="6" s="1"/>
  <c r="C43" i="6" s="1"/>
  <c r="F26" i="6"/>
  <c r="G26" i="6" s="1"/>
  <c r="C27" i="6" s="1"/>
  <c r="D60" i="6"/>
  <c r="F60" i="6" s="1"/>
  <c r="G60" i="6" s="1"/>
  <c r="C61" i="6" s="1"/>
  <c r="D61" i="6" l="1"/>
  <c r="F61" i="6" s="1"/>
  <c r="G61" i="6" s="1"/>
  <c r="C62" i="6" s="1"/>
  <c r="D75" i="6"/>
  <c r="F75" i="6" s="1"/>
  <c r="G75" i="6" s="1"/>
  <c r="C76" i="6" s="1"/>
  <c r="F10" i="6"/>
  <c r="G10" i="6" s="1"/>
  <c r="C11" i="6" s="1"/>
  <c r="D27" i="6"/>
  <c r="F27" i="6" s="1"/>
  <c r="G27" i="6" s="1"/>
  <c r="C28" i="6" s="1"/>
  <c r="D43" i="6"/>
  <c r="F43" i="6" s="1"/>
  <c r="G43" i="6"/>
  <c r="C44" i="6" s="1"/>
  <c r="D76" i="6" l="1"/>
  <c r="F76" i="6" s="1"/>
  <c r="G76" i="6" s="1"/>
  <c r="C77" i="6" s="1"/>
  <c r="D62" i="6"/>
  <c r="F62" i="6" s="1"/>
  <c r="G62" i="6" s="1"/>
  <c r="C63" i="6" s="1"/>
  <c r="D28" i="6"/>
  <c r="F28" i="6" s="1"/>
  <c r="G28" i="6" s="1"/>
  <c r="C29" i="6" s="1"/>
  <c r="D44" i="6"/>
  <c r="F44" i="6" s="1"/>
  <c r="G44" i="6" s="1"/>
  <c r="C45" i="6" s="1"/>
  <c r="D11" i="6"/>
  <c r="F11" i="6" s="1"/>
  <c r="G11" i="6" s="1"/>
  <c r="C12" i="6" s="1"/>
  <c r="D12" i="6" l="1"/>
  <c r="F12" i="6" s="1"/>
  <c r="G12" i="6" s="1"/>
  <c r="C13" i="6" s="1"/>
  <c r="D45" i="6"/>
  <c r="F45" i="6" s="1"/>
  <c r="G45" i="6" s="1"/>
  <c r="C46" i="6" s="1"/>
  <c r="D63" i="6"/>
  <c r="F63" i="6" s="1"/>
  <c r="G63" i="6" s="1"/>
  <c r="C64" i="6" s="1"/>
  <c r="D29" i="6"/>
  <c r="F29" i="6" s="1"/>
  <c r="G29" i="6" s="1"/>
  <c r="C30" i="6" s="1"/>
  <c r="D77" i="6"/>
  <c r="F77" i="6" s="1"/>
  <c r="G77" i="6" s="1"/>
  <c r="C78" i="6" s="1"/>
  <c r="D64" i="6" l="1"/>
  <c r="D78" i="6"/>
  <c r="F78" i="6" s="1"/>
  <c r="G78" i="6" s="1"/>
  <c r="C79" i="6" s="1"/>
  <c r="D30" i="6"/>
  <c r="F30" i="6" s="1"/>
  <c r="G30" i="6" s="1"/>
  <c r="C31" i="6" s="1"/>
  <c r="D46" i="6"/>
  <c r="F46" i="6" s="1"/>
  <c r="G46" i="6" s="1"/>
  <c r="C47" i="6" s="1"/>
  <c r="D13" i="6"/>
  <c r="F13" i="6" s="1"/>
  <c r="G13" i="6" s="1"/>
  <c r="C14" i="6" s="1"/>
  <c r="D47" i="6" l="1"/>
  <c r="F47" i="6" s="1"/>
  <c r="G47" i="6"/>
  <c r="C48" i="6" s="1"/>
  <c r="D14" i="6"/>
  <c r="F14" i="6" s="1"/>
  <c r="G14" i="6" s="1"/>
  <c r="C15" i="6" s="1"/>
  <c r="D31" i="6"/>
  <c r="F31" i="6" s="1"/>
  <c r="G31" i="6" s="1"/>
  <c r="C32" i="6" s="1"/>
  <c r="D79" i="6"/>
  <c r="F79" i="6" s="1"/>
  <c r="G79" i="6" s="1"/>
  <c r="C80" i="6" s="1"/>
  <c r="F64" i="6"/>
  <c r="G64" i="6" s="1"/>
  <c r="D65" i="6"/>
  <c r="I15" i="2" s="1"/>
  <c r="D32" i="6" l="1"/>
  <c r="D80" i="6"/>
  <c r="D15" i="6"/>
  <c r="F15" i="6" s="1"/>
  <c r="G15" i="6" s="1"/>
  <c r="C16" i="6" s="1"/>
  <c r="D48" i="6"/>
  <c r="D16" i="6" l="1"/>
  <c r="F48" i="6"/>
  <c r="G48" i="6" s="1"/>
  <c r="D49" i="6"/>
  <c r="G15" i="2" s="1"/>
  <c r="F32" i="6"/>
  <c r="G32" i="6" s="1"/>
  <c r="D33" i="6"/>
  <c r="E15" i="2" s="1"/>
  <c r="F80" i="6"/>
  <c r="G80" i="6" s="1"/>
  <c r="D81" i="6"/>
  <c r="K15" i="2" s="1"/>
  <c r="F16" i="6" l="1"/>
  <c r="G16" i="6" s="1"/>
  <c r="D17" i="6"/>
  <c r="C15" i="2" s="1"/>
  <c r="E13" i="2" l="1"/>
  <c r="E16" i="2" s="1"/>
  <c r="E17" i="2" s="1"/>
  <c r="G31" i="2" l="1"/>
  <c r="G32" i="2" s="1"/>
  <c r="G33" i="2" s="1"/>
  <c r="G36" i="2" s="1"/>
  <c r="G38" i="2" s="1"/>
  <c r="G39" i="2" s="1"/>
  <c r="E18" i="2"/>
  <c r="G40" i="2" l="1"/>
  <c r="G13" i="2"/>
  <c r="I31" i="2" s="1"/>
  <c r="I13" i="2"/>
  <c r="I16" i="2" l="1"/>
  <c r="K31" i="2"/>
  <c r="I32" i="2"/>
  <c r="I33" i="2" s="1"/>
  <c r="I36" i="2" s="1"/>
  <c r="K13" i="2"/>
  <c r="G16" i="2"/>
  <c r="I38" i="2" l="1"/>
  <c r="I39" i="2" s="1"/>
  <c r="K16" i="2"/>
  <c r="M31" i="2"/>
  <c r="I17" i="2"/>
  <c r="I18" i="2" s="1"/>
  <c r="G17" i="2"/>
  <c r="G18" i="2" s="1"/>
  <c r="K32" i="2"/>
  <c r="K33" i="2" s="1"/>
  <c r="K36" i="2" s="1"/>
  <c r="I40" i="2" l="1"/>
  <c r="M32" i="2"/>
  <c r="M33" i="2" s="1"/>
  <c r="M36" i="2" s="1"/>
  <c r="K17" i="2"/>
  <c r="K18" i="2" s="1"/>
  <c r="K38" i="2"/>
  <c r="K39" i="2" s="1"/>
  <c r="K40" i="2" s="1"/>
  <c r="M38" i="2" l="1"/>
  <c r="M39" i="2" s="1"/>
  <c r="M40" i="2" l="1"/>
  <c r="C13" i="2"/>
  <c r="E31" i="2" s="1"/>
  <c r="C16" i="2"/>
  <c r="C17" i="2" s="1"/>
  <c r="C18" i="2" s="1"/>
  <c r="C34" i="2" s="1"/>
  <c r="C36" i="2" s="1"/>
  <c r="C39" i="2" s="1"/>
  <c r="E32" i="2" l="1"/>
  <c r="E33" i="2"/>
  <c r="E36" i="2" s="1"/>
  <c r="C40" i="2"/>
  <c r="E38" i="2" l="1"/>
  <c r="E39" i="2"/>
  <c r="E40" i="2" l="1"/>
  <c r="C43" i="2" s="1"/>
  <c r="C44" i="2"/>
</calcChain>
</file>

<file path=xl/sharedStrings.xml><?xml version="1.0" encoding="utf-8"?>
<sst xmlns="http://schemas.openxmlformats.org/spreadsheetml/2006/main" count="291" uniqueCount="179">
  <si>
    <t>Items</t>
  </si>
  <si>
    <t xml:space="preserve">Initial cost </t>
  </si>
  <si>
    <t>Useful Life Years</t>
  </si>
  <si>
    <t>Depreciation</t>
  </si>
  <si>
    <t>Unit</t>
  </si>
  <si>
    <t>Cost</t>
  </si>
  <si>
    <t>References:</t>
  </si>
  <si>
    <t>Desk</t>
  </si>
  <si>
    <t>Компьютерный стол СПМ-19 Дуб сонома, Белый за 51 430 ₸ - купить в Астане в каталоге интернет-магазина Экспресс Офис (express-office.ru)</t>
  </si>
  <si>
    <t>Printer</t>
  </si>
  <si>
    <t>Принтер Canon Pixma G1430: купить за 105990₸ в интернет-магазине Alser</t>
  </si>
  <si>
    <t>Сhair</t>
  </si>
  <si>
    <t>Офисное кресло Талто Ткань флок серый (29) для персонала по цене 43 763 ₸ с доставкой по Астане от Экспресс Офис (express-office.ru)</t>
  </si>
  <si>
    <t>Computer</t>
  </si>
  <si>
    <t>Cheap Monoblock Core I3 21.5 All In One Pc Office All-in-one+pc - Buy All-in-one+pc,Desktop All-in-one On Sale,Stand Office All In One Computer Desktop Product on Alibaba.com</t>
  </si>
  <si>
    <t>Telephone</t>
  </si>
  <si>
    <t>IP телефон Atcom CT10 для call-центра at-ct10 - цена, купить на wifi.kz</t>
  </si>
  <si>
    <t>Monitor</t>
  </si>
  <si>
    <t>Монитор LG 27" 27MP400 в Алматы - цены, купить в интернет - магазине Sulpak | отзывы, описание</t>
  </si>
  <si>
    <t>Computer Mice</t>
  </si>
  <si>
    <t>Мышь проводная X-Game XM-880OUB в Алматы - цены, купить в интернет - магазине Sulpak | отзывы, описание</t>
  </si>
  <si>
    <t>Wifi router</t>
  </si>
  <si>
    <t>Роутер Altel 5G Indoor TS small - цена, купить на wifi.kz</t>
  </si>
  <si>
    <t>Total cost:</t>
  </si>
  <si>
    <t>ASSETS</t>
  </si>
  <si>
    <t>Total Fixed Assets</t>
  </si>
  <si>
    <t>INCOME STATEMENT</t>
  </si>
  <si>
    <t>Revenue/Sales</t>
  </si>
  <si>
    <t>Cost of Goods Sold</t>
  </si>
  <si>
    <t>Gross Profit</t>
  </si>
  <si>
    <t>Operating Expenses:</t>
  </si>
  <si>
    <t>Rent expense</t>
  </si>
  <si>
    <t>Marketing and Advertising</t>
  </si>
  <si>
    <t>Utilities and Miscellaneous</t>
  </si>
  <si>
    <t>Depreciation and Amortization</t>
  </si>
  <si>
    <t>Operating Profit/Income</t>
  </si>
  <si>
    <t>Interest Expense</t>
  </si>
  <si>
    <t>Profit/Income before Tax</t>
  </si>
  <si>
    <t>NET PROFIT/INCOME</t>
  </si>
  <si>
    <t>Item</t>
  </si>
  <si>
    <t>Price per unit</t>
  </si>
  <si>
    <t>Cost per unit</t>
  </si>
  <si>
    <t xml:space="preserve">Units sold </t>
  </si>
  <si>
    <t>Annual Revenue</t>
  </si>
  <si>
    <t>COGS</t>
  </si>
  <si>
    <t>Smart trash bin</t>
  </si>
  <si>
    <t>Subscription</t>
  </si>
  <si>
    <t>Banners on bins</t>
  </si>
  <si>
    <t>Total</t>
  </si>
  <si>
    <t>Sales manager</t>
  </si>
  <si>
    <t>Logistic specialist</t>
  </si>
  <si>
    <t>Technician</t>
  </si>
  <si>
    <t>Management positions</t>
  </si>
  <si>
    <t>CEO</t>
  </si>
  <si>
    <t>Positions</t>
  </si>
  <si>
    <t>Wages</t>
  </si>
  <si>
    <r>
      <rPr>
        <sz val="10"/>
        <color rgb="FFFFFFFF"/>
        <rFont val="Arial"/>
      </rPr>
      <t>Numbers(</t>
    </r>
    <r>
      <rPr>
        <i/>
        <sz val="10"/>
        <color rgb="FFFFFFFF"/>
        <rFont val="Arial"/>
      </rPr>
      <t>2025</t>
    </r>
    <r>
      <rPr>
        <sz val="10"/>
        <color rgb="FFFFFFFF"/>
        <rFont val="Arial"/>
      </rPr>
      <t>)</t>
    </r>
  </si>
  <si>
    <r>
      <rPr>
        <sz val="10"/>
        <color rgb="FFFFFFFF"/>
        <rFont val="Arial"/>
      </rPr>
      <t>Annual wages sum(</t>
    </r>
    <r>
      <rPr>
        <i/>
        <sz val="10"/>
        <color rgb="FFFFFFFF"/>
        <rFont val="Arial"/>
      </rPr>
      <t>2025)</t>
    </r>
  </si>
  <si>
    <r>
      <rPr>
        <b/>
        <sz val="10"/>
        <color rgb="FFFFFFFF"/>
        <rFont val="Arial"/>
      </rPr>
      <t>Total annual wage(</t>
    </r>
    <r>
      <rPr>
        <b/>
        <i/>
        <sz val="10"/>
        <color rgb="FFFFFFFF"/>
        <rFont val="Arial"/>
      </rPr>
      <t>2025</t>
    </r>
    <r>
      <rPr>
        <b/>
        <sz val="10"/>
        <color rgb="FFFFFFFF"/>
        <rFont val="Arial"/>
      </rPr>
      <t>)</t>
    </r>
  </si>
  <si>
    <r>
      <rPr>
        <sz val="10"/>
        <color rgb="FFFFFFFF"/>
        <rFont val="Arial"/>
      </rPr>
      <t>Numbers(</t>
    </r>
    <r>
      <rPr>
        <i/>
        <sz val="10"/>
        <color rgb="FFFFFFFF"/>
        <rFont val="Arial"/>
      </rPr>
      <t>2026)</t>
    </r>
  </si>
  <si>
    <r>
      <rPr>
        <sz val="10"/>
        <color rgb="FFFFFFFF"/>
        <rFont val="Arial"/>
      </rPr>
      <t>Annual wages sum(</t>
    </r>
    <r>
      <rPr>
        <i/>
        <sz val="10"/>
        <color rgb="FFFFFFFF"/>
        <rFont val="Arial"/>
      </rPr>
      <t>2026)</t>
    </r>
  </si>
  <si>
    <r>
      <rPr>
        <b/>
        <sz val="10"/>
        <color rgb="FFFFFFFF"/>
        <rFont val="Arial"/>
      </rPr>
      <t>Total annual wage(</t>
    </r>
    <r>
      <rPr>
        <b/>
        <i/>
        <sz val="10"/>
        <color rgb="FFFFFFFF"/>
        <rFont val="Arial"/>
      </rPr>
      <t>2026</t>
    </r>
    <r>
      <rPr>
        <b/>
        <sz val="10"/>
        <color rgb="FFFFFFFF"/>
        <rFont val="Arial"/>
      </rPr>
      <t>)</t>
    </r>
  </si>
  <si>
    <r>
      <rPr>
        <sz val="10"/>
        <color rgb="FFFFFFFF"/>
        <rFont val="Arial"/>
      </rPr>
      <t>Numbers(</t>
    </r>
    <r>
      <rPr>
        <i/>
        <sz val="10"/>
        <color rgb="FFFFFFFF"/>
        <rFont val="Arial"/>
      </rPr>
      <t>2027</t>
    </r>
    <r>
      <rPr>
        <sz val="10"/>
        <color rgb="FFFFFFFF"/>
        <rFont val="Arial"/>
      </rPr>
      <t>)</t>
    </r>
  </si>
  <si>
    <r>
      <rPr>
        <sz val="10"/>
        <color rgb="FFFFFFFF"/>
        <rFont val="Arial"/>
      </rPr>
      <t>Annual wages sum(</t>
    </r>
    <r>
      <rPr>
        <i/>
        <sz val="10"/>
        <color rgb="FFFFFFFF"/>
        <rFont val="Arial"/>
      </rPr>
      <t>2027)</t>
    </r>
  </si>
  <si>
    <r>
      <rPr>
        <b/>
        <sz val="10"/>
        <color rgb="FFFFFFFF"/>
        <rFont val="Arial"/>
      </rPr>
      <t>Total annual wage(</t>
    </r>
    <r>
      <rPr>
        <b/>
        <i/>
        <sz val="10"/>
        <color rgb="FFFFFFFF"/>
        <rFont val="Arial"/>
      </rPr>
      <t>2027</t>
    </r>
    <r>
      <rPr>
        <b/>
        <sz val="10"/>
        <color rgb="FFFFFFFF"/>
        <rFont val="Arial"/>
      </rPr>
      <t>)</t>
    </r>
  </si>
  <si>
    <r>
      <rPr>
        <sz val="10"/>
        <color rgb="FFFFFFFF"/>
        <rFont val="Arial"/>
      </rPr>
      <t>Numbers(</t>
    </r>
    <r>
      <rPr>
        <i/>
        <sz val="10"/>
        <color rgb="FFFFFFFF"/>
        <rFont val="Arial"/>
      </rPr>
      <t>2028</t>
    </r>
    <r>
      <rPr>
        <sz val="10"/>
        <color rgb="FFFFFFFF"/>
        <rFont val="Arial"/>
      </rPr>
      <t>)</t>
    </r>
  </si>
  <si>
    <r>
      <rPr>
        <sz val="10"/>
        <color rgb="FFFFFFFF"/>
        <rFont val="Arial"/>
      </rPr>
      <t>Annual wages sum(</t>
    </r>
    <r>
      <rPr>
        <i/>
        <sz val="10"/>
        <color rgb="FFFFFFFF"/>
        <rFont val="Arial"/>
      </rPr>
      <t>2028)</t>
    </r>
  </si>
  <si>
    <r>
      <rPr>
        <b/>
        <sz val="10"/>
        <color rgb="FFFFFFFF"/>
        <rFont val="Arial"/>
      </rPr>
      <t>Total annual wage(</t>
    </r>
    <r>
      <rPr>
        <b/>
        <i/>
        <sz val="10"/>
        <color rgb="FFFFFFFF"/>
        <rFont val="Arial"/>
      </rPr>
      <t>2028</t>
    </r>
    <r>
      <rPr>
        <b/>
        <sz val="10"/>
        <color rgb="FFFFFFFF"/>
        <rFont val="Arial"/>
      </rPr>
      <t>)</t>
    </r>
  </si>
  <si>
    <r>
      <rPr>
        <sz val="10"/>
        <color rgb="FFFFFFFF"/>
        <rFont val="Arial"/>
      </rPr>
      <t>Numbers(</t>
    </r>
    <r>
      <rPr>
        <i/>
        <sz val="10"/>
        <color rgb="FFFFFFFF"/>
        <rFont val="Arial"/>
      </rPr>
      <t>2029)</t>
    </r>
  </si>
  <si>
    <r>
      <rPr>
        <sz val="10"/>
        <color rgb="FFFFFFFF"/>
        <rFont val="Arial"/>
      </rPr>
      <t>Annual wages sum(</t>
    </r>
    <r>
      <rPr>
        <i/>
        <sz val="10"/>
        <color rgb="FFFFFFFF"/>
        <rFont val="Arial"/>
      </rPr>
      <t>2029)</t>
    </r>
  </si>
  <si>
    <r>
      <rPr>
        <b/>
        <sz val="10"/>
        <color rgb="FFFFFFFF"/>
        <rFont val="Arial"/>
      </rPr>
      <t>Total annual wage(</t>
    </r>
    <r>
      <rPr>
        <b/>
        <i/>
        <sz val="10"/>
        <color rgb="FFFFFFFF"/>
        <rFont val="Arial"/>
      </rPr>
      <t>2029</t>
    </r>
    <r>
      <rPr>
        <b/>
        <sz val="10"/>
        <color rgb="FFFFFFFF"/>
        <rFont val="Arial"/>
      </rPr>
      <t>)</t>
    </r>
  </si>
  <si>
    <t>Accountant</t>
  </si>
  <si>
    <t>Type of expense</t>
  </si>
  <si>
    <t>Expenses</t>
  </si>
  <si>
    <t>Materials</t>
  </si>
  <si>
    <t>Logistics</t>
  </si>
  <si>
    <t>Technical expenses</t>
  </si>
  <si>
    <t>Packaging</t>
  </si>
  <si>
    <t>Manufacturing overhead</t>
  </si>
  <si>
    <t>Total expense for Trash bins</t>
  </si>
  <si>
    <t>Software maintaince</t>
  </si>
  <si>
    <t>Materials for banners</t>
  </si>
  <si>
    <t>References</t>
  </si>
  <si>
    <t>Супер Компостный Ящик Л,Пластиковый Мусорный Ящик,Контейнер Для Переработки С Сертификатом En840 - Buy Compost Bin,Plastic Dustbin,Recycle Bin Product on Alibaba.com</t>
  </si>
  <si>
    <t>7,10,15,30,90 Градусов Угол Луча Ультразвуковой Датчик Уровня Бака,Kexlimice Oem Ультразвуковой Датчик Обнаружения Расстояния - Buy Ultrasonic Tank Level Sensor,Ultrasonic Level Sensor,Ultrasonic Detection Sensor Product on Alibaba.com</t>
  </si>
  <si>
    <t>Универсальный Производитель Печатных Плат 70 + Инженеров Для Сборки Печатных Плат По Телекоммуникации R &amp; D Цена Печатных Плат - Buy Printed Circuit Board Price,Pcba Manufacturer,One-stop Pcba Manufacturer Product on Alibaba.com</t>
  </si>
  <si>
    <t>Ebyte Odm E220-900t22d Пробуждение Воздуха 5 Км 22dbm Uart Lora,Технология Распространения Спектра 915mhz Llcc68,Чип Lora,Беспроводной Модуль - Buy Lora Module 915mhz llcc68 Chip Lora Wireless Module wireless Transceiver Module Product on Alibaba.com</t>
  </si>
  <si>
    <t>Цена Строительная Деревянная Доска Эвкалипта Лиственных Пород Фанера Лист Черный/коричневый/красный Пленка Облицованная Фанерой - Buy Black Brown Marine Plywood Black Brown Marine Plywood Eucalyptus Hardwood Plywood Sheet Product on Alibaba.com</t>
  </si>
  <si>
    <t>Изготовитель На Заказ Логотип Перерабатываемая Бумага Картон Движущаяся Печатная Почтовая Упаковка Доставка Гофрированная Картонная Коробка - Buy Shipping Carton Boxes corrugated Printed Mailing Box customized Logo Carton Boxes corrugated Box Packaging shipping Box Packaging carton Box Packaging moving Boxes custom Cardboard Boxes cartoon Boxes For Packing boxes For Packiging shipping Boxes carton Box packaging Box Cardboard mailer Box parcel Box printed Boxes Packaging custom Carton long Box Printing Product on Alibaba.com</t>
  </si>
  <si>
    <t>Month</t>
  </si>
  <si>
    <t>Remaining Debt</t>
  </si>
  <si>
    <t>(20% / 12)</t>
  </si>
  <si>
    <t>Payment</t>
  </si>
  <si>
    <t>Repayment of the principal debt</t>
  </si>
  <si>
    <t>New balance</t>
  </si>
  <si>
    <t xml:space="preserve">Bank Loan from Freedom Bank with annual effective interest rate of 22.5% and interest rate 20% , 30mln for 5 years					</t>
  </si>
  <si>
    <t>https://bankffin.kz/ru</t>
  </si>
  <si>
    <t>R8T2 - Team members</t>
  </si>
  <si>
    <t>We confirm that all members of our team have made a legitimate effort to contribute to this submission and agree that all members should receive the same Assessment Grade.</t>
  </si>
  <si>
    <t>Bukhar</t>
  </si>
  <si>
    <t>Madiyar</t>
  </si>
  <si>
    <t>Yes</t>
  </si>
  <si>
    <t>Zhakhina</t>
  </si>
  <si>
    <t>Dilnaz</t>
  </si>
  <si>
    <t>Raimkulov</t>
  </si>
  <si>
    <t>Temirlan</t>
  </si>
  <si>
    <t>Akishev</t>
  </si>
  <si>
    <t>Dastan</t>
  </si>
  <si>
    <t>Seidvaliyeva</t>
  </si>
  <si>
    <t>Dariya</t>
  </si>
  <si>
    <t>Tulendiyev</t>
  </si>
  <si>
    <t>Danial</t>
  </si>
  <si>
    <t>Yeshkeyeva</t>
  </si>
  <si>
    <t>Nursulu</t>
  </si>
  <si>
    <t>Unlevered net income</t>
  </si>
  <si>
    <t>EBIT</t>
  </si>
  <si>
    <t>Taxes on EBIT</t>
  </si>
  <si>
    <t>Income Taxes 10%</t>
  </si>
  <si>
    <t>Capex</t>
  </si>
  <si>
    <t>Assumptions</t>
  </si>
  <si>
    <t>NWC</t>
  </si>
  <si>
    <t>Cost of capital</t>
  </si>
  <si>
    <t>Growth rate for Terminal value</t>
  </si>
  <si>
    <t xml:space="preserve">Change in NWC </t>
  </si>
  <si>
    <t xml:space="preserve">YEAR </t>
  </si>
  <si>
    <t>Tax rate</t>
  </si>
  <si>
    <t xml:space="preserve">Increase  in NWC </t>
  </si>
  <si>
    <t xml:space="preserve">Free cash flows </t>
  </si>
  <si>
    <t xml:space="preserve">Depreciation </t>
  </si>
  <si>
    <t>Terminal value</t>
  </si>
  <si>
    <t>FCF with terminal value</t>
  </si>
  <si>
    <t>DCF</t>
  </si>
  <si>
    <t>IRR</t>
  </si>
  <si>
    <t>NVP</t>
  </si>
  <si>
    <t xml:space="preserve">Total </t>
  </si>
  <si>
    <t>Grants</t>
  </si>
  <si>
    <t>Operations</t>
  </si>
  <si>
    <t>Sales</t>
  </si>
  <si>
    <t>Warehouse assistant</t>
  </si>
  <si>
    <r>
      <t xml:space="preserve">Rent expense: If we get QazInnovations grant, then we are eligible for full coverage of rent (7.5 sq.m. per employee) for 6 months. Other half of the year we pay ourselves. Rent costs an average between 7482 and 8461 tenge according to Astana Invest (2024). Assuming we will work in B+ class office, we will pay a reasonable rent. The next years we will not be under grant, so we will pay ourselves, plus there will be inflation. </t>
    </r>
    <r>
      <rPr>
        <b/>
        <sz val="12"/>
        <color theme="1"/>
        <rFont val="Arial"/>
        <family val="2"/>
      </rPr>
      <t xml:space="preserve">Sources: https://qazinn.kz/ru/granty/kommercializaciya-tehnologij-1 AND https://investastana.kz/business-and-live/rent-office/ </t>
    </r>
  </si>
  <si>
    <r>
      <t xml:space="preserve">Grants: There Is a program called Commercialization of Technology endorsed by QazInnovations. The maximum grant is 20 mln tenge for 1st stage companies, i.e. those that have an MVP, can realize the product in 6 months and has at least 2 employees. </t>
    </r>
    <r>
      <rPr>
        <b/>
        <sz val="12"/>
        <color theme="1"/>
        <rFont val="Aptos Narrow"/>
        <scheme val="minor"/>
      </rPr>
      <t>Reference: https://qazinn.kz/ru/granty/kommercializaciya-tehnologij-1</t>
    </r>
  </si>
  <si>
    <t>Inflation</t>
  </si>
  <si>
    <t xml:space="preserve">Source: https://www.nationalbank.kz/ru/news/press-relizy/17173#:~:text=%D0%9F%D1%80%D0%BE%D0%B3%D0%BD%D0%BE%D0%B7%20%D0%B8%D0%BD%D1%84%D0%BB%D1%8F%D1%86%D0%B8%D0%B8%20%D0%BD%D0%B0%202024%20%D0%B3%D0%BE%D0%B4,5%25%20%D1%83%D0%B6%D0%B5%20%D0%B2%202026%20%D0%B3%D0%BE%D0%B4%D1%83. </t>
  </si>
  <si>
    <t xml:space="preserve">Inflation: we took an average of each year's prediction from Kazakhstan's Central Bank. </t>
  </si>
  <si>
    <t xml:space="preserve">Salaries expense </t>
  </si>
  <si>
    <t>References for monthly salary in KZT</t>
  </si>
  <si>
    <t>https://www.zakon.kz/obshestvo/6457802-673-tysyach-tenge-nazvana-srednemesyachnaya-zarplata-kazakhstanskikh-ITspetsialistov.html</t>
  </si>
  <si>
    <t>https://astana.hh.kz/vacancies/bukhgalter</t>
  </si>
  <si>
    <t>https://astana.hh.kz/search/vacancy?area=159&amp;ored_clusters=true&amp;text=%D0%BF%D1%80%D0%BE%D0%B4%D0%B0%D0%B6%D0%B8&amp;search_period=30</t>
  </si>
  <si>
    <t>https://astana.hh.kz/search/vacancy?text=%D0%9B%D0%BE%D0%B3%D0%B8%D1%81%D1%82%D0%B8%D0%BA%D0%B0+%D1%82%D1%80%D0%B0%D0%BD%D1%81%D0%BF%D0%BE%D1%80%D1%82&amp;from=suggest_post&amp;salary=&amp;ored_clusters=true&amp;search_period=30&amp;area=159&amp;hhtmFrom=vacancy_search_list&amp;hhtmFromLabel=vacancy_search_line</t>
  </si>
  <si>
    <t>https://astana.hh.kz/search/vacancy?text=%D0%A1%D0%BA%D0%BB%D0%B0%D0%B4%D1%81%D0%BA%D0%B0%D1%8F+%D0%BB%D0%BE%D0%B3%D0%B8%D1%81%D1%82%D0%B8%D0%BA%D0%B0&amp;from=suggest_post&amp;salary=&amp;ored_clusters=true&amp;search_period=30&amp;area=159&amp;hhtmFrom=vacancy_search_list&amp;hhtmFromLabel=vacancy_search_line</t>
  </si>
  <si>
    <t>Year</t>
  </si>
  <si>
    <t xml:space="preserve">According to guidelines, we could choose from 5 to 20 percent NWC. We think 10% is reasonable for our business model because manufacturing trash bins involves upfront material and production costs, which ties up capital in inventory. However, as we will scale, economies of scale can help optimize these costs, keeping NWC moderate. Since we do not offer credit payments to our customers and they have to pay upfront the whole sum, we do not have a high NWC. </t>
  </si>
  <si>
    <t xml:space="preserve">Given in the guidelines. </t>
  </si>
  <si>
    <r>
      <t xml:space="preserve">Marketing and advertising: A rule of thumb for businesses, especially new ones, is to spend about 15% of annual revenue on marketing. We assume that in the beginning, since we are an unknown startup, we should invest 15% into marketing, but as time passes, we can allocate less - only 10%. </t>
    </r>
    <r>
      <rPr>
        <b/>
        <sz val="12"/>
        <color theme="1"/>
        <rFont val="Aptos Narrow"/>
        <scheme val="minor"/>
      </rPr>
      <t xml:space="preserve">Source: https://skillbox.ru/media/marketing/marketing-sedaet-15-oborota-skolko-biznes-tratit-na-prodvizhenie-i-analitiku/ </t>
    </r>
  </si>
  <si>
    <r>
      <t>Salaries expense in 2025: We subtract 9 mln tenge from total amount we had to pay out because the QazInnovations grant fully covers salaries expenses incuding taxes up to 9 mln tenge.</t>
    </r>
    <r>
      <rPr>
        <b/>
        <sz val="12"/>
        <color theme="1"/>
        <rFont val="Arial"/>
        <family val="2"/>
      </rPr>
      <t xml:space="preserve"> Source: https://qazinn.kz/ru/granty/kommercializaciya-tehnologij-1 </t>
    </r>
  </si>
  <si>
    <t>Non-operating Expenses:</t>
  </si>
  <si>
    <t>https://home.kz/blog/kakie-nalogi-platit-ip-v-kazahstane</t>
  </si>
  <si>
    <t>Astana</t>
  </si>
  <si>
    <t>Almaty</t>
  </si>
  <si>
    <t>Shymkent</t>
  </si>
  <si>
    <t>Units sold (trash bins)</t>
  </si>
  <si>
    <t xml:space="preserve">Units sold (subscription): we assume that one in four trash bins that we sold was maintained by a Garbage Collecting Company that is also subscribed to our service. </t>
  </si>
  <si>
    <t xml:space="preserve">Units sold (banners on bins): we assume that one in five trash bins is decorated with advertisement from our sponsors. </t>
  </si>
  <si>
    <t>Shipping of bins to clients</t>
  </si>
  <si>
    <r>
      <t xml:space="preserve">Shipping bins to clients: first, we find how many bins can fit into one 5-tonne truck with a max. capacity of 130 cubic meters. Turns out one truck can fit in 33 bins at once. We then divide the number of bins sold in that year by the max. capacity of a truck per one ride to find out how many deliveries we must order. According to Kaspi, cost of one delivery if you take up the whole space of the truck is around 100,000 tenge: </t>
    </r>
    <r>
      <rPr>
        <b/>
        <sz val="12"/>
        <color theme="1"/>
        <rFont val="Aptos Narrow"/>
        <scheme val="minor"/>
      </rPr>
      <t xml:space="preserve">https://obyavleniya.kaspi.kz/a/fura-gazel-refrijerator-114038959. </t>
    </r>
    <r>
      <rPr>
        <i/>
        <sz val="12"/>
        <color theme="1"/>
        <rFont val="Aptos Narrow"/>
        <scheme val="minor"/>
      </rPr>
      <t>For some reason, we could not link the number of trash bins sold directly from 'Gross Profit' to make a formula of delivery costs, so we entered them manually.</t>
    </r>
  </si>
  <si>
    <t xml:space="preserve">An IRR of 248% indicates that the projected cash flows are far exceeding the initial investment, which is a strong sign of profitability. Such IRR is highly attractive to investors. However, we do have to take it with a grain of salt and understand that it is not really realistic. </t>
  </si>
  <si>
    <t># of computers = # of chairs (employees, since everyone needs one to work) = # of mice because each computer is used with a complementary good)</t>
  </si>
  <si>
    <t xml:space="preserve">We see a positive trend in net income, which is a good indicator of a profitable business. </t>
  </si>
  <si>
    <t>Year 0</t>
  </si>
  <si>
    <t>Year 1</t>
  </si>
  <si>
    <t>Year 2</t>
  </si>
  <si>
    <t>Year 3</t>
  </si>
  <si>
    <t>Year 4</t>
  </si>
  <si>
    <t>Year 5</t>
  </si>
  <si>
    <t>Initial Investment</t>
  </si>
  <si>
    <t>After-Tax Cash Flow</t>
  </si>
  <si>
    <t>Cumulative Cash Flows</t>
  </si>
  <si>
    <t>Payback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</si>
</sst>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 &quot;₸&quot;"/>
    <numFmt numFmtId="167" formatCode="#,##0\ _₸"/>
    <numFmt numFmtId="168" formatCode="#,##0\ [$₸-43F]"/>
  </numFmts>
  <fonts count="50">
    <font>
      <sz val="12"/>
      <color theme="1"/>
      <name val="Aptos Narrow"/>
      <scheme val="minor"/>
    </font>
    <font>
      <b/>
      <sz val="11"/>
      <color rgb="FFFFFFFF"/>
      <name val="Poppins"/>
    </font>
    <font>
      <sz val="12"/>
      <name val="Aptos Narrow"/>
    </font>
    <font>
      <b/>
      <sz val="11"/>
      <color rgb="FF000000"/>
      <name val="Georgia"/>
    </font>
    <font>
      <sz val="11"/>
      <color theme="1"/>
      <name val="Georgia"/>
    </font>
    <font>
      <sz val="11"/>
      <color rgb="FF000000"/>
      <name val="Georgia"/>
    </font>
    <font>
      <sz val="12"/>
      <color theme="1"/>
      <name val="Aptos Narrow"/>
      <scheme val="minor"/>
    </font>
    <font>
      <u/>
      <sz val="12"/>
      <color rgb="FF0000FF"/>
      <name val="Aptos Narrow"/>
    </font>
    <font>
      <sz val="12"/>
      <color theme="1"/>
      <name val="Georgia"/>
    </font>
    <font>
      <b/>
      <sz val="12"/>
      <color rgb="FFFFFFFF"/>
      <name val="Georgia"/>
    </font>
    <font>
      <b/>
      <sz val="12"/>
      <color theme="1"/>
      <name val="Georgia"/>
    </font>
    <font>
      <sz val="12"/>
      <color theme="1"/>
      <name val="Georgia"/>
    </font>
    <font>
      <sz val="12"/>
      <color theme="1"/>
      <name val="Aptos Narrow"/>
    </font>
    <font>
      <sz val="12"/>
      <color theme="1"/>
      <name val="Arial"/>
    </font>
    <font>
      <sz val="11"/>
      <color rgb="FFFFFFFF"/>
      <name val="Georgia"/>
    </font>
    <font>
      <b/>
      <sz val="11"/>
      <color theme="1"/>
      <name val="Georgia"/>
    </font>
    <font>
      <sz val="18"/>
      <color theme="1"/>
      <name val="Aptos Narrow"/>
      <scheme val="minor"/>
    </font>
    <font>
      <b/>
      <sz val="10"/>
      <color rgb="FFFFFFFF"/>
      <name val="Aptos Narrow"/>
    </font>
    <font>
      <sz val="10"/>
      <color rgb="FFFFFFFF"/>
      <name val="Arial"/>
    </font>
    <font>
      <sz val="10"/>
      <color rgb="FFFFFFFF"/>
      <name val="Aptos Narrow"/>
    </font>
    <font>
      <sz val="11"/>
      <color theme="1"/>
      <name val="Aptos Narrow"/>
    </font>
    <font>
      <sz val="10"/>
      <color theme="1"/>
      <name val="Aptos Narrow"/>
    </font>
    <font>
      <sz val="12"/>
      <color rgb="FFFFFFFF"/>
      <name val="Arial"/>
    </font>
    <font>
      <sz val="12"/>
      <color rgb="FFFFFFFF"/>
      <name val="Aptos Narrow"/>
      <scheme val="minor"/>
    </font>
    <font>
      <sz val="12"/>
      <color rgb="FFFFFFFF"/>
      <name val="Aptos Narrow"/>
    </font>
    <font>
      <sz val="12"/>
      <color theme="1"/>
      <name val="Arial"/>
    </font>
    <font>
      <b/>
      <sz val="10"/>
      <color theme="1"/>
      <name val="Georgia"/>
    </font>
    <font>
      <sz val="10"/>
      <color theme="1"/>
      <name val="Georgia"/>
    </font>
    <font>
      <sz val="11"/>
      <color theme="1"/>
      <name val="Times New Roman"/>
    </font>
    <font>
      <u/>
      <sz val="12"/>
      <color rgb="FF0000FF"/>
      <name val="Arial"/>
    </font>
    <font>
      <b/>
      <sz val="12"/>
      <color theme="1"/>
      <name val="Times New Roman"/>
    </font>
    <font>
      <sz val="12"/>
      <color theme="1"/>
      <name val="Times New Roman"/>
    </font>
    <font>
      <i/>
      <sz val="10"/>
      <color rgb="FFFFFFFF"/>
      <name val="Arial"/>
    </font>
    <font>
      <b/>
      <sz val="10"/>
      <color rgb="FFFFFFFF"/>
      <name val="Arial"/>
    </font>
    <font>
      <b/>
      <i/>
      <sz val="10"/>
      <color rgb="FFFFFFFF"/>
      <name val="Arial"/>
    </font>
    <font>
      <sz val="11"/>
      <color theme="1"/>
      <name val="Georgia"/>
      <family val="1"/>
      <charset val="204"/>
    </font>
    <font>
      <b/>
      <sz val="12"/>
      <color theme="1"/>
      <name val="Georgia"/>
      <family val="1"/>
      <charset val="204"/>
    </font>
    <font>
      <u/>
      <sz val="12"/>
      <color theme="10"/>
      <name val="Aptos Narrow"/>
      <scheme val="minor"/>
    </font>
    <font>
      <sz val="11"/>
      <color theme="1"/>
      <name val="Poppins"/>
    </font>
    <font>
      <sz val="10"/>
      <color rgb="FFFFFFFF"/>
      <name val="Arial"/>
      <family val="2"/>
    </font>
    <font>
      <sz val="12"/>
      <color theme="1"/>
      <name val="Arial"/>
      <family val="2"/>
    </font>
    <font>
      <b/>
      <sz val="12"/>
      <color theme="1"/>
      <name val="Arial"/>
      <family val="2"/>
    </font>
    <font>
      <b/>
      <sz val="12"/>
      <color theme="1"/>
      <name val="Aptos Narrow"/>
      <scheme val="minor"/>
    </font>
    <font>
      <sz val="8"/>
      <color theme="1"/>
      <name val="Aptos Narrow"/>
      <scheme val="minor"/>
    </font>
    <font>
      <sz val="12"/>
      <color theme="1"/>
      <name val="Georgia"/>
      <family val="1"/>
    </font>
    <font>
      <sz val="10"/>
      <color theme="1"/>
      <name val="Arial"/>
      <family val="2"/>
    </font>
    <font>
      <b/>
      <sz val="12"/>
      <color theme="1"/>
      <name val="Georgia"/>
      <family val="1"/>
    </font>
    <font>
      <i/>
      <sz val="12"/>
      <color theme="1"/>
      <name val="Aptos Narrow"/>
      <scheme val="minor"/>
    </font>
    <font>
      <sz val="12"/>
      <color rgb="FF000000"/>
      <name val="Arial"/>
      <family val="2"/>
    </font>
    <font>
      <sz val="12"/>
      <color theme="1"/>
      <name val="Times New Roman"/>
      <family val="1"/>
    </font>
  </fonts>
  <fills count="16">
    <fill>
      <patternFill patternType="none"/>
    </fill>
    <fill>
      <patternFill patternType="gray125"/>
    </fill>
    <fill>
      <patternFill patternType="solid">
        <fgColor rgb="FF3A7D22"/>
        <bgColor rgb="FF3A7D22"/>
      </patternFill>
    </fill>
    <fill>
      <patternFill patternType="solid">
        <fgColor rgb="FFF2F2F2"/>
        <bgColor rgb="FFF2F2F2"/>
      </patternFill>
    </fill>
    <fill>
      <patternFill patternType="solid">
        <fgColor rgb="FFFFFFFF"/>
        <bgColor rgb="FFFFFFFF"/>
      </patternFill>
    </fill>
    <fill>
      <patternFill patternType="solid">
        <fgColor rgb="FF8ED873"/>
        <bgColor rgb="FF8ED873"/>
      </patternFill>
    </fill>
    <fill>
      <patternFill patternType="solid">
        <fgColor rgb="FFDBE9F7"/>
        <bgColor rgb="FFDBE9F7"/>
      </patternFill>
    </fill>
    <fill>
      <patternFill patternType="solid">
        <fgColor rgb="FFEFEFEF"/>
        <bgColor rgb="FFEFEFEF"/>
      </patternFill>
    </fill>
    <fill>
      <patternFill patternType="solid">
        <fgColor theme="9" tint="0.39997558519241921"/>
        <bgColor indexed="64"/>
      </patternFill>
    </fill>
    <fill>
      <patternFill patternType="solid">
        <fgColor theme="0" tint="-0.499984740745262"/>
        <bgColor indexed="64"/>
      </patternFill>
    </fill>
    <fill>
      <patternFill patternType="solid">
        <fgColor theme="0"/>
        <bgColor indexed="64"/>
      </patternFill>
    </fill>
    <fill>
      <patternFill patternType="solid">
        <fgColor theme="0"/>
        <bgColor rgb="FF3A7D22"/>
      </patternFill>
    </fill>
    <fill>
      <patternFill patternType="solid">
        <fgColor theme="2" tint="-0.14999847407452621"/>
        <bgColor indexed="64"/>
      </patternFill>
    </fill>
    <fill>
      <patternFill patternType="solid">
        <fgColor theme="2" tint="-0.14999847407452621"/>
        <bgColor rgb="FF8ED873"/>
      </patternFill>
    </fill>
    <fill>
      <patternFill patternType="solid">
        <fgColor theme="9"/>
        <bgColor indexed="64"/>
      </patternFill>
    </fill>
    <fill>
      <patternFill patternType="solid">
        <fgColor theme="9"/>
        <bgColor theme="9"/>
      </patternFill>
    </fill>
  </fills>
  <borders count="44">
    <border>
      <left/>
      <right/>
      <top/>
      <bottom/>
      <diagonal/>
    </border>
    <border>
      <left style="thin">
        <color rgb="FF1C4587"/>
      </left>
      <right/>
      <top style="thin">
        <color rgb="FF1C4587"/>
      </top>
      <bottom/>
      <diagonal/>
    </border>
    <border>
      <left/>
      <right style="dotted">
        <color rgb="FFFFFFFF"/>
      </right>
      <top style="thin">
        <color rgb="FF1C4587"/>
      </top>
      <bottom/>
      <diagonal/>
    </border>
    <border>
      <left/>
      <right/>
      <top/>
      <bottom/>
      <diagonal/>
    </border>
    <border>
      <left/>
      <right/>
      <top style="thin">
        <color rgb="FF1C4587"/>
      </top>
      <bottom/>
      <diagonal/>
    </border>
    <border>
      <left/>
      <right style="dotted">
        <color rgb="FFFFFFFF"/>
      </right>
      <top style="thin">
        <color rgb="FF1C4587"/>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C4587"/>
      </left>
      <right/>
      <top/>
      <bottom style="dotted">
        <color rgb="FFFFFFFF"/>
      </bottom>
      <diagonal/>
    </border>
    <border>
      <left/>
      <right style="dotted">
        <color rgb="FFFFFFFF"/>
      </right>
      <top/>
      <bottom style="dotted">
        <color rgb="FFFFFFFF"/>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1C4587"/>
      </left>
      <right/>
      <top style="thin">
        <color rgb="FF1C4587"/>
      </top>
      <bottom style="dotted">
        <color rgb="FFFFFFFF"/>
      </bottom>
      <diagonal/>
    </border>
    <border>
      <left/>
      <right style="dotted">
        <color rgb="FFFFFFFF"/>
      </right>
      <top style="thin">
        <color rgb="FF1C4587"/>
      </top>
      <bottom style="dotted">
        <color rgb="FFFFFFFF"/>
      </bottom>
      <diagonal/>
    </border>
    <border>
      <left/>
      <right/>
      <top style="thin">
        <color rgb="FF1C4587"/>
      </top>
      <bottom style="dotted">
        <color rgb="FFFFFFFF"/>
      </bottom>
      <diagonal/>
    </border>
    <border>
      <left/>
      <right style="thin">
        <color rgb="FF1C4587"/>
      </right>
      <top style="thin">
        <color rgb="FF1C4587"/>
      </top>
      <bottom style="dotted">
        <color rgb="FFFFFFFF"/>
      </bottom>
      <diagonal/>
    </border>
    <border>
      <left style="thin">
        <color rgb="FF1C4587"/>
      </left>
      <right/>
      <top/>
      <bottom style="thin">
        <color rgb="FF000000"/>
      </bottom>
      <diagonal/>
    </border>
    <border>
      <left/>
      <right/>
      <top/>
      <bottom style="thin">
        <color rgb="FF000000"/>
      </bottom>
      <diagonal/>
    </border>
    <border>
      <left/>
      <right style="thin">
        <color rgb="FF1C4587"/>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1C4587"/>
      </left>
      <right/>
      <top/>
      <bottom style="thin">
        <color rgb="FF000000"/>
      </bottom>
      <diagonal/>
    </border>
    <border>
      <left/>
      <right/>
      <top/>
      <bottom style="thin">
        <color rgb="FF000000"/>
      </bottom>
      <diagonal/>
    </border>
    <border>
      <left/>
      <right style="thin">
        <color rgb="FF1C4587"/>
      </right>
      <top/>
      <bottom style="thin">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diagonal/>
    </border>
  </borders>
  <cellStyleXfs count="2">
    <xf numFmtId="0" fontId="0" fillId="0" borderId="0"/>
    <xf numFmtId="0" fontId="37" fillId="0" borderId="0" applyNumberFormat="0" applyFill="0" applyBorder="0" applyAlignment="0" applyProtection="0"/>
  </cellStyleXfs>
  <cellXfs count="193">
    <xf numFmtId="0" fontId="0" fillId="0" borderId="0" xfId="0" applyFont="1" applyAlignment="1"/>
    <xf numFmtId="0" fontId="3" fillId="3" borderId="11" xfId="0" applyFont="1" applyFill="1" applyBorder="1" applyAlignment="1"/>
    <xf numFmtId="0" fontId="3" fillId="3" borderId="12" xfId="0" applyFont="1" applyFill="1" applyBorder="1"/>
    <xf numFmtId="164" fontId="4" fillId="0" borderId="11" xfId="0" applyNumberFormat="1" applyFont="1" applyBorder="1" applyAlignment="1"/>
    <xf numFmtId="0" fontId="4" fillId="0" borderId="11" xfId="0" applyFont="1" applyBorder="1" applyAlignment="1"/>
    <xf numFmtId="164" fontId="4" fillId="0" borderId="11" xfId="0" applyNumberFormat="1" applyFont="1" applyBorder="1" applyAlignment="1"/>
    <xf numFmtId="0" fontId="4" fillId="0" borderId="11" xfId="0" applyFont="1" applyBorder="1" applyAlignment="1"/>
    <xf numFmtId="164" fontId="4" fillId="0" borderId="11" xfId="0" applyNumberFormat="1" applyFont="1" applyBorder="1" applyAlignment="1"/>
    <xf numFmtId="0" fontId="7" fillId="0" borderId="0" xfId="0" applyFont="1" applyAlignment="1"/>
    <xf numFmtId="0" fontId="5" fillId="0" borderId="11" xfId="0" applyFont="1" applyBorder="1" applyAlignment="1"/>
    <xf numFmtId="164" fontId="8" fillId="0" borderId="0" xfId="0" applyNumberFormat="1" applyFont="1" applyAlignment="1"/>
    <xf numFmtId="0" fontId="4" fillId="5" borderId="11" xfId="0" applyFont="1" applyFill="1" applyBorder="1"/>
    <xf numFmtId="164" fontId="4" fillId="5" borderId="11" xfId="0" applyNumberFormat="1" applyFont="1" applyFill="1" applyBorder="1"/>
    <xf numFmtId="0" fontId="13" fillId="0" borderId="0" xfId="0" applyFont="1" applyAlignment="1"/>
    <xf numFmtId="0" fontId="14" fillId="2" borderId="11" xfId="0" applyFont="1" applyFill="1" applyBorder="1" applyAlignment="1"/>
    <xf numFmtId="0" fontId="4" fillId="7" borderId="27" xfId="0" applyFont="1" applyFill="1" applyBorder="1"/>
    <xf numFmtId="0" fontId="11" fillId="7" borderId="27" xfId="0" applyFont="1" applyFill="1" applyBorder="1"/>
    <xf numFmtId="0" fontId="4" fillId="7" borderId="28" xfId="0" applyFont="1" applyFill="1" applyBorder="1"/>
    <xf numFmtId="0" fontId="4" fillId="5" borderId="28" xfId="0" applyFont="1" applyFill="1" applyBorder="1" applyAlignment="1"/>
    <xf numFmtId="164" fontId="4" fillId="0" borderId="28" xfId="0" applyNumberFormat="1" applyFont="1" applyBorder="1" applyAlignment="1"/>
    <xf numFmtId="0" fontId="4" fillId="0" borderId="28" xfId="0" applyFont="1" applyBorder="1" applyAlignment="1"/>
    <xf numFmtId="164" fontId="4" fillId="0" borderId="28" xfId="0" applyNumberFormat="1" applyFont="1" applyBorder="1"/>
    <xf numFmtId="164" fontId="15" fillId="0" borderId="28" xfId="0" applyNumberFormat="1" applyFont="1" applyBorder="1" applyAlignment="1"/>
    <xf numFmtId="1" fontId="15" fillId="5" borderId="29" xfId="0" applyNumberFormat="1" applyFont="1" applyFill="1" applyBorder="1"/>
    <xf numFmtId="164" fontId="15" fillId="5" borderId="28" xfId="0" applyNumberFormat="1" applyFont="1" applyFill="1" applyBorder="1"/>
    <xf numFmtId="1" fontId="15" fillId="5" borderId="28" xfId="0" applyNumberFormat="1" applyFont="1" applyFill="1" applyBorder="1"/>
    <xf numFmtId="0" fontId="16" fillId="0" borderId="0" xfId="0" applyFont="1"/>
    <xf numFmtId="0" fontId="0" fillId="0" borderId="0" xfId="0" applyFont="1"/>
    <xf numFmtId="0" fontId="17" fillId="2" borderId="11" xfId="0" applyFont="1" applyFill="1" applyBorder="1"/>
    <xf numFmtId="0" fontId="18" fillId="2" borderId="11" xfId="0" applyFont="1" applyFill="1" applyBorder="1" applyAlignment="1"/>
    <xf numFmtId="0" fontId="19" fillId="2" borderId="11" xfId="0" applyFont="1" applyFill="1" applyBorder="1"/>
    <xf numFmtId="0" fontId="19" fillId="0" borderId="0" xfId="0" applyFont="1"/>
    <xf numFmtId="0" fontId="18" fillId="5" borderId="11" xfId="0" applyFont="1" applyFill="1" applyBorder="1" applyAlignment="1"/>
    <xf numFmtId="0" fontId="20" fillId="0" borderId="0" xfId="0" applyFont="1"/>
    <xf numFmtId="0" fontId="19" fillId="0" borderId="0" xfId="0" applyFont="1" applyAlignment="1">
      <alignment horizontal="left"/>
    </xf>
    <xf numFmtId="0" fontId="21" fillId="0" borderId="0" xfId="0" applyFont="1" applyAlignment="1">
      <alignment horizontal="left"/>
    </xf>
    <xf numFmtId="0" fontId="19" fillId="2" borderId="11" xfId="0" applyFont="1" applyFill="1" applyBorder="1" applyAlignment="1">
      <alignment horizontal="left"/>
    </xf>
    <xf numFmtId="0" fontId="19" fillId="2" borderId="11" xfId="0" applyFont="1" applyFill="1" applyBorder="1" applyAlignment="1">
      <alignment horizontal="right"/>
    </xf>
    <xf numFmtId="0" fontId="19" fillId="2" borderId="11" xfId="0" applyFont="1" applyFill="1" applyBorder="1" applyAlignment="1">
      <alignment horizontal="right"/>
    </xf>
    <xf numFmtId="0" fontId="17" fillId="2" borderId="11" xfId="0" applyFont="1" applyFill="1" applyBorder="1" applyAlignment="1">
      <alignment horizontal="right"/>
    </xf>
    <xf numFmtId="164" fontId="18" fillId="5" borderId="11" xfId="0" applyNumberFormat="1" applyFont="1" applyFill="1" applyBorder="1" applyAlignment="1"/>
    <xf numFmtId="164" fontId="19" fillId="5" borderId="11" xfId="0" applyNumberFormat="1" applyFont="1" applyFill="1" applyBorder="1"/>
    <xf numFmtId="0" fontId="19" fillId="0" borderId="0" xfId="0" applyFont="1" applyAlignment="1">
      <alignment horizontal="right"/>
    </xf>
    <xf numFmtId="0" fontId="19" fillId="0" borderId="0" xfId="0" applyFont="1" applyAlignment="1">
      <alignment horizontal="right"/>
    </xf>
    <xf numFmtId="0" fontId="17" fillId="0" borderId="0" xfId="0" applyFont="1" applyAlignment="1">
      <alignment horizontal="right"/>
    </xf>
    <xf numFmtId="0" fontId="6" fillId="2" borderId="0" xfId="0" applyFont="1" applyFill="1"/>
    <xf numFmtId="0" fontId="22" fillId="2" borderId="0" xfId="0" applyFont="1" applyFill="1" applyAlignment="1"/>
    <xf numFmtId="0" fontId="22" fillId="5" borderId="11" xfId="0" applyFont="1" applyFill="1" applyBorder="1" applyAlignment="1"/>
    <xf numFmtId="0" fontId="13" fillId="0" borderId="11" xfId="0" applyFont="1" applyBorder="1" applyAlignment="1"/>
    <xf numFmtId="0" fontId="23" fillId="5" borderId="11" xfId="0" applyFont="1" applyFill="1" applyBorder="1"/>
    <xf numFmtId="0" fontId="24" fillId="5" borderId="11" xfId="0" applyFont="1" applyFill="1" applyBorder="1" applyAlignment="1">
      <alignment horizontal="right"/>
    </xf>
    <xf numFmtId="0" fontId="24" fillId="4" borderId="0" xfId="0" applyFont="1" applyFill="1" applyAlignment="1">
      <alignment horizontal="right"/>
    </xf>
    <xf numFmtId="0" fontId="6" fillId="4" borderId="0" xfId="0" applyFont="1" applyFill="1"/>
    <xf numFmtId="0" fontId="12" fillId="4" borderId="0" xfId="0" applyFont="1" applyFill="1" applyAlignment="1"/>
    <xf numFmtId="0" fontId="12" fillId="0" borderId="0" xfId="0" applyFont="1" applyAlignment="1"/>
    <xf numFmtId="0" fontId="25" fillId="2" borderId="0" xfId="0" applyFont="1" applyFill="1" applyAlignment="1"/>
    <xf numFmtId="0" fontId="22" fillId="5" borderId="0" xfId="0" applyFont="1" applyFill="1" applyAlignment="1"/>
    <xf numFmtId="0" fontId="23" fillId="5" borderId="0" xfId="0" applyFont="1" applyFill="1"/>
    <xf numFmtId="0" fontId="8" fillId="5" borderId="11" xfId="0" applyFont="1" applyFill="1" applyBorder="1" applyAlignment="1"/>
    <xf numFmtId="0" fontId="26" fillId="5" borderId="11" xfId="0" applyFont="1" applyFill="1" applyBorder="1" applyAlignment="1">
      <alignment horizontal="center"/>
    </xf>
    <xf numFmtId="0" fontId="27" fillId="0" borderId="11" xfId="0" applyFont="1" applyBorder="1"/>
    <xf numFmtId="164" fontId="27" fillId="0" borderId="11" xfId="0" applyNumberFormat="1" applyFont="1" applyBorder="1" applyAlignment="1"/>
    <xf numFmtId="164" fontId="27" fillId="0" borderId="11" xfId="0" applyNumberFormat="1" applyFont="1" applyBorder="1"/>
    <xf numFmtId="0" fontId="29" fillId="5" borderId="0" xfId="0" applyFont="1" applyFill="1" applyAlignment="1"/>
    <xf numFmtId="0" fontId="6" fillId="5" borderId="0" xfId="0" applyFont="1" applyFill="1"/>
    <xf numFmtId="164" fontId="26" fillId="0" borderId="11" xfId="0" applyNumberFormat="1" applyFont="1" applyBorder="1"/>
    <xf numFmtId="0" fontId="8" fillId="5" borderId="11" xfId="0" applyFont="1" applyFill="1" applyBorder="1"/>
    <xf numFmtId="0" fontId="12" fillId="5" borderId="38" xfId="0" applyFont="1" applyFill="1" applyBorder="1"/>
    <xf numFmtId="0" fontId="31" fillId="0" borderId="11" xfId="0" applyFont="1" applyBorder="1"/>
    <xf numFmtId="0" fontId="31" fillId="0" borderId="11" xfId="0" applyFont="1" applyBorder="1" applyAlignment="1"/>
    <xf numFmtId="0" fontId="4" fillId="0" borderId="0" xfId="0" applyFont="1"/>
    <xf numFmtId="0" fontId="0" fillId="0" borderId="0" xfId="0" applyFont="1" applyAlignment="1"/>
    <xf numFmtId="9" fontId="0" fillId="0" borderId="0" xfId="0" applyNumberFormat="1" applyFont="1" applyAlignment="1"/>
    <xf numFmtId="10" fontId="0" fillId="0" borderId="0" xfId="0" applyNumberFormat="1" applyFont="1" applyAlignment="1"/>
    <xf numFmtId="0" fontId="0" fillId="8" borderId="0" xfId="0" applyFont="1" applyFill="1" applyAlignment="1"/>
    <xf numFmtId="167" fontId="0" fillId="0" borderId="0" xfId="0" applyNumberFormat="1" applyFont="1" applyAlignment="1"/>
    <xf numFmtId="0" fontId="1" fillId="11" borderId="6" xfId="0" applyFont="1" applyFill="1" applyBorder="1" applyAlignment="1">
      <alignment horizontal="center"/>
    </xf>
    <xf numFmtId="0" fontId="2" fillId="10" borderId="7" xfId="0" applyFont="1" applyFill="1" applyBorder="1" applyAlignment="1"/>
    <xf numFmtId="0" fontId="1" fillId="2" borderId="6" xfId="0" applyFont="1" applyFill="1" applyBorder="1" applyAlignment="1">
      <alignment horizontal="center"/>
    </xf>
    <xf numFmtId="0" fontId="2" fillId="0" borderId="7" xfId="0" applyFont="1" applyBorder="1"/>
    <xf numFmtId="0" fontId="1" fillId="2" borderId="4" xfId="0" applyFont="1" applyFill="1" applyBorder="1" applyAlignment="1">
      <alignment horizontal="center"/>
    </xf>
    <xf numFmtId="0" fontId="2" fillId="0" borderId="5" xfId="0" applyFont="1" applyBorder="1"/>
    <xf numFmtId="0" fontId="1" fillId="2" borderId="1" xfId="0" applyFont="1" applyFill="1" applyBorder="1"/>
    <xf numFmtId="0" fontId="2" fillId="0" borderId="8" xfId="0" applyFont="1" applyBorder="1"/>
    <xf numFmtId="0" fontId="1" fillId="2" borderId="2" xfId="0" applyFont="1" applyFill="1" applyBorder="1" applyAlignment="1"/>
    <xf numFmtId="0" fontId="2" fillId="0" borderId="9" xfId="0" applyFont="1" applyBorder="1"/>
    <xf numFmtId="0" fontId="1" fillId="2" borderId="3" xfId="0" applyFont="1" applyFill="1" applyBorder="1"/>
    <xf numFmtId="0" fontId="2" fillId="0" borderId="10" xfId="0" applyFont="1" applyBorder="1"/>
    <xf numFmtId="164" fontId="4" fillId="5" borderId="6" xfId="0" applyNumberFormat="1" applyFont="1" applyFill="1" applyBorder="1"/>
    <xf numFmtId="0" fontId="1" fillId="2" borderId="15" xfId="0" applyFont="1" applyFill="1" applyBorder="1" applyAlignment="1">
      <alignment horizontal="center"/>
    </xf>
    <xf numFmtId="0" fontId="2" fillId="0" borderId="14" xfId="0" applyFont="1" applyBorder="1"/>
    <xf numFmtId="0" fontId="2" fillId="0" borderId="16" xfId="0" applyFont="1" applyBorder="1"/>
    <xf numFmtId="164" fontId="11" fillId="5" borderId="6" xfId="0" applyNumberFormat="1" applyFont="1" applyFill="1" applyBorder="1" applyAlignment="1">
      <alignment horizontal="right"/>
    </xf>
    <xf numFmtId="0" fontId="12" fillId="0" borderId="0" xfId="0" applyFont="1"/>
    <xf numFmtId="0" fontId="0" fillId="0" borderId="0" xfId="0" applyFont="1" applyAlignment="1"/>
    <xf numFmtId="0" fontId="10" fillId="5" borderId="6" xfId="0" applyFont="1" applyFill="1" applyBorder="1"/>
    <xf numFmtId="0" fontId="9" fillId="2" borderId="13" xfId="0" applyFont="1" applyFill="1" applyBorder="1"/>
    <xf numFmtId="164" fontId="11" fillId="0" borderId="20" xfId="0" applyNumberFormat="1" applyFont="1" applyBorder="1" applyAlignment="1"/>
    <xf numFmtId="0" fontId="2" fillId="0" borderId="21" xfId="0" applyFont="1" applyBorder="1"/>
    <xf numFmtId="0" fontId="0" fillId="9" borderId="38" xfId="0" applyFont="1" applyFill="1" applyBorder="1" applyAlignment="1">
      <alignment horizontal="center"/>
    </xf>
    <xf numFmtId="164" fontId="36" fillId="5" borderId="6" xfId="0" applyNumberFormat="1" applyFont="1" applyFill="1" applyBorder="1"/>
    <xf numFmtId="166" fontId="11" fillId="0" borderId="20" xfId="0" applyNumberFormat="1" applyFont="1" applyBorder="1" applyAlignment="1"/>
    <xf numFmtId="166" fontId="2" fillId="0" borderId="21" xfId="0" applyNumberFormat="1" applyFont="1" applyBorder="1"/>
    <xf numFmtId="1" fontId="8" fillId="0" borderId="6" xfId="0" applyNumberFormat="1" applyFont="1" applyBorder="1"/>
    <xf numFmtId="1" fontId="2" fillId="0" borderId="7" xfId="0" applyNumberFormat="1" applyFont="1" applyBorder="1"/>
    <xf numFmtId="9" fontId="11" fillId="0" borderId="6" xfId="0" applyNumberFormat="1" applyFont="1" applyBorder="1" applyAlignment="1">
      <alignment horizontal="center"/>
    </xf>
    <xf numFmtId="9" fontId="11" fillId="0" borderId="39" xfId="0" applyNumberFormat="1" applyFont="1" applyBorder="1" applyAlignment="1">
      <alignment horizontal="center"/>
    </xf>
    <xf numFmtId="164" fontId="11" fillId="0" borderId="39" xfId="0" applyNumberFormat="1" applyFont="1" applyBorder="1" applyAlignment="1">
      <alignment horizontal="center"/>
    </xf>
    <xf numFmtId="164" fontId="11" fillId="0" borderId="7" xfId="0" applyNumberFormat="1" applyFont="1" applyBorder="1" applyAlignment="1">
      <alignment horizontal="center"/>
    </xf>
    <xf numFmtId="165" fontId="35" fillId="0" borderId="6" xfId="0" applyNumberFormat="1" applyFont="1" applyBorder="1" applyAlignment="1">
      <alignment horizontal="center"/>
    </xf>
    <xf numFmtId="165" fontId="35" fillId="0" borderId="7" xfId="0" applyNumberFormat="1" applyFont="1" applyBorder="1" applyAlignment="1">
      <alignment horizontal="center"/>
    </xf>
    <xf numFmtId="164" fontId="10" fillId="5" borderId="6" xfId="0" applyNumberFormat="1" applyFont="1" applyFill="1" applyBorder="1"/>
    <xf numFmtId="164" fontId="8" fillId="0" borderId="6" xfId="0" applyNumberFormat="1" applyFont="1" applyBorder="1"/>
    <xf numFmtId="164" fontId="11" fillId="0" borderId="6" xfId="0" applyNumberFormat="1" applyFont="1" applyBorder="1"/>
    <xf numFmtId="164" fontId="11" fillId="0" borderId="6" xfId="0" applyNumberFormat="1" applyFont="1" applyBorder="1" applyAlignment="1"/>
    <xf numFmtId="164" fontId="10" fillId="5" borderId="6" xfId="0" applyNumberFormat="1" applyFont="1" applyFill="1" applyBorder="1" applyAlignment="1">
      <alignment horizontal="right"/>
    </xf>
    <xf numFmtId="164" fontId="11" fillId="0" borderId="6" xfId="0" applyNumberFormat="1" applyFont="1" applyBorder="1" applyAlignment="1">
      <alignment horizontal="right"/>
    </xf>
    <xf numFmtId="164" fontId="10" fillId="6" borderId="17" xfId="0" applyNumberFormat="1" applyFont="1" applyFill="1" applyBorder="1"/>
    <xf numFmtId="0" fontId="2" fillId="0" borderId="18" xfId="0" applyFont="1" applyBorder="1"/>
    <xf numFmtId="0" fontId="2" fillId="0" borderId="19" xfId="0" applyFont="1" applyBorder="1"/>
    <xf numFmtId="0" fontId="1" fillId="2" borderId="6" xfId="0" applyFont="1" applyFill="1" applyBorder="1"/>
    <xf numFmtId="164" fontId="4" fillId="0" borderId="6" xfId="0" applyNumberFormat="1" applyFont="1" applyBorder="1" applyAlignment="1"/>
    <xf numFmtId="164" fontId="4" fillId="0" borderId="6" xfId="0" applyNumberFormat="1" applyFont="1" applyBorder="1" applyAlignment="1">
      <alignment horizontal="right"/>
    </xf>
    <xf numFmtId="0" fontId="2" fillId="0" borderId="23" xfId="0" applyFont="1" applyBorder="1"/>
    <xf numFmtId="0" fontId="2" fillId="0" borderId="24" xfId="0" applyFont="1" applyBorder="1"/>
    <xf numFmtId="164" fontId="10" fillId="5" borderId="20" xfId="0" applyNumberFormat="1" applyFont="1" applyFill="1" applyBorder="1"/>
    <xf numFmtId="0" fontId="14" fillId="2" borderId="25" xfId="0" applyFont="1" applyFill="1" applyBorder="1" applyAlignment="1">
      <alignment horizontal="center"/>
    </xf>
    <xf numFmtId="0" fontId="2" fillId="0" borderId="25" xfId="0" applyFont="1" applyBorder="1"/>
    <xf numFmtId="0" fontId="2" fillId="0" borderId="26" xfId="0" applyFont="1" applyBorder="1"/>
    <xf numFmtId="0" fontId="28" fillId="5" borderId="30" xfId="0" applyFont="1" applyFill="1" applyBorder="1" applyAlignment="1">
      <alignment wrapText="1"/>
    </xf>
    <xf numFmtId="0" fontId="2" fillId="0" borderId="31" xfId="0" applyFont="1" applyBorder="1"/>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2" fillId="0" borderId="36" xfId="0" applyFont="1" applyBorder="1"/>
    <xf numFmtId="0" fontId="2" fillId="0" borderId="37" xfId="0" applyFont="1" applyBorder="1"/>
    <xf numFmtId="0" fontId="30" fillId="5" borderId="6" xfId="0" applyFont="1" applyFill="1" applyBorder="1"/>
    <xf numFmtId="0" fontId="4" fillId="0" borderId="0" xfId="0" applyFont="1" applyAlignment="1">
      <alignment wrapText="1"/>
    </xf>
    <xf numFmtId="0" fontId="0" fillId="2" borderId="0" xfId="0" applyFont="1" applyFill="1"/>
    <xf numFmtId="0" fontId="13" fillId="5" borderId="11" xfId="0" applyFont="1" applyFill="1" applyBorder="1" applyAlignment="1"/>
    <xf numFmtId="0" fontId="0" fillId="5" borderId="11" xfId="0" applyFont="1" applyFill="1" applyBorder="1"/>
    <xf numFmtId="0" fontId="12" fillId="5" borderId="11" xfId="0" applyFont="1" applyFill="1" applyBorder="1" applyAlignment="1">
      <alignment horizontal="right"/>
    </xf>
    <xf numFmtId="164" fontId="8" fillId="0" borderId="6" xfId="0" applyNumberFormat="1" applyFont="1" applyBorder="1" applyAlignment="1"/>
    <xf numFmtId="0" fontId="12" fillId="0" borderId="7" xfId="0" applyFont="1" applyBorder="1"/>
    <xf numFmtId="0" fontId="38" fillId="11" borderId="6" xfId="0" applyFont="1" applyFill="1" applyBorder="1" applyAlignment="1">
      <alignment horizontal="left" vertical="top"/>
    </xf>
    <xf numFmtId="0" fontId="38" fillId="11" borderId="7" xfId="0" applyFont="1" applyFill="1" applyBorder="1" applyAlignment="1">
      <alignment horizontal="left" vertical="top"/>
    </xf>
    <xf numFmtId="0" fontId="38" fillId="11" borderId="6" xfId="0" applyFont="1" applyFill="1" applyBorder="1" applyAlignment="1">
      <alignment horizontal="center"/>
    </xf>
    <xf numFmtId="0" fontId="38" fillId="11" borderId="7" xfId="0" applyFont="1" applyFill="1" applyBorder="1" applyAlignment="1">
      <alignment horizontal="center"/>
    </xf>
    <xf numFmtId="168" fontId="38" fillId="11" borderId="6" xfId="0" applyNumberFormat="1" applyFont="1" applyFill="1" applyBorder="1" applyAlignment="1">
      <alignment horizontal="center"/>
    </xf>
    <xf numFmtId="168" fontId="38" fillId="11" borderId="7" xfId="0" applyNumberFormat="1" applyFont="1" applyFill="1" applyBorder="1" applyAlignment="1">
      <alignment horizontal="center"/>
    </xf>
    <xf numFmtId="10" fontId="0" fillId="12" borderId="0" xfId="0" applyNumberFormat="1" applyFont="1" applyFill="1" applyAlignment="1">
      <alignment horizontal="left" vertical="top" wrapText="1"/>
    </xf>
    <xf numFmtId="0" fontId="39" fillId="5" borderId="11" xfId="0" applyFont="1" applyFill="1" applyBorder="1" applyAlignment="1">
      <alignment horizontal="left" vertical="top" wrapText="1"/>
    </xf>
    <xf numFmtId="0" fontId="40" fillId="12" borderId="0" xfId="0" applyFont="1" applyFill="1" applyAlignment="1">
      <alignment horizontal="left" vertical="top" wrapText="1"/>
    </xf>
    <xf numFmtId="0" fontId="13" fillId="12" borderId="0" xfId="0" applyFont="1" applyFill="1" applyAlignment="1">
      <alignment horizontal="left" vertical="top" wrapText="1"/>
    </xf>
    <xf numFmtId="0" fontId="0" fillId="12" borderId="0" xfId="0" applyFont="1" applyFill="1" applyAlignment="1">
      <alignment horizontal="left" vertical="top" wrapText="1"/>
    </xf>
    <xf numFmtId="0" fontId="43" fillId="12" borderId="0" xfId="0" applyFont="1" applyFill="1" applyAlignment="1">
      <alignment horizontal="left" vertical="top" wrapText="1"/>
    </xf>
    <xf numFmtId="164" fontId="44" fillId="0" borderId="6" xfId="0" applyNumberFormat="1" applyFont="1" applyBorder="1"/>
    <xf numFmtId="0" fontId="39" fillId="5" borderId="11" xfId="0" applyFont="1" applyFill="1" applyBorder="1" applyAlignment="1">
      <alignment wrapText="1"/>
    </xf>
    <xf numFmtId="164" fontId="17" fillId="5" borderId="40" xfId="0" applyNumberFormat="1" applyFont="1" applyFill="1" applyBorder="1" applyAlignment="1">
      <alignment horizontal="center"/>
    </xf>
    <xf numFmtId="164" fontId="17" fillId="5" borderId="12" xfId="0" applyNumberFormat="1" applyFont="1" applyFill="1" applyBorder="1" applyAlignment="1">
      <alignment horizontal="center"/>
    </xf>
    <xf numFmtId="164" fontId="17" fillId="5" borderId="41" xfId="0" applyNumberFormat="1" applyFont="1" applyFill="1" applyBorder="1" applyAlignment="1">
      <alignment horizontal="center"/>
    </xf>
    <xf numFmtId="164" fontId="17" fillId="5" borderId="40" xfId="0" applyNumberFormat="1" applyFont="1" applyFill="1" applyBorder="1" applyAlignment="1">
      <alignment horizontal="center" vertical="center"/>
    </xf>
    <xf numFmtId="164" fontId="17" fillId="5" borderId="12" xfId="0" applyNumberFormat="1" applyFont="1" applyFill="1" applyBorder="1" applyAlignment="1">
      <alignment horizontal="center" vertical="center"/>
    </xf>
    <xf numFmtId="164" fontId="17" fillId="5" borderId="41" xfId="0" applyNumberFormat="1" applyFont="1" applyFill="1" applyBorder="1" applyAlignment="1">
      <alignment horizontal="center" vertical="center"/>
    </xf>
    <xf numFmtId="168" fontId="19" fillId="5" borderId="11" xfId="0" applyNumberFormat="1" applyFont="1" applyFill="1" applyBorder="1"/>
    <xf numFmtId="0" fontId="0" fillId="12" borderId="0" xfId="0" applyFont="1" applyFill="1" applyAlignment="1"/>
    <xf numFmtId="0" fontId="45" fillId="13" borderId="11" xfId="0" applyFont="1" applyFill="1" applyBorder="1" applyAlignment="1"/>
    <xf numFmtId="0" fontId="45" fillId="13" borderId="11" xfId="0" applyFont="1" applyFill="1" applyBorder="1" applyAlignment="1">
      <alignment vertical="top" wrapText="1"/>
    </xf>
    <xf numFmtId="0" fontId="45" fillId="13" borderId="11" xfId="0" applyFont="1" applyFill="1" applyBorder="1" applyAlignment="1">
      <alignment wrapText="1"/>
    </xf>
    <xf numFmtId="0" fontId="40" fillId="12" borderId="0" xfId="0" applyFont="1" applyFill="1" applyAlignment="1"/>
    <xf numFmtId="0" fontId="37" fillId="13" borderId="11" xfId="1" applyFill="1" applyBorder="1" applyAlignment="1">
      <alignment vertical="top" wrapText="1"/>
    </xf>
    <xf numFmtId="0" fontId="0" fillId="12" borderId="0" xfId="0" applyFont="1" applyFill="1" applyAlignment="1">
      <alignment horizontal="left" vertical="center"/>
    </xf>
    <xf numFmtId="0" fontId="13" fillId="10" borderId="0" xfId="0" applyFont="1" applyFill="1" applyAlignment="1">
      <alignment vertical="top" wrapText="1"/>
    </xf>
    <xf numFmtId="164" fontId="46" fillId="6" borderId="22" xfId="0" applyNumberFormat="1" applyFont="1" applyFill="1" applyBorder="1"/>
    <xf numFmtId="1" fontId="0" fillId="12" borderId="0" xfId="0" applyNumberFormat="1" applyFont="1" applyFill="1" applyAlignment="1"/>
    <xf numFmtId="1" fontId="4" fillId="0" borderId="28" xfId="0" applyNumberFormat="1" applyFont="1" applyBorder="1" applyAlignment="1"/>
    <xf numFmtId="164" fontId="44" fillId="0" borderId="20" xfId="0" applyNumberFormat="1" applyFont="1" applyBorder="1" applyAlignment="1"/>
    <xf numFmtId="1" fontId="0" fillId="0" borderId="0" xfId="0" applyNumberFormat="1" applyFont="1" applyAlignment="1"/>
    <xf numFmtId="0" fontId="0" fillId="14" borderId="42" xfId="0" applyFont="1" applyFill="1" applyBorder="1" applyAlignment="1">
      <alignment horizontal="left" vertical="top"/>
    </xf>
    <xf numFmtId="0" fontId="0" fillId="12" borderId="43" xfId="0" applyFont="1" applyFill="1" applyBorder="1" applyAlignment="1">
      <alignment horizontal="left" vertical="top" wrapText="1"/>
    </xf>
    <xf numFmtId="0" fontId="0" fillId="12" borderId="38" xfId="0" applyFont="1" applyFill="1" applyBorder="1" applyAlignment="1">
      <alignment horizontal="left" vertical="top" wrapText="1"/>
    </xf>
    <xf numFmtId="0" fontId="18" fillId="5" borderId="38" xfId="0" applyFont="1" applyFill="1" applyBorder="1" applyAlignment="1"/>
    <xf numFmtId="0" fontId="39" fillId="5" borderId="38" xfId="0" applyFont="1" applyFill="1" applyBorder="1" applyAlignment="1"/>
    <xf numFmtId="0" fontId="40" fillId="0" borderId="0" xfId="0" applyFont="1" applyAlignment="1"/>
    <xf numFmtId="0" fontId="40" fillId="0" borderId="0" xfId="0" applyFont="1" applyAlignment="1">
      <alignment horizontal="right"/>
    </xf>
    <xf numFmtId="0" fontId="48" fillId="4" borderId="0" xfId="0" applyFont="1" applyFill="1" applyAlignment="1">
      <alignment horizontal="left"/>
    </xf>
    <xf numFmtId="3" fontId="40" fillId="0" borderId="0" xfId="0" applyNumberFormat="1" applyFont="1" applyAlignment="1"/>
    <xf numFmtId="3" fontId="49" fillId="0" borderId="0" xfId="0" applyNumberFormat="1" applyFont="1" applyAlignment="1"/>
    <xf numFmtId="3" fontId="49" fillId="0" borderId="0" xfId="0" applyNumberFormat="1" applyFont="1"/>
    <xf numFmtId="0" fontId="40" fillId="15" borderId="0" xfId="0" applyFont="1" applyFill="1" applyAlignment="1"/>
    <xf numFmtId="3" fontId="49" fillId="4" borderId="0" xfId="0" applyNumberFormat="1" applyFont="1" applyFill="1" applyAlignment="1"/>
    <xf numFmtId="3" fontId="49" fillId="4" borderId="0" xfId="0" applyNumberFormat="1" applyFont="1" applyFill="1" applyAlignment="1">
      <alignment horizontal="right"/>
    </xf>
  </cellXfs>
  <cellStyles count="2">
    <cellStyle name="Hyperlink" xfId="1" builtinId="8"/>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Payback Period-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FCF (mln tenge), 2024-2029</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'Income Statement'!$C$39:$N$39</c:f>
              <c:numCache>
                <c:formatCode>#,##0\ "₸"</c:formatCode>
                <c:ptCount val="12"/>
                <c:pt idx="0">
                  <c:v>-173124727.5174334</c:v>
                </c:pt>
                <c:pt idx="2">
                  <c:v>280482517.90347594</c:v>
                </c:pt>
                <c:pt idx="4">
                  <c:v>575583234.47807491</c:v>
                </c:pt>
                <c:pt idx="6">
                  <c:v>1433790828.6302409</c:v>
                </c:pt>
                <c:pt idx="8">
                  <c:v>1884072916.6620033</c:v>
                </c:pt>
                <c:pt idx="10">
                  <c:v>2348779413.0875697</c:v>
                </c:pt>
              </c:numCache>
            </c:numRef>
          </c:val>
        </c:ser>
        <c:dLbls>
          <c:showLegendKey val="0"/>
          <c:showVal val="0"/>
          <c:showCatName val="0"/>
          <c:showSerName val="0"/>
          <c:showPercent val="0"/>
          <c:showBubbleSize val="0"/>
        </c:dLbls>
        <c:gapWidth val="219"/>
        <c:overlap val="-27"/>
        <c:axId val="1450300304"/>
        <c:axId val="1450293232"/>
      </c:barChart>
      <c:catAx>
        <c:axId val="14503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93232"/>
        <c:crosses val="autoZero"/>
        <c:auto val="1"/>
        <c:lblAlgn val="ctr"/>
        <c:lblOffset val="100"/>
        <c:noMultiLvlLbl val="0"/>
      </c:catAx>
      <c:valAx>
        <c:axId val="1450293232"/>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00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profit, 2025-2029</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'Income Statement'!$C$5:$L$5</c:f>
              <c:numCache>
                <c:formatCode>General</c:formatCode>
                <c:ptCount val="10"/>
                <c:pt idx="0" formatCode="[$₸]#,##0">
                  <c:v>100994000</c:v>
                </c:pt>
                <c:pt idx="2" formatCode="[$₸]#,##0">
                  <c:v>215795990</c:v>
                </c:pt>
                <c:pt idx="4" formatCode="[$₸]#,##0">
                  <c:v>398801194.4000001</c:v>
                </c:pt>
                <c:pt idx="6" formatCode="[$₸]#,##0">
                  <c:v>487158146.24050003</c:v>
                </c:pt>
                <c:pt idx="8" formatCode="[$₸]#,##0">
                  <c:v>595116631.62800658</c:v>
                </c:pt>
              </c:numCache>
            </c:numRef>
          </c:val>
        </c:ser>
        <c:dLbls>
          <c:showLegendKey val="0"/>
          <c:showVal val="0"/>
          <c:showCatName val="0"/>
          <c:showSerName val="0"/>
          <c:showPercent val="0"/>
          <c:showBubbleSize val="0"/>
        </c:dLbls>
        <c:gapWidth val="219"/>
        <c:overlap val="-27"/>
        <c:axId val="1308675328"/>
        <c:axId val="1308673152"/>
      </c:barChart>
      <c:catAx>
        <c:axId val="130867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73152"/>
        <c:crosses val="autoZero"/>
        <c:auto val="1"/>
        <c:lblAlgn val="ctr"/>
        <c:lblOffset val="100"/>
        <c:noMultiLvlLbl val="0"/>
      </c:catAx>
      <c:valAx>
        <c:axId val="1308673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75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 tenge,</a:t>
            </a:r>
            <a:r>
              <a:rPr lang="en-US" baseline="0"/>
              <a:t> Year 1 - Year 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'Income Statement'!$C$18:$L$18</c:f>
              <c:numCache>
                <c:formatCode>General</c:formatCode>
                <c:ptCount val="10"/>
                <c:pt idx="0" formatCode="[$₸]#,##0">
                  <c:v>45680012.482566595</c:v>
                </c:pt>
                <c:pt idx="2" formatCode="[$₸]#,##0">
                  <c:v>90704967.574967042</c:v>
                </c:pt>
                <c:pt idx="4" formatCode="[$₸]#,##0">
                  <c:v>223156506.90340954</c:v>
                </c:pt>
                <c:pt idx="6" formatCode="[$₸]#,##0">
                  <c:v>280256668.56986761</c:v>
                </c:pt>
                <c:pt idx="8" formatCode="[$₸]#,##0">
                  <c:v>351127633.90349942</c:v>
                </c:pt>
              </c:numCache>
            </c:numRef>
          </c:val>
        </c:ser>
        <c:dLbls>
          <c:showLegendKey val="0"/>
          <c:showVal val="0"/>
          <c:showCatName val="0"/>
          <c:showSerName val="0"/>
          <c:showPercent val="0"/>
          <c:showBubbleSize val="0"/>
        </c:dLbls>
        <c:gapWidth val="219"/>
        <c:overlap val="-27"/>
        <c:axId val="1310660048"/>
        <c:axId val="1310661680"/>
      </c:barChart>
      <c:catAx>
        <c:axId val="131066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61680"/>
        <c:crosses val="autoZero"/>
        <c:auto val="1"/>
        <c:lblAlgn val="ctr"/>
        <c:lblOffset val="100"/>
        <c:noMultiLvlLbl val="0"/>
      </c:catAx>
      <c:valAx>
        <c:axId val="1310661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6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of trash bins sold, Year 1 - Year 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'Gross Profit'!$C$18:$G$18</c:f>
              <c:numCache>
                <c:formatCode>0</c:formatCode>
                <c:ptCount val="5"/>
                <c:pt idx="0">
                  <c:v>1440</c:v>
                </c:pt>
                <c:pt idx="1">
                  <c:v>3484</c:v>
                </c:pt>
                <c:pt idx="2">
                  <c:v>5851.4000000000005</c:v>
                </c:pt>
                <c:pt idx="3">
                  <c:v>6497.630000000001</c:v>
                </c:pt>
                <c:pt idx="4">
                  <c:v>7215.6029000000017</c:v>
                </c:pt>
              </c:numCache>
            </c:numRef>
          </c:val>
          <c:smooth val="0"/>
        </c:ser>
        <c:dLbls>
          <c:showLegendKey val="0"/>
          <c:showVal val="0"/>
          <c:showCatName val="0"/>
          <c:showSerName val="0"/>
          <c:showPercent val="0"/>
          <c:showBubbleSize val="0"/>
        </c:dLbls>
        <c:smooth val="0"/>
        <c:axId val="1310658416"/>
        <c:axId val="1310656240"/>
      </c:lineChart>
      <c:catAx>
        <c:axId val="13106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56240"/>
        <c:crosses val="autoZero"/>
        <c:auto val="1"/>
        <c:lblAlgn val="ctr"/>
        <c:lblOffset val="100"/>
        <c:noMultiLvlLbl val="0"/>
      </c:catAx>
      <c:valAx>
        <c:axId val="1310656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58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Salaries</a:t>
            </a:r>
            <a:r>
              <a:rPr lang="en-US" baseline="0"/>
              <a:t> expenses breakdown by specialty, Year 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'Salaries Expense'!$E$17:$E$22</c:f>
              <c:numCache>
                <c:formatCode>[$₸]#,##0</c:formatCode>
                <c:ptCount val="6"/>
                <c:pt idx="0">
                  <c:v>6000000</c:v>
                </c:pt>
                <c:pt idx="1">
                  <c:v>2400000</c:v>
                </c:pt>
                <c:pt idx="2">
                  <c:v>4020000</c:v>
                </c:pt>
                <c:pt idx="3">
                  <c:v>4200000</c:v>
                </c:pt>
                <c:pt idx="4">
                  <c:v>1500000</c:v>
                </c:pt>
                <c:pt idx="5">
                  <c:v>1800000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257175</xdr:colOff>
      <xdr:row>52</xdr:row>
      <xdr:rowOff>109537</xdr:rowOff>
    </xdr:from>
    <xdr:to>
      <xdr:col>18</xdr:col>
      <xdr:colOff>333375</xdr:colOff>
      <xdr:row>66</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1790700</xdr:colOff>
      <xdr:row>29</xdr:row>
      <xdr:rowOff>147637</xdr:rowOff>
    </xdr:from>
    <xdr:to>
      <xdr:col>18</xdr:col>
      <xdr:colOff>466725</xdr:colOff>
      <xdr:row>39</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185737</xdr:colOff>
      <xdr:row>29</xdr:row>
      <xdr:rowOff>109537</xdr:rowOff>
    </xdr:from>
    <xdr:to>
      <xdr:col>26</xdr:col>
      <xdr:colOff>471487</xdr:colOff>
      <xdr:row>43</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400050</xdr:colOff>
      <xdr:row>12</xdr:row>
      <xdr:rowOff>128587</xdr:rowOff>
    </xdr:from>
    <xdr:to>
      <xdr:col>12</xdr:col>
      <xdr:colOff>838200</xdr:colOff>
      <xdr:row>26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747712</xdr:colOff>
      <xdr:row>23</xdr:row>
      <xdr:rowOff>33337</xdr:rowOff>
    </xdr:from>
    <xdr:to>
      <xdr:col>7</xdr:col>
      <xdr:colOff>804862</xdr:colOff>
      <xdr:row>36</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_1" displayName="Table_1" ref="C50:H54">
  <tableColumns count="6">
    <tableColumn id="1" name="Year 0"/>
    <tableColumn id="2" name="Year 1"/>
    <tableColumn id="3" name="Year 2"/>
    <tableColumn id="4" name="Year 3"/>
    <tableColumn id="5" name="Year 4"/>
    <tableColumn id="6" name="Year 5"/>
  </tableColumns>
  <tableStyleInfo name="Payback Perio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ifi.kz/catalog/3g-4g-routers/router-altel-5g-indoor/?etext=2202.v1fAPL1HnEarG440_AWFuFkc4lH8FKhgEYJZDCAcGMf3Afh3L80zU46moAp5uaiTaW1icHd5bHF2enBhcmlnZA.0e7edfd0d84964e8807cdb8e42eeecb2aa16b73e&amp;yclid=3134869321657090047" TargetMode="External"/><Relationship Id="rId3" Type="http://schemas.openxmlformats.org/officeDocument/2006/relationships/hyperlink" Target="https://astana.express-office.ru/catalog/chairs/staff-chairs/kreslo-ofisnoe-talto-21628-tkan-flok-seryj-29/" TargetMode="External"/><Relationship Id="rId7" Type="http://schemas.openxmlformats.org/officeDocument/2006/relationships/hyperlink" Target="https://www.sulpak.kz/g/kompyuterniye_miyshi_x_game_xm_880oub" TargetMode="External"/><Relationship Id="rId2" Type="http://schemas.openxmlformats.org/officeDocument/2006/relationships/hyperlink" Target="https://alser.kz/p/printer-canon-pixma-g1430?utm_campaign=alser_yandex_dsa_office_equipment&amp;etext=2202.HqRorerLovuQ4G7s9woiYsyKe2zuNGxqIn_XgkR7LtKEpEWigJbszIJ7e6nSJMtFenN0d2l1cmV1ZG9udnRsdQ.3e0404d377edc7e8ce6e3620aba3ad20f9c9513e&amp;yclid=16280348583217594367" TargetMode="External"/><Relationship Id="rId1" Type="http://schemas.openxmlformats.org/officeDocument/2006/relationships/hyperlink" Target="https://astana.express-office.ru/catalog/stoly/kompyuternye-stoly/kompyuternyy-stol-spm-19-spm-19/" TargetMode="External"/><Relationship Id="rId6" Type="http://schemas.openxmlformats.org/officeDocument/2006/relationships/hyperlink" Target="https://www.sulpak.kz/g/monitor_lg_27mp400?utm_source=yandex&amp;utm_medium=cpc&amp;utm_campaign=upc_search&amp;utm_content=5450406909&amp;utm_term=---autotargeting&amp;yclid=14864532738240675839" TargetMode="External"/><Relationship Id="rId5" Type="http://schemas.openxmlformats.org/officeDocument/2006/relationships/hyperlink" Target="https://wifi.kz/catalog/voip-phones/ip-telefon-atcom-ct10-dlya-call-tsentra/?etext=2202.IQOwY9ES-HxO_PbxMDIxnhbXIEmNAH_IIy9xI0wb_NrINXsgLWqoGYYvlE7KXJ24anJ3eHdwaGV1ZnJxenplcw.1b1f0385e2e9a339d62433960e9eed75901c0c07&amp;yclid=9833983419979661311" TargetMode="External"/><Relationship Id="rId4" Type="http://schemas.openxmlformats.org/officeDocument/2006/relationships/hyperlink" Target="https://www.alibaba.com/product-detail/Cheap-monoblock-core-i3-21-5_62538595732.html?spm=a2700.galleryofferlist.p_offer.d_title.512813a0fWToBs&amp;s=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astana.hh.kz/vacancies/bukhgalter" TargetMode="External"/><Relationship Id="rId2" Type="http://schemas.openxmlformats.org/officeDocument/2006/relationships/hyperlink" Target="https://astana.hh.kz/search/vacancy?area=159&amp;ored_clusters=true&amp;text=%D0%BF%D1%80%D0%BE%D0%B4%D0%B0%D0%B6%D0%B8&amp;search_period=30" TargetMode="External"/><Relationship Id="rId1" Type="http://schemas.openxmlformats.org/officeDocument/2006/relationships/hyperlink" Target="https://www.zakon.kz/obshestvo/6457802-673-tysyach-tenge-nazvana-srednemesyachnaya-zarplata-kazakhstanskikh-ITspetsialistov.html"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alibaba.com/product-detail/One-Stop-Pcba-Manufacturer-70-Engineers_1600383273383.html?spm=a2700.galleryofferlist.p_offer.d_title.66b213a0fKTC6B&amp;s=p" TargetMode="External"/><Relationship Id="rId2" Type="http://schemas.openxmlformats.org/officeDocument/2006/relationships/hyperlink" Target="https://www.alibaba.com/product-detail/7-10-15-30-90-degree_1600586132297.html?spm=a2700.galleryofferlist.p_offer.d_title.754f13a0uwj1vX&amp;s=p" TargetMode="External"/><Relationship Id="rId1" Type="http://schemas.openxmlformats.org/officeDocument/2006/relationships/hyperlink" Target="https://www.alibaba.com/product-detail/Super-Compost-Bin-660L-Plastic-dustbin_60542418139.html?spm=a2700.details.you_may_like.11.59fa2625qHilkU" TargetMode="External"/><Relationship Id="rId6" Type="http://schemas.openxmlformats.org/officeDocument/2006/relationships/hyperlink" Target="https://www.alibaba.com/product-detail/Manufacturer-Custom-Logo-Recyclable-Paper-Cardboard_1600276805170.html?spm=a2700.galleryofferlist.p_offer.d_title.3cdf13a0g6esXR&amp;s=p" TargetMode="External"/><Relationship Id="rId5" Type="http://schemas.openxmlformats.org/officeDocument/2006/relationships/hyperlink" Target="https://www.alibaba.com/product-detail/price-building-wood-board-eucalyptus-hardwood_1601116344406.html?spm=a2700.galleryofferlist.p_offer.d_image.622513a0YVRnDM&amp;s=p" TargetMode="External"/><Relationship Id="rId4" Type="http://schemas.openxmlformats.org/officeDocument/2006/relationships/hyperlink" Target="https://www.alibaba.com/product-detail/Ebyte-ODM-E220-900T22D-Air-Wake_1600580710048.html?spm=a2700.galleryofferlist.p_offer.d_title.580613a0In4rIZ&amp;s=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ankffin.kz/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U990"/>
  <sheetViews>
    <sheetView topLeftCell="B1" workbookViewId="0">
      <selection activeCell="O13" sqref="O13"/>
    </sheetView>
  </sheetViews>
  <sheetFormatPr defaultColWidth="11.21875" defaultRowHeight="15" customHeight="1"/>
  <cols>
    <col min="1" max="1" width="8.33203125" customWidth="1"/>
    <col min="2" max="2" width="9.21875" customWidth="1"/>
    <col min="3" max="3" width="14.6640625" customWidth="1"/>
    <col min="4" max="4" width="10.77734375" customWidth="1"/>
    <col min="5" max="6" width="13.109375" customWidth="1"/>
    <col min="7" max="7" width="8.33203125" customWidth="1"/>
    <col min="8" max="8" width="11.5546875" customWidth="1"/>
    <col min="9" max="9" width="8.33203125" customWidth="1"/>
    <col min="10" max="10" width="11.6640625" customWidth="1"/>
    <col min="11" max="11" width="8.33203125" customWidth="1"/>
    <col min="12" max="12" width="11.6640625" customWidth="1"/>
    <col min="13" max="13" width="8.33203125" customWidth="1"/>
    <col min="14" max="14" width="11.21875" customWidth="1"/>
    <col min="15" max="15" width="8.33203125" customWidth="1"/>
    <col min="16" max="16" width="12" customWidth="1"/>
    <col min="17" max="26" width="8.33203125" customWidth="1"/>
  </cols>
  <sheetData>
    <row r="1" spans="3:17" ht="15.75" customHeight="1"/>
    <row r="2" spans="3:17" ht="15.75" customHeight="1"/>
    <row r="3" spans="3:17" ht="15.75" customHeight="1"/>
    <row r="4" spans="3:17" ht="15.75" customHeight="1">
      <c r="C4" s="82" t="s">
        <v>0</v>
      </c>
      <c r="D4" s="84" t="s">
        <v>1</v>
      </c>
      <c r="E4" s="86" t="s">
        <v>2</v>
      </c>
      <c r="F4" s="86" t="s">
        <v>3</v>
      </c>
      <c r="G4" s="80">
        <v>2025</v>
      </c>
      <c r="H4" s="81"/>
      <c r="I4" s="80">
        <f>G4+1</f>
        <v>2026</v>
      </c>
      <c r="J4" s="81"/>
      <c r="K4" s="80">
        <f>I4+1</f>
        <v>2027</v>
      </c>
      <c r="L4" s="81"/>
      <c r="M4" s="80">
        <f>K4+1</f>
        <v>2028</v>
      </c>
      <c r="N4" s="81"/>
      <c r="O4" s="78">
        <f>M4+1</f>
        <v>2029</v>
      </c>
      <c r="P4" s="79"/>
    </row>
    <row r="5" spans="3:17" ht="15.75" customHeight="1">
      <c r="C5" s="83"/>
      <c r="D5" s="85"/>
      <c r="E5" s="87"/>
      <c r="F5" s="87"/>
      <c r="G5" s="1" t="s">
        <v>4</v>
      </c>
      <c r="H5" s="1" t="s">
        <v>5</v>
      </c>
      <c r="I5" s="1" t="s">
        <v>4</v>
      </c>
      <c r="J5" s="1" t="s">
        <v>5</v>
      </c>
      <c r="K5" s="1" t="s">
        <v>4</v>
      </c>
      <c r="L5" s="1" t="s">
        <v>5</v>
      </c>
      <c r="M5" s="1" t="s">
        <v>4</v>
      </c>
      <c r="N5" s="1" t="s">
        <v>5</v>
      </c>
      <c r="O5" s="1" t="s">
        <v>4</v>
      </c>
      <c r="P5" s="1" t="s">
        <v>5</v>
      </c>
      <c r="Q5" s="2" t="s">
        <v>6</v>
      </c>
    </row>
    <row r="6" spans="3:17" ht="15.75" customHeight="1">
      <c r="C6" s="4" t="s">
        <v>7</v>
      </c>
      <c r="D6" s="3">
        <v>51430</v>
      </c>
      <c r="E6" s="4">
        <v>5</v>
      </c>
      <c r="F6" s="3">
        <f t="shared" ref="F6:F13" si="0">D6/E6</f>
        <v>10286</v>
      </c>
      <c r="G6" s="6">
        <f>'Salaries Expense'!C14</f>
        <v>6</v>
      </c>
      <c r="H6" s="7">
        <f t="shared" ref="H6:H13" si="1">$D6*G6</f>
        <v>308580</v>
      </c>
      <c r="I6" s="6">
        <f>'Salaries Expense'!D14</f>
        <v>9</v>
      </c>
      <c r="J6" s="5">
        <f t="shared" ref="J6:J13" si="2">$D6*I6-F6*I6</f>
        <v>370296</v>
      </c>
      <c r="K6" s="6">
        <f>'Salaries Expense'!E14</f>
        <v>13</v>
      </c>
      <c r="L6" s="5">
        <f t="shared" ref="L6:L13" si="3">$D6*$K6-2*F6*K6</f>
        <v>401154</v>
      </c>
      <c r="M6" s="6">
        <f>'Salaries Expense'!F14</f>
        <v>15</v>
      </c>
      <c r="N6" s="5">
        <f t="shared" ref="N6:N13" si="4">$D6*M6-3*F6*M6</f>
        <v>308580</v>
      </c>
      <c r="O6" s="6">
        <f>'Salaries Expense'!G14</f>
        <v>17</v>
      </c>
      <c r="P6" s="5">
        <f t="shared" ref="P6:P13" si="5">$D6*O6-4*F6*O6</f>
        <v>174862</v>
      </c>
      <c r="Q6" s="8" t="s">
        <v>8</v>
      </c>
    </row>
    <row r="7" spans="3:17" ht="15.75" customHeight="1">
      <c r="C7" s="9" t="s">
        <v>9</v>
      </c>
      <c r="D7" s="3">
        <v>110000</v>
      </c>
      <c r="E7" s="4">
        <v>5</v>
      </c>
      <c r="F7" s="3">
        <f t="shared" si="0"/>
        <v>22000</v>
      </c>
      <c r="G7" s="6">
        <v>1</v>
      </c>
      <c r="H7" s="7">
        <f t="shared" si="1"/>
        <v>110000</v>
      </c>
      <c r="I7" s="6">
        <v>2</v>
      </c>
      <c r="J7" s="5">
        <f t="shared" si="2"/>
        <v>176000</v>
      </c>
      <c r="K7" s="6">
        <v>2</v>
      </c>
      <c r="L7" s="5">
        <f t="shared" si="3"/>
        <v>132000</v>
      </c>
      <c r="M7" s="6">
        <v>3</v>
      </c>
      <c r="N7" s="5">
        <f t="shared" si="4"/>
        <v>132000</v>
      </c>
      <c r="O7" s="6">
        <v>4</v>
      </c>
      <c r="P7" s="5">
        <f t="shared" si="5"/>
        <v>88000</v>
      </c>
      <c r="Q7" s="8" t="s">
        <v>10</v>
      </c>
    </row>
    <row r="8" spans="3:17" ht="15.75" customHeight="1">
      <c r="C8" s="4" t="s">
        <v>11</v>
      </c>
      <c r="D8" s="3">
        <v>44000</v>
      </c>
      <c r="E8" s="4">
        <v>5</v>
      </c>
      <c r="F8" s="3">
        <f t="shared" si="0"/>
        <v>8800</v>
      </c>
      <c r="G8" s="6">
        <f>'Salaries Expense'!C14</f>
        <v>6</v>
      </c>
      <c r="H8" s="7">
        <f t="shared" si="1"/>
        <v>264000</v>
      </c>
      <c r="I8" s="6">
        <f>I6</f>
        <v>9</v>
      </c>
      <c r="J8" s="5">
        <f t="shared" si="2"/>
        <v>316800</v>
      </c>
      <c r="K8" s="6">
        <v>1</v>
      </c>
      <c r="L8" s="5">
        <f t="shared" si="3"/>
        <v>26400</v>
      </c>
      <c r="M8" s="6">
        <f>M6</f>
        <v>15</v>
      </c>
      <c r="N8" s="5">
        <f t="shared" si="4"/>
        <v>264000</v>
      </c>
      <c r="O8" s="6">
        <f>O6</f>
        <v>17</v>
      </c>
      <c r="P8" s="5">
        <f t="shared" si="5"/>
        <v>149600</v>
      </c>
      <c r="Q8" s="8" t="s">
        <v>12</v>
      </c>
    </row>
    <row r="9" spans="3:17" ht="15.75" customHeight="1">
      <c r="C9" s="4" t="s">
        <v>13</v>
      </c>
      <c r="D9" s="3">
        <v>100000</v>
      </c>
      <c r="E9" s="4">
        <v>5</v>
      </c>
      <c r="F9" s="3">
        <f t="shared" si="0"/>
        <v>20000</v>
      </c>
      <c r="G9" s="6">
        <f>'Salaries Expense'!C14</f>
        <v>6</v>
      </c>
      <c r="H9" s="7">
        <f t="shared" si="1"/>
        <v>600000</v>
      </c>
      <c r="I9" s="6">
        <f>I6</f>
        <v>9</v>
      </c>
      <c r="J9" s="5">
        <f t="shared" si="2"/>
        <v>720000</v>
      </c>
      <c r="K9" s="6">
        <f>K6</f>
        <v>13</v>
      </c>
      <c r="L9" s="5">
        <f t="shared" si="3"/>
        <v>780000</v>
      </c>
      <c r="M9" s="6">
        <f>M6</f>
        <v>15</v>
      </c>
      <c r="N9" s="5">
        <f t="shared" si="4"/>
        <v>600000</v>
      </c>
      <c r="O9" s="6">
        <f>O8</f>
        <v>17</v>
      </c>
      <c r="P9" s="5">
        <f t="shared" si="5"/>
        <v>340000</v>
      </c>
      <c r="Q9" s="8" t="s">
        <v>14</v>
      </c>
    </row>
    <row r="10" spans="3:17" ht="15.75" customHeight="1">
      <c r="C10" s="4" t="s">
        <v>15</v>
      </c>
      <c r="D10" s="3">
        <v>15000</v>
      </c>
      <c r="E10" s="4">
        <v>5</v>
      </c>
      <c r="F10" s="3">
        <f t="shared" si="0"/>
        <v>3000</v>
      </c>
      <c r="G10" s="6">
        <v>5</v>
      </c>
      <c r="H10" s="7">
        <f t="shared" si="1"/>
        <v>75000</v>
      </c>
      <c r="I10" s="6">
        <f>I9</f>
        <v>9</v>
      </c>
      <c r="J10" s="5">
        <f t="shared" si="2"/>
        <v>108000</v>
      </c>
      <c r="K10" s="6">
        <f>K6</f>
        <v>13</v>
      </c>
      <c r="L10" s="5">
        <f t="shared" si="3"/>
        <v>117000</v>
      </c>
      <c r="M10" s="6">
        <f>M6</f>
        <v>15</v>
      </c>
      <c r="N10" s="5">
        <f t="shared" si="4"/>
        <v>90000</v>
      </c>
      <c r="O10" s="6">
        <f>O6</f>
        <v>17</v>
      </c>
      <c r="P10" s="5">
        <f t="shared" si="5"/>
        <v>51000</v>
      </c>
      <c r="Q10" s="8" t="s">
        <v>16</v>
      </c>
    </row>
    <row r="11" spans="3:17" ht="15.75" customHeight="1">
      <c r="C11" s="4" t="s">
        <v>17</v>
      </c>
      <c r="D11" s="3">
        <v>60000</v>
      </c>
      <c r="E11" s="4">
        <v>5</v>
      </c>
      <c r="F11" s="3">
        <f t="shared" si="0"/>
        <v>12000</v>
      </c>
      <c r="G11" s="6">
        <v>5</v>
      </c>
      <c r="H11" s="7">
        <f t="shared" si="1"/>
        <v>300000</v>
      </c>
      <c r="I11" s="6">
        <f>I9</f>
        <v>9</v>
      </c>
      <c r="J11" s="5">
        <f t="shared" si="2"/>
        <v>432000</v>
      </c>
      <c r="K11" s="6">
        <v>1</v>
      </c>
      <c r="L11" s="5">
        <f t="shared" si="3"/>
        <v>36000</v>
      </c>
      <c r="M11" s="6">
        <v>1</v>
      </c>
      <c r="N11" s="5">
        <f t="shared" si="4"/>
        <v>24000</v>
      </c>
      <c r="O11" s="6">
        <v>1</v>
      </c>
      <c r="P11" s="5">
        <f t="shared" si="5"/>
        <v>12000</v>
      </c>
      <c r="Q11" s="8" t="s">
        <v>18</v>
      </c>
    </row>
    <row r="12" spans="3:17" ht="15.75" customHeight="1">
      <c r="C12" s="4" t="s">
        <v>19</v>
      </c>
      <c r="D12" s="10">
        <v>1400</v>
      </c>
      <c r="E12" s="4">
        <v>5</v>
      </c>
      <c r="F12" s="3">
        <f t="shared" si="0"/>
        <v>280</v>
      </c>
      <c r="G12" s="6">
        <v>5</v>
      </c>
      <c r="H12" s="7">
        <f t="shared" si="1"/>
        <v>7000</v>
      </c>
      <c r="I12" s="6">
        <f>I9</f>
        <v>9</v>
      </c>
      <c r="J12" s="5">
        <f t="shared" si="2"/>
        <v>10080</v>
      </c>
      <c r="K12" s="6">
        <f>K6</f>
        <v>13</v>
      </c>
      <c r="L12" s="5">
        <f t="shared" si="3"/>
        <v>10920</v>
      </c>
      <c r="M12" s="6">
        <f>M9</f>
        <v>15</v>
      </c>
      <c r="N12" s="5">
        <f t="shared" si="4"/>
        <v>8400</v>
      </c>
      <c r="O12" s="6">
        <f>O9</f>
        <v>17</v>
      </c>
      <c r="P12" s="5">
        <f t="shared" si="5"/>
        <v>4760</v>
      </c>
      <c r="Q12" s="8" t="s">
        <v>20</v>
      </c>
    </row>
    <row r="13" spans="3:17" ht="15.75" customHeight="1">
      <c r="C13" s="4" t="s">
        <v>21</v>
      </c>
      <c r="D13" s="3">
        <v>28000</v>
      </c>
      <c r="E13" s="4">
        <v>5</v>
      </c>
      <c r="F13" s="3">
        <f t="shared" si="0"/>
        <v>5600</v>
      </c>
      <c r="G13" s="6">
        <v>1</v>
      </c>
      <c r="H13" s="7">
        <f t="shared" si="1"/>
        <v>28000</v>
      </c>
      <c r="I13" s="6">
        <v>1</v>
      </c>
      <c r="J13" s="5">
        <f t="shared" si="2"/>
        <v>22400</v>
      </c>
      <c r="K13" s="6">
        <v>1</v>
      </c>
      <c r="L13" s="5">
        <f t="shared" si="3"/>
        <v>16800</v>
      </c>
      <c r="M13" s="6">
        <v>1</v>
      </c>
      <c r="N13" s="5">
        <f t="shared" si="4"/>
        <v>11200</v>
      </c>
      <c r="O13" s="6">
        <v>1</v>
      </c>
      <c r="P13" s="5">
        <f t="shared" si="5"/>
        <v>5600</v>
      </c>
      <c r="Q13" s="8" t="s">
        <v>22</v>
      </c>
    </row>
    <row r="14" spans="3:17" ht="15.75" customHeight="1">
      <c r="C14" s="11" t="s">
        <v>23</v>
      </c>
      <c r="D14" s="12">
        <f>SUM(D6:D13)</f>
        <v>409830</v>
      </c>
      <c r="E14" s="11"/>
      <c r="F14" s="12">
        <f>SUM(F6:F13)</f>
        <v>81966</v>
      </c>
      <c r="G14" s="88">
        <f>SUM(H6:H13)</f>
        <v>1692580</v>
      </c>
      <c r="H14" s="79"/>
      <c r="I14" s="88">
        <f>SUM(J6:J13)</f>
        <v>2155576</v>
      </c>
      <c r="J14" s="79"/>
      <c r="K14" s="88">
        <f>SUM(L6:L13)</f>
        <v>1520274</v>
      </c>
      <c r="L14" s="79"/>
      <c r="M14" s="88">
        <f>SUM(N6:N13)</f>
        <v>1438180</v>
      </c>
      <c r="N14" s="79"/>
      <c r="O14" s="88">
        <f>SUM(P6:P13)</f>
        <v>825822</v>
      </c>
      <c r="P14" s="79"/>
    </row>
    <row r="15" spans="3:17" ht="15.75" customHeight="1"/>
    <row r="16" spans="3:17" ht="15.75" customHeight="1"/>
    <row r="17" spans="3:21" ht="15.75" customHeight="1">
      <c r="Q17" s="155" t="s">
        <v>167</v>
      </c>
      <c r="R17" s="155"/>
      <c r="S17" s="155"/>
      <c r="T17" s="155"/>
      <c r="U17" s="155"/>
    </row>
    <row r="18" spans="3:21" ht="15.75" customHeight="1">
      <c r="Q18" s="155"/>
      <c r="R18" s="155"/>
      <c r="S18" s="155"/>
      <c r="T18" s="155"/>
      <c r="U18" s="155"/>
    </row>
    <row r="19" spans="3:21" ht="15.75" customHeight="1">
      <c r="C19" s="96" t="s">
        <v>24</v>
      </c>
      <c r="D19" s="90"/>
      <c r="E19" s="89">
        <v>2024</v>
      </c>
      <c r="F19" s="90"/>
      <c r="G19" s="89">
        <f>E19+1</f>
        <v>2025</v>
      </c>
      <c r="H19" s="90"/>
      <c r="I19" s="89">
        <f>G19+1</f>
        <v>2026</v>
      </c>
      <c r="J19" s="90"/>
      <c r="K19" s="89">
        <f>I19+1</f>
        <v>2027</v>
      </c>
      <c r="L19" s="90"/>
      <c r="M19" s="89">
        <f>K19+1</f>
        <v>2028</v>
      </c>
      <c r="N19" s="91"/>
      <c r="Q19" s="155"/>
      <c r="R19" s="155"/>
      <c r="S19" s="155"/>
      <c r="T19" s="155"/>
      <c r="U19" s="155"/>
    </row>
    <row r="20" spans="3:21" ht="15.75" customHeight="1">
      <c r="C20" s="95" t="s">
        <v>25</v>
      </c>
      <c r="D20" s="79"/>
      <c r="E20" s="92">
        <f>G14</f>
        <v>1692580</v>
      </c>
      <c r="F20" s="79"/>
      <c r="G20" s="92">
        <f>I14</f>
        <v>2155576</v>
      </c>
      <c r="H20" s="79"/>
      <c r="I20" s="92">
        <f>K14</f>
        <v>1520274</v>
      </c>
      <c r="J20" s="79"/>
      <c r="K20" s="92">
        <f>M14</f>
        <v>1438180</v>
      </c>
      <c r="L20" s="79"/>
      <c r="M20" s="92">
        <f>O14</f>
        <v>825822</v>
      </c>
      <c r="N20" s="79"/>
      <c r="O20" s="93"/>
      <c r="P20" s="94"/>
      <c r="Q20" s="155"/>
      <c r="R20" s="155"/>
      <c r="S20" s="155"/>
      <c r="T20" s="155"/>
      <c r="U20" s="155"/>
    </row>
    <row r="21" spans="3:21" ht="15.75" customHeight="1">
      <c r="Q21" s="155"/>
      <c r="R21" s="155"/>
      <c r="S21" s="155"/>
      <c r="T21" s="155"/>
      <c r="U21" s="155"/>
    </row>
    <row r="22" spans="3:21" ht="15.75" customHeight="1">
      <c r="Q22" s="155"/>
      <c r="R22" s="155"/>
      <c r="S22" s="155"/>
      <c r="T22" s="155"/>
      <c r="U22" s="155"/>
    </row>
    <row r="23" spans="3:21" ht="15.75" customHeight="1"/>
    <row r="24" spans="3:21" ht="15.75" customHeight="1"/>
    <row r="25" spans="3:21" ht="15.75" customHeight="1"/>
    <row r="26" spans="3:21" ht="15.75" customHeight="1"/>
    <row r="27" spans="3:21" ht="15.75" customHeight="1"/>
    <row r="28" spans="3:21" ht="15.75" customHeight="1"/>
    <row r="29" spans="3:21" ht="15.75" customHeight="1"/>
    <row r="30" spans="3:21" ht="15.75" customHeight="1"/>
    <row r="31" spans="3:21" ht="15.75" customHeight="1"/>
    <row r="32" spans="3: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8">
    <mergeCell ref="Q17:U22"/>
    <mergeCell ref="G19:H19"/>
    <mergeCell ref="I19:J19"/>
    <mergeCell ref="C20:D20"/>
    <mergeCell ref="E20:F20"/>
    <mergeCell ref="G20:H20"/>
    <mergeCell ref="I20:J20"/>
    <mergeCell ref="C19:D19"/>
    <mergeCell ref="E19:F19"/>
    <mergeCell ref="K19:L19"/>
    <mergeCell ref="M19:N19"/>
    <mergeCell ref="K20:L20"/>
    <mergeCell ref="M20:N20"/>
    <mergeCell ref="O20:P20"/>
    <mergeCell ref="G14:H14"/>
    <mergeCell ref="I14:J14"/>
    <mergeCell ref="K14:L14"/>
    <mergeCell ref="M14:N14"/>
    <mergeCell ref="O14:P14"/>
    <mergeCell ref="O4:P4"/>
    <mergeCell ref="M4:N4"/>
    <mergeCell ref="C4:C5"/>
    <mergeCell ref="D4:D5"/>
    <mergeCell ref="E4:E5"/>
    <mergeCell ref="F4:F5"/>
    <mergeCell ref="K4:L4"/>
    <mergeCell ref="I4:J4"/>
    <mergeCell ref="G4:H4"/>
  </mergeCells>
  <hyperlinks>
    <hyperlink ref="Q6" r:id="rId1"/>
    <hyperlink ref="Q7" r:id="rId2"/>
    <hyperlink ref="Q8" r:id="rId3"/>
    <hyperlink ref="Q9" r:id="rId4"/>
    <hyperlink ref="Q10" r:id="rId5"/>
    <hyperlink ref="Q11" r:id="rId6"/>
    <hyperlink ref="Q12" r:id="rId7"/>
    <hyperlink ref="Q13" r:id="rId8"/>
  </hyperlinks>
  <pageMargins left="0.7" right="0.7" top="0.75" bottom="0.75" header="0" footer="0"/>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3"/>
  <sheetViews>
    <sheetView tabSelected="1" topLeftCell="A31" workbookViewId="0">
      <selection activeCell="J56" sqref="J56"/>
    </sheetView>
  </sheetViews>
  <sheetFormatPr defaultColWidth="11.21875" defaultRowHeight="15" customHeight="1"/>
  <cols>
    <col min="1" max="1" width="8.33203125" customWidth="1"/>
    <col min="2" max="2" width="18" customWidth="1"/>
    <col min="3" max="3" width="11.77734375" customWidth="1"/>
    <col min="4" max="4" width="12.33203125" customWidth="1"/>
    <col min="5" max="14" width="10" customWidth="1"/>
    <col min="15" max="15" width="27.44140625" customWidth="1"/>
    <col min="16" max="26" width="8.33203125" customWidth="1"/>
  </cols>
  <sheetData>
    <row r="1" spans="1:24" ht="15.75" customHeight="1">
      <c r="A1" s="120" t="s">
        <v>26</v>
      </c>
      <c r="B1" s="79"/>
      <c r="C1" s="78">
        <v>2025</v>
      </c>
      <c r="D1" s="79"/>
      <c r="E1" s="78">
        <f>C1+1</f>
        <v>2026</v>
      </c>
      <c r="F1" s="79"/>
      <c r="G1" s="78">
        <f>E1+1</f>
        <v>2027</v>
      </c>
      <c r="H1" s="79"/>
      <c r="I1" s="78">
        <f>G1+1</f>
        <v>2028</v>
      </c>
      <c r="J1" s="79"/>
      <c r="K1" s="78">
        <f>I1+1</f>
        <v>2029</v>
      </c>
      <c r="L1" s="79"/>
      <c r="N1" s="76"/>
      <c r="O1" s="77"/>
    </row>
    <row r="2" spans="1:24" s="71" customFormat="1" ht="15.75" customHeight="1">
      <c r="A2" s="145" t="s">
        <v>135</v>
      </c>
      <c r="B2" s="146"/>
      <c r="C2" s="149">
        <v>20000000</v>
      </c>
      <c r="D2" s="150"/>
      <c r="E2" s="147">
        <v>0</v>
      </c>
      <c r="F2" s="148"/>
      <c r="G2" s="147">
        <v>0</v>
      </c>
      <c r="H2" s="148"/>
      <c r="I2" s="147">
        <v>0</v>
      </c>
      <c r="J2" s="148"/>
      <c r="K2" s="147">
        <v>0</v>
      </c>
      <c r="L2" s="148"/>
      <c r="N2" s="76"/>
      <c r="O2" s="77"/>
    </row>
    <row r="3" spans="1:24" ht="15.75" customHeight="1">
      <c r="A3" s="113" t="s">
        <v>27</v>
      </c>
      <c r="B3" s="79"/>
      <c r="C3" s="114">
        <f>'Gross Profit'!F9</f>
        <v>154440000</v>
      </c>
      <c r="D3" s="79"/>
      <c r="E3" s="114">
        <f>'Gross Profit'!K9</f>
        <v>411024900</v>
      </c>
      <c r="F3" s="79"/>
      <c r="G3" s="114">
        <f>'Gross Profit'!P9</f>
        <v>759350806.50000012</v>
      </c>
      <c r="H3" s="79"/>
      <c r="I3" s="114">
        <f>'Gross Profit'!U9</f>
        <v>927535058.09250009</v>
      </c>
      <c r="J3" s="79"/>
      <c r="K3" s="114">
        <f>'Gross Profit'!Z9</f>
        <v>1133028061.0817027</v>
      </c>
      <c r="L3" s="79"/>
      <c r="N3" s="109"/>
      <c r="O3" s="110"/>
    </row>
    <row r="4" spans="1:24" ht="15.75" customHeight="1">
      <c r="A4" s="113" t="s">
        <v>28</v>
      </c>
      <c r="B4" s="79"/>
      <c r="C4" s="121">
        <f>'Gross Profit'!G6+'Gross Profit'!G7+'Gross Profit'!G8</f>
        <v>73446000</v>
      </c>
      <c r="D4" s="79"/>
      <c r="E4" s="122">
        <f>'Gross Profit'!L6+'Gross Profit'!L7+'Gross Profit'!L8</f>
        <v>195228910</v>
      </c>
      <c r="F4" s="79"/>
      <c r="G4" s="121">
        <f>'Gross Profit'!Q9</f>
        <v>360549612.10000002</v>
      </c>
      <c r="H4" s="79"/>
      <c r="I4" s="122">
        <f>'Gross Profit'!V9</f>
        <v>440376911.85200006</v>
      </c>
      <c r="J4" s="79"/>
      <c r="K4" s="122">
        <f>'Gross Profit'!AA9</f>
        <v>537911429.45369613</v>
      </c>
      <c r="L4" s="79"/>
      <c r="O4" s="73"/>
    </row>
    <row r="5" spans="1:24" ht="15.75" customHeight="1">
      <c r="A5" s="111" t="s">
        <v>29</v>
      </c>
      <c r="B5" s="79"/>
      <c r="C5" s="115">
        <f>C2+C3-C4</f>
        <v>100994000</v>
      </c>
      <c r="D5" s="79"/>
      <c r="E5" s="115">
        <f>E3-E4</f>
        <v>215795990</v>
      </c>
      <c r="F5" s="79"/>
      <c r="G5" s="115">
        <f>G3-G4</f>
        <v>398801194.4000001</v>
      </c>
      <c r="H5" s="79"/>
      <c r="I5" s="115">
        <f>I3-I4</f>
        <v>487158146.24050003</v>
      </c>
      <c r="J5" s="79"/>
      <c r="K5" s="115">
        <f>K3-K4</f>
        <v>595116631.62800658</v>
      </c>
      <c r="L5" s="79"/>
    </row>
    <row r="6" spans="1:24" ht="18.600000000000001" customHeight="1">
      <c r="A6" s="117" t="s">
        <v>30</v>
      </c>
      <c r="B6" s="118"/>
      <c r="C6" s="118"/>
      <c r="D6" s="118"/>
      <c r="E6" s="118"/>
      <c r="F6" s="118"/>
      <c r="G6" s="118"/>
      <c r="H6" s="118"/>
      <c r="I6" s="118"/>
      <c r="J6" s="118"/>
      <c r="K6" s="118"/>
      <c r="L6" s="119"/>
      <c r="N6" s="151" t="s">
        <v>140</v>
      </c>
      <c r="O6" s="151"/>
      <c r="P6" s="151"/>
      <c r="Q6" s="151"/>
      <c r="R6" s="151"/>
      <c r="S6" s="151"/>
      <c r="T6" s="151"/>
      <c r="U6" s="151"/>
      <c r="V6" s="151"/>
      <c r="W6" s="151"/>
    </row>
    <row r="7" spans="1:24" ht="15.75" customHeight="1">
      <c r="A7" s="113" t="s">
        <v>31</v>
      </c>
      <c r="B7" s="79"/>
      <c r="C7" s="114">
        <f>('Salaries Expense'!C6+'Salaries Expense'!C8+'Salaries Expense'!C9+'Salaries Expense'!C10+'Salaries Expense'!C11)*7.5*((8761+7482)/2)*6</f>
        <v>1827337.5</v>
      </c>
      <c r="D7" s="79"/>
      <c r="E7" s="113">
        <f>('Salaries Expense'!D6+'Salaries Expense'!D8+'Salaries Expense'!D9+'Salaries Expense'!D10+'Salaries Expense'!D11)*7.5*((8761+7482)/2)*12*Assumptions!B12</f>
        <v>6286041</v>
      </c>
      <c r="F7" s="79"/>
      <c r="G7" s="113">
        <f>('Salaries Expense'!E6+'Salaries Expense'!E8+'Salaries Expense'!E9+'Salaries Expense'!E10+'Salaries Expense'!E11)*7.5*((8761+7482)/2)*12*Assumptions!C12</f>
        <v>9341349.2999999989</v>
      </c>
      <c r="H7" s="79"/>
      <c r="I7" s="113">
        <f>('Salaries Expense'!F6+'Salaries Expense'!F8+'Salaries Expense'!F9+'Salaries Expense'!F10+'Salaries Expense'!F11)*7.5*((8761+7482)/2)*12*Assumptions!D12</f>
        <v>10744744.5</v>
      </c>
      <c r="J7" s="79"/>
      <c r="K7" s="113">
        <f>('Salaries Expense'!G6+'Salaries Expense'!G8+'Salaries Expense'!G9+'Salaries Expense'!G10+'Salaries Expense'!G11)*7.5*((8761+7482)/2)*12*Assumptions!E12</f>
        <v>12279708</v>
      </c>
      <c r="L7" s="79"/>
      <c r="N7" s="151"/>
      <c r="O7" s="151"/>
      <c r="P7" s="151"/>
      <c r="Q7" s="151"/>
      <c r="R7" s="151"/>
      <c r="S7" s="151"/>
      <c r="T7" s="151"/>
      <c r="U7" s="151"/>
      <c r="V7" s="151"/>
      <c r="W7" s="151"/>
    </row>
    <row r="8" spans="1:24" ht="15.75" customHeight="1">
      <c r="A8" s="157" t="s">
        <v>144</v>
      </c>
      <c r="B8" s="79"/>
      <c r="C8" s="114">
        <f>'Salaries Expense'!F17-9000000</f>
        <v>10920000</v>
      </c>
      <c r="D8" s="79"/>
      <c r="E8" s="114">
        <f>'Salaries Expense'!J17</f>
        <v>27285300</v>
      </c>
      <c r="F8" s="79"/>
      <c r="G8" s="114">
        <f>'Salaries Expense'!N17</f>
        <v>39518955</v>
      </c>
      <c r="H8" s="79"/>
      <c r="I8" s="114">
        <f>'Salaries Expense'!R17</f>
        <v>45369639</v>
      </c>
      <c r="J8" s="79"/>
      <c r="K8" s="114">
        <f>'Salaries Expense'!V17</f>
        <v>51706594.012500003</v>
      </c>
      <c r="L8" s="79"/>
      <c r="N8" s="151"/>
      <c r="O8" s="151"/>
      <c r="P8" s="151"/>
      <c r="Q8" s="151"/>
      <c r="R8" s="151"/>
      <c r="S8" s="151"/>
      <c r="T8" s="151"/>
      <c r="U8" s="151"/>
      <c r="V8" s="151"/>
      <c r="W8" s="151"/>
      <c r="X8" s="13"/>
    </row>
    <row r="9" spans="1:24" ht="15.75" customHeight="1">
      <c r="A9" s="113" t="s">
        <v>32</v>
      </c>
      <c r="B9" s="79"/>
      <c r="C9" s="116">
        <f>C3*0.15</f>
        <v>23166000</v>
      </c>
      <c r="D9" s="79"/>
      <c r="E9" s="116">
        <f t="shared" ref="E9:L9" si="0">E3*0.15</f>
        <v>61653735</v>
      </c>
      <c r="F9" s="79"/>
      <c r="G9" s="116">
        <f>G3*0.1</f>
        <v>75935080.650000021</v>
      </c>
      <c r="H9" s="79"/>
      <c r="I9" s="116">
        <f t="shared" ref="I9:L9" si="1">I3*0.1</f>
        <v>92753505.809250012</v>
      </c>
      <c r="J9" s="79"/>
      <c r="K9" s="116">
        <f t="shared" ref="K9:L9" si="2">K3*0.1</f>
        <v>113302806.10817027</v>
      </c>
      <c r="L9" s="79"/>
      <c r="N9" s="13"/>
    </row>
    <row r="10" spans="1:24" ht="15.75" customHeight="1">
      <c r="A10" s="113" t="s">
        <v>33</v>
      </c>
      <c r="B10" s="79"/>
      <c r="C10" s="114">
        <v>1200000</v>
      </c>
      <c r="D10" s="79"/>
      <c r="E10" s="113">
        <f>C10+(C10*0.1)</f>
        <v>1320000</v>
      </c>
      <c r="F10" s="79"/>
      <c r="G10" s="113">
        <f>E10+(E10*0.1)</f>
        <v>1452000</v>
      </c>
      <c r="H10" s="79"/>
      <c r="I10" s="113">
        <f>G10+(G10*0.1)</f>
        <v>1597200</v>
      </c>
      <c r="J10" s="79"/>
      <c r="K10" s="113">
        <f>I10+(I10*0.1)</f>
        <v>1756920</v>
      </c>
      <c r="L10" s="79"/>
      <c r="N10" s="153" t="s">
        <v>139</v>
      </c>
      <c r="O10" s="153"/>
      <c r="P10" s="153"/>
      <c r="Q10" s="153"/>
      <c r="R10" s="153"/>
      <c r="S10" s="153"/>
      <c r="T10" s="153"/>
      <c r="U10" s="153"/>
      <c r="V10" s="153"/>
      <c r="W10" s="153"/>
    </row>
    <row r="11" spans="1:24" ht="15.75" customHeight="1">
      <c r="A11" s="113" t="s">
        <v>34</v>
      </c>
      <c r="B11" s="79"/>
      <c r="C11" s="114">
        <v>3104466</v>
      </c>
      <c r="D11" s="79"/>
      <c r="E11" s="114">
        <v>3104466</v>
      </c>
      <c r="F11" s="79"/>
      <c r="G11" s="114">
        <v>3104466</v>
      </c>
      <c r="H11" s="79"/>
      <c r="I11" s="114">
        <v>3104466</v>
      </c>
      <c r="J11" s="79"/>
      <c r="K11" s="114">
        <v>3104466</v>
      </c>
      <c r="L11" s="79"/>
      <c r="N11" s="153"/>
      <c r="O11" s="153"/>
      <c r="P11" s="153"/>
      <c r="Q11" s="153"/>
      <c r="R11" s="153"/>
      <c r="S11" s="153"/>
      <c r="T11" s="153"/>
      <c r="U11" s="153"/>
      <c r="V11" s="153"/>
      <c r="W11" s="153"/>
    </row>
    <row r="12" spans="1:24" ht="15.75" customHeight="1">
      <c r="A12" s="177" t="s">
        <v>164</v>
      </c>
      <c r="B12" s="98"/>
      <c r="C12" s="97">
        <f>1440/33*100000</f>
        <v>4363636.3636363633</v>
      </c>
      <c r="D12" s="98"/>
      <c r="E12" s="97">
        <f>3484/33*100000</f>
        <v>10557575.757575758</v>
      </c>
      <c r="F12" s="98"/>
      <c r="G12" s="97">
        <f>5851/33*100000</f>
        <v>17730303.030303031</v>
      </c>
      <c r="H12" s="98"/>
      <c r="I12" s="97">
        <f>6498/33*100000</f>
        <v>19690909.09090909</v>
      </c>
      <c r="J12" s="98"/>
      <c r="K12" s="97">
        <f>7216/33*100000</f>
        <v>21866666.666666664</v>
      </c>
      <c r="L12" s="98"/>
      <c r="N12" s="153"/>
      <c r="O12" s="153"/>
      <c r="P12" s="153"/>
      <c r="Q12" s="153"/>
      <c r="R12" s="153"/>
      <c r="S12" s="153"/>
      <c r="T12" s="153"/>
      <c r="U12" s="153"/>
      <c r="V12" s="153"/>
      <c r="W12" s="153"/>
    </row>
    <row r="13" spans="1:24" ht="15.75" customHeight="1">
      <c r="A13" s="125" t="s">
        <v>35</v>
      </c>
      <c r="B13" s="98"/>
      <c r="C13" s="125">
        <f>C5-C7-C8-C9-C10-C11-C12</f>
        <v>56412560.13636364</v>
      </c>
      <c r="D13" s="98"/>
      <c r="E13" s="125">
        <f>E5-E7-E8-E9-E10-E11-E12</f>
        <v>105588872.24242425</v>
      </c>
      <c r="F13" s="98"/>
      <c r="G13" s="125">
        <f>G5-G7-G8-G9-G10-G11-G12</f>
        <v>251719040.41969702</v>
      </c>
      <c r="H13" s="98"/>
      <c r="I13" s="125">
        <f>I5-I7-I8-I9-I10-I11-I12</f>
        <v>313897681.84034097</v>
      </c>
      <c r="J13" s="98"/>
      <c r="K13" s="125">
        <f>K5-K7-K8-K9-K10-K11-K12</f>
        <v>391099470.84066963</v>
      </c>
      <c r="L13" s="98"/>
      <c r="N13" s="153"/>
      <c r="O13" s="153"/>
      <c r="P13" s="153"/>
      <c r="Q13" s="153"/>
      <c r="R13" s="153"/>
      <c r="S13" s="153"/>
      <c r="T13" s="153"/>
      <c r="U13" s="153"/>
      <c r="V13" s="153"/>
      <c r="W13" s="153"/>
    </row>
    <row r="14" spans="1:24" ht="15.75" customHeight="1">
      <c r="A14" s="174" t="s">
        <v>156</v>
      </c>
      <c r="B14" s="123"/>
      <c r="C14" s="123"/>
      <c r="D14" s="123"/>
      <c r="E14" s="123"/>
      <c r="F14" s="123"/>
      <c r="G14" s="123"/>
      <c r="H14" s="123"/>
      <c r="I14" s="123"/>
      <c r="J14" s="123"/>
      <c r="K14" s="123"/>
      <c r="L14" s="124"/>
      <c r="N14" s="153"/>
      <c r="O14" s="153"/>
      <c r="P14" s="153"/>
      <c r="Q14" s="153"/>
      <c r="R14" s="153"/>
      <c r="S14" s="153"/>
      <c r="T14" s="153"/>
      <c r="U14" s="153"/>
      <c r="V14" s="153"/>
      <c r="W14" s="153"/>
    </row>
    <row r="15" spans="1:24" ht="15.75" customHeight="1">
      <c r="A15" s="113" t="s">
        <v>36</v>
      </c>
      <c r="B15" s="79"/>
      <c r="C15" s="114">
        <f>'Interest Expense'!D17</f>
        <v>5656990.7112896461</v>
      </c>
      <c r="D15" s="79"/>
      <c r="E15" s="113">
        <f>'Interest Expense'!D33</f>
        <v>4805574.9369053161</v>
      </c>
      <c r="F15" s="79"/>
      <c r="G15" s="113">
        <f>'Interest Expense'!D49</f>
        <v>3767366.0825753133</v>
      </c>
      <c r="H15" s="79"/>
      <c r="I15" s="113">
        <f>'Interest Expense'!D65</f>
        <v>2501383.4293769333</v>
      </c>
      <c r="J15" s="79"/>
      <c r="K15" s="113">
        <f>'Interest Expense'!D81</f>
        <v>957655.39233697287</v>
      </c>
      <c r="L15" s="79"/>
      <c r="N15" s="153"/>
      <c r="O15" s="153"/>
      <c r="P15" s="153"/>
      <c r="Q15" s="153"/>
      <c r="R15" s="153"/>
      <c r="S15" s="153"/>
      <c r="T15" s="153"/>
      <c r="U15" s="153"/>
      <c r="V15" s="153"/>
      <c r="W15" s="153"/>
    </row>
    <row r="16" spans="1:24" ht="15.75" customHeight="1">
      <c r="A16" s="111" t="s">
        <v>37</v>
      </c>
      <c r="B16" s="79"/>
      <c r="C16" s="111">
        <f>C13-C15</f>
        <v>50755569.425073996</v>
      </c>
      <c r="D16" s="79"/>
      <c r="E16" s="111">
        <f>E13-E15</f>
        <v>100783297.30551894</v>
      </c>
      <c r="F16" s="79"/>
      <c r="G16" s="111">
        <f>G13-G15</f>
        <v>247951674.3371217</v>
      </c>
      <c r="H16" s="79"/>
      <c r="I16" s="111">
        <f>I13-I15</f>
        <v>311396298.41096401</v>
      </c>
      <c r="J16" s="79"/>
      <c r="K16" s="111">
        <f>K13-K15</f>
        <v>390141815.44833267</v>
      </c>
      <c r="L16" s="79"/>
    </row>
    <row r="17" spans="1:29" ht="15.75" customHeight="1">
      <c r="A17" s="112" t="s">
        <v>117</v>
      </c>
      <c r="B17" s="79"/>
      <c r="C17" s="114">
        <f>C16*0.1</f>
        <v>5075556.9425074002</v>
      </c>
      <c r="D17" s="79"/>
      <c r="E17" s="114">
        <f>E16*0.1</f>
        <v>10078329.730551895</v>
      </c>
      <c r="F17" s="79"/>
      <c r="G17" s="114">
        <f>G16*0.1</f>
        <v>24795167.43371217</v>
      </c>
      <c r="H17" s="79"/>
      <c r="I17" s="114">
        <f>I16*0.1</f>
        <v>31139629.841096401</v>
      </c>
      <c r="J17" s="79"/>
      <c r="K17" s="114">
        <f>K16*0.1</f>
        <v>39014181.544833265</v>
      </c>
      <c r="L17" s="79"/>
      <c r="N17" s="153" t="s">
        <v>155</v>
      </c>
      <c r="O17" s="154"/>
      <c r="P17" s="154"/>
      <c r="Q17" s="154"/>
      <c r="R17" s="154"/>
      <c r="S17" s="154"/>
      <c r="T17" s="154"/>
      <c r="U17" s="154"/>
      <c r="V17" s="154"/>
      <c r="W17" s="154"/>
    </row>
    <row r="18" spans="1:29" ht="15.75" customHeight="1">
      <c r="A18" s="111" t="s">
        <v>38</v>
      </c>
      <c r="B18" s="79"/>
      <c r="C18" s="115">
        <f>C16-C17</f>
        <v>45680012.482566595</v>
      </c>
      <c r="D18" s="79"/>
      <c r="E18" s="115">
        <f>E16-E17</f>
        <v>90704967.574967042</v>
      </c>
      <c r="F18" s="79"/>
      <c r="G18" s="115">
        <f>G16-G17</f>
        <v>223156506.90340954</v>
      </c>
      <c r="H18" s="79"/>
      <c r="I18" s="115">
        <f>I16-I17</f>
        <v>280256668.56986761</v>
      </c>
      <c r="J18" s="79"/>
      <c r="K18" s="115">
        <f>K16-K17</f>
        <v>351127633.90349942</v>
      </c>
      <c r="L18" s="79"/>
      <c r="N18" s="154"/>
      <c r="O18" s="154"/>
      <c r="P18" s="154"/>
      <c r="Q18" s="154"/>
      <c r="R18" s="154"/>
      <c r="S18" s="154"/>
      <c r="T18" s="154"/>
      <c r="U18" s="154"/>
      <c r="V18" s="154"/>
      <c r="W18" s="154"/>
    </row>
    <row r="19" spans="1:29" ht="15.75" customHeight="1">
      <c r="N19" s="173"/>
      <c r="O19" s="173"/>
      <c r="P19" s="173"/>
      <c r="Q19" s="173"/>
      <c r="R19" s="173"/>
      <c r="S19" s="173"/>
      <c r="T19" s="173"/>
      <c r="U19" s="173"/>
      <c r="V19" s="173"/>
      <c r="W19" s="173"/>
    </row>
    <row r="20" spans="1:29" ht="15.75" customHeight="1">
      <c r="N20" s="155" t="s">
        <v>154</v>
      </c>
      <c r="O20" s="155"/>
      <c r="P20" s="155"/>
      <c r="Q20" s="155"/>
      <c r="R20" s="155"/>
      <c r="S20" s="155"/>
      <c r="T20" s="155"/>
      <c r="U20" s="155"/>
      <c r="V20" s="155"/>
      <c r="W20" s="155"/>
    </row>
    <row r="21" spans="1:29" ht="15.75" customHeight="1">
      <c r="N21" s="155"/>
      <c r="O21" s="155"/>
      <c r="P21" s="155"/>
      <c r="Q21" s="155"/>
      <c r="R21" s="155"/>
      <c r="S21" s="155"/>
      <c r="T21" s="155"/>
      <c r="U21" s="155"/>
      <c r="V21" s="155"/>
      <c r="W21" s="155"/>
    </row>
    <row r="22" spans="1:29" ht="15.75" customHeight="1">
      <c r="N22" s="155"/>
      <c r="O22" s="155"/>
      <c r="P22" s="155"/>
      <c r="Q22" s="155"/>
      <c r="R22" s="155"/>
      <c r="S22" s="155"/>
      <c r="T22" s="155"/>
      <c r="U22" s="155"/>
      <c r="V22" s="155"/>
      <c r="W22" s="155"/>
    </row>
    <row r="23" spans="1:29" ht="15.75" customHeight="1"/>
    <row r="24" spans="1:29" ht="15.75" customHeight="1">
      <c r="N24" s="155" t="s">
        <v>165</v>
      </c>
      <c r="O24" s="155"/>
      <c r="P24" s="155"/>
      <c r="Q24" s="155"/>
      <c r="R24" s="155"/>
      <c r="S24" s="155"/>
      <c r="T24" s="155"/>
      <c r="U24" s="155"/>
      <c r="V24" s="155"/>
      <c r="W24" s="155"/>
    </row>
    <row r="25" spans="1:29" ht="15.75" customHeight="1">
      <c r="N25" s="155"/>
      <c r="O25" s="155"/>
      <c r="P25" s="155"/>
      <c r="Q25" s="155"/>
      <c r="R25" s="155"/>
      <c r="S25" s="155"/>
      <c r="T25" s="155"/>
      <c r="U25" s="155"/>
      <c r="V25" s="155"/>
      <c r="W25" s="155"/>
    </row>
    <row r="26" spans="1:29" ht="15.75" customHeight="1">
      <c r="N26" s="155"/>
      <c r="O26" s="155"/>
      <c r="P26" s="155"/>
      <c r="Q26" s="155"/>
      <c r="R26" s="155"/>
      <c r="S26" s="155"/>
      <c r="T26" s="155"/>
      <c r="U26" s="155"/>
      <c r="V26" s="155"/>
      <c r="W26" s="155"/>
    </row>
    <row r="27" spans="1:29" s="71" customFormat="1" ht="15.75" customHeight="1">
      <c r="N27" s="155"/>
      <c r="O27" s="155"/>
      <c r="P27" s="155"/>
      <c r="Q27" s="155"/>
      <c r="R27" s="155"/>
      <c r="S27" s="155"/>
      <c r="T27" s="155"/>
      <c r="U27" s="155"/>
      <c r="V27" s="155"/>
      <c r="W27" s="155"/>
    </row>
    <row r="28" spans="1:29" s="71" customFormat="1" ht="15.75" customHeight="1">
      <c r="N28" s="155"/>
      <c r="O28" s="155"/>
      <c r="P28" s="155"/>
      <c r="Q28" s="155"/>
      <c r="R28" s="155"/>
      <c r="S28" s="155"/>
      <c r="T28" s="155"/>
      <c r="U28" s="155"/>
      <c r="V28" s="155"/>
      <c r="W28" s="155"/>
    </row>
    <row r="29" spans="1:29" ht="15.75" customHeight="1"/>
    <row r="30" spans="1:29" ht="15.75" customHeight="1">
      <c r="A30" s="112" t="s">
        <v>124</v>
      </c>
      <c r="B30" s="79"/>
      <c r="C30" s="103">
        <v>0</v>
      </c>
      <c r="D30" s="104"/>
      <c r="E30" s="103">
        <f>C30+1</f>
        <v>1</v>
      </c>
      <c r="F30" s="104"/>
      <c r="G30" s="103">
        <f>E30+1</f>
        <v>2</v>
      </c>
      <c r="H30" s="104"/>
      <c r="I30" s="103">
        <f>G30+1</f>
        <v>3</v>
      </c>
      <c r="J30" s="104"/>
      <c r="K30" s="103">
        <f>I30+1</f>
        <v>4</v>
      </c>
      <c r="L30" s="104"/>
      <c r="M30" s="103">
        <f>K30+1</f>
        <v>5</v>
      </c>
      <c r="N30" s="104"/>
    </row>
    <row r="31" spans="1:29" ht="15.75" customHeight="1">
      <c r="A31" s="111" t="s">
        <v>115</v>
      </c>
      <c r="B31" s="79"/>
      <c r="C31" s="97"/>
      <c r="D31" s="98"/>
      <c r="E31" s="97">
        <f>C13</f>
        <v>56412560.13636364</v>
      </c>
      <c r="F31" s="98"/>
      <c r="G31" s="97">
        <f>E13</f>
        <v>105588872.24242425</v>
      </c>
      <c r="H31" s="98"/>
      <c r="I31" s="97">
        <f>G13</f>
        <v>251719040.41969702</v>
      </c>
      <c r="J31" s="98"/>
      <c r="K31" s="97">
        <f>I13</f>
        <v>313897681.84034097</v>
      </c>
      <c r="L31" s="98"/>
      <c r="M31" s="97">
        <f>K13</f>
        <v>391099470.84066963</v>
      </c>
      <c r="N31" s="98"/>
      <c r="AB31" s="155" t="s">
        <v>168</v>
      </c>
      <c r="AC31" s="155"/>
    </row>
    <row r="32" spans="1:29" ht="15.75" customHeight="1">
      <c r="A32" s="111" t="s">
        <v>116</v>
      </c>
      <c r="B32" s="79"/>
      <c r="C32" s="97"/>
      <c r="D32" s="98"/>
      <c r="E32" s="97">
        <f>E31*Assumptions!B5</f>
        <v>5641256.0136363646</v>
      </c>
      <c r="F32" s="98"/>
      <c r="G32" s="97">
        <f>G31*Assumptions!B5</f>
        <v>10558887.224242426</v>
      </c>
      <c r="H32" s="98"/>
      <c r="I32" s="97">
        <f>I31*Assumptions!B5</f>
        <v>25171904.041969702</v>
      </c>
      <c r="J32" s="98"/>
      <c r="K32" s="97">
        <f>K31*Assumptions!B5</f>
        <v>31389768.184034098</v>
      </c>
      <c r="L32" s="98"/>
      <c r="M32" s="97">
        <f>M31*Assumptions!B5</f>
        <v>39109947.084066965</v>
      </c>
      <c r="N32" s="98"/>
      <c r="AB32" s="155"/>
      <c r="AC32" s="155"/>
    </row>
    <row r="33" spans="1:29" ht="15.75" customHeight="1">
      <c r="A33" s="111" t="s">
        <v>114</v>
      </c>
      <c r="B33" s="79"/>
      <c r="C33" s="97"/>
      <c r="D33" s="98"/>
      <c r="E33" s="97">
        <f>E31-E32</f>
        <v>50771304.122727275</v>
      </c>
      <c r="F33" s="98"/>
      <c r="G33" s="97">
        <f>G31-G32</f>
        <v>95029985.018181831</v>
      </c>
      <c r="H33" s="98"/>
      <c r="I33" s="97">
        <f>I31-I32</f>
        <v>226547136.37772733</v>
      </c>
      <c r="J33" s="98"/>
      <c r="K33" s="97">
        <f>K31-K32</f>
        <v>282507913.65630686</v>
      </c>
      <c r="L33" s="98"/>
      <c r="M33" s="97">
        <f>M31-M32</f>
        <v>351989523.75660264</v>
      </c>
      <c r="N33" s="98"/>
      <c r="AB33" s="155"/>
      <c r="AC33" s="155"/>
    </row>
    <row r="34" spans="1:29" ht="15.75" customHeight="1">
      <c r="A34" s="100" t="s">
        <v>118</v>
      </c>
      <c r="B34" s="79"/>
      <c r="C34" s="97">
        <f>-(C4+'Fixed Assets'!D14+C9+E4-C4-C18)</f>
        <v>-173124727.5174334</v>
      </c>
      <c r="D34" s="98"/>
      <c r="E34" s="97"/>
      <c r="F34" s="98"/>
      <c r="G34" s="97"/>
      <c r="H34" s="98"/>
      <c r="I34" s="97"/>
      <c r="J34" s="98"/>
      <c r="K34" s="97"/>
      <c r="L34" s="98"/>
      <c r="M34" s="97"/>
      <c r="N34" s="98"/>
      <c r="AB34" s="155"/>
      <c r="AC34" s="155"/>
    </row>
    <row r="35" spans="1:29" ht="15.75" customHeight="1">
      <c r="A35" s="100" t="s">
        <v>126</v>
      </c>
      <c r="B35" s="79"/>
      <c r="C35" s="97"/>
      <c r="D35" s="98"/>
      <c r="E35" s="97">
        <f>-(E46-D45)</f>
        <v>-10099400</v>
      </c>
      <c r="F35" s="98"/>
      <c r="G35" s="97">
        <f>-(G46-F45)</f>
        <v>-11480199</v>
      </c>
      <c r="H35" s="98"/>
      <c r="I35" s="97">
        <f>-(I46-H45)</f>
        <v>-18300520.440000013</v>
      </c>
      <c r="J35" s="98"/>
      <c r="K35" s="97">
        <f>-(K46-J45)</f>
        <v>-8835695.1840499938</v>
      </c>
      <c r="L35" s="98"/>
      <c r="M35" s="97">
        <f>-(M46-L45)</f>
        <v>-10795848.538750656</v>
      </c>
      <c r="N35" s="98"/>
    </row>
    <row r="36" spans="1:29" ht="15.75" customHeight="1">
      <c r="A36" s="100" t="s">
        <v>127</v>
      </c>
      <c r="B36" s="79"/>
      <c r="C36" s="97">
        <f>C33+C34+C35+C37</f>
        <v>-173124727.5174334</v>
      </c>
      <c r="D36" s="98"/>
      <c r="E36" s="97">
        <f>E33+E34+E35+E37</f>
        <v>40753870.122727275</v>
      </c>
      <c r="F36" s="98"/>
      <c r="G36" s="97">
        <f>G33+G34+G35+G37</f>
        <v>83631752.018181831</v>
      </c>
      <c r="H36" s="98"/>
      <c r="I36" s="97">
        <f>I33+I34+I35+I37</f>
        <v>208328581.93772733</v>
      </c>
      <c r="J36" s="98"/>
      <c r="K36" s="97">
        <f>K33+K34+K35+K37</f>
        <v>273754184.4722569</v>
      </c>
      <c r="L36" s="98"/>
      <c r="M36" s="97">
        <f>M33+M34+M35+M37</f>
        <v>341275641.217852</v>
      </c>
      <c r="N36" s="98"/>
    </row>
    <row r="37" spans="1:29" ht="15.75" customHeight="1">
      <c r="A37" s="100" t="s">
        <v>128</v>
      </c>
      <c r="B37" s="79"/>
      <c r="C37" s="97"/>
      <c r="D37" s="98"/>
      <c r="E37" s="97">
        <f>'Fixed Assets'!F14</f>
        <v>81966</v>
      </c>
      <c r="F37" s="98"/>
      <c r="G37" s="97">
        <f>'Fixed Assets'!F14</f>
        <v>81966</v>
      </c>
      <c r="H37" s="98"/>
      <c r="I37" s="97">
        <f>'Fixed Assets'!F14</f>
        <v>81966</v>
      </c>
      <c r="J37" s="98"/>
      <c r="K37" s="97">
        <f>'Fixed Assets'!F14</f>
        <v>81966</v>
      </c>
      <c r="L37" s="98"/>
      <c r="M37" s="97">
        <f>'Fixed Assets'!F14</f>
        <v>81966</v>
      </c>
      <c r="N37" s="98"/>
    </row>
    <row r="38" spans="1:29" ht="15.75" customHeight="1">
      <c r="A38" s="100" t="s">
        <v>129</v>
      </c>
      <c r="B38" s="79"/>
      <c r="C38" s="101"/>
      <c r="D38" s="102"/>
      <c r="E38" s="101">
        <f>E36/(20%-3%)</f>
        <v>239728647.78074867</v>
      </c>
      <c r="F38" s="102"/>
      <c r="G38" s="101">
        <f>G36/(20%-3%)</f>
        <v>491951482.45989311</v>
      </c>
      <c r="H38" s="102"/>
      <c r="I38" s="101">
        <f>I36/(20%-3%)</f>
        <v>1225462246.6925137</v>
      </c>
      <c r="J38" s="102"/>
      <c r="K38" s="101">
        <f>K36/(20%-3%)</f>
        <v>1610318732.1897464</v>
      </c>
      <c r="L38" s="102"/>
      <c r="M38" s="101">
        <f>M36/(20%-3%)</f>
        <v>2007503771.8697176</v>
      </c>
      <c r="N38" s="102"/>
    </row>
    <row r="39" spans="1:29" ht="15.75" customHeight="1">
      <c r="A39" s="100" t="s">
        <v>130</v>
      </c>
      <c r="B39" s="79"/>
      <c r="C39" s="101">
        <f>C36+C38</f>
        <v>-173124727.5174334</v>
      </c>
      <c r="D39" s="102"/>
      <c r="E39" s="101">
        <f>E36+E38</f>
        <v>280482517.90347594</v>
      </c>
      <c r="F39" s="102"/>
      <c r="G39" s="101">
        <f>G36+G38</f>
        <v>575583234.47807491</v>
      </c>
      <c r="H39" s="102"/>
      <c r="I39" s="101">
        <f>I36+I38</f>
        <v>1433790828.6302409</v>
      </c>
      <c r="J39" s="102"/>
      <c r="K39" s="101">
        <f>K36+K38</f>
        <v>1884072916.6620033</v>
      </c>
      <c r="L39" s="102"/>
      <c r="M39" s="101">
        <f>M36+M38</f>
        <v>2348779413.0875697</v>
      </c>
      <c r="N39" s="102"/>
      <c r="O39" s="75"/>
    </row>
    <row r="40" spans="1:29" ht="15.75" customHeight="1">
      <c r="A40" s="100" t="s">
        <v>131</v>
      </c>
      <c r="B40" s="79"/>
      <c r="C40" s="97">
        <f>C39/(1+Assumptions!B3)^(C30)</f>
        <v>-173124727.5174334</v>
      </c>
      <c r="D40" s="98"/>
      <c r="E40" s="97">
        <f>E39/(1+Assumptions!B3)^(E30)</f>
        <v>233735431.58622995</v>
      </c>
      <c r="F40" s="98"/>
      <c r="G40" s="97">
        <f>G39/(1+Assumptions!B3)^(G30)</f>
        <v>399710579.49866313</v>
      </c>
      <c r="H40" s="98"/>
      <c r="I40" s="97">
        <f>I39/(1+Assumptions!B3)^(I30)</f>
        <v>829740062.86472273</v>
      </c>
      <c r="J40" s="98"/>
      <c r="K40" s="97">
        <f>K39/(1+Assumptions!B3)^(K30)</f>
        <v>908599979.10011733</v>
      </c>
      <c r="L40" s="98"/>
      <c r="M40" s="97">
        <f>M39/(1+Assumptions!B3)^(M30)</f>
        <v>943921767.73388064</v>
      </c>
      <c r="N40" s="98"/>
    </row>
    <row r="41" spans="1:29" ht="15.75" customHeight="1">
      <c r="A41" s="99"/>
      <c r="B41" s="99"/>
      <c r="C41" s="99"/>
      <c r="D41" s="99"/>
      <c r="E41" s="99"/>
      <c r="F41" s="99"/>
      <c r="G41" s="99"/>
      <c r="H41" s="99"/>
      <c r="I41" s="99"/>
      <c r="J41" s="99"/>
      <c r="K41" s="99"/>
      <c r="L41" s="99"/>
      <c r="M41" s="99"/>
      <c r="N41" s="99"/>
    </row>
    <row r="42" spans="1:29" ht="15.75" customHeight="1">
      <c r="A42" s="99"/>
      <c r="B42" s="99"/>
      <c r="C42" s="99"/>
      <c r="D42" s="99"/>
      <c r="E42" s="99"/>
      <c r="F42" s="99"/>
      <c r="G42" s="99"/>
      <c r="H42" s="99"/>
      <c r="I42" s="99"/>
      <c r="J42" s="99"/>
      <c r="K42" s="99"/>
      <c r="L42" s="99"/>
      <c r="M42" s="99"/>
      <c r="N42" s="99"/>
    </row>
    <row r="43" spans="1:29" ht="15.75" customHeight="1">
      <c r="A43" s="100" t="s">
        <v>133</v>
      </c>
      <c r="B43" s="79"/>
      <c r="C43" s="97">
        <f>C40+E40+G40+I40+K40+M40</f>
        <v>3142583093.26618</v>
      </c>
      <c r="D43" s="98"/>
      <c r="E43" s="97"/>
      <c r="F43" s="98"/>
      <c r="G43" s="97"/>
      <c r="H43" s="98"/>
      <c r="I43" s="97"/>
      <c r="J43" s="98"/>
      <c r="K43" s="97"/>
      <c r="L43" s="98"/>
      <c r="M43" s="97"/>
      <c r="N43" s="98"/>
    </row>
    <row r="44" spans="1:29" ht="66.75" customHeight="1">
      <c r="A44" s="100" t="s">
        <v>132</v>
      </c>
      <c r="B44" s="79"/>
      <c r="C44" s="105">
        <f>IRR(C39:N39)</f>
        <v>2.5461169191704585</v>
      </c>
      <c r="D44" s="106"/>
      <c r="E44" s="107"/>
      <c r="F44" s="108"/>
      <c r="G44" s="97"/>
      <c r="H44" s="98"/>
      <c r="I44" s="97"/>
      <c r="J44" s="98"/>
      <c r="K44" s="97"/>
      <c r="L44" s="98"/>
      <c r="M44" s="97"/>
      <c r="N44" s="98"/>
      <c r="O44" s="180" t="s">
        <v>166</v>
      </c>
      <c r="P44" s="181"/>
      <c r="Q44" s="181"/>
      <c r="R44" s="181"/>
      <c r="S44" s="181"/>
      <c r="T44" s="181"/>
    </row>
    <row r="45" spans="1:29" ht="15.75" customHeight="1">
      <c r="A45" s="100" t="s">
        <v>120</v>
      </c>
      <c r="B45" s="79"/>
      <c r="C45" s="97"/>
      <c r="D45" s="98"/>
      <c r="E45" s="97">
        <f>-C45+E46</f>
        <v>10099400</v>
      </c>
      <c r="F45" s="98"/>
      <c r="G45" s="97">
        <f>E5*Assumptions!B2</f>
        <v>21579599</v>
      </c>
      <c r="H45" s="98"/>
      <c r="I45" s="97">
        <f>G5*Assumptions!B2</f>
        <v>39880119.440000013</v>
      </c>
      <c r="J45" s="98"/>
      <c r="K45" s="97">
        <f>I5*Assumptions!B2</f>
        <v>48715814.624050006</v>
      </c>
      <c r="L45" s="98"/>
      <c r="M45" s="97">
        <f>K5*Assumptions!B2</f>
        <v>59511663.162800662</v>
      </c>
      <c r="N45" s="98"/>
    </row>
    <row r="46" spans="1:29" ht="15.75" customHeight="1">
      <c r="A46" s="100" t="s">
        <v>123</v>
      </c>
      <c r="B46" s="79"/>
      <c r="C46" s="97"/>
      <c r="D46" s="98"/>
      <c r="E46" s="97">
        <f>C5*Assumptions!B2</f>
        <v>10099400</v>
      </c>
      <c r="F46" s="98"/>
      <c r="G46" s="97">
        <f>-E46+G45</f>
        <v>11480199</v>
      </c>
      <c r="H46" s="98"/>
      <c r="I46" s="97">
        <f>-G45+I45</f>
        <v>18300520.440000013</v>
      </c>
      <c r="J46" s="98"/>
      <c r="K46" s="97">
        <f>-I45+K45</f>
        <v>8835695.1840499938</v>
      </c>
      <c r="L46" s="98"/>
      <c r="M46" s="97">
        <f>-K45+M45</f>
        <v>10795848.538750656</v>
      </c>
      <c r="N46" s="98"/>
    </row>
    <row r="47" spans="1:29" ht="15.75" customHeight="1">
      <c r="A47" s="179"/>
      <c r="B47" s="179"/>
    </row>
    <row r="48" spans="1:29" ht="15.75" customHeight="1"/>
    <row r="49" spans="1:14" ht="15.75" customHeight="1"/>
    <row r="50" spans="1:14" ht="15.75" customHeight="1">
      <c r="A50" s="71"/>
      <c r="B50" s="184"/>
      <c r="C50" s="184" t="s">
        <v>169</v>
      </c>
      <c r="D50" s="184" t="s">
        <v>170</v>
      </c>
      <c r="E50" s="184" t="s">
        <v>171</v>
      </c>
      <c r="F50" s="184" t="s">
        <v>172</v>
      </c>
      <c r="G50" s="184" t="s">
        <v>173</v>
      </c>
      <c r="H50" s="184" t="s">
        <v>174</v>
      </c>
      <c r="I50" s="71"/>
      <c r="J50" s="71"/>
      <c r="K50" s="97"/>
      <c r="L50" s="98"/>
      <c r="M50" s="97"/>
      <c r="N50" s="98"/>
    </row>
    <row r="51" spans="1:14" ht="15.75" customHeight="1">
      <c r="A51" s="184"/>
      <c r="B51" s="184"/>
      <c r="C51" s="185">
        <v>2024</v>
      </c>
      <c r="D51" s="185">
        <v>2025</v>
      </c>
      <c r="E51" s="185">
        <v>2026</v>
      </c>
      <c r="F51" s="185">
        <v>2027</v>
      </c>
      <c r="G51" s="185">
        <v>2028</v>
      </c>
      <c r="H51" s="185">
        <v>2029</v>
      </c>
      <c r="I51" s="71"/>
      <c r="J51" s="71"/>
    </row>
    <row r="52" spans="1:14" ht="15.75" customHeight="1">
      <c r="A52" s="184" t="s">
        <v>175</v>
      </c>
      <c r="B52" s="184"/>
      <c r="C52" s="191">
        <v>173124728</v>
      </c>
      <c r="D52" s="27"/>
      <c r="E52" s="27"/>
      <c r="F52" s="27"/>
      <c r="G52" s="27"/>
      <c r="H52" s="27"/>
      <c r="I52" s="71"/>
      <c r="J52" s="71"/>
    </row>
    <row r="53" spans="1:14" ht="15.75" customHeight="1">
      <c r="A53" s="184" t="s">
        <v>176</v>
      </c>
      <c r="B53" s="186"/>
      <c r="C53" s="187"/>
      <c r="D53" s="191">
        <v>39053289</v>
      </c>
      <c r="E53" s="191">
        <v>113158583</v>
      </c>
      <c r="F53" s="191">
        <v>195330274</v>
      </c>
      <c r="G53" s="191">
        <v>263793502</v>
      </c>
      <c r="H53" s="191">
        <v>392346518</v>
      </c>
      <c r="I53" s="71"/>
      <c r="J53" s="71"/>
    </row>
    <row r="54" spans="1:14" ht="15.75" customHeight="1">
      <c r="A54" s="184" t="s">
        <v>177</v>
      </c>
      <c r="B54" s="186"/>
      <c r="C54" s="192">
        <f>-C52</f>
        <v>-173124728</v>
      </c>
      <c r="D54" s="188">
        <f t="shared" ref="D54:H54" si="3">C54+D53</f>
        <v>-134071439</v>
      </c>
      <c r="E54" s="191">
        <f t="shared" si="3"/>
        <v>-20912856</v>
      </c>
      <c r="F54" s="189">
        <f t="shared" si="3"/>
        <v>174417418</v>
      </c>
      <c r="G54" s="189">
        <f t="shared" si="3"/>
        <v>438210920</v>
      </c>
      <c r="H54" s="189">
        <f t="shared" si="3"/>
        <v>830557438</v>
      </c>
      <c r="I54" s="71"/>
      <c r="J54" s="71"/>
    </row>
    <row r="55" spans="1:14" ht="15.75" customHeight="1">
      <c r="A55" s="190" t="s">
        <v>178</v>
      </c>
      <c r="B55" s="186"/>
      <c r="C55" s="71"/>
      <c r="D55" s="71"/>
      <c r="E55" s="71"/>
      <c r="F55" s="71"/>
      <c r="G55" s="71"/>
      <c r="H55" s="71"/>
      <c r="I55" s="71"/>
      <c r="J55" s="52">
        <f>((C52-D53)/E53)+1</f>
        <v>2.1848101615058226</v>
      </c>
    </row>
    <row r="56" spans="1:14" ht="15.75" customHeight="1">
      <c r="A56" s="71"/>
      <c r="B56" s="71"/>
      <c r="C56" s="71"/>
      <c r="D56" s="71"/>
      <c r="E56" s="71"/>
      <c r="F56" s="71"/>
      <c r="G56" s="71"/>
      <c r="H56" s="71"/>
      <c r="I56" s="71"/>
      <c r="J56" s="190">
        <v>2.1800000000000002</v>
      </c>
    </row>
    <row r="57" spans="1:14" ht="15.75" customHeight="1"/>
    <row r="58" spans="1:14" ht="15.75" customHeight="1"/>
    <row r="59" spans="1:14" ht="15.75" customHeight="1"/>
    <row r="60" spans="1:14" ht="15.75" customHeight="1"/>
    <row r="61" spans="1:14" ht="15.75" customHeight="1"/>
    <row r="62" spans="1:14" ht="15.75" customHeight="1"/>
    <row r="63" spans="1:14" ht="15.75" customHeight="1"/>
    <row r="64" spans="1: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16">
    <mergeCell ref="AB31:AC34"/>
    <mergeCell ref="N6:W8"/>
    <mergeCell ref="N10:W15"/>
    <mergeCell ref="N17:W18"/>
    <mergeCell ref="N20:W22"/>
    <mergeCell ref="N24:W28"/>
    <mergeCell ref="A47:B47"/>
    <mergeCell ref="O44:T44"/>
    <mergeCell ref="E11:F11"/>
    <mergeCell ref="C12:D12"/>
    <mergeCell ref="E12:F12"/>
    <mergeCell ref="A12:B12"/>
    <mergeCell ref="G12:H12"/>
    <mergeCell ref="I12:J12"/>
    <mergeCell ref="K12:L12"/>
    <mergeCell ref="C10:D10"/>
    <mergeCell ref="E10:F10"/>
    <mergeCell ref="G10:H10"/>
    <mergeCell ref="I10:J10"/>
    <mergeCell ref="G11:H11"/>
    <mergeCell ref="I11:J11"/>
    <mergeCell ref="K11:L11"/>
    <mergeCell ref="E4:F4"/>
    <mergeCell ref="G4:H4"/>
    <mergeCell ref="G5:H5"/>
    <mergeCell ref="I5:J5"/>
    <mergeCell ref="I4:J4"/>
    <mergeCell ref="K4:L4"/>
    <mergeCell ref="G17:H17"/>
    <mergeCell ref="I17:J17"/>
    <mergeCell ref="A16:B16"/>
    <mergeCell ref="C16:D16"/>
    <mergeCell ref="E16:F16"/>
    <mergeCell ref="G16:H16"/>
    <mergeCell ref="I16:J16"/>
    <mergeCell ref="A14:L14"/>
    <mergeCell ref="A13:B13"/>
    <mergeCell ref="A15:B15"/>
    <mergeCell ref="C15:D15"/>
    <mergeCell ref="E15:F15"/>
    <mergeCell ref="G15:H15"/>
    <mergeCell ref="I15:J15"/>
    <mergeCell ref="K15:L15"/>
    <mergeCell ref="C13:D13"/>
    <mergeCell ref="E13:F13"/>
    <mergeCell ref="G13:H13"/>
    <mergeCell ref="K1:L1"/>
    <mergeCell ref="A3:B3"/>
    <mergeCell ref="K3:L3"/>
    <mergeCell ref="G3:H3"/>
    <mergeCell ref="I3:J3"/>
    <mergeCell ref="A1:B1"/>
    <mergeCell ref="C1:D1"/>
    <mergeCell ref="E1:F1"/>
    <mergeCell ref="G1:H1"/>
    <mergeCell ref="I1:J1"/>
    <mergeCell ref="C3:D3"/>
    <mergeCell ref="E3:F3"/>
    <mergeCell ref="A2:B2"/>
    <mergeCell ref="C2:D2"/>
    <mergeCell ref="E2:F2"/>
    <mergeCell ref="G2:H2"/>
    <mergeCell ref="I2:J2"/>
    <mergeCell ref="K2:L2"/>
    <mergeCell ref="A9:B9"/>
    <mergeCell ref="C9:D9"/>
    <mergeCell ref="E9:F9"/>
    <mergeCell ref="G9:H9"/>
    <mergeCell ref="I9:J9"/>
    <mergeCell ref="K9:L9"/>
    <mergeCell ref="A8:B8"/>
    <mergeCell ref="C8:D8"/>
    <mergeCell ref="E8:F8"/>
    <mergeCell ref="G8:H8"/>
    <mergeCell ref="I8:J8"/>
    <mergeCell ref="A31:B31"/>
    <mergeCell ref="A32:B32"/>
    <mergeCell ref="A33:B33"/>
    <mergeCell ref="A30:B30"/>
    <mergeCell ref="C30:D30"/>
    <mergeCell ref="E33:F33"/>
    <mergeCell ref="C33:D33"/>
    <mergeCell ref="A10:B10"/>
    <mergeCell ref="K10:L10"/>
    <mergeCell ref="C17:D17"/>
    <mergeCell ref="E17:F17"/>
    <mergeCell ref="A18:B18"/>
    <mergeCell ref="C18:D18"/>
    <mergeCell ref="E18:F18"/>
    <mergeCell ref="G18:H18"/>
    <mergeCell ref="I18:J18"/>
    <mergeCell ref="K18:L18"/>
    <mergeCell ref="K16:L16"/>
    <mergeCell ref="A17:B17"/>
    <mergeCell ref="K17:L17"/>
    <mergeCell ref="I13:J13"/>
    <mergeCell ref="K13:L13"/>
    <mergeCell ref="A11:B11"/>
    <mergeCell ref="C11:D11"/>
    <mergeCell ref="N3:O3"/>
    <mergeCell ref="K31:L31"/>
    <mergeCell ref="E32:F32"/>
    <mergeCell ref="G32:H32"/>
    <mergeCell ref="I32:J32"/>
    <mergeCell ref="K32:L32"/>
    <mergeCell ref="C31:D31"/>
    <mergeCell ref="C32:D32"/>
    <mergeCell ref="E30:F30"/>
    <mergeCell ref="E31:F31"/>
    <mergeCell ref="K8:L8"/>
    <mergeCell ref="K5:L5"/>
    <mergeCell ref="A6:L6"/>
    <mergeCell ref="C7:D7"/>
    <mergeCell ref="E7:F7"/>
    <mergeCell ref="G7:H7"/>
    <mergeCell ref="I7:J7"/>
    <mergeCell ref="K7:L7"/>
    <mergeCell ref="A7:B7"/>
    <mergeCell ref="A4:B4"/>
    <mergeCell ref="C4:D4"/>
    <mergeCell ref="A5:B5"/>
    <mergeCell ref="C5:D5"/>
    <mergeCell ref="E5:F5"/>
    <mergeCell ref="E34:F34"/>
    <mergeCell ref="A45:B45"/>
    <mergeCell ref="E46:F46"/>
    <mergeCell ref="E37:F37"/>
    <mergeCell ref="C34:D34"/>
    <mergeCell ref="A44:B44"/>
    <mergeCell ref="C44:D44"/>
    <mergeCell ref="E44:F44"/>
    <mergeCell ref="G33:H33"/>
    <mergeCell ref="A46:B46"/>
    <mergeCell ref="E45:F45"/>
    <mergeCell ref="C46:D46"/>
    <mergeCell ref="G45:H45"/>
    <mergeCell ref="I45:J45"/>
    <mergeCell ref="K45:L45"/>
    <mergeCell ref="A35:B35"/>
    <mergeCell ref="E35:F35"/>
    <mergeCell ref="G35:H35"/>
    <mergeCell ref="I35:J35"/>
    <mergeCell ref="K35:L35"/>
    <mergeCell ref="C35:D35"/>
    <mergeCell ref="C36:D36"/>
    <mergeCell ref="C45:D45"/>
    <mergeCell ref="G30:H30"/>
    <mergeCell ref="I30:J30"/>
    <mergeCell ref="K30:L30"/>
    <mergeCell ref="M30:N30"/>
    <mergeCell ref="M31:N31"/>
    <mergeCell ref="M32:N32"/>
    <mergeCell ref="M33:N33"/>
    <mergeCell ref="M35:N35"/>
    <mergeCell ref="M45:N45"/>
    <mergeCell ref="G31:H31"/>
    <mergeCell ref="I31:J31"/>
    <mergeCell ref="I33:J33"/>
    <mergeCell ref="K33:L33"/>
    <mergeCell ref="G34:H34"/>
    <mergeCell ref="I34:J34"/>
    <mergeCell ref="K34:L34"/>
    <mergeCell ref="M34:N34"/>
    <mergeCell ref="A38:B38"/>
    <mergeCell ref="C38:D38"/>
    <mergeCell ref="E38:F38"/>
    <mergeCell ref="G38:H38"/>
    <mergeCell ref="I38:J38"/>
    <mergeCell ref="K38:L38"/>
    <mergeCell ref="M38:N38"/>
    <mergeCell ref="K36:L36"/>
    <mergeCell ref="M36:N36"/>
    <mergeCell ref="A37:B37"/>
    <mergeCell ref="C37:D37"/>
    <mergeCell ref="G37:H37"/>
    <mergeCell ref="I37:J37"/>
    <mergeCell ref="K37:L37"/>
    <mergeCell ref="M37:N37"/>
    <mergeCell ref="A36:B36"/>
    <mergeCell ref="E36:F36"/>
    <mergeCell ref="G36:H36"/>
    <mergeCell ref="I36:J36"/>
    <mergeCell ref="A34:B34"/>
    <mergeCell ref="K39:L39"/>
    <mergeCell ref="M39:N39"/>
    <mergeCell ref="A39:B39"/>
    <mergeCell ref="A40:B40"/>
    <mergeCell ref="C40:D40"/>
    <mergeCell ref="E40:F40"/>
    <mergeCell ref="G40:H40"/>
    <mergeCell ref="I40:J40"/>
    <mergeCell ref="K40:L40"/>
    <mergeCell ref="M40:N40"/>
    <mergeCell ref="C39:D39"/>
    <mergeCell ref="E39:F39"/>
    <mergeCell ref="G39:H39"/>
    <mergeCell ref="I39:J39"/>
    <mergeCell ref="G44:H44"/>
    <mergeCell ref="I44:J44"/>
    <mergeCell ref="K44:L44"/>
    <mergeCell ref="M44:N44"/>
    <mergeCell ref="A42:N42"/>
    <mergeCell ref="K50:L50"/>
    <mergeCell ref="M50:N50"/>
    <mergeCell ref="A41:N41"/>
    <mergeCell ref="A43:B43"/>
    <mergeCell ref="C43:D43"/>
    <mergeCell ref="E43:F43"/>
    <mergeCell ref="G43:H43"/>
    <mergeCell ref="I43:J43"/>
    <mergeCell ref="K43:L43"/>
    <mergeCell ref="M43:N43"/>
    <mergeCell ref="K46:L46"/>
    <mergeCell ref="M46:N46"/>
    <mergeCell ref="G46:H46"/>
    <mergeCell ref="I46:J46"/>
  </mergeCells>
  <pageMargins left="0.7" right="0.7" top="0.75" bottom="0.75" header="0" footer="0"/>
  <pageSetup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selection activeCell="E7" sqref="E7"/>
    </sheetView>
  </sheetViews>
  <sheetFormatPr defaultRowHeight="15"/>
  <cols>
    <col min="1" max="1" width="28.77734375" customWidth="1"/>
  </cols>
  <sheetData>
    <row r="1" spans="1:17">
      <c r="A1" s="74" t="s">
        <v>119</v>
      </c>
      <c r="B1" s="74"/>
    </row>
    <row r="2" spans="1:17" ht="72" customHeight="1">
      <c r="A2" t="s">
        <v>120</v>
      </c>
      <c r="B2" s="72">
        <v>0.1</v>
      </c>
      <c r="C2" s="155" t="s">
        <v>152</v>
      </c>
      <c r="D2" s="155"/>
      <c r="E2" s="155"/>
      <c r="F2" s="155"/>
      <c r="G2" s="155"/>
      <c r="H2" s="155"/>
      <c r="I2" s="155"/>
      <c r="J2" s="155"/>
      <c r="K2" s="155"/>
      <c r="L2" s="155"/>
      <c r="M2" s="155"/>
      <c r="N2" s="155"/>
      <c r="O2" s="155"/>
      <c r="P2" s="155"/>
      <c r="Q2" s="155"/>
    </row>
    <row r="3" spans="1:17" ht="33" customHeight="1">
      <c r="A3" t="s">
        <v>121</v>
      </c>
      <c r="B3" s="72">
        <v>0.2</v>
      </c>
      <c r="C3" s="172" t="s">
        <v>153</v>
      </c>
      <c r="D3" s="172"/>
      <c r="E3" s="172"/>
      <c r="F3" s="172"/>
    </row>
    <row r="4" spans="1:17" ht="39" customHeight="1">
      <c r="A4" t="s">
        <v>122</v>
      </c>
      <c r="B4" s="72">
        <v>0.03</v>
      </c>
      <c r="C4" s="172" t="s">
        <v>153</v>
      </c>
      <c r="D4" s="172"/>
      <c r="E4" s="172"/>
      <c r="F4" s="172"/>
    </row>
    <row r="5" spans="1:17" ht="45" customHeight="1">
      <c r="A5" t="s">
        <v>125</v>
      </c>
      <c r="B5" s="72">
        <v>0.1</v>
      </c>
      <c r="C5" s="155" t="s">
        <v>157</v>
      </c>
      <c r="D5" s="155"/>
      <c r="E5" s="155"/>
      <c r="F5" s="155"/>
    </row>
    <row r="11" spans="1:17" ht="15" customHeight="1">
      <c r="A11" t="s">
        <v>151</v>
      </c>
      <c r="B11">
        <v>2025</v>
      </c>
      <c r="C11">
        <v>2026</v>
      </c>
      <c r="D11">
        <v>2027</v>
      </c>
      <c r="E11">
        <v>2028</v>
      </c>
      <c r="F11">
        <v>2029</v>
      </c>
      <c r="H11" s="156" t="s">
        <v>142</v>
      </c>
      <c r="I11" s="156"/>
      <c r="J11" s="156"/>
      <c r="K11" s="156"/>
      <c r="L11" s="156"/>
      <c r="M11" s="156"/>
      <c r="N11" s="156"/>
      <c r="O11" s="156"/>
      <c r="P11" s="156"/>
      <c r="Q11" s="156"/>
    </row>
    <row r="12" spans="1:17">
      <c r="A12" t="s">
        <v>141</v>
      </c>
      <c r="B12">
        <v>1.075</v>
      </c>
      <c r="C12">
        <v>1.0649999999999999</v>
      </c>
      <c r="D12">
        <v>1.05</v>
      </c>
      <c r="E12">
        <v>1.05</v>
      </c>
      <c r="F12">
        <v>1.05</v>
      </c>
      <c r="H12" s="156"/>
      <c r="I12" s="156"/>
      <c r="J12" s="156"/>
      <c r="K12" s="156"/>
      <c r="L12" s="156"/>
      <c r="M12" s="156"/>
      <c r="N12" s="156"/>
      <c r="O12" s="156"/>
      <c r="P12" s="156"/>
      <c r="Q12" s="156"/>
    </row>
    <row r="14" spans="1:17">
      <c r="H14" s="155" t="s">
        <v>143</v>
      </c>
      <c r="I14" s="155"/>
      <c r="J14" s="155"/>
      <c r="K14" s="155"/>
      <c r="L14" s="155"/>
      <c r="M14" s="155"/>
      <c r="N14" s="155"/>
      <c r="O14" s="155"/>
      <c r="P14" s="155"/>
    </row>
    <row r="15" spans="1:17">
      <c r="H15" s="155"/>
      <c r="I15" s="155"/>
      <c r="J15" s="155"/>
      <c r="K15" s="155"/>
      <c r="L15" s="155"/>
      <c r="M15" s="155"/>
      <c r="N15" s="155"/>
      <c r="O15" s="155"/>
      <c r="P15" s="155"/>
    </row>
  </sheetData>
  <mergeCells count="6">
    <mergeCell ref="H14:P15"/>
    <mergeCell ref="C2:Q2"/>
    <mergeCell ref="C3:F3"/>
    <mergeCell ref="C4:F4"/>
    <mergeCell ref="H11:Q12"/>
    <mergeCell ref="C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997"/>
  <sheetViews>
    <sheetView workbookViewId="0">
      <selection activeCell="N28" sqref="N28"/>
    </sheetView>
  </sheetViews>
  <sheetFormatPr defaultColWidth="11.21875" defaultRowHeight="15" customHeight="1"/>
  <cols>
    <col min="1" max="1" width="8.33203125" customWidth="1"/>
    <col min="2" max="2" width="17.33203125" customWidth="1"/>
    <col min="3" max="3" width="11.33203125" customWidth="1"/>
    <col min="4" max="4" width="10.88671875" customWidth="1"/>
    <col min="5" max="5" width="10" customWidth="1"/>
    <col min="6" max="6" width="13.88671875" customWidth="1"/>
    <col min="7" max="7" width="14.109375" customWidth="1"/>
    <col min="8" max="8" width="11.109375" customWidth="1"/>
    <col min="9" max="9" width="11.21875" customWidth="1"/>
    <col min="10" max="10" width="10" customWidth="1"/>
    <col min="11" max="11" width="13.5546875" customWidth="1"/>
    <col min="12" max="12" width="13.44140625" customWidth="1"/>
    <col min="13" max="13" width="11" customWidth="1"/>
    <col min="14" max="14" width="10.21875" customWidth="1"/>
    <col min="15" max="15" width="10.44140625" customWidth="1"/>
    <col min="16" max="16" width="13.77734375" customWidth="1"/>
    <col min="17" max="17" width="14.21875" customWidth="1"/>
    <col min="18" max="18" width="10.88671875" customWidth="1"/>
    <col min="19" max="19" width="10.5546875" customWidth="1"/>
    <col min="20" max="20" width="10" customWidth="1"/>
    <col min="21" max="21" width="13.6640625" customWidth="1"/>
    <col min="22" max="22" width="14" customWidth="1"/>
    <col min="23" max="23" width="10.6640625" customWidth="1"/>
    <col min="24" max="24" width="10.44140625" customWidth="1"/>
    <col min="25" max="25" width="10" customWidth="1"/>
    <col min="26" max="26" width="16.33203125" customWidth="1"/>
    <col min="27" max="27" width="13.77734375" customWidth="1"/>
  </cols>
  <sheetData>
    <row r="1" spans="2:27" ht="15.75" customHeight="1"/>
    <row r="2" spans="2:27" ht="15.75" customHeight="1"/>
    <row r="3" spans="2:27" ht="15.75" customHeight="1"/>
    <row r="4" spans="2:27" ht="15.75" customHeight="1">
      <c r="B4" s="14"/>
      <c r="C4" s="126">
        <v>2025</v>
      </c>
      <c r="D4" s="127"/>
      <c r="E4" s="127"/>
      <c r="F4" s="127"/>
      <c r="G4" s="128"/>
      <c r="H4" s="126">
        <v>2026</v>
      </c>
      <c r="I4" s="127"/>
      <c r="J4" s="127"/>
      <c r="K4" s="127"/>
      <c r="L4" s="128"/>
      <c r="M4" s="126">
        <v>2027</v>
      </c>
      <c r="N4" s="127"/>
      <c r="O4" s="127"/>
      <c r="P4" s="127"/>
      <c r="Q4" s="128"/>
      <c r="R4" s="126">
        <v>2028</v>
      </c>
      <c r="S4" s="127"/>
      <c r="T4" s="127"/>
      <c r="U4" s="127"/>
      <c r="V4" s="128"/>
      <c r="W4" s="126">
        <v>2029</v>
      </c>
      <c r="X4" s="127"/>
      <c r="Y4" s="127"/>
      <c r="Z4" s="127"/>
      <c r="AA4" s="128"/>
    </row>
    <row r="5" spans="2:27" ht="15.75" customHeight="1">
      <c r="B5" s="15" t="s">
        <v>39</v>
      </c>
      <c r="C5" s="15" t="s">
        <v>40</v>
      </c>
      <c r="D5" s="15" t="s">
        <v>41</v>
      </c>
      <c r="E5" s="15" t="s">
        <v>42</v>
      </c>
      <c r="F5" s="16" t="s">
        <v>43</v>
      </c>
      <c r="G5" s="15" t="s">
        <v>44</v>
      </c>
      <c r="H5" s="17" t="s">
        <v>40</v>
      </c>
      <c r="I5" s="17" t="s">
        <v>41</v>
      </c>
      <c r="J5" s="17" t="s">
        <v>42</v>
      </c>
      <c r="K5" s="17" t="s">
        <v>43</v>
      </c>
      <c r="L5" s="17" t="s">
        <v>44</v>
      </c>
      <c r="M5" s="17" t="s">
        <v>40</v>
      </c>
      <c r="N5" s="17" t="s">
        <v>41</v>
      </c>
      <c r="O5" s="17" t="s">
        <v>42</v>
      </c>
      <c r="P5" s="17" t="s">
        <v>43</v>
      </c>
      <c r="Q5" s="17" t="s">
        <v>44</v>
      </c>
      <c r="R5" s="17" t="s">
        <v>40</v>
      </c>
      <c r="S5" s="17" t="s">
        <v>41</v>
      </c>
      <c r="T5" s="17" t="s">
        <v>42</v>
      </c>
      <c r="U5" s="17" t="s">
        <v>43</v>
      </c>
      <c r="V5" s="17" t="s">
        <v>44</v>
      </c>
      <c r="W5" s="17" t="s">
        <v>40</v>
      </c>
      <c r="X5" s="17" t="s">
        <v>41</v>
      </c>
      <c r="Y5" s="17" t="s">
        <v>42</v>
      </c>
      <c r="Z5" s="17" t="s">
        <v>43</v>
      </c>
      <c r="AA5" s="17" t="s">
        <v>44</v>
      </c>
    </row>
    <row r="6" spans="2:27" ht="15.75" customHeight="1">
      <c r="B6" s="18" t="s">
        <v>45</v>
      </c>
      <c r="C6" s="19">
        <v>100000</v>
      </c>
      <c r="D6" s="19">
        <f>'Cost Per Unit'!C7</f>
        <v>47604.166666666664</v>
      </c>
      <c r="E6" s="20">
        <v>1440</v>
      </c>
      <c r="F6" s="21">
        <f>E6*C6</f>
        <v>144000000</v>
      </c>
      <c r="G6" s="21">
        <f t="shared" ref="G6:G8" si="0">E6*D6</f>
        <v>68550000</v>
      </c>
      <c r="H6" s="21">
        <f t="shared" ref="H6:H8" si="1">C6+(C6*0.1)</f>
        <v>110000</v>
      </c>
      <c r="I6" s="21">
        <f>'Cost Per Unit'!G7</f>
        <v>52295.852468427096</v>
      </c>
      <c r="J6" s="20">
        <f>D18</f>
        <v>3484</v>
      </c>
      <c r="K6" s="21">
        <f t="shared" ref="K6:K8" si="2">J6*H6</f>
        <v>383240000</v>
      </c>
      <c r="L6" s="21">
        <f t="shared" ref="L6:L8" si="3">I6*J6</f>
        <v>182198750</v>
      </c>
      <c r="M6" s="21">
        <f t="shared" ref="M6:M8" si="4">H6+(H6*0.1)</f>
        <v>121000</v>
      </c>
      <c r="N6" s="21">
        <f>'Cost Per Unit'!K7</f>
        <v>57503.666216631915</v>
      </c>
      <c r="O6" s="176">
        <f>E18</f>
        <v>5851.4000000000005</v>
      </c>
      <c r="P6" s="21">
        <f t="shared" ref="P6:P8" si="5">O6*M6</f>
        <v>708019400.00000012</v>
      </c>
      <c r="Q6" s="21">
        <f t="shared" ref="Q6:Q8" si="6">O6*N6</f>
        <v>336476952.5</v>
      </c>
      <c r="R6" s="21">
        <f t="shared" ref="R6:R8" si="7">M6+(M6*0.1)</f>
        <v>133100</v>
      </c>
      <c r="S6" s="21">
        <f>'Cost Per Unit'!O7</f>
        <v>63249.605940935384</v>
      </c>
      <c r="T6" s="176">
        <f>F18</f>
        <v>6497.630000000001</v>
      </c>
      <c r="U6" s="21">
        <f t="shared" ref="U6:U8" si="8">T6*R6</f>
        <v>864834553.00000012</v>
      </c>
      <c r="V6" s="21">
        <f t="shared" ref="V6:V8" si="9">T6*S6</f>
        <v>410972537.05000007</v>
      </c>
      <c r="W6" s="21">
        <f t="shared" ref="W6:W8" si="10">R6+(R6*0.1)</f>
        <v>146410</v>
      </c>
      <c r="X6" s="21">
        <f>'Cost Per Unit'!S7</f>
        <v>69570.379264291973</v>
      </c>
      <c r="Y6" s="176">
        <f>G18</f>
        <v>7215.6029000000017</v>
      </c>
      <c r="Z6" s="21">
        <f t="shared" ref="Z6:Z8" si="11">Y6*W6</f>
        <v>1056436420.5890002</v>
      </c>
      <c r="AA6" s="21">
        <f t="shared" ref="AA6:AA8" si="12">Y6*X6</f>
        <v>501992230.37352514</v>
      </c>
    </row>
    <row r="7" spans="2:27" ht="15.75" customHeight="1">
      <c r="B7" s="18" t="s">
        <v>46</v>
      </c>
      <c r="C7" s="19">
        <v>9000</v>
      </c>
      <c r="D7" s="19">
        <f>'Cost Per Unit'!C8</f>
        <v>8000</v>
      </c>
      <c r="E7" s="20">
        <f>E6/4</f>
        <v>360</v>
      </c>
      <c r="F7" s="21">
        <f>E7*C7</f>
        <v>3240000</v>
      </c>
      <c r="G7" s="21">
        <f t="shared" si="0"/>
        <v>2880000</v>
      </c>
      <c r="H7" s="21">
        <f t="shared" si="1"/>
        <v>9900</v>
      </c>
      <c r="I7" s="21">
        <f>'Cost Per Unit'!G8</f>
        <v>8800</v>
      </c>
      <c r="J7" s="20">
        <f>J6/4</f>
        <v>871</v>
      </c>
      <c r="K7" s="21">
        <f t="shared" si="2"/>
        <v>8622900</v>
      </c>
      <c r="L7" s="21">
        <f t="shared" si="3"/>
        <v>7664800</v>
      </c>
      <c r="M7" s="21">
        <f t="shared" si="4"/>
        <v>10890</v>
      </c>
      <c r="N7" s="21">
        <f>'Cost Per Unit'!K8</f>
        <v>9680</v>
      </c>
      <c r="O7" s="20">
        <f>O6/4</f>
        <v>1462.8500000000001</v>
      </c>
      <c r="P7" s="21">
        <f t="shared" si="5"/>
        <v>15930436.500000002</v>
      </c>
      <c r="Q7" s="21">
        <f t="shared" si="6"/>
        <v>14160388.000000002</v>
      </c>
      <c r="R7" s="21">
        <f t="shared" si="7"/>
        <v>11979</v>
      </c>
      <c r="S7" s="21">
        <f>'Cost Per Unit'!O8</f>
        <v>10648</v>
      </c>
      <c r="T7" s="176">
        <f>T6/4</f>
        <v>1624.4075000000003</v>
      </c>
      <c r="U7" s="21">
        <f t="shared" si="8"/>
        <v>19458777.442500003</v>
      </c>
      <c r="V7" s="21">
        <f t="shared" si="9"/>
        <v>17296691.060000002</v>
      </c>
      <c r="W7" s="21">
        <f t="shared" si="10"/>
        <v>13176.9</v>
      </c>
      <c r="X7" s="21">
        <f>'Cost Per Unit'!S8</f>
        <v>11713</v>
      </c>
      <c r="Y7" s="176">
        <f>Y6/4</f>
        <v>1803.9007250000004</v>
      </c>
      <c r="Z7" s="21">
        <f t="shared" si="11"/>
        <v>23769819.463252503</v>
      </c>
      <c r="AA7" s="21">
        <f t="shared" si="12"/>
        <v>21129089.191925004</v>
      </c>
    </row>
    <row r="8" spans="2:27" ht="15.75" customHeight="1">
      <c r="B8" s="18" t="s">
        <v>47</v>
      </c>
      <c r="C8" s="19">
        <v>25000</v>
      </c>
      <c r="D8" s="19">
        <f>'Cost Per Unit'!C9</f>
        <v>7000</v>
      </c>
      <c r="E8" s="20">
        <f>E6/5</f>
        <v>288</v>
      </c>
      <c r="F8" s="21">
        <f>E8*C8</f>
        <v>7200000</v>
      </c>
      <c r="G8" s="21">
        <f t="shared" si="0"/>
        <v>2016000</v>
      </c>
      <c r="H8" s="21">
        <f t="shared" si="1"/>
        <v>27500</v>
      </c>
      <c r="I8" s="21">
        <f>D8+(D8*0.1)</f>
        <v>7700</v>
      </c>
      <c r="J8" s="176">
        <f>J6/5</f>
        <v>696.8</v>
      </c>
      <c r="K8" s="21">
        <f t="shared" si="2"/>
        <v>19162000</v>
      </c>
      <c r="L8" s="21">
        <f t="shared" si="3"/>
        <v>5365360</v>
      </c>
      <c r="M8" s="21">
        <f t="shared" si="4"/>
        <v>30250</v>
      </c>
      <c r="N8" s="21">
        <f>I8+(I8*0.1)</f>
        <v>8470</v>
      </c>
      <c r="O8" s="176">
        <f>O6/5</f>
        <v>1170.2800000000002</v>
      </c>
      <c r="P8" s="21">
        <f t="shared" si="5"/>
        <v>35400970.000000007</v>
      </c>
      <c r="Q8" s="21">
        <f t="shared" si="6"/>
        <v>9912271.6000000015</v>
      </c>
      <c r="R8" s="21">
        <f t="shared" si="7"/>
        <v>33275</v>
      </c>
      <c r="S8" s="21">
        <f>N8+(N8*0.1)</f>
        <v>9317</v>
      </c>
      <c r="T8" s="176">
        <f>T6/5</f>
        <v>1299.5260000000003</v>
      </c>
      <c r="U8" s="21">
        <f t="shared" si="8"/>
        <v>43241727.650000013</v>
      </c>
      <c r="V8" s="21">
        <f t="shared" si="9"/>
        <v>12107683.742000002</v>
      </c>
      <c r="W8" s="21">
        <f t="shared" si="10"/>
        <v>36602.5</v>
      </c>
      <c r="X8" s="21">
        <f>S8+(S8*0.1)</f>
        <v>10248.700000000001</v>
      </c>
      <c r="Y8" s="176">
        <f>Y6/5</f>
        <v>1443.1205800000002</v>
      </c>
      <c r="Z8" s="21">
        <f t="shared" si="11"/>
        <v>52821821.029450007</v>
      </c>
      <c r="AA8" s="21">
        <f t="shared" si="12"/>
        <v>14790109.888246004</v>
      </c>
    </row>
    <row r="9" spans="2:27" ht="15.75" customHeight="1">
      <c r="B9" s="22" t="s">
        <v>48</v>
      </c>
      <c r="C9" s="21"/>
      <c r="D9" s="21"/>
      <c r="E9" s="23">
        <f>SUM(E5:E8)</f>
        <v>2088</v>
      </c>
      <c r="F9" s="24">
        <f t="shared" ref="F9:G9" si="13">SUM(F6:F8)</f>
        <v>154440000</v>
      </c>
      <c r="G9" s="24">
        <f t="shared" si="13"/>
        <v>73446000</v>
      </c>
      <c r="H9" s="21"/>
      <c r="I9" s="21"/>
      <c r="J9" s="25">
        <f>SUM(J5:J8)</f>
        <v>5051.8</v>
      </c>
      <c r="K9" s="24">
        <f>SUM(K6:K8)</f>
        <v>411024900</v>
      </c>
      <c r="L9" s="24">
        <f t="shared" ref="L9" si="14">SUM(L6:L8)</f>
        <v>195228910</v>
      </c>
      <c r="M9" s="21"/>
      <c r="N9" s="21"/>
      <c r="O9" s="25">
        <f>SUM(O5:O8)</f>
        <v>8484.5300000000007</v>
      </c>
      <c r="P9" s="24">
        <f t="shared" ref="P9:Q9" si="15">SUM(P6:P8)</f>
        <v>759350806.50000012</v>
      </c>
      <c r="Q9" s="24">
        <f t="shared" si="15"/>
        <v>360549612.10000002</v>
      </c>
      <c r="R9" s="21"/>
      <c r="S9" s="21"/>
      <c r="T9" s="25">
        <f>SUM(T5:T8)</f>
        <v>9421.563500000002</v>
      </c>
      <c r="U9" s="24">
        <f t="shared" ref="U9:V9" si="16">SUM(U6:U8)</f>
        <v>927535058.09250009</v>
      </c>
      <c r="V9" s="24">
        <f t="shared" si="16"/>
        <v>440376911.85200006</v>
      </c>
      <c r="W9" s="21"/>
      <c r="X9" s="21"/>
      <c r="Y9" s="25">
        <f>SUM(Y5:Y8)</f>
        <v>10462.624205000002</v>
      </c>
      <c r="Z9" s="24">
        <f t="shared" ref="Z9:AA9" si="17">SUM(Z6:Z8)</f>
        <v>1133028061.0817027</v>
      </c>
      <c r="AA9" s="24">
        <f t="shared" si="17"/>
        <v>537911429.45369613</v>
      </c>
    </row>
    <row r="10" spans="2:27" ht="15.75" customHeight="1">
      <c r="E10" s="26"/>
      <c r="F10" s="27"/>
    </row>
    <row r="11" spans="2:27" ht="15.75" customHeight="1">
      <c r="B11" s="13"/>
    </row>
    <row r="12" spans="2:27" ht="15.75" customHeight="1">
      <c r="B12" s="13"/>
      <c r="C12" s="13"/>
    </row>
    <row r="13" spans="2:27" ht="15.75" customHeight="1"/>
    <row r="14" spans="2:27" ht="15.75" customHeight="1">
      <c r="B14" s="166" t="s">
        <v>161</v>
      </c>
      <c r="C14" s="166">
        <v>2025</v>
      </c>
      <c r="D14" s="166">
        <v>2026</v>
      </c>
      <c r="E14" s="166">
        <v>2027</v>
      </c>
      <c r="F14" s="166">
        <v>2028</v>
      </c>
      <c r="G14" s="166">
        <v>2029</v>
      </c>
    </row>
    <row r="15" spans="2:27" ht="15.75" customHeight="1">
      <c r="B15" t="s">
        <v>158</v>
      </c>
      <c r="C15" s="178">
        <v>1440</v>
      </c>
      <c r="D15" s="178">
        <f>C15*1.1</f>
        <v>1584.0000000000002</v>
      </c>
      <c r="E15" s="178">
        <f t="shared" ref="E15:G15" si="18">D15*1.1</f>
        <v>1742.4000000000003</v>
      </c>
      <c r="F15" s="178">
        <f t="shared" si="18"/>
        <v>1916.6400000000006</v>
      </c>
      <c r="G15" s="178">
        <f t="shared" si="18"/>
        <v>2108.304000000001</v>
      </c>
    </row>
    <row r="16" spans="2:27" ht="15.75" customHeight="1">
      <c r="B16" t="s">
        <v>159</v>
      </c>
      <c r="C16" s="178">
        <v>0</v>
      </c>
      <c r="D16" s="178">
        <v>1900</v>
      </c>
      <c r="E16" s="178">
        <f>D16*1.11</f>
        <v>2109</v>
      </c>
      <c r="F16" s="178">
        <f t="shared" ref="F16:G16" si="19">E16*1.11</f>
        <v>2340.9900000000002</v>
      </c>
      <c r="G16" s="178">
        <f t="shared" si="19"/>
        <v>2598.4989000000005</v>
      </c>
    </row>
    <row r="17" spans="2:7" ht="15.75" customHeight="1">
      <c r="B17" t="s">
        <v>160</v>
      </c>
      <c r="C17" s="178">
        <v>0</v>
      </c>
      <c r="D17" s="178">
        <v>0</v>
      </c>
      <c r="E17" s="178">
        <v>2000</v>
      </c>
      <c r="F17" s="178">
        <f>E17*1.12</f>
        <v>2240</v>
      </c>
      <c r="G17" s="178">
        <f>F17*1.12</f>
        <v>2508.8000000000002</v>
      </c>
    </row>
    <row r="18" spans="2:7" ht="15.75" customHeight="1">
      <c r="B18" s="166" t="s">
        <v>48</v>
      </c>
      <c r="C18" s="175">
        <f>C15+C16+C17</f>
        <v>1440</v>
      </c>
      <c r="D18" s="175">
        <f t="shared" ref="D18:G18" si="20">D15+D16+D17</f>
        <v>3484</v>
      </c>
      <c r="E18" s="175">
        <f t="shared" si="20"/>
        <v>5851.4000000000005</v>
      </c>
      <c r="F18" s="175">
        <f t="shared" si="20"/>
        <v>6497.630000000001</v>
      </c>
      <c r="G18" s="175">
        <f t="shared" si="20"/>
        <v>7215.6029000000017</v>
      </c>
    </row>
    <row r="19" spans="2:7" ht="15.75" customHeight="1"/>
    <row r="20" spans="2:7" ht="15.75" customHeight="1"/>
    <row r="21" spans="2:7" ht="15.75" customHeight="1">
      <c r="B21" s="155" t="s">
        <v>162</v>
      </c>
      <c r="C21" s="155"/>
      <c r="D21" s="155"/>
      <c r="E21" s="155"/>
      <c r="F21" s="155"/>
      <c r="G21" s="155"/>
    </row>
    <row r="22" spans="2:7" ht="15.75" customHeight="1">
      <c r="B22" s="155"/>
      <c r="C22" s="155"/>
      <c r="D22" s="155"/>
      <c r="E22" s="155"/>
      <c r="F22" s="155"/>
      <c r="G22" s="155"/>
    </row>
    <row r="23" spans="2:7" ht="15.75" customHeight="1">
      <c r="B23" s="155"/>
      <c r="C23" s="155"/>
      <c r="D23" s="155"/>
      <c r="E23" s="155"/>
      <c r="F23" s="155"/>
      <c r="G23" s="155"/>
    </row>
    <row r="24" spans="2:7" ht="15.75" customHeight="1"/>
    <row r="25" spans="2:7" ht="15.75" customHeight="1">
      <c r="B25" s="155" t="s">
        <v>163</v>
      </c>
      <c r="C25" s="155"/>
      <c r="D25" s="155"/>
      <c r="E25" s="155"/>
      <c r="F25" s="155"/>
      <c r="G25" s="155"/>
    </row>
    <row r="26" spans="2:7" ht="15.75" customHeight="1">
      <c r="B26" s="155"/>
      <c r="C26" s="155"/>
      <c r="D26" s="155"/>
      <c r="E26" s="155"/>
      <c r="F26" s="155"/>
      <c r="G26" s="155"/>
    </row>
    <row r="27" spans="2:7" ht="15.75" customHeight="1"/>
    <row r="28" spans="2:7" ht="15.75" customHeight="1"/>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7">
    <mergeCell ref="B21:G23"/>
    <mergeCell ref="B25:G26"/>
    <mergeCell ref="W4:AA4"/>
    <mergeCell ref="R4:V4"/>
    <mergeCell ref="M4:Q4"/>
    <mergeCell ref="H4:L4"/>
    <mergeCell ref="C4:G4"/>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996"/>
  <sheetViews>
    <sheetView workbookViewId="0">
      <selection activeCell="I32" sqref="I32"/>
    </sheetView>
  </sheetViews>
  <sheetFormatPr defaultColWidth="11.21875" defaultRowHeight="15" customHeight="1"/>
  <cols>
    <col min="1" max="1" width="8.33203125" customWidth="1"/>
    <col min="2" max="2" width="30.21875" customWidth="1"/>
    <col min="3" max="5" width="16.21875" customWidth="1"/>
    <col min="6" max="6" width="20.21875" customWidth="1"/>
    <col min="7" max="16" width="16.21875" customWidth="1"/>
    <col min="17" max="17" width="17.88671875" customWidth="1"/>
    <col min="18" max="18" width="20.44140625" customWidth="1"/>
    <col min="19" max="19" width="16.44140625" customWidth="1"/>
    <col min="20" max="20" width="16.88671875" customWidth="1"/>
    <col min="21" max="21" width="16.6640625" customWidth="1"/>
    <col min="22" max="22" width="20.21875" customWidth="1"/>
    <col min="23" max="28" width="8.33203125" customWidth="1"/>
  </cols>
  <sheetData>
    <row r="1" spans="2:22" ht="15.75" customHeight="1"/>
    <row r="2" spans="2:22" ht="15.75" customHeight="1"/>
    <row r="3" spans="2:22" ht="15.75" customHeight="1"/>
    <row r="4" spans="2:22" ht="15.75" customHeight="1"/>
    <row r="5" spans="2:22" ht="15.75" customHeight="1">
      <c r="B5" s="28" t="s">
        <v>137</v>
      </c>
      <c r="C5" s="29">
        <v>2025</v>
      </c>
      <c r="D5" s="30">
        <f t="shared" ref="D5:G5" si="0">C5+1</f>
        <v>2026</v>
      </c>
      <c r="E5" s="30">
        <f t="shared" si="0"/>
        <v>2027</v>
      </c>
      <c r="F5" s="30">
        <f t="shared" si="0"/>
        <v>2028</v>
      </c>
      <c r="G5" s="30">
        <f t="shared" si="0"/>
        <v>2029</v>
      </c>
      <c r="J5" s="31"/>
    </row>
    <row r="6" spans="2:22" ht="15.75" customHeight="1">
      <c r="B6" s="32" t="s">
        <v>49</v>
      </c>
      <c r="C6" s="32">
        <v>1</v>
      </c>
      <c r="D6" s="32">
        <v>2</v>
      </c>
      <c r="E6" s="32">
        <v>3</v>
      </c>
      <c r="F6" s="32">
        <v>3</v>
      </c>
      <c r="G6" s="32">
        <v>3</v>
      </c>
    </row>
    <row r="7" spans="2:22" ht="15.75" customHeight="1">
      <c r="B7" s="28" t="s">
        <v>136</v>
      </c>
      <c r="C7" s="29">
        <v>2025</v>
      </c>
      <c r="D7" s="29">
        <f t="shared" ref="D7:G7" si="1">C7+1</f>
        <v>2026</v>
      </c>
      <c r="E7" s="29">
        <f t="shared" si="1"/>
        <v>2027</v>
      </c>
      <c r="F7" s="29">
        <f t="shared" si="1"/>
        <v>2028</v>
      </c>
      <c r="G7" s="29">
        <f t="shared" si="1"/>
        <v>2029</v>
      </c>
    </row>
    <row r="8" spans="2:22" ht="15.75" customHeight="1">
      <c r="B8" s="32" t="s">
        <v>71</v>
      </c>
      <c r="C8" s="32">
        <v>1</v>
      </c>
      <c r="D8" s="32">
        <v>1</v>
      </c>
      <c r="E8" s="32">
        <v>2</v>
      </c>
      <c r="F8" s="32">
        <v>2</v>
      </c>
      <c r="G8" s="32">
        <v>2</v>
      </c>
    </row>
    <row r="9" spans="2:22" ht="15.75" customHeight="1">
      <c r="B9" s="32" t="s">
        <v>50</v>
      </c>
      <c r="C9" s="32">
        <v>1</v>
      </c>
      <c r="D9" s="32">
        <v>1</v>
      </c>
      <c r="E9" s="32">
        <v>1</v>
      </c>
      <c r="F9" s="32">
        <v>1</v>
      </c>
      <c r="G9" s="32">
        <v>1</v>
      </c>
    </row>
    <row r="10" spans="2:22" ht="15.75" customHeight="1">
      <c r="B10" s="152" t="s">
        <v>138</v>
      </c>
      <c r="C10" s="32">
        <v>1</v>
      </c>
      <c r="D10" s="32">
        <v>2</v>
      </c>
      <c r="E10" s="32">
        <v>3</v>
      </c>
      <c r="F10" s="32">
        <v>4</v>
      </c>
      <c r="G10" s="32">
        <v>5</v>
      </c>
    </row>
    <row r="11" spans="2:22" ht="15.75" customHeight="1">
      <c r="B11" s="32" t="s">
        <v>51</v>
      </c>
      <c r="C11" s="32">
        <v>1</v>
      </c>
      <c r="D11" s="32">
        <v>2</v>
      </c>
      <c r="E11" s="32">
        <v>3</v>
      </c>
      <c r="F11" s="32">
        <v>4</v>
      </c>
      <c r="G11" s="32">
        <v>5</v>
      </c>
    </row>
    <row r="12" spans="2:22" ht="15.75" customHeight="1">
      <c r="B12" s="28" t="s">
        <v>52</v>
      </c>
      <c r="C12" s="29">
        <v>2025</v>
      </c>
      <c r="D12" s="30">
        <f t="shared" ref="D12:G12" si="2">C12+1</f>
        <v>2026</v>
      </c>
      <c r="E12" s="30">
        <f t="shared" si="2"/>
        <v>2027</v>
      </c>
      <c r="F12" s="30">
        <f t="shared" si="2"/>
        <v>2028</v>
      </c>
      <c r="G12" s="30">
        <f t="shared" si="2"/>
        <v>2029</v>
      </c>
      <c r="Q12" s="33"/>
    </row>
    <row r="13" spans="2:22" ht="15.75" customHeight="1">
      <c r="B13" s="32" t="s">
        <v>53</v>
      </c>
      <c r="C13" s="32">
        <v>1</v>
      </c>
      <c r="D13" s="32">
        <v>1</v>
      </c>
      <c r="E13" s="32">
        <v>1</v>
      </c>
      <c r="F13" s="32">
        <v>1</v>
      </c>
      <c r="G13" s="32">
        <v>1</v>
      </c>
    </row>
    <row r="14" spans="2:22" s="71" customFormat="1" ht="15.75" customHeight="1">
      <c r="B14" s="183" t="s">
        <v>134</v>
      </c>
      <c r="C14" s="182">
        <f>C6+C8+C9+C10+C11+C13</f>
        <v>6</v>
      </c>
      <c r="D14" s="182">
        <f t="shared" ref="D14:G14" si="3">D6+D8+D9+D10+D11+D13</f>
        <v>9</v>
      </c>
      <c r="E14" s="182">
        <f t="shared" si="3"/>
        <v>13</v>
      </c>
      <c r="F14" s="182">
        <f t="shared" si="3"/>
        <v>15</v>
      </c>
      <c r="G14" s="182">
        <f t="shared" si="3"/>
        <v>17</v>
      </c>
    </row>
    <row r="15" spans="2:22" ht="15.75" customHeight="1">
      <c r="B15" s="34"/>
      <c r="C15" s="34"/>
      <c r="D15" s="34"/>
      <c r="E15" s="34"/>
      <c r="F15" s="34"/>
      <c r="G15" s="34"/>
      <c r="H15" s="35"/>
      <c r="I15" s="35"/>
      <c r="J15" s="35"/>
      <c r="K15" s="35"/>
      <c r="L15" s="35"/>
      <c r="M15" s="35"/>
      <c r="N15" s="35"/>
      <c r="O15" s="35"/>
      <c r="P15" s="35"/>
      <c r="Q15" s="35"/>
      <c r="R15" s="35"/>
    </row>
    <row r="16" spans="2:22" ht="15.75" customHeight="1">
      <c r="B16" s="36" t="s">
        <v>54</v>
      </c>
      <c r="C16" s="37" t="s">
        <v>55</v>
      </c>
      <c r="D16" s="38" t="s">
        <v>56</v>
      </c>
      <c r="E16" s="38" t="s">
        <v>57</v>
      </c>
      <c r="F16" s="39" t="s">
        <v>58</v>
      </c>
      <c r="G16" s="37" t="s">
        <v>55</v>
      </c>
      <c r="H16" s="38" t="s">
        <v>59</v>
      </c>
      <c r="I16" s="38" t="s">
        <v>60</v>
      </c>
      <c r="J16" s="39" t="s">
        <v>61</v>
      </c>
      <c r="K16" s="37" t="s">
        <v>55</v>
      </c>
      <c r="L16" s="38" t="s">
        <v>62</v>
      </c>
      <c r="M16" s="38" t="s">
        <v>63</v>
      </c>
      <c r="N16" s="39" t="s">
        <v>64</v>
      </c>
      <c r="O16" s="37" t="s">
        <v>55</v>
      </c>
      <c r="P16" s="38" t="s">
        <v>65</v>
      </c>
      <c r="Q16" s="38" t="s">
        <v>66</v>
      </c>
      <c r="R16" s="39" t="s">
        <v>67</v>
      </c>
      <c r="S16" s="37" t="s">
        <v>55</v>
      </c>
      <c r="T16" s="38" t="s">
        <v>68</v>
      </c>
      <c r="U16" s="38" t="s">
        <v>69</v>
      </c>
      <c r="V16" s="39" t="s">
        <v>70</v>
      </c>
    </row>
    <row r="17" spans="2:28" ht="15.75" customHeight="1">
      <c r="B17" s="32" t="s">
        <v>53</v>
      </c>
      <c r="C17" s="40">
        <f>500000</f>
        <v>500000</v>
      </c>
      <c r="D17" s="32">
        <v>1</v>
      </c>
      <c r="E17" s="41">
        <f t="shared" ref="E17:E22" si="4">C17*D17*12</f>
        <v>6000000</v>
      </c>
      <c r="F17" s="162">
        <f>SUM(E17:E22)</f>
        <v>19920000</v>
      </c>
      <c r="G17" s="40">
        <f>C17*Assumptions!$C$12</f>
        <v>532500</v>
      </c>
      <c r="H17" s="32">
        <v>1</v>
      </c>
      <c r="I17" s="41">
        <f>G17*H17*12</f>
        <v>6390000</v>
      </c>
      <c r="J17" s="162">
        <f>SUM(I17:I22)</f>
        <v>27285300</v>
      </c>
      <c r="K17" s="41">
        <f>G17*Assumptions!$D$12</f>
        <v>559125</v>
      </c>
      <c r="L17" s="32">
        <v>1</v>
      </c>
      <c r="M17" s="41">
        <f t="shared" ref="M17:M22" si="5">K17*L17*12</f>
        <v>6709500</v>
      </c>
      <c r="N17" s="162">
        <f>SUM(M17:M22)</f>
        <v>39518955</v>
      </c>
      <c r="O17" s="165">
        <f>K17*Assumptions!$E$12</f>
        <v>587081.25</v>
      </c>
      <c r="P17" s="32">
        <v>1</v>
      </c>
      <c r="Q17" s="41">
        <f t="shared" ref="Q17:Q22" si="6">O17*P17*12</f>
        <v>7044975</v>
      </c>
      <c r="R17" s="162">
        <f>SUM(Q17:Q22)</f>
        <v>45369639</v>
      </c>
      <c r="S17" s="41">
        <f>O17*Assumptions!$F$12</f>
        <v>616435.3125</v>
      </c>
      <c r="T17" s="32">
        <v>1</v>
      </c>
      <c r="U17" s="41">
        <f>S17*T17*12</f>
        <v>7397223.75</v>
      </c>
      <c r="V17" s="159">
        <f>SUM(U17:U22)</f>
        <v>51706594.012500003</v>
      </c>
    </row>
    <row r="18" spans="2:28" ht="15.75" customHeight="1">
      <c r="B18" s="32" t="s">
        <v>49</v>
      </c>
      <c r="C18" s="40">
        <v>200000</v>
      </c>
      <c r="D18" s="32">
        <v>1</v>
      </c>
      <c r="E18" s="41">
        <f t="shared" si="4"/>
        <v>2400000</v>
      </c>
      <c r="F18" s="163"/>
      <c r="G18" s="40">
        <f>C18*Assumptions!$C$12</f>
        <v>213000</v>
      </c>
      <c r="H18" s="32">
        <v>2</v>
      </c>
      <c r="I18" s="41">
        <f>G18*H18*12</f>
        <v>5112000</v>
      </c>
      <c r="J18" s="163"/>
      <c r="K18" s="41">
        <f>G18*Assumptions!$D$12</f>
        <v>223650</v>
      </c>
      <c r="L18" s="32">
        <v>3</v>
      </c>
      <c r="M18" s="41">
        <f t="shared" si="5"/>
        <v>8051400</v>
      </c>
      <c r="N18" s="163"/>
      <c r="O18" s="165">
        <f>K18*Assumptions!$E$12</f>
        <v>234832.5</v>
      </c>
      <c r="P18" s="32">
        <v>3</v>
      </c>
      <c r="Q18" s="41">
        <f t="shared" si="6"/>
        <v>8453970</v>
      </c>
      <c r="R18" s="163"/>
      <c r="S18" s="41">
        <f>O18*Assumptions!$F$12</f>
        <v>246574.125</v>
      </c>
      <c r="T18" s="32">
        <v>3</v>
      </c>
      <c r="U18" s="41">
        <f t="shared" ref="U17:U22" si="7">S18*T18*12</f>
        <v>8876668.5</v>
      </c>
      <c r="V18" s="160"/>
    </row>
    <row r="19" spans="2:28" ht="15.75" customHeight="1">
      <c r="B19" s="32" t="s">
        <v>71</v>
      </c>
      <c r="C19" s="40">
        <v>335000</v>
      </c>
      <c r="D19" s="32">
        <v>1</v>
      </c>
      <c r="E19" s="41">
        <f t="shared" si="4"/>
        <v>4020000</v>
      </c>
      <c r="F19" s="163"/>
      <c r="G19" s="40">
        <f>C19*Assumptions!$C$12</f>
        <v>356775</v>
      </c>
      <c r="H19" s="32">
        <v>1</v>
      </c>
      <c r="I19" s="41">
        <f>G19*H19*12</f>
        <v>4281300</v>
      </c>
      <c r="J19" s="163"/>
      <c r="K19" s="41">
        <f>G19*Assumptions!$D$12</f>
        <v>374613.75</v>
      </c>
      <c r="L19" s="32">
        <v>2</v>
      </c>
      <c r="M19" s="41">
        <f t="shared" si="5"/>
        <v>8990730</v>
      </c>
      <c r="N19" s="163"/>
      <c r="O19" s="165">
        <f>K19*Assumptions!$E$12</f>
        <v>393344.4375</v>
      </c>
      <c r="P19" s="32">
        <v>2</v>
      </c>
      <c r="Q19" s="41">
        <f t="shared" si="6"/>
        <v>9440266.5</v>
      </c>
      <c r="R19" s="163"/>
      <c r="S19" s="41">
        <f>O19*Assumptions!$F$12</f>
        <v>413011.65937500005</v>
      </c>
      <c r="T19" s="32">
        <v>2</v>
      </c>
      <c r="U19" s="41">
        <f t="shared" si="7"/>
        <v>9912279.8250000011</v>
      </c>
      <c r="V19" s="160"/>
    </row>
    <row r="20" spans="2:28" ht="15.75" customHeight="1">
      <c r="B20" s="32" t="s">
        <v>50</v>
      </c>
      <c r="C20" s="40">
        <v>350000</v>
      </c>
      <c r="D20" s="32">
        <v>1</v>
      </c>
      <c r="E20" s="41">
        <f t="shared" si="4"/>
        <v>4200000</v>
      </c>
      <c r="F20" s="163"/>
      <c r="G20" s="40">
        <f>C20*Assumptions!$C$12</f>
        <v>372750</v>
      </c>
      <c r="H20" s="32">
        <v>1</v>
      </c>
      <c r="I20" s="41">
        <f t="shared" ref="I20:I22" si="8">G20*H20*12</f>
        <v>4473000</v>
      </c>
      <c r="J20" s="163"/>
      <c r="K20" s="41">
        <f>G20*Assumptions!$D$12</f>
        <v>391387.5</v>
      </c>
      <c r="L20" s="32">
        <v>1</v>
      </c>
      <c r="M20" s="41">
        <f t="shared" si="5"/>
        <v>4696650</v>
      </c>
      <c r="N20" s="163"/>
      <c r="O20" s="165">
        <f>K20*Assumptions!$E$12</f>
        <v>410956.875</v>
      </c>
      <c r="P20" s="32">
        <v>1</v>
      </c>
      <c r="Q20" s="41">
        <f t="shared" si="6"/>
        <v>4931482.5</v>
      </c>
      <c r="R20" s="163"/>
      <c r="S20" s="41">
        <f>O20*Assumptions!$F$12</f>
        <v>431504.71875</v>
      </c>
      <c r="T20" s="32">
        <v>1</v>
      </c>
      <c r="U20" s="41">
        <f t="shared" si="7"/>
        <v>5178056.625</v>
      </c>
      <c r="V20" s="160"/>
    </row>
    <row r="21" spans="2:28" ht="15.75" customHeight="1">
      <c r="B21" s="158" t="s">
        <v>138</v>
      </c>
      <c r="C21" s="40">
        <v>125000</v>
      </c>
      <c r="D21" s="32">
        <v>1</v>
      </c>
      <c r="E21" s="41">
        <f t="shared" si="4"/>
        <v>1500000</v>
      </c>
      <c r="F21" s="163"/>
      <c r="G21" s="40">
        <f>C21*Assumptions!$C$12</f>
        <v>133125</v>
      </c>
      <c r="H21" s="32">
        <v>2</v>
      </c>
      <c r="I21" s="41">
        <f t="shared" si="8"/>
        <v>3195000</v>
      </c>
      <c r="J21" s="163"/>
      <c r="K21" s="41">
        <f>G21*Assumptions!$D$12</f>
        <v>139781.25</v>
      </c>
      <c r="L21" s="32">
        <v>3</v>
      </c>
      <c r="M21" s="41">
        <f t="shared" si="5"/>
        <v>5032125</v>
      </c>
      <c r="N21" s="163"/>
      <c r="O21" s="165">
        <f>K21*Assumptions!$E$12</f>
        <v>146770.3125</v>
      </c>
      <c r="P21" s="32">
        <v>4</v>
      </c>
      <c r="Q21" s="41">
        <f t="shared" si="6"/>
        <v>7044975</v>
      </c>
      <c r="R21" s="163"/>
      <c r="S21" s="41">
        <f>O21*Assumptions!$F$12</f>
        <v>154108.828125</v>
      </c>
      <c r="T21" s="32">
        <v>5</v>
      </c>
      <c r="U21" s="41">
        <f t="shared" si="7"/>
        <v>9246529.6875</v>
      </c>
      <c r="V21" s="160"/>
      <c r="Y21" s="42"/>
      <c r="Z21" s="43"/>
      <c r="AA21" s="43"/>
      <c r="AB21" s="44"/>
    </row>
    <row r="22" spans="2:28" ht="15.75" customHeight="1">
      <c r="B22" s="32" t="s">
        <v>51</v>
      </c>
      <c r="C22" s="40">
        <v>150000</v>
      </c>
      <c r="D22" s="32">
        <v>1</v>
      </c>
      <c r="E22" s="41">
        <f t="shared" si="4"/>
        <v>1800000</v>
      </c>
      <c r="F22" s="164"/>
      <c r="G22" s="40">
        <f>C22*Assumptions!$C$12</f>
        <v>159750</v>
      </c>
      <c r="H22" s="32">
        <v>2</v>
      </c>
      <c r="I22" s="41">
        <f t="shared" si="8"/>
        <v>3834000</v>
      </c>
      <c r="J22" s="164"/>
      <c r="K22" s="41">
        <f>G22*Assumptions!$D$12</f>
        <v>167737.5</v>
      </c>
      <c r="L22" s="32">
        <v>3</v>
      </c>
      <c r="M22" s="41">
        <f t="shared" si="5"/>
        <v>6038550</v>
      </c>
      <c r="N22" s="164"/>
      <c r="O22" s="165">
        <f>K22*Assumptions!$E$12</f>
        <v>176124.375</v>
      </c>
      <c r="P22" s="32">
        <v>4</v>
      </c>
      <c r="Q22" s="41">
        <f t="shared" si="6"/>
        <v>8453970</v>
      </c>
      <c r="R22" s="164"/>
      <c r="S22" s="41">
        <f>O22*Assumptions!$F$12</f>
        <v>184930.59375</v>
      </c>
      <c r="T22" s="32">
        <v>5</v>
      </c>
      <c r="U22" s="41">
        <f t="shared" si="7"/>
        <v>11095835.625</v>
      </c>
      <c r="V22" s="161"/>
    </row>
    <row r="23" spans="2:28" ht="15.75" customHeight="1"/>
    <row r="24" spans="2:28" ht="15.75" customHeight="1"/>
    <row r="25" spans="2:28" ht="15.75" customHeight="1"/>
    <row r="26" spans="2:28" ht="15.75" customHeight="1">
      <c r="B26" s="170" t="s">
        <v>145</v>
      </c>
      <c r="C26" s="170"/>
    </row>
    <row r="27" spans="2:28" ht="15.75" customHeight="1">
      <c r="B27" s="167" t="s">
        <v>53</v>
      </c>
      <c r="C27" s="171" t="s">
        <v>146</v>
      </c>
    </row>
    <row r="28" spans="2:28" ht="15.75" customHeight="1">
      <c r="B28" s="167" t="s">
        <v>49</v>
      </c>
      <c r="C28" s="171" t="s">
        <v>148</v>
      </c>
    </row>
    <row r="29" spans="2:28" ht="15.75" customHeight="1">
      <c r="B29" s="167" t="s">
        <v>71</v>
      </c>
      <c r="C29" s="171" t="s">
        <v>147</v>
      </c>
    </row>
    <row r="30" spans="2:28" ht="15.75" customHeight="1">
      <c r="B30" s="167" t="s">
        <v>50</v>
      </c>
      <c r="C30" s="171" t="s">
        <v>149</v>
      </c>
    </row>
    <row r="31" spans="2:28" ht="15.75" customHeight="1">
      <c r="B31" s="169" t="s">
        <v>138</v>
      </c>
      <c r="C31" s="171" t="s">
        <v>150</v>
      </c>
    </row>
    <row r="32" spans="2:28" ht="15.75" customHeight="1">
      <c r="B32" s="167" t="s">
        <v>51</v>
      </c>
      <c r="C32" s="168" t="s">
        <v>146</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5">
    <mergeCell ref="F17:F22"/>
    <mergeCell ref="J17:J22"/>
    <mergeCell ref="N17:N22"/>
    <mergeCell ref="R17:R22"/>
    <mergeCell ref="V17:V22"/>
  </mergeCells>
  <hyperlinks>
    <hyperlink ref="C27" r:id="rId1"/>
    <hyperlink ref="C28" r:id="rId2"/>
    <hyperlink ref="C29" r:id="rId3"/>
    <hyperlink ref="C30"/>
    <hyperlink ref="C31"/>
  </hyperlinks>
  <pageMargins left="0.7" right="0.7" top="0.75" bottom="0.75" header="0" footer="0"/>
  <pageSetup orientation="landscape"/>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20"/>
  <sheetViews>
    <sheetView workbookViewId="0">
      <selection activeCell="K7" sqref="K7:L7"/>
    </sheetView>
  </sheetViews>
  <sheetFormatPr defaultColWidth="11.21875" defaultRowHeight="15" customHeight="1"/>
  <cols>
    <col min="1" max="1" width="4.33203125" customWidth="1"/>
    <col min="2" max="2" width="23.5546875" customWidth="1"/>
    <col min="5" max="5" width="6.109375" customWidth="1"/>
    <col min="6" max="6" width="23.6640625" customWidth="1"/>
    <col min="9" max="9" width="5.77734375" customWidth="1"/>
    <col min="10" max="10" width="23.44140625" customWidth="1"/>
    <col min="13" max="13" width="5.21875" customWidth="1"/>
    <col min="14" max="14" width="23.5546875" customWidth="1"/>
    <col min="17" max="17" width="5.5546875" customWidth="1"/>
    <col min="18" max="18" width="23.6640625" customWidth="1"/>
  </cols>
  <sheetData>
    <row r="1" spans="1:23">
      <c r="A1" s="139"/>
      <c r="B1" s="46" t="s">
        <v>72</v>
      </c>
      <c r="C1" s="46" t="s">
        <v>73</v>
      </c>
      <c r="D1" s="46">
        <v>2025</v>
      </c>
      <c r="E1" s="45"/>
      <c r="F1" s="46" t="s">
        <v>72</v>
      </c>
      <c r="G1" s="46" t="s">
        <v>73</v>
      </c>
      <c r="H1" s="46">
        <f>D1+1</f>
        <v>2026</v>
      </c>
      <c r="I1" s="45"/>
      <c r="J1" s="46" t="s">
        <v>72</v>
      </c>
      <c r="K1" s="46" t="s">
        <v>73</v>
      </c>
      <c r="L1" s="46">
        <f>H1+1</f>
        <v>2027</v>
      </c>
      <c r="M1" s="45"/>
      <c r="N1" s="46" t="s">
        <v>72</v>
      </c>
      <c r="O1" s="46" t="s">
        <v>73</v>
      </c>
      <c r="P1" s="46">
        <f>L1+1</f>
        <v>2028</v>
      </c>
      <c r="Q1" s="45"/>
      <c r="R1" s="46" t="s">
        <v>72</v>
      </c>
      <c r="S1" s="46" t="s">
        <v>73</v>
      </c>
      <c r="T1" s="46">
        <f>P1+1</f>
        <v>2029</v>
      </c>
    </row>
    <row r="2" spans="1:23" ht="15" customHeight="1">
      <c r="A2" s="140">
        <v>1</v>
      </c>
      <c r="B2" s="48" t="s">
        <v>74</v>
      </c>
      <c r="C2" s="114">
        <v>30000</v>
      </c>
      <c r="D2" s="79"/>
      <c r="E2" s="47">
        <v>1</v>
      </c>
      <c r="F2" s="48" t="s">
        <v>74</v>
      </c>
      <c r="G2" s="114">
        <f t="shared" ref="G2:G3" si="0">C2*1.1</f>
        <v>33000</v>
      </c>
      <c r="H2" s="79"/>
      <c r="I2" s="47">
        <v>1</v>
      </c>
      <c r="J2" s="48" t="s">
        <v>74</v>
      </c>
      <c r="K2" s="114">
        <f t="shared" ref="K2:K3" si="1">G2*1.1</f>
        <v>36300</v>
      </c>
      <c r="L2" s="79"/>
      <c r="M2" s="47">
        <v>1</v>
      </c>
      <c r="N2" s="48" t="s">
        <v>74</v>
      </c>
      <c r="O2" s="114">
        <f t="shared" ref="O2:O3" si="2">K2*1.1</f>
        <v>39930</v>
      </c>
      <c r="P2" s="79"/>
      <c r="Q2" s="47">
        <v>1</v>
      </c>
      <c r="R2" s="48" t="s">
        <v>74</v>
      </c>
      <c r="S2" s="114">
        <f t="shared" ref="S2:S3" si="3">O2*1.1</f>
        <v>43923</v>
      </c>
      <c r="T2" s="79"/>
    </row>
    <row r="3" spans="1:23" ht="15" customHeight="1">
      <c r="A3" s="141">
        <f t="shared" ref="A3:A9" si="4">A2+1</f>
        <v>2</v>
      </c>
      <c r="B3" s="48" t="s">
        <v>75</v>
      </c>
      <c r="C3" s="114">
        <v>15000</v>
      </c>
      <c r="D3" s="79"/>
      <c r="E3" s="49">
        <f t="shared" ref="E3:E9" si="5">E2+1</f>
        <v>2</v>
      </c>
      <c r="F3" s="48" t="s">
        <v>75</v>
      </c>
      <c r="G3" s="114">
        <f t="shared" si="0"/>
        <v>16500</v>
      </c>
      <c r="H3" s="79"/>
      <c r="I3" s="49">
        <f t="shared" ref="I3:I9" si="6">I2+1</f>
        <v>2</v>
      </c>
      <c r="J3" s="48" t="s">
        <v>75</v>
      </c>
      <c r="K3" s="114">
        <f t="shared" si="1"/>
        <v>18150</v>
      </c>
      <c r="L3" s="79"/>
      <c r="M3" s="49">
        <f t="shared" ref="M3:M9" si="7">M2+1</f>
        <v>2</v>
      </c>
      <c r="N3" s="48" t="s">
        <v>75</v>
      </c>
      <c r="O3" s="114">
        <f t="shared" si="2"/>
        <v>19965</v>
      </c>
      <c r="P3" s="79"/>
      <c r="Q3" s="49">
        <f t="shared" ref="Q3:Q9" si="8">Q2+1</f>
        <v>2</v>
      </c>
      <c r="R3" s="48" t="s">
        <v>75</v>
      </c>
      <c r="S3" s="114">
        <f t="shared" si="3"/>
        <v>21961.5</v>
      </c>
      <c r="T3" s="79"/>
    </row>
    <row r="4" spans="1:23" ht="15" customHeight="1">
      <c r="A4" s="141">
        <f t="shared" si="4"/>
        <v>3</v>
      </c>
      <c r="B4" s="48" t="s">
        <v>76</v>
      </c>
      <c r="C4" s="114">
        <f>'Salaries Expense'!C22/'Gross Profit'!E6</f>
        <v>104.16666666666667</v>
      </c>
      <c r="D4" s="79"/>
      <c r="E4" s="49">
        <f t="shared" si="5"/>
        <v>3</v>
      </c>
      <c r="F4" s="48" t="s">
        <v>76</v>
      </c>
      <c r="G4" s="114">
        <f>'Salaries Expense'!G22/'Gross Profit'!J6</f>
        <v>45.852468427095296</v>
      </c>
      <c r="H4" s="79"/>
      <c r="I4" s="49">
        <f t="shared" si="6"/>
        <v>3</v>
      </c>
      <c r="J4" s="48" t="s">
        <v>76</v>
      </c>
      <c r="K4" s="114">
        <f>'Salaries Expense'!K22/'Gross Profit'!O6</f>
        <v>28.666216631917145</v>
      </c>
      <c r="L4" s="79"/>
      <c r="M4" s="49">
        <f t="shared" si="7"/>
        <v>3</v>
      </c>
      <c r="N4" s="48" t="s">
        <v>76</v>
      </c>
      <c r="O4" s="114">
        <f>'Salaries Expense'!O22/'Gross Profit'!T6</f>
        <v>27.105940935387206</v>
      </c>
      <c r="P4" s="79"/>
      <c r="Q4" s="49">
        <f t="shared" si="8"/>
        <v>3</v>
      </c>
      <c r="R4" s="48" t="s">
        <v>76</v>
      </c>
      <c r="S4" s="114">
        <f>'Salaries Expense'!S22/'Gross Profit'!Y6</f>
        <v>25.629264291969275</v>
      </c>
      <c r="T4" s="79"/>
    </row>
    <row r="5" spans="1:23" ht="15" customHeight="1">
      <c r="A5" s="141">
        <f t="shared" si="4"/>
        <v>4</v>
      </c>
      <c r="B5" s="48" t="s">
        <v>77</v>
      </c>
      <c r="C5" s="114">
        <v>2000</v>
      </c>
      <c r="D5" s="79"/>
      <c r="E5" s="49">
        <f t="shared" si="5"/>
        <v>4</v>
      </c>
      <c r="F5" s="48" t="s">
        <v>77</v>
      </c>
      <c r="G5" s="114">
        <f t="shared" ref="G5:G6" si="9">C5*1.1</f>
        <v>2200</v>
      </c>
      <c r="H5" s="79"/>
      <c r="I5" s="49">
        <f t="shared" si="6"/>
        <v>4</v>
      </c>
      <c r="J5" s="48" t="s">
        <v>77</v>
      </c>
      <c r="K5" s="114">
        <f t="shared" ref="K5:K6" si="10">G5*1.1</f>
        <v>2420</v>
      </c>
      <c r="L5" s="79"/>
      <c r="M5" s="49">
        <f t="shared" si="7"/>
        <v>4</v>
      </c>
      <c r="N5" s="48" t="s">
        <v>77</v>
      </c>
      <c r="O5" s="114">
        <f t="shared" ref="O5:O6" si="11">K5*1.1</f>
        <v>2662</v>
      </c>
      <c r="P5" s="79"/>
      <c r="Q5" s="49">
        <f t="shared" si="8"/>
        <v>4</v>
      </c>
      <c r="R5" s="48" t="s">
        <v>77</v>
      </c>
      <c r="S5" s="114">
        <f t="shared" ref="S5:S6" si="12">O5*1.1</f>
        <v>2928.2000000000003</v>
      </c>
      <c r="T5" s="79"/>
    </row>
    <row r="6" spans="1:23" ht="15" customHeight="1">
      <c r="A6" s="141">
        <f t="shared" si="4"/>
        <v>5</v>
      </c>
      <c r="B6" s="48" t="s">
        <v>78</v>
      </c>
      <c r="C6" s="114">
        <v>500</v>
      </c>
      <c r="D6" s="79"/>
      <c r="E6" s="49">
        <f t="shared" si="5"/>
        <v>5</v>
      </c>
      <c r="F6" s="48" t="s">
        <v>78</v>
      </c>
      <c r="G6" s="114">
        <f t="shared" si="9"/>
        <v>550</v>
      </c>
      <c r="H6" s="79"/>
      <c r="I6" s="49">
        <f t="shared" si="6"/>
        <v>5</v>
      </c>
      <c r="J6" s="48" t="s">
        <v>78</v>
      </c>
      <c r="K6" s="114">
        <f t="shared" si="10"/>
        <v>605</v>
      </c>
      <c r="L6" s="79"/>
      <c r="M6" s="49">
        <f t="shared" si="7"/>
        <v>5</v>
      </c>
      <c r="N6" s="48" t="s">
        <v>78</v>
      </c>
      <c r="O6" s="114">
        <f t="shared" si="11"/>
        <v>665.5</v>
      </c>
      <c r="P6" s="79"/>
      <c r="Q6" s="49">
        <f t="shared" si="8"/>
        <v>5</v>
      </c>
      <c r="R6" s="48" t="s">
        <v>78</v>
      </c>
      <c r="S6" s="114">
        <f t="shared" si="12"/>
        <v>732.05000000000007</v>
      </c>
      <c r="T6" s="79"/>
    </row>
    <row r="7" spans="1:23" ht="15" customHeight="1">
      <c r="A7" s="141">
        <f t="shared" si="4"/>
        <v>6</v>
      </c>
      <c r="B7" s="48" t="s">
        <v>79</v>
      </c>
      <c r="C7" s="143">
        <f>SUM(C2:C6)</f>
        <v>47604.166666666664</v>
      </c>
      <c r="D7" s="144"/>
      <c r="E7" s="141">
        <f t="shared" si="5"/>
        <v>6</v>
      </c>
      <c r="F7" s="48" t="s">
        <v>79</v>
      </c>
      <c r="G7" s="143">
        <f>SUM(G2:G6)</f>
        <v>52295.852468427096</v>
      </c>
      <c r="H7" s="144"/>
      <c r="I7" s="141">
        <f t="shared" si="6"/>
        <v>6</v>
      </c>
      <c r="J7" s="48" t="s">
        <v>79</v>
      </c>
      <c r="K7" s="143">
        <f>SUM(K2:K6)</f>
        <v>57503.666216631915</v>
      </c>
      <c r="L7" s="144"/>
      <c r="M7" s="141">
        <f t="shared" si="7"/>
        <v>6</v>
      </c>
      <c r="N7" s="48" t="s">
        <v>79</v>
      </c>
      <c r="O7" s="143">
        <f>SUM(O2:O6)</f>
        <v>63249.605940935384</v>
      </c>
      <c r="P7" s="144"/>
      <c r="Q7" s="141">
        <f t="shared" si="8"/>
        <v>6</v>
      </c>
      <c r="R7" s="48" t="s">
        <v>79</v>
      </c>
      <c r="S7" s="114">
        <f>SUM(S2:S6)</f>
        <v>69570.379264291973</v>
      </c>
      <c r="T7" s="79"/>
    </row>
    <row r="8" spans="1:23" ht="15" customHeight="1">
      <c r="A8" s="141">
        <f t="shared" si="4"/>
        <v>7</v>
      </c>
      <c r="B8" s="48" t="s">
        <v>80</v>
      </c>
      <c r="C8" s="114">
        <v>8000</v>
      </c>
      <c r="D8" s="79"/>
      <c r="E8" s="49">
        <f t="shared" si="5"/>
        <v>7</v>
      </c>
      <c r="F8" s="48" t="s">
        <v>80</v>
      </c>
      <c r="G8" s="114">
        <f>8800</f>
        <v>8800</v>
      </c>
      <c r="H8" s="79"/>
      <c r="I8" s="49">
        <f t="shared" si="6"/>
        <v>7</v>
      </c>
      <c r="J8" s="48" t="s">
        <v>80</v>
      </c>
      <c r="K8" s="114">
        <f>9680</f>
        <v>9680</v>
      </c>
      <c r="L8" s="79"/>
      <c r="M8" s="49">
        <f t="shared" si="7"/>
        <v>7</v>
      </c>
      <c r="N8" s="48" t="s">
        <v>80</v>
      </c>
      <c r="O8" s="114">
        <f>10648</f>
        <v>10648</v>
      </c>
      <c r="P8" s="79"/>
      <c r="Q8" s="49">
        <f t="shared" si="8"/>
        <v>7</v>
      </c>
      <c r="R8" s="48" t="s">
        <v>80</v>
      </c>
      <c r="S8" s="114">
        <f>11713</f>
        <v>11713</v>
      </c>
      <c r="T8" s="79"/>
    </row>
    <row r="9" spans="1:23" ht="15" customHeight="1">
      <c r="A9" s="142">
        <f t="shared" si="4"/>
        <v>8</v>
      </c>
      <c r="B9" s="48" t="s">
        <v>81</v>
      </c>
      <c r="C9" s="114">
        <v>7000</v>
      </c>
      <c r="D9" s="79"/>
      <c r="E9" s="50">
        <f t="shared" si="5"/>
        <v>8</v>
      </c>
      <c r="F9" s="48" t="s">
        <v>81</v>
      </c>
      <c r="G9" s="116">
        <v>7700</v>
      </c>
      <c r="H9" s="79"/>
      <c r="I9" s="50">
        <f t="shared" si="6"/>
        <v>8</v>
      </c>
      <c r="J9" s="48" t="s">
        <v>81</v>
      </c>
      <c r="K9" s="116">
        <v>8470</v>
      </c>
      <c r="L9" s="79"/>
      <c r="M9" s="50">
        <f t="shared" si="7"/>
        <v>8</v>
      </c>
      <c r="N9" s="48" t="s">
        <v>81</v>
      </c>
      <c r="O9" s="116">
        <v>9317</v>
      </c>
      <c r="P9" s="79"/>
      <c r="Q9" s="50">
        <f t="shared" si="8"/>
        <v>8</v>
      </c>
      <c r="R9" s="48" t="s">
        <v>81</v>
      </c>
      <c r="S9" s="116">
        <v>10249</v>
      </c>
      <c r="T9" s="79"/>
    </row>
    <row r="10" spans="1:23">
      <c r="A10" s="51"/>
      <c r="B10" s="52"/>
      <c r="C10" s="52"/>
      <c r="D10" s="52"/>
      <c r="E10" s="51"/>
      <c r="F10" s="53"/>
      <c r="G10" s="53"/>
      <c r="H10" s="53"/>
      <c r="I10" s="51"/>
      <c r="J10" s="53"/>
      <c r="K10" s="54"/>
      <c r="L10" s="53"/>
      <c r="M10" s="51"/>
      <c r="N10" s="53"/>
      <c r="O10" s="53"/>
      <c r="P10" s="53"/>
      <c r="Q10" s="51"/>
      <c r="R10" s="53"/>
      <c r="S10" s="53"/>
      <c r="T10" s="53"/>
      <c r="U10" s="52"/>
      <c r="V10" s="52"/>
      <c r="W10" s="52"/>
    </row>
    <row r="11" spans="1:23">
      <c r="A11" s="51"/>
      <c r="B11" s="52"/>
      <c r="C11" s="52"/>
      <c r="D11" s="52"/>
      <c r="E11" s="51"/>
      <c r="F11" s="52"/>
      <c r="G11" s="52"/>
      <c r="H11" s="52"/>
      <c r="I11" s="51"/>
      <c r="J11" s="52"/>
      <c r="L11" s="52"/>
      <c r="M11" s="51"/>
      <c r="N11" s="52"/>
      <c r="O11" s="52"/>
      <c r="P11" s="52"/>
      <c r="Q11" s="51"/>
      <c r="R11" s="52"/>
      <c r="S11" s="52"/>
      <c r="T11" s="52"/>
      <c r="U11" s="52"/>
      <c r="V11" s="52"/>
      <c r="W11" s="52"/>
    </row>
    <row r="12" spans="1:23">
      <c r="A12" s="51"/>
      <c r="B12" s="52"/>
      <c r="C12" s="52"/>
      <c r="D12" s="52"/>
      <c r="E12" s="51"/>
      <c r="F12" s="52"/>
      <c r="G12" s="52"/>
      <c r="H12" s="52"/>
      <c r="I12" s="51"/>
      <c r="J12" s="52"/>
      <c r="L12" s="52"/>
      <c r="M12" s="51"/>
      <c r="N12" s="52"/>
      <c r="O12" s="52"/>
      <c r="P12" s="52"/>
      <c r="Q12" s="51"/>
      <c r="R12" s="52"/>
      <c r="S12" s="52"/>
      <c r="T12" s="52"/>
      <c r="U12" s="52"/>
      <c r="V12" s="52"/>
      <c r="W12" s="52"/>
    </row>
    <row r="13" spans="1:23">
      <c r="A13" s="51"/>
      <c r="B13" s="52"/>
      <c r="C13" s="52"/>
      <c r="D13" s="52"/>
      <c r="E13" s="51"/>
      <c r="F13" s="52"/>
      <c r="G13" s="52"/>
      <c r="H13" s="52"/>
      <c r="I13" s="51"/>
      <c r="J13" s="52"/>
      <c r="L13" s="52"/>
      <c r="M13" s="51"/>
      <c r="N13" s="52"/>
      <c r="O13" s="52"/>
      <c r="P13" s="52"/>
      <c r="Q13" s="51"/>
      <c r="R13" s="52"/>
      <c r="S13" s="52"/>
      <c r="T13" s="52"/>
      <c r="U13" s="52"/>
      <c r="V13" s="52"/>
      <c r="W13" s="52"/>
    </row>
    <row r="14" spans="1:23">
      <c r="A14" s="55"/>
      <c r="B14" s="55" t="s">
        <v>82</v>
      </c>
      <c r="E14" s="53"/>
      <c r="I14" s="53"/>
      <c r="L14" s="52"/>
      <c r="M14" s="53"/>
      <c r="N14" s="52"/>
      <c r="O14" s="52"/>
      <c r="P14" s="52"/>
      <c r="Q14" s="53"/>
      <c r="R14" s="52"/>
      <c r="S14" s="52"/>
      <c r="T14" s="52"/>
      <c r="U14" s="52"/>
      <c r="V14" s="52"/>
      <c r="W14" s="52"/>
    </row>
    <row r="15" spans="1:23">
      <c r="A15" s="56">
        <v>1</v>
      </c>
      <c r="B15" s="8" t="s">
        <v>83</v>
      </c>
    </row>
    <row r="16" spans="1:23">
      <c r="A16" s="57">
        <f t="shared" ref="A16:A20" si="13">A15+1</f>
        <v>2</v>
      </c>
      <c r="B16" s="8" t="s">
        <v>84</v>
      </c>
    </row>
    <row r="17" spans="1:2">
      <c r="A17" s="57">
        <f t="shared" si="13"/>
        <v>3</v>
      </c>
      <c r="B17" s="8" t="s">
        <v>85</v>
      </c>
    </row>
    <row r="18" spans="1:2">
      <c r="A18" s="57">
        <f t="shared" si="13"/>
        <v>4</v>
      </c>
      <c r="B18" s="8" t="s">
        <v>86</v>
      </c>
    </row>
    <row r="19" spans="1:2">
      <c r="A19" s="57">
        <f t="shared" si="13"/>
        <v>5</v>
      </c>
      <c r="B19" s="8" t="s">
        <v>87</v>
      </c>
    </row>
    <row r="20" spans="1:2">
      <c r="A20" s="57">
        <f t="shared" si="13"/>
        <v>6</v>
      </c>
      <c r="B20" s="8" t="s">
        <v>88</v>
      </c>
    </row>
  </sheetData>
  <mergeCells count="40">
    <mergeCell ref="K5:L5"/>
    <mergeCell ref="K6:L6"/>
    <mergeCell ref="S9:T9"/>
    <mergeCell ref="O5:P5"/>
    <mergeCell ref="O6:P6"/>
    <mergeCell ref="S2:T2"/>
    <mergeCell ref="S3:T3"/>
    <mergeCell ref="S4:T4"/>
    <mergeCell ref="S5:T5"/>
    <mergeCell ref="S6:T6"/>
    <mergeCell ref="O8:P8"/>
    <mergeCell ref="S7:T7"/>
    <mergeCell ref="S8:T8"/>
    <mergeCell ref="K9:L9"/>
    <mergeCell ref="O9:P9"/>
    <mergeCell ref="C7:D7"/>
    <mergeCell ref="G7:H7"/>
    <mergeCell ref="O7:P7"/>
    <mergeCell ref="C8:D8"/>
    <mergeCell ref="C9:D9"/>
    <mergeCell ref="G9:H9"/>
    <mergeCell ref="G8:H8"/>
    <mergeCell ref="K7:L7"/>
    <mergeCell ref="K8:L8"/>
    <mergeCell ref="K2:L2"/>
    <mergeCell ref="O2:P2"/>
    <mergeCell ref="O3:P3"/>
    <mergeCell ref="O4:P4"/>
    <mergeCell ref="C6:D6"/>
    <mergeCell ref="C2:D2"/>
    <mergeCell ref="C3:D3"/>
    <mergeCell ref="C4:D4"/>
    <mergeCell ref="C5:D5"/>
    <mergeCell ref="G4:H4"/>
    <mergeCell ref="G3:H3"/>
    <mergeCell ref="G2:H2"/>
    <mergeCell ref="G6:H6"/>
    <mergeCell ref="G5:H5"/>
    <mergeCell ref="K3:L3"/>
    <mergeCell ref="K4:L4"/>
  </mergeCells>
  <hyperlinks>
    <hyperlink ref="B15" r:id="rId1"/>
    <hyperlink ref="B16" r:id="rId2"/>
    <hyperlink ref="B17" r:id="rId3"/>
    <hyperlink ref="B18" r:id="rId4"/>
    <hyperlink ref="B19" r:id="rId5"/>
    <hyperlink ref="B20" r:id="rId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election activeCell="C26" sqref="C26"/>
    </sheetView>
  </sheetViews>
  <sheetFormatPr defaultColWidth="11.21875" defaultRowHeight="15" customHeight="1"/>
  <cols>
    <col min="1" max="1" width="8.33203125" customWidth="1"/>
    <col min="2" max="2" width="6.88671875" customWidth="1"/>
    <col min="3" max="4" width="13.88671875" customWidth="1"/>
    <col min="5" max="5" width="10" customWidth="1"/>
    <col min="6" max="6" width="24" customWidth="1"/>
    <col min="7" max="7" width="10" customWidth="1"/>
    <col min="8" max="9" width="8.33203125" customWidth="1"/>
    <col min="10" max="12" width="10" customWidth="1"/>
    <col min="13" max="26" width="8.33203125" customWidth="1"/>
  </cols>
  <sheetData>
    <row r="1" spans="2:12" ht="15.75" customHeight="1"/>
    <row r="2" spans="2:12" ht="15.75" customHeight="1"/>
    <row r="3" spans="2:12" ht="15.75" customHeight="1">
      <c r="B3" s="58">
        <v>2025</v>
      </c>
    </row>
    <row r="4" spans="2:12" ht="15.75" customHeight="1">
      <c r="B4" s="59" t="s">
        <v>89</v>
      </c>
      <c r="C4" s="59" t="s">
        <v>90</v>
      </c>
      <c r="D4" s="59" t="s">
        <v>91</v>
      </c>
      <c r="E4" s="59" t="s">
        <v>92</v>
      </c>
      <c r="F4" s="59" t="s">
        <v>93</v>
      </c>
      <c r="G4" s="59" t="s">
        <v>94</v>
      </c>
    </row>
    <row r="5" spans="2:12" ht="15.75" customHeight="1">
      <c r="B5" s="60">
        <v>1</v>
      </c>
      <c r="C5" s="61">
        <v>30000000</v>
      </c>
      <c r="D5" s="62">
        <f t="shared" ref="D5:D16" si="0">( C5*0.2 )/12</f>
        <v>500000</v>
      </c>
      <c r="E5" s="61">
        <v>794817</v>
      </c>
      <c r="F5" s="62">
        <f t="shared" ref="F5:F16" si="1">E5-D5</f>
        <v>294817</v>
      </c>
      <c r="G5" s="62">
        <f t="shared" ref="G5:G16" si="2">C5-F5</f>
        <v>29705183</v>
      </c>
      <c r="J5" s="129" t="s">
        <v>95</v>
      </c>
      <c r="K5" s="130"/>
      <c r="L5" s="131"/>
    </row>
    <row r="6" spans="2:12" ht="15.75" customHeight="1">
      <c r="B6" s="60">
        <v>2</v>
      </c>
      <c r="C6" s="62">
        <f t="shared" ref="C6:C16" si="3">G5</f>
        <v>29705183</v>
      </c>
      <c r="D6" s="62">
        <f t="shared" si="0"/>
        <v>495086.38333333336</v>
      </c>
      <c r="E6" s="61">
        <v>794817</v>
      </c>
      <c r="F6" s="62">
        <f t="shared" si="1"/>
        <v>299730.61666666664</v>
      </c>
      <c r="G6" s="62">
        <f t="shared" si="2"/>
        <v>29405452.383333333</v>
      </c>
      <c r="J6" s="132"/>
      <c r="K6" s="94"/>
      <c r="L6" s="133"/>
    </row>
    <row r="7" spans="2:12" ht="15.75" customHeight="1">
      <c r="B7" s="60">
        <v>3</v>
      </c>
      <c r="C7" s="62">
        <f t="shared" si="3"/>
        <v>29405452.383333333</v>
      </c>
      <c r="D7" s="62">
        <f t="shared" si="0"/>
        <v>490090.87305555557</v>
      </c>
      <c r="E7" s="61">
        <v>794817</v>
      </c>
      <c r="F7" s="62">
        <f t="shared" si="1"/>
        <v>304726.12694444443</v>
      </c>
      <c r="G7" s="62">
        <f t="shared" si="2"/>
        <v>29100726.256388888</v>
      </c>
      <c r="J7" s="134"/>
      <c r="K7" s="135"/>
      <c r="L7" s="136"/>
    </row>
    <row r="8" spans="2:12" ht="15.75" customHeight="1">
      <c r="B8" s="60">
        <v>4</v>
      </c>
      <c r="C8" s="62">
        <f t="shared" si="3"/>
        <v>29100726.256388888</v>
      </c>
      <c r="D8" s="62">
        <f t="shared" si="0"/>
        <v>485012.10427314817</v>
      </c>
      <c r="E8" s="61">
        <v>794817</v>
      </c>
      <c r="F8" s="62">
        <f t="shared" si="1"/>
        <v>309804.89572685183</v>
      </c>
      <c r="G8" s="62">
        <f t="shared" si="2"/>
        <v>28790921.360662036</v>
      </c>
      <c r="J8" s="63" t="s">
        <v>96</v>
      </c>
      <c r="K8" s="64"/>
    </row>
    <row r="9" spans="2:12" ht="15.75" customHeight="1">
      <c r="B9" s="60">
        <v>5</v>
      </c>
      <c r="C9" s="62">
        <f t="shared" si="3"/>
        <v>28790921.360662036</v>
      </c>
      <c r="D9" s="62">
        <f t="shared" si="0"/>
        <v>479848.6893443673</v>
      </c>
      <c r="E9" s="61">
        <v>794817</v>
      </c>
      <c r="F9" s="62">
        <f t="shared" si="1"/>
        <v>314968.3106556327</v>
      </c>
      <c r="G9" s="62">
        <f t="shared" si="2"/>
        <v>28475953.050006405</v>
      </c>
    </row>
    <row r="10" spans="2:12" ht="15.75" customHeight="1">
      <c r="B10" s="60">
        <v>6</v>
      </c>
      <c r="C10" s="62">
        <f t="shared" si="3"/>
        <v>28475953.050006405</v>
      </c>
      <c r="D10" s="62">
        <f t="shared" si="0"/>
        <v>474599.21750010672</v>
      </c>
      <c r="E10" s="61">
        <v>794817</v>
      </c>
      <c r="F10" s="62">
        <f t="shared" si="1"/>
        <v>320217.78249989328</v>
      </c>
      <c r="G10" s="62">
        <f t="shared" si="2"/>
        <v>28155735.26750651</v>
      </c>
    </row>
    <row r="11" spans="2:12" ht="15.75" customHeight="1">
      <c r="B11" s="60">
        <v>7</v>
      </c>
      <c r="C11" s="62">
        <f t="shared" si="3"/>
        <v>28155735.26750651</v>
      </c>
      <c r="D11" s="62">
        <f t="shared" si="0"/>
        <v>469262.25445844186</v>
      </c>
      <c r="E11" s="61">
        <v>794817</v>
      </c>
      <c r="F11" s="62">
        <f t="shared" si="1"/>
        <v>325554.74554155814</v>
      </c>
      <c r="G11" s="62">
        <f t="shared" si="2"/>
        <v>27830180.521964952</v>
      </c>
    </row>
    <row r="12" spans="2:12" ht="15.75" customHeight="1">
      <c r="B12" s="60">
        <v>8</v>
      </c>
      <c r="C12" s="62">
        <f t="shared" si="3"/>
        <v>27830180.521964952</v>
      </c>
      <c r="D12" s="62">
        <f t="shared" si="0"/>
        <v>463836.34203274921</v>
      </c>
      <c r="E12" s="61">
        <v>794817</v>
      </c>
      <c r="F12" s="62">
        <f t="shared" si="1"/>
        <v>330980.65796725079</v>
      </c>
      <c r="G12" s="62">
        <f t="shared" si="2"/>
        <v>27499199.863997702</v>
      </c>
    </row>
    <row r="13" spans="2:12" ht="15.75" customHeight="1">
      <c r="B13" s="60">
        <v>9</v>
      </c>
      <c r="C13" s="62">
        <f t="shared" si="3"/>
        <v>27499199.863997702</v>
      </c>
      <c r="D13" s="62">
        <f t="shared" si="0"/>
        <v>458319.99773329502</v>
      </c>
      <c r="E13" s="61">
        <v>794817</v>
      </c>
      <c r="F13" s="62">
        <f t="shared" si="1"/>
        <v>336497.00226670498</v>
      </c>
      <c r="G13" s="62">
        <f t="shared" si="2"/>
        <v>27162702.861730997</v>
      </c>
    </row>
    <row r="14" spans="2:12" ht="15.75" customHeight="1">
      <c r="B14" s="60">
        <v>10</v>
      </c>
      <c r="C14" s="62">
        <f t="shared" si="3"/>
        <v>27162702.861730997</v>
      </c>
      <c r="D14" s="62">
        <f t="shared" si="0"/>
        <v>452711.71436218329</v>
      </c>
      <c r="E14" s="61">
        <v>794817</v>
      </c>
      <c r="F14" s="62">
        <f t="shared" si="1"/>
        <v>342105.28563781671</v>
      </c>
      <c r="G14" s="62">
        <f t="shared" si="2"/>
        <v>26820597.576093178</v>
      </c>
    </row>
    <row r="15" spans="2:12" ht="15.75" customHeight="1">
      <c r="B15" s="60">
        <v>11</v>
      </c>
      <c r="C15" s="62">
        <f t="shared" si="3"/>
        <v>26820597.576093178</v>
      </c>
      <c r="D15" s="62">
        <f t="shared" si="0"/>
        <v>447009.95960155298</v>
      </c>
      <c r="E15" s="61">
        <v>794817</v>
      </c>
      <c r="F15" s="62">
        <f t="shared" si="1"/>
        <v>347807.04039844702</v>
      </c>
      <c r="G15" s="62">
        <f t="shared" si="2"/>
        <v>26472790.53569473</v>
      </c>
    </row>
    <row r="16" spans="2:12" ht="15.75" customHeight="1">
      <c r="B16" s="60">
        <v>12</v>
      </c>
      <c r="C16" s="62">
        <f t="shared" si="3"/>
        <v>26472790.53569473</v>
      </c>
      <c r="D16" s="62">
        <f t="shared" si="0"/>
        <v>441213.1755949122</v>
      </c>
      <c r="E16" s="61">
        <v>794817</v>
      </c>
      <c r="F16" s="62">
        <f t="shared" si="1"/>
        <v>353603.8244050878</v>
      </c>
      <c r="G16" s="62">
        <f t="shared" si="2"/>
        <v>26119186.711289641</v>
      </c>
    </row>
    <row r="17" spans="2:7" ht="15.75" customHeight="1">
      <c r="D17" s="65">
        <f>SUM(D5:D16)</f>
        <v>5656990.7112896461</v>
      </c>
    </row>
    <row r="18" spans="2:7" ht="15.75" customHeight="1"/>
    <row r="19" spans="2:7" ht="15.75" customHeight="1">
      <c r="B19" s="66">
        <f>B3+1</f>
        <v>2026</v>
      </c>
    </row>
    <row r="20" spans="2:7" ht="15.75" customHeight="1">
      <c r="B20" s="59" t="s">
        <v>89</v>
      </c>
      <c r="C20" s="59" t="s">
        <v>90</v>
      </c>
      <c r="D20" s="59" t="s">
        <v>91</v>
      </c>
      <c r="E20" s="59" t="s">
        <v>92</v>
      </c>
      <c r="F20" s="59" t="s">
        <v>93</v>
      </c>
      <c r="G20" s="59" t="s">
        <v>94</v>
      </c>
    </row>
    <row r="21" spans="2:7" ht="15.75" customHeight="1">
      <c r="B21" s="60">
        <v>1</v>
      </c>
      <c r="C21" s="61">
        <v>26119187</v>
      </c>
      <c r="D21" s="62">
        <f t="shared" ref="D21:D32" si="4">( C21*0.2 )/12</f>
        <v>435319.78333333338</v>
      </c>
      <c r="E21" s="61">
        <v>794817</v>
      </c>
      <c r="F21" s="62">
        <f t="shared" ref="F21:F32" si="5">E21-D21</f>
        <v>359497.21666666662</v>
      </c>
      <c r="G21" s="62">
        <f t="shared" ref="G21:G32" si="6">C21-F21</f>
        <v>25759689.783333335</v>
      </c>
    </row>
    <row r="22" spans="2:7" ht="15.75" customHeight="1">
      <c r="B22" s="60">
        <v>2</v>
      </c>
      <c r="C22" s="62">
        <f t="shared" ref="C22:C32" si="7">G21</f>
        <v>25759689.783333335</v>
      </c>
      <c r="D22" s="62">
        <f t="shared" si="4"/>
        <v>429328.1630555556</v>
      </c>
      <c r="E22" s="61">
        <v>794817</v>
      </c>
      <c r="F22" s="62">
        <f t="shared" si="5"/>
        <v>365488.8369444444</v>
      </c>
      <c r="G22" s="62">
        <f t="shared" si="6"/>
        <v>25394200.946388889</v>
      </c>
    </row>
    <row r="23" spans="2:7" ht="15.75" customHeight="1">
      <c r="B23" s="60">
        <v>3</v>
      </c>
      <c r="C23" s="62">
        <f t="shared" si="7"/>
        <v>25394200.946388889</v>
      </c>
      <c r="D23" s="62">
        <f t="shared" si="4"/>
        <v>423236.68243981485</v>
      </c>
      <c r="E23" s="61">
        <v>794817</v>
      </c>
      <c r="F23" s="62">
        <f t="shared" si="5"/>
        <v>371580.31756018515</v>
      </c>
      <c r="G23" s="62">
        <f t="shared" si="6"/>
        <v>25022620.628828704</v>
      </c>
    </row>
    <row r="24" spans="2:7" ht="15.75" customHeight="1">
      <c r="B24" s="60">
        <v>4</v>
      </c>
      <c r="C24" s="62">
        <f t="shared" si="7"/>
        <v>25022620.628828704</v>
      </c>
      <c r="D24" s="62">
        <f t="shared" si="4"/>
        <v>417043.67714714509</v>
      </c>
      <c r="E24" s="61">
        <v>794817</v>
      </c>
      <c r="F24" s="62">
        <f t="shared" si="5"/>
        <v>377773.32285285491</v>
      </c>
      <c r="G24" s="62">
        <f t="shared" si="6"/>
        <v>24644847.305975851</v>
      </c>
    </row>
    <row r="25" spans="2:7" ht="15.75" customHeight="1">
      <c r="B25" s="60">
        <v>5</v>
      </c>
      <c r="C25" s="62">
        <f t="shared" si="7"/>
        <v>24644847.305975851</v>
      </c>
      <c r="D25" s="62">
        <f t="shared" si="4"/>
        <v>410747.45509959752</v>
      </c>
      <c r="E25" s="61">
        <v>794817</v>
      </c>
      <c r="F25" s="62">
        <f t="shared" si="5"/>
        <v>384069.54490040248</v>
      </c>
      <c r="G25" s="62">
        <f t="shared" si="6"/>
        <v>24260777.761075448</v>
      </c>
    </row>
    <row r="26" spans="2:7" ht="15.75" customHeight="1">
      <c r="B26" s="60">
        <v>6</v>
      </c>
      <c r="C26" s="62">
        <f t="shared" si="7"/>
        <v>24260777.761075448</v>
      </c>
      <c r="D26" s="62">
        <f t="shared" si="4"/>
        <v>404346.29601792415</v>
      </c>
      <c r="E26" s="61">
        <v>794817</v>
      </c>
      <c r="F26" s="62">
        <f t="shared" si="5"/>
        <v>390470.70398207585</v>
      </c>
      <c r="G26" s="62">
        <f t="shared" si="6"/>
        <v>23870307.057093371</v>
      </c>
    </row>
    <row r="27" spans="2:7" ht="15.75" customHeight="1">
      <c r="B27" s="60">
        <v>7</v>
      </c>
      <c r="C27" s="62">
        <f t="shared" si="7"/>
        <v>23870307.057093371</v>
      </c>
      <c r="D27" s="62">
        <f t="shared" si="4"/>
        <v>397838.45095155621</v>
      </c>
      <c r="E27" s="61">
        <v>794817</v>
      </c>
      <c r="F27" s="62">
        <f t="shared" si="5"/>
        <v>396978.54904844379</v>
      </c>
      <c r="G27" s="62">
        <f t="shared" si="6"/>
        <v>23473328.508044928</v>
      </c>
    </row>
    <row r="28" spans="2:7" ht="15.75" customHeight="1">
      <c r="B28" s="60">
        <v>8</v>
      </c>
      <c r="C28" s="62">
        <f t="shared" si="7"/>
        <v>23473328.508044928</v>
      </c>
      <c r="D28" s="62">
        <f t="shared" si="4"/>
        <v>391222.14180074882</v>
      </c>
      <c r="E28" s="61">
        <v>794817</v>
      </c>
      <c r="F28" s="62">
        <f t="shared" si="5"/>
        <v>403594.85819925118</v>
      </c>
      <c r="G28" s="62">
        <f t="shared" si="6"/>
        <v>23069733.649845678</v>
      </c>
    </row>
    <row r="29" spans="2:7" ht="15.75" customHeight="1">
      <c r="B29" s="60">
        <v>9</v>
      </c>
      <c r="C29" s="62">
        <f t="shared" si="7"/>
        <v>23069733.649845678</v>
      </c>
      <c r="D29" s="62">
        <f t="shared" si="4"/>
        <v>384495.56083076127</v>
      </c>
      <c r="E29" s="61">
        <v>794817</v>
      </c>
      <c r="F29" s="62">
        <f t="shared" si="5"/>
        <v>410321.43916923873</v>
      </c>
      <c r="G29" s="62">
        <f t="shared" si="6"/>
        <v>22659412.210676439</v>
      </c>
    </row>
    <row r="30" spans="2:7" ht="15.75" customHeight="1">
      <c r="B30" s="60">
        <v>10</v>
      </c>
      <c r="C30" s="62">
        <f t="shared" si="7"/>
        <v>22659412.210676439</v>
      </c>
      <c r="D30" s="62">
        <f t="shared" si="4"/>
        <v>377656.8701779407</v>
      </c>
      <c r="E30" s="61">
        <v>794817</v>
      </c>
      <c r="F30" s="62">
        <f t="shared" si="5"/>
        <v>417160.1298220593</v>
      </c>
      <c r="G30" s="62">
        <f t="shared" si="6"/>
        <v>22242252.080854379</v>
      </c>
    </row>
    <row r="31" spans="2:7" ht="15.75" customHeight="1">
      <c r="B31" s="60">
        <v>11</v>
      </c>
      <c r="C31" s="62">
        <f t="shared" si="7"/>
        <v>22242252.080854379</v>
      </c>
      <c r="D31" s="62">
        <f t="shared" si="4"/>
        <v>370704.20134757296</v>
      </c>
      <c r="E31" s="61">
        <v>794817</v>
      </c>
      <c r="F31" s="62">
        <f t="shared" si="5"/>
        <v>424112.79865242704</v>
      </c>
      <c r="G31" s="62">
        <f t="shared" si="6"/>
        <v>21818139.282201953</v>
      </c>
    </row>
    <row r="32" spans="2:7" ht="15.75" customHeight="1">
      <c r="B32" s="60">
        <v>12</v>
      </c>
      <c r="C32" s="62">
        <f t="shared" si="7"/>
        <v>21818139.282201953</v>
      </c>
      <c r="D32" s="62">
        <f t="shared" si="4"/>
        <v>363635.65470336587</v>
      </c>
      <c r="E32" s="61">
        <v>794817</v>
      </c>
      <c r="F32" s="62">
        <f t="shared" si="5"/>
        <v>431181.34529663413</v>
      </c>
      <c r="G32" s="62">
        <f t="shared" si="6"/>
        <v>21386957.936905321</v>
      </c>
    </row>
    <row r="33" spans="2:7" ht="15.75" customHeight="1">
      <c r="D33" s="65">
        <f>SUM(D21:D32)</f>
        <v>4805574.9369053161</v>
      </c>
    </row>
    <row r="34" spans="2:7" ht="15.75" customHeight="1"/>
    <row r="35" spans="2:7" ht="15.75" customHeight="1">
      <c r="B35" s="66">
        <f>B19+1</f>
        <v>2027</v>
      </c>
    </row>
    <row r="36" spans="2:7" ht="15.75" customHeight="1">
      <c r="B36" s="59" t="s">
        <v>89</v>
      </c>
      <c r="C36" s="59" t="s">
        <v>90</v>
      </c>
      <c r="D36" s="59" t="s">
        <v>91</v>
      </c>
      <c r="E36" s="59" t="s">
        <v>92</v>
      </c>
      <c r="F36" s="59" t="s">
        <v>93</v>
      </c>
      <c r="G36" s="59" t="s">
        <v>94</v>
      </c>
    </row>
    <row r="37" spans="2:7" ht="15.75" customHeight="1">
      <c r="B37" s="60">
        <v>1</v>
      </c>
      <c r="C37" s="61">
        <v>21386958</v>
      </c>
      <c r="D37" s="62">
        <f t="shared" ref="D37:D48" si="8">( C37*0.2 )/12</f>
        <v>356449.30000000005</v>
      </c>
      <c r="E37" s="61">
        <v>794817</v>
      </c>
      <c r="F37" s="62">
        <f t="shared" ref="F37:F48" si="9">E37-D37</f>
        <v>438367.69999999995</v>
      </c>
      <c r="G37" s="62">
        <f t="shared" ref="G37:G48" si="10">C37-F37</f>
        <v>20948590.300000001</v>
      </c>
    </row>
    <row r="38" spans="2:7" ht="15.75" customHeight="1">
      <c r="B38" s="60">
        <v>2</v>
      </c>
      <c r="C38" s="62">
        <f t="shared" ref="C38:C48" si="11">G37</f>
        <v>20948590.300000001</v>
      </c>
      <c r="D38" s="62">
        <f t="shared" si="8"/>
        <v>349143.17166666669</v>
      </c>
      <c r="E38" s="61">
        <v>794817</v>
      </c>
      <c r="F38" s="62">
        <f t="shared" si="9"/>
        <v>445673.82833333331</v>
      </c>
      <c r="G38" s="62">
        <f t="shared" si="10"/>
        <v>20502916.471666668</v>
      </c>
    </row>
    <row r="39" spans="2:7" ht="15.75" customHeight="1">
      <c r="B39" s="60">
        <v>3</v>
      </c>
      <c r="C39" s="62">
        <f t="shared" si="11"/>
        <v>20502916.471666668</v>
      </c>
      <c r="D39" s="62">
        <f t="shared" si="8"/>
        <v>341715.2745277778</v>
      </c>
      <c r="E39" s="61">
        <v>794817</v>
      </c>
      <c r="F39" s="62">
        <f t="shared" si="9"/>
        <v>453101.7254722222</v>
      </c>
      <c r="G39" s="62">
        <f t="shared" si="10"/>
        <v>20049814.746194445</v>
      </c>
    </row>
    <row r="40" spans="2:7" ht="15.75" customHeight="1">
      <c r="B40" s="60">
        <v>4</v>
      </c>
      <c r="C40" s="62">
        <f t="shared" si="11"/>
        <v>20049814.746194445</v>
      </c>
      <c r="D40" s="62">
        <f t="shared" si="8"/>
        <v>334163.57910324074</v>
      </c>
      <c r="E40" s="61">
        <v>794817</v>
      </c>
      <c r="F40" s="62">
        <f t="shared" si="9"/>
        <v>460653.42089675926</v>
      </c>
      <c r="G40" s="62">
        <f t="shared" si="10"/>
        <v>19589161.325297683</v>
      </c>
    </row>
    <row r="41" spans="2:7" ht="15.75" customHeight="1">
      <c r="B41" s="60">
        <v>5</v>
      </c>
      <c r="C41" s="62">
        <f t="shared" si="11"/>
        <v>19589161.325297683</v>
      </c>
      <c r="D41" s="62">
        <f t="shared" si="8"/>
        <v>326486.02208829473</v>
      </c>
      <c r="E41" s="61">
        <v>794817</v>
      </c>
      <c r="F41" s="62">
        <f t="shared" si="9"/>
        <v>468330.97791170527</v>
      </c>
      <c r="G41" s="62">
        <f t="shared" si="10"/>
        <v>19120830.347385976</v>
      </c>
    </row>
    <row r="42" spans="2:7" ht="15.75" customHeight="1">
      <c r="B42" s="60">
        <v>6</v>
      </c>
      <c r="C42" s="62">
        <f t="shared" si="11"/>
        <v>19120830.347385976</v>
      </c>
      <c r="D42" s="62">
        <f t="shared" si="8"/>
        <v>318680.50578976626</v>
      </c>
      <c r="E42" s="61">
        <v>794817</v>
      </c>
      <c r="F42" s="62">
        <f t="shared" si="9"/>
        <v>476136.49421023374</v>
      </c>
      <c r="G42" s="62">
        <f t="shared" si="10"/>
        <v>18644693.853175744</v>
      </c>
    </row>
    <row r="43" spans="2:7" ht="15.75" customHeight="1">
      <c r="B43" s="60">
        <v>7</v>
      </c>
      <c r="C43" s="62">
        <f t="shared" si="11"/>
        <v>18644693.853175744</v>
      </c>
      <c r="D43" s="62">
        <f t="shared" si="8"/>
        <v>310744.89755292906</v>
      </c>
      <c r="E43" s="61">
        <v>794817</v>
      </c>
      <c r="F43" s="62">
        <f t="shared" si="9"/>
        <v>484072.10244707094</v>
      </c>
      <c r="G43" s="62">
        <f t="shared" si="10"/>
        <v>18160621.750728674</v>
      </c>
    </row>
    <row r="44" spans="2:7" ht="15.75" customHeight="1">
      <c r="B44" s="60">
        <v>8</v>
      </c>
      <c r="C44" s="62">
        <f t="shared" si="11"/>
        <v>18160621.750728674</v>
      </c>
      <c r="D44" s="62">
        <f t="shared" si="8"/>
        <v>302677.02917881124</v>
      </c>
      <c r="E44" s="61">
        <v>794817</v>
      </c>
      <c r="F44" s="62">
        <f t="shared" si="9"/>
        <v>492139.97082118876</v>
      </c>
      <c r="G44" s="62">
        <f t="shared" si="10"/>
        <v>17668481.779907487</v>
      </c>
    </row>
    <row r="45" spans="2:7" ht="15.75" customHeight="1">
      <c r="B45" s="60">
        <v>9</v>
      </c>
      <c r="C45" s="62">
        <f t="shared" si="11"/>
        <v>17668481.779907487</v>
      </c>
      <c r="D45" s="62">
        <f t="shared" si="8"/>
        <v>294474.69633179146</v>
      </c>
      <c r="E45" s="61">
        <v>794817</v>
      </c>
      <c r="F45" s="62">
        <f t="shared" si="9"/>
        <v>500342.30366820854</v>
      </c>
      <c r="G45" s="62">
        <f t="shared" si="10"/>
        <v>17168139.476239279</v>
      </c>
    </row>
    <row r="46" spans="2:7" ht="15.75" customHeight="1">
      <c r="B46" s="60">
        <v>10</v>
      </c>
      <c r="C46" s="62">
        <f t="shared" si="11"/>
        <v>17168139.476239279</v>
      </c>
      <c r="D46" s="62">
        <f t="shared" si="8"/>
        <v>286135.65793732135</v>
      </c>
      <c r="E46" s="61">
        <v>794817</v>
      </c>
      <c r="F46" s="62">
        <f t="shared" si="9"/>
        <v>508681.34206267865</v>
      </c>
      <c r="G46" s="62">
        <f t="shared" si="10"/>
        <v>16659458.134176601</v>
      </c>
    </row>
    <row r="47" spans="2:7" ht="15.75" customHeight="1">
      <c r="B47" s="60">
        <v>11</v>
      </c>
      <c r="C47" s="62">
        <f t="shared" si="11"/>
        <v>16659458.134176601</v>
      </c>
      <c r="D47" s="62">
        <f t="shared" si="8"/>
        <v>277657.63556960999</v>
      </c>
      <c r="E47" s="61">
        <v>794817</v>
      </c>
      <c r="F47" s="62">
        <f t="shared" si="9"/>
        <v>517159.36443039001</v>
      </c>
      <c r="G47" s="62">
        <f t="shared" si="10"/>
        <v>16142298.76974621</v>
      </c>
    </row>
    <row r="48" spans="2:7" ht="15.75" customHeight="1">
      <c r="B48" s="60">
        <v>12</v>
      </c>
      <c r="C48" s="62">
        <f t="shared" si="11"/>
        <v>16142298.76974621</v>
      </c>
      <c r="D48" s="62">
        <f t="shared" si="8"/>
        <v>269038.3128291035</v>
      </c>
      <c r="E48" s="61">
        <v>794817</v>
      </c>
      <c r="F48" s="62">
        <f t="shared" si="9"/>
        <v>525778.68717089645</v>
      </c>
      <c r="G48" s="62">
        <f t="shared" si="10"/>
        <v>15616520.082575314</v>
      </c>
    </row>
    <row r="49" spans="2:7" ht="15.75" customHeight="1">
      <c r="D49" s="65">
        <f>SUM(D37:D48)</f>
        <v>3767366.0825753133</v>
      </c>
    </row>
    <row r="50" spans="2:7" ht="15.75" customHeight="1"/>
    <row r="51" spans="2:7" ht="15.75" customHeight="1">
      <c r="B51" s="66">
        <f>B35+1</f>
        <v>2028</v>
      </c>
    </row>
    <row r="52" spans="2:7" ht="15.75" customHeight="1">
      <c r="B52" s="59" t="s">
        <v>89</v>
      </c>
      <c r="C52" s="59" t="s">
        <v>90</v>
      </c>
      <c r="D52" s="59" t="s">
        <v>91</v>
      </c>
      <c r="E52" s="59" t="s">
        <v>92</v>
      </c>
      <c r="F52" s="59" t="s">
        <v>93</v>
      </c>
      <c r="G52" s="59" t="s">
        <v>94</v>
      </c>
    </row>
    <row r="53" spans="2:7" ht="15.75" customHeight="1">
      <c r="B53" s="60">
        <v>1</v>
      </c>
      <c r="C53" s="61">
        <v>15616520</v>
      </c>
      <c r="D53" s="62">
        <f t="shared" ref="D53:D64" si="12">( C53*0.2 )/12</f>
        <v>260275.33333333334</v>
      </c>
      <c r="E53" s="61">
        <v>794817</v>
      </c>
      <c r="F53" s="62">
        <f t="shared" ref="F53:F64" si="13">E53-D53</f>
        <v>534541.66666666663</v>
      </c>
      <c r="G53" s="62">
        <f t="shared" ref="G53:G64" si="14">C53-F53</f>
        <v>15081978.333333334</v>
      </c>
    </row>
    <row r="54" spans="2:7" ht="15.75" customHeight="1">
      <c r="B54" s="60">
        <v>2</v>
      </c>
      <c r="C54" s="62">
        <f t="shared" ref="C54:C64" si="15">G53</f>
        <v>15081978.333333334</v>
      </c>
      <c r="D54" s="62">
        <f t="shared" si="12"/>
        <v>251366.30555555559</v>
      </c>
      <c r="E54" s="61">
        <v>794817</v>
      </c>
      <c r="F54" s="62">
        <f t="shared" si="13"/>
        <v>543450.69444444438</v>
      </c>
      <c r="G54" s="62">
        <f t="shared" si="14"/>
        <v>14538527.63888889</v>
      </c>
    </row>
    <row r="55" spans="2:7" ht="15.75" customHeight="1">
      <c r="B55" s="60">
        <v>3</v>
      </c>
      <c r="C55" s="62">
        <f t="shared" si="15"/>
        <v>14538527.63888889</v>
      </c>
      <c r="D55" s="62">
        <f t="shared" si="12"/>
        <v>242308.79398148149</v>
      </c>
      <c r="E55" s="61">
        <v>794817</v>
      </c>
      <c r="F55" s="62">
        <f t="shared" si="13"/>
        <v>552508.20601851854</v>
      </c>
      <c r="G55" s="62">
        <f t="shared" si="14"/>
        <v>13986019.432870371</v>
      </c>
    </row>
    <row r="56" spans="2:7" ht="15.75" customHeight="1">
      <c r="B56" s="60">
        <v>4</v>
      </c>
      <c r="C56" s="62">
        <f t="shared" si="15"/>
        <v>13986019.432870371</v>
      </c>
      <c r="D56" s="62">
        <f t="shared" si="12"/>
        <v>233100.3238811729</v>
      </c>
      <c r="E56" s="61">
        <v>794817</v>
      </c>
      <c r="F56" s="62">
        <f t="shared" si="13"/>
        <v>561716.67611882708</v>
      </c>
      <c r="G56" s="62">
        <f t="shared" si="14"/>
        <v>13424302.756751545</v>
      </c>
    </row>
    <row r="57" spans="2:7" ht="15.75" customHeight="1">
      <c r="B57" s="60">
        <v>5</v>
      </c>
      <c r="C57" s="62">
        <f t="shared" si="15"/>
        <v>13424302.756751545</v>
      </c>
      <c r="D57" s="62">
        <f t="shared" si="12"/>
        <v>223738.37927919242</v>
      </c>
      <c r="E57" s="61">
        <v>794817</v>
      </c>
      <c r="F57" s="62">
        <f t="shared" si="13"/>
        <v>571078.62072080758</v>
      </c>
      <c r="G57" s="62">
        <f t="shared" si="14"/>
        <v>12853224.136030737</v>
      </c>
    </row>
    <row r="58" spans="2:7" ht="15.75" customHeight="1">
      <c r="B58" s="60">
        <v>6</v>
      </c>
      <c r="C58" s="62">
        <f t="shared" si="15"/>
        <v>12853224.136030737</v>
      </c>
      <c r="D58" s="62">
        <f t="shared" si="12"/>
        <v>214220.40226717899</v>
      </c>
      <c r="E58" s="61">
        <v>794817</v>
      </c>
      <c r="F58" s="62">
        <f t="shared" si="13"/>
        <v>580596.59773282101</v>
      </c>
      <c r="G58" s="62">
        <f t="shared" si="14"/>
        <v>12272627.538297916</v>
      </c>
    </row>
    <row r="59" spans="2:7" ht="15.75" customHeight="1">
      <c r="B59" s="60">
        <v>7</v>
      </c>
      <c r="C59" s="62">
        <f t="shared" si="15"/>
        <v>12272627.538297916</v>
      </c>
      <c r="D59" s="62">
        <f t="shared" si="12"/>
        <v>204543.79230496529</v>
      </c>
      <c r="E59" s="61">
        <v>794817</v>
      </c>
      <c r="F59" s="62">
        <f t="shared" si="13"/>
        <v>590273.20769503468</v>
      </c>
      <c r="G59" s="62">
        <f t="shared" si="14"/>
        <v>11682354.330602881</v>
      </c>
    </row>
    <row r="60" spans="2:7" ht="15.75" customHeight="1">
      <c r="B60" s="60">
        <v>8</v>
      </c>
      <c r="C60" s="62">
        <f t="shared" si="15"/>
        <v>11682354.330602881</v>
      </c>
      <c r="D60" s="62">
        <f t="shared" si="12"/>
        <v>194705.90551004803</v>
      </c>
      <c r="E60" s="61">
        <v>794817</v>
      </c>
      <c r="F60" s="62">
        <f t="shared" si="13"/>
        <v>600111.09448995197</v>
      </c>
      <c r="G60" s="62">
        <f t="shared" si="14"/>
        <v>11082243.236112928</v>
      </c>
    </row>
    <row r="61" spans="2:7" ht="15.75" customHeight="1">
      <c r="B61" s="60">
        <v>9</v>
      </c>
      <c r="C61" s="62">
        <f t="shared" si="15"/>
        <v>11082243.236112928</v>
      </c>
      <c r="D61" s="62">
        <f t="shared" si="12"/>
        <v>184704.05393521546</v>
      </c>
      <c r="E61" s="61">
        <v>794817</v>
      </c>
      <c r="F61" s="62">
        <f t="shared" si="13"/>
        <v>610112.94606478454</v>
      </c>
      <c r="G61" s="62">
        <f t="shared" si="14"/>
        <v>10472130.290048143</v>
      </c>
    </row>
    <row r="62" spans="2:7" ht="15.75" customHeight="1">
      <c r="B62" s="60">
        <v>10</v>
      </c>
      <c r="C62" s="62">
        <f t="shared" si="15"/>
        <v>10472130.290048143</v>
      </c>
      <c r="D62" s="62">
        <f t="shared" si="12"/>
        <v>174535.50483413573</v>
      </c>
      <c r="E62" s="61">
        <v>794817</v>
      </c>
      <c r="F62" s="62">
        <f t="shared" si="13"/>
        <v>620281.49516586424</v>
      </c>
      <c r="G62" s="62">
        <f t="shared" si="14"/>
        <v>9851848.7948822789</v>
      </c>
    </row>
    <row r="63" spans="2:7" ht="15.75" customHeight="1">
      <c r="B63" s="60">
        <v>11</v>
      </c>
      <c r="C63" s="62">
        <f t="shared" si="15"/>
        <v>9851848.7948822789</v>
      </c>
      <c r="D63" s="62">
        <f t="shared" si="12"/>
        <v>164197.47991470466</v>
      </c>
      <c r="E63" s="61">
        <v>794817</v>
      </c>
      <c r="F63" s="62">
        <f t="shared" si="13"/>
        <v>630619.52008529531</v>
      </c>
      <c r="G63" s="62">
        <f t="shared" si="14"/>
        <v>9221229.2747969832</v>
      </c>
    </row>
    <row r="64" spans="2:7" ht="15.75" customHeight="1">
      <c r="B64" s="60">
        <v>12</v>
      </c>
      <c r="C64" s="62">
        <f t="shared" si="15"/>
        <v>9221229.2747969832</v>
      </c>
      <c r="D64" s="62">
        <f t="shared" si="12"/>
        <v>153687.15457994971</v>
      </c>
      <c r="E64" s="61">
        <v>794817</v>
      </c>
      <c r="F64" s="62">
        <f t="shared" si="13"/>
        <v>641129.84542005032</v>
      </c>
      <c r="G64" s="62">
        <f t="shared" si="14"/>
        <v>8580099.4293769337</v>
      </c>
    </row>
    <row r="65" spans="2:7" ht="15.75" customHeight="1">
      <c r="D65" s="65">
        <f>SUM(D53:D64)</f>
        <v>2501383.4293769333</v>
      </c>
    </row>
    <row r="66" spans="2:7" ht="15.75" customHeight="1"/>
    <row r="67" spans="2:7" ht="15.75" customHeight="1">
      <c r="B67" s="66">
        <f>B51+1</f>
        <v>2029</v>
      </c>
    </row>
    <row r="68" spans="2:7" ht="15.75" customHeight="1">
      <c r="B68" s="59" t="s">
        <v>89</v>
      </c>
      <c r="C68" s="59" t="s">
        <v>90</v>
      </c>
      <c r="D68" s="59" t="s">
        <v>91</v>
      </c>
      <c r="E68" s="59" t="s">
        <v>92</v>
      </c>
      <c r="F68" s="59" t="s">
        <v>93</v>
      </c>
      <c r="G68" s="59" t="s">
        <v>94</v>
      </c>
    </row>
    <row r="69" spans="2:7" ht="15.75" customHeight="1">
      <c r="B69" s="60">
        <v>1</v>
      </c>
      <c r="C69" s="61">
        <v>8580099</v>
      </c>
      <c r="D69" s="62">
        <f t="shared" ref="D69:D80" si="16">( C69*0.2 )/12</f>
        <v>143001.65</v>
      </c>
      <c r="E69" s="61">
        <v>794817</v>
      </c>
      <c r="F69" s="62">
        <f t="shared" ref="F69:F80" si="17">E69-D69</f>
        <v>651815.35</v>
      </c>
      <c r="G69" s="62">
        <f t="shared" ref="G69:G80" si="18">C69-F69</f>
        <v>7928283.6500000004</v>
      </c>
    </row>
    <row r="70" spans="2:7" ht="15.75" customHeight="1">
      <c r="B70" s="60">
        <v>2</v>
      </c>
      <c r="C70" s="62">
        <f t="shared" ref="C70:C80" si="19">G69</f>
        <v>7928283.6500000004</v>
      </c>
      <c r="D70" s="62">
        <f t="shared" si="16"/>
        <v>132138.06083333335</v>
      </c>
      <c r="E70" s="61">
        <v>794817</v>
      </c>
      <c r="F70" s="62">
        <f t="shared" si="17"/>
        <v>662678.93916666671</v>
      </c>
      <c r="G70" s="62">
        <f t="shared" si="18"/>
        <v>7265604.7108333334</v>
      </c>
    </row>
    <row r="71" spans="2:7" ht="15.75" customHeight="1">
      <c r="B71" s="60">
        <v>3</v>
      </c>
      <c r="C71" s="62">
        <f t="shared" si="19"/>
        <v>7265604.7108333334</v>
      </c>
      <c r="D71" s="62">
        <f t="shared" si="16"/>
        <v>121093.41184722223</v>
      </c>
      <c r="E71" s="61">
        <v>794817</v>
      </c>
      <c r="F71" s="62">
        <f t="shared" si="17"/>
        <v>673723.58815277775</v>
      </c>
      <c r="G71" s="62">
        <f t="shared" si="18"/>
        <v>6591881.122680556</v>
      </c>
    </row>
    <row r="72" spans="2:7" ht="15.75" customHeight="1">
      <c r="B72" s="60">
        <v>4</v>
      </c>
      <c r="C72" s="62">
        <f t="shared" si="19"/>
        <v>6591881.122680556</v>
      </c>
      <c r="D72" s="62">
        <f t="shared" si="16"/>
        <v>109864.68537800928</v>
      </c>
      <c r="E72" s="61">
        <v>794817</v>
      </c>
      <c r="F72" s="62">
        <f t="shared" si="17"/>
        <v>684952.31462199078</v>
      </c>
      <c r="G72" s="62">
        <f t="shared" si="18"/>
        <v>5906928.8080585655</v>
      </c>
    </row>
    <row r="73" spans="2:7" ht="15.75" customHeight="1">
      <c r="B73" s="60">
        <v>5</v>
      </c>
      <c r="C73" s="62">
        <f t="shared" si="19"/>
        <v>5906928.8080585655</v>
      </c>
      <c r="D73" s="62">
        <f t="shared" si="16"/>
        <v>98448.813467642758</v>
      </c>
      <c r="E73" s="61">
        <v>794817</v>
      </c>
      <c r="F73" s="62">
        <f t="shared" si="17"/>
        <v>696368.18653235724</v>
      </c>
      <c r="G73" s="62">
        <f t="shared" si="18"/>
        <v>5210560.6215262078</v>
      </c>
    </row>
    <row r="74" spans="2:7" ht="15.75" customHeight="1">
      <c r="B74" s="60">
        <v>6</v>
      </c>
      <c r="C74" s="62">
        <f t="shared" si="19"/>
        <v>5210560.6215262078</v>
      </c>
      <c r="D74" s="62">
        <f t="shared" si="16"/>
        <v>86842.677025436802</v>
      </c>
      <c r="E74" s="61">
        <v>794817</v>
      </c>
      <c r="F74" s="62">
        <f t="shared" si="17"/>
        <v>707974.32297456323</v>
      </c>
      <c r="G74" s="62">
        <f t="shared" si="18"/>
        <v>4502586.2985516442</v>
      </c>
    </row>
    <row r="75" spans="2:7" ht="15.75" customHeight="1">
      <c r="B75" s="60">
        <v>7</v>
      </c>
      <c r="C75" s="62">
        <f t="shared" si="19"/>
        <v>4502586.2985516442</v>
      </c>
      <c r="D75" s="62">
        <f t="shared" si="16"/>
        <v>75043.104975860741</v>
      </c>
      <c r="E75" s="61">
        <v>794817</v>
      </c>
      <c r="F75" s="62">
        <f t="shared" si="17"/>
        <v>719773.8950241392</v>
      </c>
      <c r="G75" s="62">
        <f t="shared" si="18"/>
        <v>3782812.4035275048</v>
      </c>
    </row>
    <row r="76" spans="2:7" ht="15.75" customHeight="1">
      <c r="B76" s="60">
        <v>8</v>
      </c>
      <c r="C76" s="62">
        <f t="shared" si="19"/>
        <v>3782812.4035275048</v>
      </c>
      <c r="D76" s="62">
        <f t="shared" si="16"/>
        <v>63046.87339212509</v>
      </c>
      <c r="E76" s="61">
        <v>794817</v>
      </c>
      <c r="F76" s="62">
        <f t="shared" si="17"/>
        <v>731770.12660787487</v>
      </c>
      <c r="G76" s="62">
        <f t="shared" si="18"/>
        <v>3051042.2769196299</v>
      </c>
    </row>
    <row r="77" spans="2:7" ht="15.75" customHeight="1">
      <c r="B77" s="60">
        <v>9</v>
      </c>
      <c r="C77" s="62">
        <f t="shared" si="19"/>
        <v>3051042.2769196299</v>
      </c>
      <c r="D77" s="62">
        <f t="shared" si="16"/>
        <v>50850.704615327173</v>
      </c>
      <c r="E77" s="61">
        <v>794817</v>
      </c>
      <c r="F77" s="62">
        <f t="shared" si="17"/>
        <v>743966.29538467282</v>
      </c>
      <c r="G77" s="62">
        <f t="shared" si="18"/>
        <v>2307075.981534957</v>
      </c>
    </row>
    <row r="78" spans="2:7" ht="15.75" customHeight="1">
      <c r="B78" s="60">
        <v>10</v>
      </c>
      <c r="C78" s="62">
        <f t="shared" si="19"/>
        <v>2307075.981534957</v>
      </c>
      <c r="D78" s="62">
        <f t="shared" si="16"/>
        <v>38451.266358915949</v>
      </c>
      <c r="E78" s="61">
        <v>794817</v>
      </c>
      <c r="F78" s="62">
        <f t="shared" si="17"/>
        <v>756365.73364108405</v>
      </c>
      <c r="G78" s="62">
        <f t="shared" si="18"/>
        <v>1550710.2478938729</v>
      </c>
    </row>
    <row r="79" spans="2:7" ht="15.75" customHeight="1">
      <c r="B79" s="60">
        <v>11</v>
      </c>
      <c r="C79" s="62">
        <f t="shared" si="19"/>
        <v>1550710.2478938729</v>
      </c>
      <c r="D79" s="62">
        <f t="shared" si="16"/>
        <v>25845.170798231218</v>
      </c>
      <c r="E79" s="61">
        <v>794817</v>
      </c>
      <c r="F79" s="62">
        <f t="shared" si="17"/>
        <v>768971.82920176873</v>
      </c>
      <c r="G79" s="62">
        <f t="shared" si="18"/>
        <v>781738.41869210417</v>
      </c>
    </row>
    <row r="80" spans="2:7" ht="15.75" customHeight="1">
      <c r="B80" s="60">
        <v>12</v>
      </c>
      <c r="C80" s="62">
        <f t="shared" si="19"/>
        <v>781738.41869210417</v>
      </c>
      <c r="D80" s="62">
        <f t="shared" si="16"/>
        <v>13028.973644868403</v>
      </c>
      <c r="E80" s="61">
        <v>794817</v>
      </c>
      <c r="F80" s="62">
        <f t="shared" si="17"/>
        <v>781788.02635513165</v>
      </c>
      <c r="G80" s="62">
        <f t="shared" si="18"/>
        <v>-49.607663027476519</v>
      </c>
    </row>
    <row r="81" spans="4:4" ht="15.75" customHeight="1">
      <c r="D81" s="65">
        <f>SUM(D69:D80)</f>
        <v>957655.39233697287</v>
      </c>
    </row>
    <row r="82" spans="4:4" ht="15.75" customHeight="1"/>
    <row r="83" spans="4:4" ht="15.75" customHeight="1"/>
    <row r="84" spans="4:4" ht="15.75" customHeight="1"/>
    <row r="85" spans="4:4" ht="15.75" customHeight="1"/>
    <row r="86" spans="4:4" ht="15.75" customHeight="1"/>
    <row r="87" spans="4:4" ht="15.75" customHeight="1"/>
    <row r="88" spans="4:4" ht="15.75" customHeight="1"/>
    <row r="89" spans="4:4" ht="15.75" customHeight="1"/>
    <row r="90" spans="4:4" ht="15.75" customHeight="1"/>
    <row r="91" spans="4:4" ht="15.75" customHeight="1"/>
    <row r="92" spans="4:4" ht="15.75" customHeight="1"/>
    <row r="93" spans="4:4" ht="15.75" customHeight="1"/>
    <row r="94" spans="4:4" ht="15.75" customHeight="1"/>
    <row r="95" spans="4:4" ht="15.75" customHeight="1"/>
    <row r="96" spans="4: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J5:L7"/>
  </mergeCells>
  <hyperlinks>
    <hyperlink ref="J8" r:id="rId1"/>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000"/>
  <sheetViews>
    <sheetView workbookViewId="0"/>
  </sheetViews>
  <sheetFormatPr defaultColWidth="11.21875" defaultRowHeight="15" customHeight="1"/>
  <cols>
    <col min="1" max="1" width="8.33203125" customWidth="1"/>
    <col min="2" max="3" width="11.5546875" customWidth="1"/>
    <col min="4" max="26" width="8.33203125" customWidth="1"/>
  </cols>
  <sheetData>
    <row r="1" spans="2:18" ht="15.75" customHeight="1"/>
    <row r="2" spans="2:18" ht="15.75" customHeight="1"/>
    <row r="3" spans="2:18" ht="15.75" customHeight="1"/>
    <row r="4" spans="2:18" ht="15.75" customHeight="1">
      <c r="B4" s="137" t="s">
        <v>97</v>
      </c>
      <c r="C4" s="79"/>
      <c r="F4" s="67" t="s">
        <v>98</v>
      </c>
      <c r="G4" s="67"/>
      <c r="H4" s="67"/>
      <c r="I4" s="67"/>
      <c r="J4" s="67"/>
      <c r="K4" s="67"/>
      <c r="L4" s="67"/>
      <c r="M4" s="67"/>
      <c r="N4" s="67"/>
      <c r="O4" s="67"/>
      <c r="P4" s="67"/>
      <c r="Q4" s="67"/>
      <c r="R4" s="67"/>
    </row>
    <row r="5" spans="2:18" ht="15.75" customHeight="1">
      <c r="B5" s="68" t="s">
        <v>99</v>
      </c>
      <c r="C5" s="68" t="s">
        <v>100</v>
      </c>
      <c r="F5" s="67" t="s">
        <v>101</v>
      </c>
    </row>
    <row r="6" spans="2:18" ht="15.75" customHeight="1">
      <c r="B6" s="69" t="s">
        <v>102</v>
      </c>
      <c r="C6" s="69" t="s">
        <v>103</v>
      </c>
    </row>
    <row r="7" spans="2:18" ht="15.75" customHeight="1">
      <c r="B7" s="68" t="s">
        <v>104</v>
      </c>
      <c r="C7" s="68" t="s">
        <v>105</v>
      </c>
    </row>
    <row r="8" spans="2:18" ht="15.75" customHeight="1">
      <c r="B8" s="68" t="s">
        <v>106</v>
      </c>
      <c r="C8" s="68" t="s">
        <v>107</v>
      </c>
    </row>
    <row r="9" spans="2:18" ht="15.75" customHeight="1">
      <c r="B9" s="68" t="s">
        <v>108</v>
      </c>
      <c r="C9" s="68" t="s">
        <v>109</v>
      </c>
    </row>
    <row r="10" spans="2:18" ht="15.75" customHeight="1">
      <c r="B10" s="68" t="s">
        <v>110</v>
      </c>
      <c r="C10" s="68" t="s">
        <v>111</v>
      </c>
    </row>
    <row r="11" spans="2:18" ht="15.75" customHeight="1">
      <c r="B11" s="68" t="s">
        <v>112</v>
      </c>
      <c r="C11" s="68" t="s">
        <v>113</v>
      </c>
    </row>
    <row r="12" spans="2:18" ht="15.75" customHeight="1"/>
    <row r="13" spans="2:18" ht="15.75" customHeight="1"/>
    <row r="14" spans="2:18" ht="15.75" customHeight="1"/>
    <row r="15" spans="2:18" ht="15.75" customHeight="1">
      <c r="B15" s="138"/>
      <c r="C15" s="94"/>
      <c r="D15" s="94"/>
    </row>
    <row r="16" spans="2:18" ht="15.75" customHeight="1">
      <c r="B16" s="7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4:C4"/>
    <mergeCell ref="B15:D1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Fixed Assets</vt:lpstr>
      <vt:lpstr>Income Statement</vt:lpstr>
      <vt:lpstr>Assumptions</vt:lpstr>
      <vt:lpstr>Gross Profit</vt:lpstr>
      <vt:lpstr>Salaries Expense</vt:lpstr>
      <vt:lpstr>Cost Per Unit</vt:lpstr>
      <vt:lpstr>Interest Expense</vt:lpstr>
      <vt:lpstr>R8T2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Madiyar Bukhar</dc:creator>
  <cp:lastModifiedBy>Nursulu Yeshkeyeva</cp:lastModifiedBy>
  <dcterms:created xsi:type="dcterms:W3CDTF">2024-10-25T12:24:55Z</dcterms:created>
  <dcterms:modified xsi:type="dcterms:W3CDTF">2024-11-29T18:51:16Z</dcterms:modified>
</cp:coreProperties>
</file>