
<file path=[Content_Types].xml><?xml version="1.0" encoding="utf-8"?>
<Types xmlns="http://schemas.openxmlformats.org/package/2006/content-types">
  <Override PartName="/xl/charts/chart6.xml" ContentType="application/vnd.openxmlformats-officedocument.drawingml.chart+xml"/>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queryTables/queryTable14.xml" ContentType="application/vnd.openxmlformats-officedocument.spreadsheetml.queryTable+xml"/>
  <Override PartName="/xl/queryTables/queryTable15.xml" ContentType="application/vnd.openxmlformats-officedocument.spreadsheetml.query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queryTables/queryTable9.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harts/chart16.xml" ContentType="application/vnd.openxmlformats-officedocument.drawingml.chart+xml"/>
  <Override PartName="/xl/charts/chart17.xml" ContentType="application/vnd.openxmlformats-officedocument.drawingml.chart+xml"/>
  <Override PartName="/xl/comments1.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queryTables/queryTable5.xml" ContentType="application/vnd.openxmlformats-officedocument.spreadsheetml.queryTable+xml"/>
  <Override PartName="/xl/queryTables/queryTable6.xml" ContentType="application/vnd.openxmlformats-officedocument.spreadsheetml.queryTab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queryTables/queryTable3.xml" ContentType="application/vnd.openxmlformats-officedocument.spreadsheetml.queryTable+xml"/>
  <Override PartName="/xl/queryTables/queryTable4.xml" ContentType="application/vnd.openxmlformats-officedocument.spreadsheetml.queryTable+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queryTables/queryTable2.xml" ContentType="application/vnd.openxmlformats-officedocument.spreadsheetml.queryTable+xml"/>
  <Override PartName="/xl/charts/chart5.xml" ContentType="application/vnd.openxmlformats-officedocument.drawingml.chart+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0" yWindow="-480" windowWidth="19440" windowHeight="10215" tabRatio="750"/>
  </bookViews>
  <sheets>
    <sheet name="Dashboard" sheetId="1" r:id="rId1"/>
    <sheet name="Shee1" sheetId="2" r:id="rId2"/>
    <sheet name="Lookup" sheetId="5" r:id="rId3"/>
    <sheet name="Background Sheet" sheetId="6" r:id="rId4"/>
  </sheets>
  <definedNames>
    <definedName name="ExternalData_57" localSheetId="3">'Background Sheet'!$F$2:$I$19</definedName>
    <definedName name="ExternalData_58" localSheetId="3">'Background Sheet'!$L$2:$O$19</definedName>
    <definedName name="ExternalData_59" localSheetId="3">'Background Sheet'!$R$2:$T$20</definedName>
    <definedName name="ExternalData_60" localSheetId="3">'Background Sheet'!$W$2:$Y$20</definedName>
    <definedName name="ExternalData_61" localSheetId="3">'Background Sheet'!$AD$2:$AF$20</definedName>
    <definedName name="ExternalData_62" localSheetId="3">'Background Sheet'!$AI$2:$AK$20</definedName>
    <definedName name="ExternalData_63" localSheetId="3">'Background Sheet'!$AP$2:$AS$20</definedName>
    <definedName name="ExternalData_64" localSheetId="3">'Background Sheet'!$AY$2:$BA$20</definedName>
    <definedName name="ExternalData_65" localSheetId="3">'Background Sheet'!$BE$2:$BG$20</definedName>
    <definedName name="ExternalData_66" localSheetId="3">'Background Sheet'!$BM$2:$BO$20</definedName>
    <definedName name="ExternalData_67" localSheetId="3">'Background Sheet'!$BW$2:$BY$20</definedName>
    <definedName name="ExternalData_68" localSheetId="3">'Background Sheet'!$CB$2:$CD$20</definedName>
    <definedName name="ExternalData_69" localSheetId="3">'Background Sheet'!$CG$2:$CI$20</definedName>
    <definedName name="ExternalData_70" localSheetId="3">'Background Sheet'!$CL$2:$CN$20</definedName>
    <definedName name="ExternalData_71" localSheetId="3">'Background Sheet'!$CR$2:$CT$20</definedName>
    <definedName name="_xlnm.Print_Area" localSheetId="0">Dashboard!$A$5:$I$49</definedName>
    <definedName name="RefData">Dashboard!$E$2</definedName>
    <definedName name="RefDate">Dashboard!$B$2</definedName>
    <definedName name="RefSite">Dashboard!$C$2</definedName>
  </definedNames>
  <calcPr calcId="124519"/>
  <fileRecoveryPr repairLoad="1"/>
</workbook>
</file>

<file path=xl/calcChain.xml><?xml version="1.0" encoding="utf-8"?>
<calcChain xmlns="http://schemas.openxmlformats.org/spreadsheetml/2006/main">
  <c r="K20" i="6"/>
  <c r="K19"/>
  <c r="K18"/>
  <c r="K17"/>
  <c r="K16"/>
  <c r="K15"/>
  <c r="K14"/>
  <c r="K13"/>
  <c r="K12"/>
  <c r="K11"/>
  <c r="K10"/>
  <c r="K9"/>
  <c r="K8"/>
  <c r="K7"/>
  <c r="K6"/>
  <c r="K5"/>
  <c r="K4"/>
  <c r="K3"/>
  <c r="F4" i="2" s="1"/>
  <c r="E4" i="6"/>
  <c r="E5"/>
  <c r="E6"/>
  <c r="E7"/>
  <c r="E8"/>
  <c r="E20"/>
  <c r="E19"/>
  <c r="E18"/>
  <c r="E17"/>
  <c r="E16"/>
  <c r="E15"/>
  <c r="E14"/>
  <c r="E13"/>
  <c r="E12"/>
  <c r="E11"/>
  <c r="E10"/>
  <c r="E9"/>
  <c r="E3"/>
  <c r="E3" i="2" s="1"/>
  <c r="A5" i="1"/>
  <c r="F5" i="2" l="1"/>
  <c r="F3"/>
  <c r="H3" s="1"/>
  <c r="F19"/>
  <c r="F17"/>
  <c r="F15"/>
  <c r="F13"/>
  <c r="F11"/>
  <c r="F9"/>
  <c r="F7"/>
  <c r="F20"/>
  <c r="F18"/>
  <c r="F16"/>
  <c r="F14"/>
  <c r="F12"/>
  <c r="F10"/>
  <c r="F8"/>
  <c r="F6"/>
  <c r="E20"/>
  <c r="H20" s="1"/>
  <c r="E18"/>
  <c r="H18" s="1"/>
  <c r="E16"/>
  <c r="H16" s="1"/>
  <c r="E14"/>
  <c r="H14" s="1"/>
  <c r="E12"/>
  <c r="H12" s="1"/>
  <c r="E10"/>
  <c r="H10" s="1"/>
  <c r="E8"/>
  <c r="H8" s="1"/>
  <c r="E6"/>
  <c r="H6" s="1"/>
  <c r="E4"/>
  <c r="H4" s="1"/>
  <c r="E19"/>
  <c r="H19" s="1"/>
  <c r="E17"/>
  <c r="H17" s="1"/>
  <c r="E15"/>
  <c r="H15" s="1"/>
  <c r="E13"/>
  <c r="H13" s="1"/>
  <c r="E11"/>
  <c r="H11" s="1"/>
  <c r="E9"/>
  <c r="H9" s="1"/>
  <c r="E7"/>
  <c r="H7" s="1"/>
  <c r="E5"/>
  <c r="H5" s="1"/>
  <c r="Y20"/>
  <c r="Y19"/>
  <c r="Y18"/>
  <c r="Y17"/>
  <c r="Y16"/>
  <c r="Y15"/>
  <c r="Y14"/>
  <c r="Y13"/>
  <c r="Y12"/>
  <c r="Y11"/>
  <c r="Y10"/>
  <c r="Y9"/>
  <c r="Y8"/>
  <c r="Y7"/>
  <c r="Y6"/>
  <c r="Y5"/>
  <c r="Y4"/>
  <c r="Y3"/>
  <c r="X20"/>
  <c r="X19"/>
  <c r="X18"/>
  <c r="X17"/>
  <c r="X16"/>
  <c r="X15"/>
  <c r="X14"/>
  <c r="X13"/>
  <c r="X12"/>
  <c r="X11"/>
  <c r="X10"/>
  <c r="X9"/>
  <c r="X8"/>
  <c r="X7"/>
  <c r="X6"/>
  <c r="X5"/>
  <c r="X4"/>
  <c r="X3"/>
  <c r="W20"/>
  <c r="W19"/>
  <c r="W18"/>
  <c r="W17"/>
  <c r="W16"/>
  <c r="W15"/>
  <c r="W14"/>
  <c r="W13"/>
  <c r="W12"/>
  <c r="W11"/>
  <c r="W10"/>
  <c r="W9"/>
  <c r="W8"/>
  <c r="W7"/>
  <c r="W6"/>
  <c r="W5"/>
  <c r="W4"/>
  <c r="W3"/>
  <c r="V20"/>
  <c r="V19"/>
  <c r="V18"/>
  <c r="V17"/>
  <c r="V16"/>
  <c r="V15"/>
  <c r="V14"/>
  <c r="V13"/>
  <c r="V12"/>
  <c r="V11"/>
  <c r="V10"/>
  <c r="V9"/>
  <c r="V8"/>
  <c r="V7"/>
  <c r="V6"/>
  <c r="V5"/>
  <c r="V4"/>
  <c r="V3"/>
  <c r="U20"/>
  <c r="U19"/>
  <c r="U18"/>
  <c r="U17"/>
  <c r="U16"/>
  <c r="U15"/>
  <c r="U14"/>
  <c r="U13"/>
  <c r="U12"/>
  <c r="U11"/>
  <c r="U10"/>
  <c r="U9"/>
  <c r="U8"/>
  <c r="U7"/>
  <c r="U6"/>
  <c r="U5"/>
  <c r="U4"/>
  <c r="U3"/>
  <c r="R20"/>
  <c r="R19"/>
  <c r="R18"/>
  <c r="R17"/>
  <c r="R16"/>
  <c r="R15"/>
  <c r="R14"/>
  <c r="R13"/>
  <c r="R12"/>
  <c r="R11"/>
  <c r="R10"/>
  <c r="R9"/>
  <c r="R8"/>
  <c r="R7"/>
  <c r="R6"/>
  <c r="R5"/>
  <c r="R4"/>
  <c r="R3"/>
  <c r="P20"/>
  <c r="P19"/>
  <c r="P18"/>
  <c r="P17"/>
  <c r="P16"/>
  <c r="P15"/>
  <c r="P14"/>
  <c r="P13"/>
  <c r="P12"/>
  <c r="P11"/>
  <c r="P10"/>
  <c r="P9"/>
  <c r="P8"/>
  <c r="P7"/>
  <c r="P6"/>
  <c r="P5"/>
  <c r="P4"/>
  <c r="P3"/>
  <c r="O20"/>
  <c r="O19"/>
  <c r="O18"/>
  <c r="O17"/>
  <c r="O16"/>
  <c r="O15"/>
  <c r="O14"/>
  <c r="O13"/>
  <c r="O12"/>
  <c r="O11"/>
  <c r="O10"/>
  <c r="O9"/>
  <c r="O8"/>
  <c r="O7"/>
  <c r="O6"/>
  <c r="O5"/>
  <c r="O4"/>
  <c r="O3"/>
  <c r="L20"/>
  <c r="L19"/>
  <c r="L18"/>
  <c r="L17"/>
  <c r="L16"/>
  <c r="L15"/>
  <c r="L14"/>
  <c r="L13"/>
  <c r="L12"/>
  <c r="L11"/>
  <c r="L10"/>
  <c r="L9"/>
  <c r="L8"/>
  <c r="L7"/>
  <c r="L6"/>
  <c r="L5"/>
  <c r="L4"/>
  <c r="L3"/>
  <c r="K20"/>
  <c r="K19"/>
  <c r="K18"/>
  <c r="K17"/>
  <c r="K16"/>
  <c r="K15"/>
  <c r="K14"/>
  <c r="K13"/>
  <c r="K12"/>
  <c r="K11"/>
  <c r="K10"/>
  <c r="K9"/>
  <c r="K8"/>
  <c r="K7"/>
  <c r="K6"/>
  <c r="K5"/>
  <c r="K4"/>
  <c r="K3"/>
  <c r="G20"/>
  <c r="G19"/>
  <c r="G18"/>
  <c r="G17"/>
  <c r="G16"/>
  <c r="G15"/>
  <c r="G14"/>
  <c r="G13"/>
  <c r="G12"/>
  <c r="G11"/>
  <c r="G10"/>
  <c r="G9"/>
  <c r="G8"/>
  <c r="G7"/>
  <c r="G6"/>
  <c r="G5"/>
  <c r="G4"/>
  <c r="G3"/>
  <c r="AU20" i="6"/>
  <c r="N20" i="2" s="1"/>
  <c r="AU19" i="6"/>
  <c r="N19" i="2" s="1"/>
  <c r="AU18" i="6"/>
  <c r="N18" i="2" s="1"/>
  <c r="AU17" i="6"/>
  <c r="N17" i="2" s="1"/>
  <c r="AU16" i="6"/>
  <c r="N16" i="2" s="1"/>
  <c r="AU15" i="6"/>
  <c r="N15" i="2" s="1"/>
  <c r="AU14" i="6"/>
  <c r="N14" i="2" s="1"/>
  <c r="AU13" i="6"/>
  <c r="N13" i="2" s="1"/>
  <c r="AU12" i="6"/>
  <c r="N12" i="2" s="1"/>
  <c r="AU11" i="6"/>
  <c r="N11" i="2" s="1"/>
  <c r="AU10" i="6"/>
  <c r="N10" i="2" s="1"/>
  <c r="AU9" i="6"/>
  <c r="N9" i="2" s="1"/>
  <c r="AU8" i="6"/>
  <c r="N8" i="2" s="1"/>
  <c r="AU7" i="6"/>
  <c r="N7" i="2" s="1"/>
  <c r="AU6" i="6"/>
  <c r="N6" i="2" s="1"/>
  <c r="AU5" i="6"/>
  <c r="N5" i="2" s="1"/>
  <c r="AU4" i="6"/>
  <c r="N4" i="2" s="1"/>
  <c r="AU3" i="6"/>
  <c r="N3" i="2" s="1"/>
  <c r="BT4" i="6"/>
  <c r="T4" i="2" s="1"/>
  <c r="BT5" i="6"/>
  <c r="T5" i="2" s="1"/>
  <c r="BT6" i="6"/>
  <c r="T6" i="2" s="1"/>
  <c r="BT7" i="6"/>
  <c r="T7" i="2" s="1"/>
  <c r="BT8" i="6"/>
  <c r="T8" i="2" s="1"/>
  <c r="BT9" i="6"/>
  <c r="T9" i="2" s="1"/>
  <c r="BT10" i="6"/>
  <c r="T10" i="2" s="1"/>
  <c r="BT11" i="6"/>
  <c r="T11" i="2" s="1"/>
  <c r="BT12" i="6"/>
  <c r="T12" i="2" s="1"/>
  <c r="BT13" i="6"/>
  <c r="T13" i="2" s="1"/>
  <c r="BT14" i="6"/>
  <c r="T14" i="2" s="1"/>
  <c r="BT15" i="6"/>
  <c r="T15" i="2" s="1"/>
  <c r="BT16" i="6"/>
  <c r="T16" i="2" s="1"/>
  <c r="BT17" i="6"/>
  <c r="T17" i="2" s="1"/>
  <c r="BT18" i="6"/>
  <c r="T18" i="2" s="1"/>
  <c r="BT19" i="6"/>
  <c r="T19" i="2" s="1"/>
  <c r="BT20" i="6"/>
  <c r="T20" i="2" s="1"/>
  <c r="BT3" i="6"/>
  <c r="T3" i="2" s="1"/>
  <c r="BR4" i="6"/>
  <c r="S4" i="2" s="1"/>
  <c r="BR5" i="6"/>
  <c r="S5" i="2" s="1"/>
  <c r="BR6" i="6"/>
  <c r="S6" i="2" s="1"/>
  <c r="BR7" i="6"/>
  <c r="S7" i="2" s="1"/>
  <c r="BR8" i="6"/>
  <c r="S8" i="2" s="1"/>
  <c r="BR9" i="6"/>
  <c r="S9" i="2" s="1"/>
  <c r="BR10" i="6"/>
  <c r="S10" i="2" s="1"/>
  <c r="BR11" i="6"/>
  <c r="S11" i="2" s="1"/>
  <c r="BR12" i="6"/>
  <c r="S12" i="2" s="1"/>
  <c r="BR13" i="6"/>
  <c r="S13" i="2" s="1"/>
  <c r="BR14" i="6"/>
  <c r="S14" i="2" s="1"/>
  <c r="BR15" i="6"/>
  <c r="S15" i="2" s="1"/>
  <c r="BR16" i="6"/>
  <c r="S16" i="2" s="1"/>
  <c r="BR17" i="6"/>
  <c r="S17" i="2" s="1"/>
  <c r="BR18" i="6"/>
  <c r="S18" i="2" s="1"/>
  <c r="BR19" i="6"/>
  <c r="S19" i="2" s="1"/>
  <c r="BR20" i="6"/>
  <c r="S20" i="2" s="1"/>
  <c r="BR3" i="6"/>
  <c r="S3" i="2" s="1"/>
  <c r="BJ4" i="6"/>
  <c r="Q4" i="2" s="1"/>
  <c r="BJ5" i="6"/>
  <c r="Q5" i="2" s="1"/>
  <c r="BJ6" i="6"/>
  <c r="Q6" i="2" s="1"/>
  <c r="BJ7" i="6"/>
  <c r="Q7" i="2" s="1"/>
  <c r="BJ8" i="6"/>
  <c r="Q8" i="2" s="1"/>
  <c r="BJ9" i="6"/>
  <c r="Q9" i="2" s="1"/>
  <c r="BJ10" i="6"/>
  <c r="Q10" i="2" s="1"/>
  <c r="BJ11" i="6"/>
  <c r="Q11" i="2" s="1"/>
  <c r="BJ12" i="6"/>
  <c r="Q12" i="2" s="1"/>
  <c r="BJ13" i="6"/>
  <c r="Q13" i="2" s="1"/>
  <c r="BJ14" i="6"/>
  <c r="Q14" i="2" s="1"/>
  <c r="BJ15" i="6"/>
  <c r="Q15" i="2" s="1"/>
  <c r="BJ16" i="6"/>
  <c r="Q16" i="2" s="1"/>
  <c r="BJ17" i="6"/>
  <c r="Q17" i="2" s="1"/>
  <c r="BJ18" i="6"/>
  <c r="Q18" i="2" s="1"/>
  <c r="BJ19" i="6"/>
  <c r="Q19" i="2" s="1"/>
  <c r="BJ20" i="6"/>
  <c r="Q20" i="2" s="1"/>
  <c r="BJ3" i="6"/>
  <c r="Q3" i="2" s="1"/>
  <c r="AA19" i="6"/>
  <c r="I19" i="2" s="1"/>
  <c r="AA20" i="6"/>
  <c r="I20" i="2" s="1"/>
  <c r="AA18" i="6"/>
  <c r="I18" i="2" s="1"/>
  <c r="AM19" i="6"/>
  <c r="M19" i="2" s="1"/>
  <c r="AM20" i="6"/>
  <c r="M20" i="2" s="1"/>
  <c r="AM18" i="6"/>
  <c r="M18" i="2" s="1"/>
  <c r="AM4" i="6"/>
  <c r="M4" i="2" s="1"/>
  <c r="AM5" i="6"/>
  <c r="M5" i="2" s="1"/>
  <c r="AM6" i="6"/>
  <c r="M6" i="2" s="1"/>
  <c r="AM7" i="6"/>
  <c r="M7" i="2" s="1"/>
  <c r="AM8" i="6"/>
  <c r="M8" i="2" s="1"/>
  <c r="AM9" i="6"/>
  <c r="M9" i="2" s="1"/>
  <c r="AM10" i="6"/>
  <c r="M10" i="2" s="1"/>
  <c r="AM11" i="6"/>
  <c r="M11" i="2" s="1"/>
  <c r="AM12" i="6"/>
  <c r="M12" i="2" s="1"/>
  <c r="AM13" i="6"/>
  <c r="M13" i="2" s="1"/>
  <c r="AM14" i="6"/>
  <c r="M14" i="2" s="1"/>
  <c r="AM15" i="6"/>
  <c r="M15" i="2" s="1"/>
  <c r="AM16" i="6"/>
  <c r="M16" i="2" s="1"/>
  <c r="AM17" i="6"/>
  <c r="M17" i="2" s="1"/>
  <c r="AM3" i="6"/>
  <c r="M3" i="2" s="1"/>
  <c r="AA4" i="6"/>
  <c r="I4" i="2" s="1"/>
  <c r="AA5" i="6"/>
  <c r="I5" i="2" s="1"/>
  <c r="AA6" i="6"/>
  <c r="I6" i="2" s="1"/>
  <c r="AA7" i="6"/>
  <c r="I7" i="2" s="1"/>
  <c r="AA8" i="6"/>
  <c r="I8" i="2" s="1"/>
  <c r="AA9" i="6"/>
  <c r="I9" i="2" s="1"/>
  <c r="AA10" i="6"/>
  <c r="I10" i="2" s="1"/>
  <c r="AA11" i="6"/>
  <c r="I11" i="2" s="1"/>
  <c r="AA12" i="6"/>
  <c r="I12" i="2" s="1"/>
  <c r="AA13" i="6"/>
  <c r="I13" i="2" s="1"/>
  <c r="AA14" i="6"/>
  <c r="I14" i="2" s="1"/>
  <c r="AA15" i="6"/>
  <c r="I15" i="2" s="1"/>
  <c r="AA16" i="6"/>
  <c r="I16" i="2" s="1"/>
  <c r="AA17" i="6"/>
  <c r="I17" i="2" s="1"/>
  <c r="AA3" i="6"/>
  <c r="I3" i="2" s="1"/>
  <c r="E2" i="1"/>
  <c r="D2"/>
  <c r="B2" l="1"/>
  <c r="E9" i="5"/>
  <c r="N17"/>
  <c r="O17"/>
  <c r="N19"/>
  <c r="U13"/>
  <c r="V11"/>
  <c r="F12"/>
  <c r="E30" i="1"/>
  <c r="E15" i="5"/>
  <c r="E41" i="1"/>
  <c r="D12" i="5"/>
  <c r="E12"/>
  <c r="I19"/>
  <c r="D21"/>
  <c r="P14"/>
  <c r="J21"/>
  <c r="R15"/>
  <c r="P21"/>
  <c r="L18"/>
  <c r="O9"/>
  <c r="I17"/>
  <c r="T17"/>
  <c r="T14"/>
  <c r="R13"/>
  <c r="R11"/>
  <c r="E7" i="1"/>
  <c r="N21" i="5"/>
  <c r="L16"/>
  <c r="O15"/>
  <c r="D39" i="1"/>
  <c r="M15" i="5"/>
  <c r="F13"/>
  <c r="D13"/>
  <c r="D19"/>
  <c r="A19" i="1"/>
  <c r="I12" i="5"/>
  <c r="G13"/>
  <c r="N11"/>
  <c r="D26" i="1"/>
  <c r="I11" i="5"/>
  <c r="N18"/>
  <c r="U18"/>
  <c r="S12"/>
  <c r="J11"/>
  <c r="E34" i="1"/>
  <c r="M12" i="5"/>
  <c r="R16"/>
  <c r="M20"/>
  <c r="B14"/>
  <c r="S18"/>
  <c r="H17"/>
  <c r="O16"/>
  <c r="H10"/>
  <c r="K19"/>
  <c r="E17"/>
  <c r="B12"/>
  <c r="H9"/>
  <c r="L10"/>
  <c r="D11"/>
  <c r="E21"/>
  <c r="E15" i="1"/>
  <c r="F19" i="5"/>
  <c r="P9"/>
  <c r="M18"/>
  <c r="J19"/>
  <c r="I13"/>
  <c r="G18"/>
  <c r="S17"/>
  <c r="U16"/>
  <c r="T18"/>
  <c r="L17"/>
  <c r="N15"/>
  <c r="E11"/>
  <c r="D15"/>
  <c r="K18"/>
  <c r="G9"/>
  <c r="T16"/>
  <c r="D20"/>
  <c r="V18"/>
  <c r="G11"/>
  <c r="E26" i="1"/>
  <c r="F16" i="5"/>
  <c r="U14"/>
  <c r="G15"/>
  <c r="G19"/>
  <c r="K13"/>
  <c r="H21"/>
  <c r="P17"/>
  <c r="I10"/>
  <c r="E39" i="1"/>
  <c r="U19" i="5"/>
  <c r="O21"/>
  <c r="S10"/>
  <c r="I14"/>
  <c r="E24" i="1"/>
  <c r="T12" i="5"/>
  <c r="O10"/>
  <c r="R20"/>
  <c r="T20"/>
  <c r="N20"/>
  <c r="B20"/>
  <c r="B15"/>
  <c r="K11"/>
  <c r="A49" i="1"/>
  <c r="B43"/>
  <c r="V21" i="5"/>
  <c r="J16"/>
  <c r="E13"/>
  <c r="U15"/>
  <c r="S21"/>
  <c r="P10"/>
  <c r="D22" i="1"/>
  <c r="E17"/>
  <c r="I18" i="5"/>
  <c r="L19"/>
  <c r="E19"/>
  <c r="V15"/>
  <c r="R19"/>
  <c r="P13"/>
  <c r="S11"/>
  <c r="N12"/>
  <c r="O11"/>
  <c r="T13"/>
  <c r="Q19" l="1"/>
  <c r="Q17"/>
  <c r="E14"/>
  <c r="H15"/>
  <c r="T15"/>
  <c r="T21"/>
  <c r="M9"/>
  <c r="F21"/>
  <c r="D15" i="1"/>
  <c r="J9" i="5"/>
  <c r="B13"/>
  <c r="C10"/>
  <c r="M13"/>
  <c r="C12"/>
  <c r="F20"/>
  <c r="G17"/>
  <c r="L21"/>
  <c r="R21"/>
  <c r="B15" i="1"/>
  <c r="T19" i="5"/>
  <c r="R10"/>
  <c r="E32" i="1"/>
  <c r="J10" i="5"/>
  <c r="C15"/>
  <c r="L9"/>
  <c r="S20"/>
  <c r="J18"/>
  <c r="K16"/>
  <c r="B19"/>
  <c r="M17"/>
  <c r="D32" i="1"/>
  <c r="N10" i="5"/>
  <c r="B47" i="1"/>
  <c r="S14" i="5"/>
  <c r="M11"/>
  <c r="P18"/>
  <c r="D10"/>
  <c r="M14"/>
  <c r="J17"/>
  <c r="S9"/>
  <c r="D18"/>
  <c r="B22" i="1"/>
  <c r="L12" i="5"/>
  <c r="D17" i="1"/>
  <c r="G21" i="5"/>
  <c r="U10"/>
  <c r="N9"/>
  <c r="F10"/>
  <c r="C20"/>
  <c r="L15"/>
  <c r="D13" i="1"/>
  <c r="U20" i="5"/>
  <c r="C11"/>
  <c r="K14"/>
  <c r="C9"/>
  <c r="F17"/>
  <c r="I20"/>
  <c r="B26" i="1"/>
  <c r="E10" i="5"/>
  <c r="V20"/>
  <c r="L14"/>
  <c r="C14"/>
  <c r="P15"/>
  <c r="K20"/>
  <c r="P16"/>
  <c r="E11" i="1"/>
  <c r="E13"/>
  <c r="B17" i="5"/>
  <c r="D34" i="1"/>
  <c r="B30"/>
  <c r="V16" i="5"/>
  <c r="E45" i="1"/>
  <c r="H13" i="5"/>
  <c r="S15"/>
  <c r="B13" i="1"/>
  <c r="I9" i="5"/>
  <c r="V9"/>
  <c r="H12"/>
  <c r="C18"/>
  <c r="K15"/>
  <c r="F11"/>
  <c r="L13"/>
  <c r="M21"/>
  <c r="F18"/>
  <c r="L20"/>
  <c r="B24" i="1"/>
  <c r="B9" i="5"/>
  <c r="T9"/>
  <c r="D9"/>
  <c r="N14"/>
  <c r="I15"/>
  <c r="B17" i="1"/>
  <c r="B7"/>
  <c r="E20" i="5"/>
  <c r="J14"/>
  <c r="V14"/>
  <c r="K12"/>
  <c r="U17"/>
  <c r="D17"/>
  <c r="E9" i="1"/>
  <c r="V12" i="5"/>
  <c r="J20"/>
  <c r="D7" i="1"/>
  <c r="D47"/>
  <c r="E43"/>
  <c r="D43"/>
  <c r="B11"/>
  <c r="S19" i="5"/>
  <c r="J13"/>
  <c r="D24" i="1"/>
  <c r="O19" i="5"/>
  <c r="J12"/>
  <c r="B16"/>
  <c r="B10"/>
  <c r="D30" i="1"/>
  <c r="M10" i="5"/>
  <c r="C17"/>
  <c r="O14"/>
  <c r="N16"/>
  <c r="J15"/>
  <c r="F15"/>
  <c r="T11"/>
  <c r="E18"/>
  <c r="F9"/>
  <c r="R9"/>
  <c r="N13"/>
  <c r="V10"/>
  <c r="C16"/>
  <c r="B41" i="1"/>
  <c r="S13" i="5"/>
  <c r="V13"/>
  <c r="G14"/>
  <c r="O20"/>
  <c r="G16"/>
  <c r="D14"/>
  <c r="R12"/>
  <c r="M19"/>
  <c r="U9"/>
  <c r="D11" i="1"/>
  <c r="E22"/>
  <c r="C19" i="5"/>
  <c r="C21"/>
  <c r="P19"/>
  <c r="G10"/>
  <c r="E28" i="1"/>
  <c r="I16" i="5"/>
  <c r="D16"/>
  <c r="H20"/>
  <c r="P20"/>
  <c r="D45" i="1"/>
  <c r="O13" i="5"/>
  <c r="L11"/>
  <c r="H11"/>
  <c r="B18"/>
  <c r="V17"/>
  <c r="U12"/>
  <c r="P12"/>
  <c r="B32" i="1"/>
  <c r="P11" i="5"/>
  <c r="R18"/>
  <c r="R14"/>
  <c r="K17"/>
  <c r="U11"/>
  <c r="B39" i="1"/>
  <c r="U21" i="5"/>
  <c r="H14"/>
  <c r="B21"/>
  <c r="C13"/>
  <c r="H16"/>
  <c r="B9" i="1"/>
  <c r="S16" i="5"/>
  <c r="O18"/>
  <c r="K9"/>
  <c r="B34" i="1"/>
  <c r="B11" i="5"/>
  <c r="H19"/>
  <c r="M16"/>
  <c r="E47" i="1"/>
  <c r="B28"/>
  <c r="E16" i="5"/>
  <c r="D9" i="1"/>
  <c r="T10" i="5"/>
  <c r="H18"/>
  <c r="I21"/>
  <c r="F14"/>
  <c r="D41" i="1"/>
  <c r="G20" i="5"/>
  <c r="O12"/>
  <c r="R17"/>
  <c r="K10"/>
  <c r="V19"/>
  <c r="G12"/>
  <c r="D28" i="1"/>
  <c r="B45"/>
  <c r="K21" i="5"/>
  <c r="F41" i="1" l="1"/>
  <c r="E42"/>
  <c r="E8"/>
  <c r="F7"/>
  <c r="C43"/>
  <c r="B44"/>
  <c r="Q14" i="5"/>
  <c r="F45" i="1"/>
  <c r="E46"/>
  <c r="O4" i="5"/>
  <c r="F22" i="1"/>
  <c r="E23"/>
  <c r="H4" i="5"/>
  <c r="E44" i="1"/>
  <c r="F43"/>
  <c r="N4" i="5"/>
  <c r="B40" i="1"/>
  <c r="F39"/>
  <c r="C39"/>
  <c r="E40"/>
  <c r="B12"/>
  <c r="C11"/>
  <c r="Q11" i="5"/>
  <c r="Q13"/>
  <c r="F17" i="1"/>
  <c r="E18"/>
  <c r="C47"/>
  <c r="B48"/>
  <c r="Q10" i="5"/>
  <c r="E4"/>
  <c r="F34" i="1"/>
  <c r="E35"/>
  <c r="C41"/>
  <c r="B42"/>
  <c r="U4" i="5"/>
  <c r="B29" i="1"/>
  <c r="C28"/>
  <c r="B8"/>
  <c r="C7"/>
  <c r="C30"/>
  <c r="B31"/>
  <c r="E27"/>
  <c r="C26"/>
  <c r="F26"/>
  <c r="B27"/>
  <c r="F30"/>
  <c r="E31"/>
  <c r="K4" i="5"/>
  <c r="J4"/>
  <c r="E33" i="1"/>
  <c r="F32"/>
  <c r="R4" i="5"/>
  <c r="C45" i="1"/>
  <c r="B46"/>
  <c r="C17"/>
  <c r="B18"/>
  <c r="B35"/>
  <c r="C34"/>
  <c r="C15"/>
  <c r="B16"/>
  <c r="F4" i="5"/>
  <c r="C32" i="1"/>
  <c r="B33"/>
  <c r="Q12" i="5"/>
  <c r="Q18"/>
  <c r="F9" i="1"/>
  <c r="E10"/>
  <c r="C22"/>
  <c r="B23"/>
  <c r="C4" i="5"/>
  <c r="F13" i="1"/>
  <c r="E14"/>
  <c r="M4" i="5"/>
  <c r="E16" i="1"/>
  <c r="F15"/>
  <c r="P4" i="5"/>
  <c r="V4"/>
  <c r="D4"/>
  <c r="E12" i="1"/>
  <c r="F11"/>
  <c r="C9"/>
  <c r="B10"/>
  <c r="I4" i="5"/>
  <c r="T4"/>
  <c r="C24" i="1"/>
  <c r="B25"/>
  <c r="S4" i="5"/>
  <c r="Q16"/>
  <c r="Q21"/>
  <c r="F28" i="1"/>
  <c r="E29"/>
  <c r="B4" i="5"/>
  <c r="G4"/>
  <c r="F24" i="1"/>
  <c r="E25"/>
  <c r="C13"/>
  <c r="B14"/>
  <c r="F47"/>
  <c r="E48"/>
  <c r="Q20" i="5"/>
  <c r="Q9"/>
  <c r="L4"/>
  <c r="Q15"/>
  <c r="Q4" l="1"/>
  <c r="Q5" s="1"/>
  <c r="L5"/>
  <c r="L3"/>
  <c r="B3"/>
  <c r="B5"/>
  <c r="T5"/>
  <c r="T3"/>
  <c r="D5"/>
  <c r="D3"/>
  <c r="P5"/>
  <c r="P3"/>
  <c r="C5"/>
  <c r="C3"/>
  <c r="R5"/>
  <c r="R3"/>
  <c r="K5"/>
  <c r="K3"/>
  <c r="E5"/>
  <c r="E3"/>
  <c r="N5"/>
  <c r="H28" i="1" s="1"/>
  <c r="N3" i="5"/>
  <c r="O5"/>
  <c r="H32" i="1" s="1"/>
  <c r="O3" i="5"/>
  <c r="G5"/>
  <c r="G3"/>
  <c r="S5"/>
  <c r="H41" i="1" s="1"/>
  <c r="S3" i="5"/>
  <c r="I5"/>
  <c r="H15" i="1" s="1"/>
  <c r="I3" i="5"/>
  <c r="V5"/>
  <c r="H47" i="1" s="1"/>
  <c r="V3" i="5"/>
  <c r="M5"/>
  <c r="H26" i="1" s="1"/>
  <c r="M3" i="5"/>
  <c r="F5"/>
  <c r="H11" i="1" s="1"/>
  <c r="F3" i="5"/>
  <c r="J5"/>
  <c r="H17" i="1" s="1"/>
  <c r="J3" i="5"/>
  <c r="U5"/>
  <c r="U3"/>
  <c r="H5"/>
  <c r="H13" i="1" s="1"/>
  <c r="H3" i="5"/>
  <c r="H9" i="1" l="1"/>
  <c r="H22"/>
  <c r="H39"/>
  <c r="H30"/>
  <c r="H7"/>
  <c r="Q3" i="5"/>
  <c r="H34" i="1" s="1"/>
  <c r="H45"/>
  <c r="H43"/>
  <c r="H24"/>
</calcChain>
</file>

<file path=xl/comments1.xml><?xml version="1.0" encoding="utf-8"?>
<comments xmlns="http://schemas.openxmlformats.org/spreadsheetml/2006/main">
  <authors>
    <author>Stephane Hamel</author>
  </authors>
  <commentList>
    <comment ref="E2" authorId="0">
      <text>
        <r>
          <rPr>
            <b/>
            <sz val="9"/>
            <color indexed="81"/>
            <rFont val="Tahoma"/>
            <family val="2"/>
          </rPr>
          <t>Stephane Hamel:</t>
        </r>
        <r>
          <rPr>
            <sz val="9"/>
            <color indexed="81"/>
            <rFont val="Tahoma"/>
            <family val="2"/>
          </rPr>
          <t xml:space="preserve">
Traffic/Visitors/Visitors Summary</t>
        </r>
      </text>
    </comment>
    <comment ref="F2" authorId="0">
      <text>
        <r>
          <rPr>
            <b/>
            <sz val="9"/>
            <color indexed="81"/>
            <rFont val="Tahoma"/>
            <family val="2"/>
          </rPr>
          <t>Stephane Hamel:</t>
        </r>
        <r>
          <rPr>
            <sz val="9"/>
            <color indexed="81"/>
            <rFont val="Tahoma"/>
            <family val="2"/>
          </rPr>
          <t xml:space="preserve">
Traffic/Visitors/Visitors Summary</t>
        </r>
      </text>
    </comment>
    <comment ref="H2" authorId="0">
      <text>
        <r>
          <rPr>
            <b/>
            <sz val="9"/>
            <color indexed="81"/>
            <rFont val="Tahoma"/>
            <family val="2"/>
          </rPr>
          <t>Stephane Hamel:</t>
        </r>
        <r>
          <rPr>
            <sz val="9"/>
            <color indexed="81"/>
            <rFont val="Tahoma"/>
            <family val="2"/>
          </rPr>
          <t xml:space="preserve">
Traffic/Visits</t>
        </r>
      </text>
    </comment>
    <comment ref="J2" authorId="0">
      <text>
        <r>
          <rPr>
            <b/>
            <sz val="9"/>
            <color indexed="81"/>
            <rFont val="Tahoma"/>
            <family val="2"/>
          </rPr>
          <t>Stephane Hamel:</t>
        </r>
        <r>
          <rPr>
            <sz val="9"/>
            <color indexed="81"/>
            <rFont val="Tahoma"/>
            <family val="2"/>
          </rPr>
          <t xml:space="preserve">
Pages/Page Analysis/Single Access Pages</t>
        </r>
      </text>
    </comment>
  </commentList>
</comments>
</file>

<file path=xl/connections.xml><?xml version="1.0" encoding="utf-8"?>
<connections xmlns="http://schemas.openxmlformats.org/spreadsheetml/2006/main">
  <connection id="1" name="Connection" type="4" refreshedVersion="0" background="1">
    <webPr url="C:\Users\Tatvic\Documents\2152526&amp;mt=39&amp;di=62,31,59&amp;sd=[&quot;$B$1&quot;]&amp;ed=[&quot;$B$2&quot;]&amp;si=1&amp;mr=1000&amp;fi=d59=@new.html" htmlTables="1" htmlFormat="all"/>
    <parameters count="2">
      <parameter name="$B$1"/>
      <parameter name="$B$2"/>
    </parameters>
  </connection>
  <connection id="2" name="Connection1" type="4" refreshedVersion="0" background="1">
    <webPr url="C:\Users\Tatvic\Documents\2152526&amp;mt=39&amp;di=62,31,59&amp;sd=[&quot;$B$1&quot;]&amp;ed=[&quot;$B$2&quot;]&amp;si=1&amp;mr=1000&amp;fi=d59=@new.html" htmlTables="1" htmlFormat="all"/>
    <parameters count="2">
      <parameter name="$B$1"/>
      <parameter name="$B$2"/>
    </parameters>
  </connection>
  <connection id="3" name="Connection10" type="4" refreshedVersion="3" background="1" saveData="1">
    <webPr textDates="1" xl2000="1" url="C:\[&quot;$B$3&quot;]&amp;mt=20&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4" name="Connection11" type="4" refreshedVersion="3" background="1" saveData="1">
    <webPr textDates="1" xl2000="1" url="C:\[&quot;$B$3&quot;]&amp;mt=32&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5" name="Connection12" type="4" refreshedVersion="3" background="1" saveData="1">
    <webPr textDates="1" xl2000="1" url="C:\[&quot;$B$3&quot;]&amp;mt=8,39&amp;di=62,31&amp;sd=[&quot;$B$1&quot;]&amp;ed=[&quot;$B$2&quot;]&amp;si=1&amp;mr=1000&amp;cu=57.html" htmlTables="1" htmlFormat="all">
      <tables count="1">
        <x v="1"/>
      </tables>
    </webPr>
    <parameters count="3">
      <parameter name="$B$3" parameterType="value" string="p"/>
      <parameter name="$B$1" parameterType="value" string="p"/>
      <parameter name="$B$2" parameterType="value" string="p"/>
    </parameters>
  </connection>
  <connection id="6" name="Connection13" type="4" refreshedVersion="3" background="1" saveData="1">
    <webPr textDates="1" xl2000="1" url="C:\[&quot;$B$3&quot;]&amp;mt=11,39&amp;di=62,31&amp;sd=[&quot;$B$1&quot;]&amp;ed=[&quot;$B$2&quot;]&amp;si=1&amp;mr=1000&amp;cu=58.html" htmlTables="1" htmlFormat="all">
      <tables count="1">
        <x v="1"/>
      </tables>
    </webPr>
    <parameters count="3">
      <parameter name="$B$3" parameterType="value" string="p"/>
      <parameter name="$B$1" parameterType="value" string="p"/>
      <parameter name="$B$2" parameterType="value" string="p"/>
    </parameters>
  </connection>
  <connection id="7" name="Connection14" type="4" refreshedVersion="3" background="1" saveData="1">
    <webPr textDates="1" xl2000="1" url="C:\[&quot;$B$3&quot;]&amp;mt=14,39&amp;di=62,31&amp;sd=[&quot;$B$1&quot;]&amp;ed=[&quot;$B$2&quot;]&amp;si=1&amp;mr=1000&amp;cu=59.html" htmlTables="1" htmlFormat="all">
      <tables count="1">
        <x v="1"/>
      </tables>
    </webPr>
    <parameters count="3">
      <parameter name="$B$3" parameterType="value" string="p"/>
      <parameter name="$B$1" parameterType="value" string="p"/>
      <parameter name="$B$2" parameterType="value" string="p"/>
    </parameters>
  </connection>
  <connection id="8" name="Connection15" type="4" refreshedVersion="3" background="1" saveData="1">
    <webPr textDates="1" xl2000="1" url="C:\[&quot;$B$3&quot;]&amp;mt=17,39&amp;di=62,31&amp;sd=[&quot;$B$1&quot;]&amp;ed=[&quot;$B$2&quot;]&amp;si=1&amp;mr=1000&amp;cu=60.html" htmlTables="1" htmlFormat="all">
      <tables count="1">
        <x v="1"/>
      </tables>
    </webPr>
    <parameters count="3">
      <parameter name="$B$3" parameterType="value" string="p"/>
      <parameter name="$B$1" parameterType="value" string="p"/>
      <parameter name="$B$2" parameterType="value" string="p"/>
    </parameters>
  </connection>
  <connection id="9" name="Connection16" type="4" refreshedVersion="3" background="1" saveData="1">
    <webPr textDates="1" xl2000="1" url="C:\[&quot;$B$3&quot;]&amp;mt=72,39&amp;di=62,31&amp;sd=[&quot;$B$1&quot;]&amp;ed=[&quot;$B$2&quot;]&amp;si=1&amp;mr=1000&amp;cu=152.html" htmlTables="1" htmlFormat="all">
      <tables count="1">
        <x v="1"/>
      </tables>
    </webPr>
    <parameters count="3">
      <parameter name="$B$3" parameterType="value" string="p"/>
      <parameter name="$B$1" parameterType="value" string="p"/>
      <parameter name="$B$2" parameterType="value" string="p"/>
    </parameters>
  </connection>
  <connection id="10" name="Connection2" type="4" refreshedVersion="3" background="1" saveData="1">
    <webPr textDates="1" xl2000="1" url="C:\[&quot;$B$3&quot;]&amp;mt=39&amp;di=62,31,59&amp;sd=[&quot;$B$1&quot;]&amp;ed=[&quot;$B$2&quot;]&amp;si=1&amp;mr=1000&amp;fi=d59=@new.html" htmlTables="1" htmlFormat="all">
      <tables count="1">
        <x v="1"/>
      </tables>
    </webPr>
    <parameters count="3">
      <parameter name="$B$3" parameterType="value" string="p"/>
      <parameter name="$B$1" parameterType="value" string="p"/>
      <parameter name="$B$2" parameterType="value" string="p"/>
    </parameters>
  </connection>
  <connection id="11" name="Connection3" type="4" refreshedVersion="3" background="1" saveData="1">
    <webPr textDates="1" xl2000="1" url="C:\[&quot;$B$3&quot;]&amp;mt=39&amp;di=62,31,59&amp;sd=[&quot;$B$1&quot;]&amp;ed=[&quot;$B$2&quot;]&amp;si=1&amp;mr=1000&amp;fi=d59=@returning.html" htmlTables="1" htmlFormat="all">
      <tables count="1">
        <x v="1"/>
      </tables>
    </webPr>
    <parameters count="3">
      <parameter name="$B$3" parameterType="value" string="p"/>
      <parameter name="$B$1" parameterType="value" string="p"/>
      <parameter name="$B$2" parameterType="value" string="p"/>
    </parameters>
  </connection>
  <connection id="12" name="Connection4" type="4" refreshedVersion="3" background="1" saveData="1">
    <webPr textDates="1" xl2000="1" url="C:\[&quot;$B$3&quot;]&amp;mt=38&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3" name="Connection5" type="4" refreshedVersion="3" background="1" saveData="1">
    <webPr textDates="1" xl2000="1" url="C:\[&quot;$B$3&quot;]&amp;mt=39&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4" name="Connection6" type="4" refreshedVersion="3" background="1" saveData="1">
    <webPr textDates="1" xl2000="1" url="C:\[&quot;$B$3&quot;]&amp;mt=3,6&amp;di=62,31&amp;sd=[&quot;$B$1&quot;]&amp;ed=[&quot;$B$2&quot;]&amp;si=1&amp;mr=1000&amp;cu=47.html" htmlTables="1" htmlFormat="all">
      <tables count="1">
        <x v="1"/>
      </tables>
    </webPr>
    <parameters count="3">
      <parameter name="$B$3" parameterType="value" string="p"/>
      <parameter name="$B$1" parameterType="value" string="p"/>
      <parameter name="$B$2" parameterType="value" string="p"/>
    </parameters>
  </connection>
  <connection id="15" name="Connection7" type="4" refreshedVersion="3" background="1" saveData="1">
    <webPr textDates="1" xl2000="1" url="C:\[&quot;$B$3&quot;]&amp;mt=36&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6" name="Connection8" type="4" refreshedVersion="3" background="1" saveData="1">
    <webPr textDates="1" xl2000="1" url="C:\[&quot;$B$3&quot;]&amp;mt=22,32&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7" name="Connection9" type="4" refreshedVersion="3" background="1" saveData="1">
    <webPr textDates="1" xl2000="1" url="C:\[&quot;$B$3&quot;]&amp;mt=33&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s>
</file>

<file path=xl/sharedStrings.xml><?xml version="1.0" encoding="utf-8"?>
<sst xmlns="http://schemas.openxmlformats.org/spreadsheetml/2006/main" count="579" uniqueCount="123">
  <si>
    <t>Visits</t>
  </si>
  <si>
    <t xml:space="preserve">
</t>
  </si>
  <si>
    <t>Date</t>
  </si>
  <si>
    <t>Unique Visitors</t>
  </si>
  <si>
    <t>Visits/Visitor</t>
  </si>
  <si>
    <t>Single Page Visits</t>
  </si>
  <si>
    <t>Bounce Rate</t>
  </si>
  <si>
    <t>Previous
Month</t>
  </si>
  <si>
    <t>Site Statistics</t>
  </si>
  <si>
    <t>eCommerce</t>
  </si>
  <si>
    <t>Customers</t>
  </si>
  <si>
    <t>Orders</t>
  </si>
  <si>
    <t>Items</t>
  </si>
  <si>
    <t>Items/Order</t>
  </si>
  <si>
    <t>Revenues</t>
  </si>
  <si>
    <t>Average Order Size</t>
  </si>
  <si>
    <t>New Visitors</t>
  </si>
  <si>
    <t>Returning Visitors</t>
  </si>
  <si>
    <t>Trend</t>
  </si>
  <si>
    <t>Current
Month</t>
  </si>
  <si>
    <t>Average</t>
  </si>
  <si>
    <t>Upper Limit</t>
  </si>
  <si>
    <t>Lower Limit</t>
  </si>
  <si>
    <t>Month Offset</t>
  </si>
  <si>
    <t>Control
Limits</t>
  </si>
  <si>
    <t>Select reporting period:</t>
  </si>
  <si>
    <t>Conversions</t>
  </si>
  <si>
    <t>eCommerce Conversion</t>
  </si>
  <si>
    <t xml:space="preserve"> </t>
  </si>
  <si>
    <t>General site statistics. The 3 numbers beside the sparkline are the upper and lower limits (+/- 1xStandard Deviation) and the middle number is the average.</t>
  </si>
  <si>
    <t>Degree of fidelity toward the site.</t>
  </si>
  <si>
    <t>This section focus on typical ecommerce metrics.</t>
  </si>
  <si>
    <t>General metric.</t>
  </si>
  <si>
    <t>General site statistic. In most cases, an increase in visits will correlate directly with higher outcomes.</t>
  </si>
  <si>
    <t>General site statistic. Can be considered an indicator of engagement.</t>
  </si>
  <si>
    <t>Depending on the context, this can indicate interest in your content... Or lost trying to find something.</t>
  </si>
  <si>
    <t>Share of wallet.</t>
  </si>
  <si>
    <t>Bottom line...</t>
  </si>
  <si>
    <t>Orders by Visit (or could also be Customers/Visitors)</t>
  </si>
  <si>
    <t>Same Month
of Last Year</t>
  </si>
  <si>
    <r>
      <rPr>
        <sz val="6"/>
        <rFont val="Webdings"/>
        <family val="1"/>
        <charset val="2"/>
      </rPr>
      <t xml:space="preserve">5
</t>
    </r>
    <r>
      <rPr>
        <sz val="6"/>
        <rFont val="Calibri"/>
        <family val="2"/>
      </rPr>
      <t xml:space="preserve">–
</t>
    </r>
    <r>
      <rPr>
        <sz val="6"/>
        <rFont val="Webdings"/>
        <family val="1"/>
        <charset val="2"/>
      </rPr>
      <t>6</t>
    </r>
  </si>
  <si>
    <t>Segment1</t>
  </si>
  <si>
    <t>Instructions: Data for 13 months trend of 1st segment
1) Change Segment1 to your liking
2) Adjust the column names Success Event 1 through Success Event 3
3) Edit only the non-grayed out columns.</t>
  </si>
  <si>
    <t>Instructions: Lookup information, do not edit this spreadsheet directly, all values are automatically derived from the two WebDataSegments pages
1) Change column names of Succes Event 1 through Success Event 3 to your liking</t>
  </si>
  <si>
    <t>OFFSET(INDIRECT(RefData),MATCH(RefDate,WebDataS1[Date],0)+GraphData[[#This Row],[Month Offset]]-1,MATCH(GraphData[[#Headers],[New Visitors]],WebDataS1[#Headers],0)-1,1,1)</t>
  </si>
  <si>
    <t>IF(RefSite=1,"WebDataS1","WebDataS2")</t>
  </si>
  <si>
    <t>RefData</t>
  </si>
  <si>
    <t>OFFSET(WebDataS1[[#All],[Date]],A2,0,1,1)</t>
  </si>
  <si>
    <t>RefDate</t>
  </si>
  <si>
    <t>WebDataS1[Date]</t>
  </si>
  <si>
    <t>Date column in WebDataS1</t>
  </si>
  <si>
    <t>2009-01-01</t>
  </si>
  <si>
    <t>Goal 1</t>
  </si>
  <si>
    <t>Goal 2</t>
  </si>
  <si>
    <t>Goal 3</t>
  </si>
  <si>
    <t>Year</t>
  </si>
  <si>
    <t>Month</t>
  </si>
  <si>
    <t>Visitor Type</t>
  </si>
  <si>
    <t>January</t>
  </si>
  <si>
    <t>New Visitor</t>
  </si>
  <si>
    <t>February</t>
  </si>
  <si>
    <t>March</t>
  </si>
  <si>
    <t>April</t>
  </si>
  <si>
    <t>May</t>
  </si>
  <si>
    <t>June</t>
  </si>
  <si>
    <t>July</t>
  </si>
  <si>
    <t>August</t>
  </si>
  <si>
    <t>September</t>
  </si>
  <si>
    <t>October</t>
  </si>
  <si>
    <t>November</t>
  </si>
  <si>
    <t>December</t>
  </si>
  <si>
    <t>Returning Visitor</t>
  </si>
  <si>
    <t>Visitors</t>
  </si>
  <si>
    <t>Bounce Rate(%)</t>
  </si>
  <si>
    <t>Unique Pageviews</t>
  </si>
  <si>
    <t>unique pageviews/Visit</t>
  </si>
  <si>
    <t>New Visits</t>
  </si>
  <si>
    <t>Revenue</t>
  </si>
  <si>
    <t>Customer</t>
  </si>
  <si>
    <t>Transaction</t>
  </si>
  <si>
    <t>Quantity</t>
  </si>
  <si>
    <t>Quantity/Order</t>
  </si>
  <si>
    <t>Average Order Value</t>
  </si>
  <si>
    <t>E-commerce conversion rate</t>
  </si>
  <si>
    <t>Start Date</t>
  </si>
  <si>
    <t>End Date</t>
  </si>
  <si>
    <t>Profile Name</t>
  </si>
  <si>
    <t>Goal 5</t>
  </si>
  <si>
    <t>Conversion Rate-Goal4(%)</t>
  </si>
  <si>
    <t>Conversion Rate-Goal5(%)</t>
  </si>
  <si>
    <t>Conversion Rate-Goal3(%)</t>
  </si>
  <si>
    <t>Conversion Rate-Goal2(%)</t>
  </si>
  <si>
    <t>Conversion Rate-Goal1(%)</t>
  </si>
  <si>
    <t>Goal 4</t>
  </si>
  <si>
    <t>2010-06-30</t>
  </si>
  <si>
    <t>unique pageviews</t>
  </si>
  <si>
    <t>unique pageviews/visit</t>
  </si>
  <si>
    <t>Are you bringing quality traffic? OR Is my site having quality content on relevant pages?</t>
  </si>
  <si>
    <t>Interpretation and Recommendations</t>
  </si>
  <si>
    <t>Specific intended activity expected from visitor</t>
  </si>
  <si>
    <t xml:space="preserve"> Instructions to use:                                                                                                                                                              1. Login with your Google Analytics Credentials.                                                                                             2. Go to Background Sheet.                                                                                                                                               3. Change Start/End Date and/or Profile Name in Background Sheet Cells (B1 - B3)                 </t>
  </si>
  <si>
    <t>4. Click on Refresh</t>
  </si>
  <si>
    <t>Site Statistics Description</t>
  </si>
  <si>
    <t>November 2009</t>
  </si>
  <si>
    <t>January 2009</t>
  </si>
  <si>
    <t>February 2009</t>
  </si>
  <si>
    <t>March 2009</t>
  </si>
  <si>
    <t>April 2009</t>
  </si>
  <si>
    <t>May 2009</t>
  </si>
  <si>
    <t>June 2009</t>
  </si>
  <si>
    <t>July 2009</t>
  </si>
  <si>
    <t>August 2009</t>
  </si>
  <si>
    <t>September 2009</t>
  </si>
  <si>
    <t>October 2009</t>
  </si>
  <si>
    <t>December 2009</t>
  </si>
  <si>
    <t>January 2010</t>
  </si>
  <si>
    <t>February 2010</t>
  </si>
  <si>
    <t>March 2010</t>
  </si>
  <si>
    <t>April 2010</t>
  </si>
  <si>
    <t>May 2010</t>
  </si>
  <si>
    <t>June 2010</t>
  </si>
  <si>
    <t>Goal Conversions (%)</t>
  </si>
  <si>
    <t>all include</t>
  </si>
</sst>
</file>

<file path=xl/styles.xml><?xml version="1.0" encoding="utf-8"?>
<styleSheet xmlns="http://schemas.openxmlformats.org/spreadsheetml/2006/main">
  <numFmts count="10">
    <numFmt numFmtId="164" formatCode="_-* #,##0_-;\-* #,##0_-;_-* &quot;-&quot;_-;_-@_-"/>
    <numFmt numFmtId="165" formatCode="_-&quot;$&quot;* #,##0.00_-;\-&quot;$&quot;* #,##0.00_-;_-&quot;$&quot;* &quot;-&quot;??_-;_-@_-"/>
    <numFmt numFmtId="166" formatCode="_-* #,##0.00_-;\-* #,##0.00_-;_-* &quot;-&quot;??_-;_-@_-"/>
    <numFmt numFmtId="167" formatCode="_-* #,##0.00\ _$_-;_-* #,##0.00\ _$\-;_-* &quot;-&quot;??\ _$_-;_-@_-"/>
    <numFmt numFmtId="168" formatCode="0.0"/>
    <numFmt numFmtId="169" formatCode="#,##0_ ;\-#,##0\ "/>
    <numFmt numFmtId="170" formatCode="#,##0.0_ ;\-#,##0.0\ "/>
    <numFmt numFmtId="171" formatCode="#,##0.0"/>
    <numFmt numFmtId="172" formatCode="mmmm\ yy"/>
    <numFmt numFmtId="173" formatCode="0.0%"/>
  </numFmts>
  <fonts count="5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9"/>
      <color indexed="81"/>
      <name val="Tahoma"/>
      <family val="2"/>
    </font>
    <font>
      <b/>
      <sz val="9"/>
      <color indexed="81"/>
      <name val="Tahoma"/>
      <family val="2"/>
    </font>
    <font>
      <b/>
      <sz val="18"/>
      <color theme="1"/>
      <name val="Calibri"/>
      <family val="2"/>
      <scheme val="minor"/>
    </font>
    <font>
      <sz val="10"/>
      <color theme="0"/>
      <name val="Arial"/>
      <family val="2"/>
    </font>
    <font>
      <b/>
      <sz val="10"/>
      <name val="Arial"/>
      <family val="2"/>
    </font>
    <font>
      <sz val="8"/>
      <name val="Arial"/>
      <family val="2"/>
    </font>
    <font>
      <b/>
      <sz val="16"/>
      <color theme="1"/>
      <name val="Calibri"/>
      <family val="2"/>
      <scheme val="minor"/>
    </font>
    <font>
      <b/>
      <sz val="12"/>
      <name val="Calibri"/>
      <family val="2"/>
      <scheme val="minor"/>
    </font>
    <font>
      <sz val="8"/>
      <name val="Calibri"/>
      <family val="2"/>
      <scheme val="minor"/>
    </font>
    <font>
      <sz val="12"/>
      <name val="Calibri"/>
      <family val="2"/>
      <scheme val="minor"/>
    </font>
    <font>
      <b/>
      <sz val="16"/>
      <name val="Calibri"/>
      <family val="2"/>
      <scheme val="minor"/>
    </font>
    <font>
      <sz val="8"/>
      <color theme="1"/>
      <name val="Calibri"/>
      <family val="2"/>
      <scheme val="minor"/>
    </font>
    <font>
      <b/>
      <sz val="8"/>
      <color theme="1"/>
      <name val="Calibri"/>
      <family val="2"/>
      <scheme val="minor"/>
    </font>
    <font>
      <sz val="9"/>
      <name val="Arial"/>
      <family val="2"/>
    </font>
    <font>
      <sz val="10"/>
      <color theme="1" tint="0.499984740745262"/>
      <name val="Calibri"/>
      <family val="2"/>
      <scheme val="minor"/>
    </font>
    <font>
      <sz val="8"/>
      <color theme="1" tint="0.499984740745262"/>
      <name val="Calibri"/>
      <family val="2"/>
      <scheme val="minor"/>
    </font>
    <font>
      <i/>
      <sz val="9"/>
      <name val="Arial"/>
      <family val="2"/>
    </font>
    <font>
      <sz val="6"/>
      <name val="Webdings"/>
      <family val="1"/>
      <charset val="2"/>
    </font>
    <font>
      <sz val="6"/>
      <name val="Arial"/>
      <family val="2"/>
    </font>
    <font>
      <sz val="6"/>
      <name val="Calibri"/>
      <family val="2"/>
    </font>
    <font>
      <sz val="5.5"/>
      <name val="Arial"/>
      <family val="2"/>
    </font>
    <font>
      <b/>
      <sz val="16"/>
      <color theme="0"/>
      <name val="Calibri"/>
      <family val="2"/>
      <scheme val="minor"/>
    </font>
    <font>
      <b/>
      <sz val="12"/>
      <color theme="0"/>
      <name val="Calibri"/>
      <family val="2"/>
      <scheme val="minor"/>
    </font>
    <font>
      <sz val="9"/>
      <color theme="1"/>
      <name val="Calibri"/>
      <family val="2"/>
      <scheme val="minor"/>
    </font>
    <font>
      <sz val="12"/>
      <color theme="0"/>
      <name val="Calibri"/>
      <family val="2"/>
      <scheme val="minor"/>
    </font>
    <font>
      <sz val="8"/>
      <color theme="0"/>
      <name val="Calibri"/>
      <family val="2"/>
      <scheme val="minor"/>
    </font>
    <font>
      <sz val="6"/>
      <color theme="0"/>
      <name val="Arial"/>
      <family val="2"/>
    </font>
    <font>
      <i/>
      <sz val="9"/>
      <color theme="0"/>
      <name val="Arial"/>
      <family val="2"/>
    </font>
    <font>
      <sz val="10"/>
      <name val="Calibri"/>
      <family val="2"/>
      <scheme val="minor"/>
    </font>
    <font>
      <sz val="11"/>
      <name val="Calibri"/>
      <family val="2"/>
      <scheme val="minor"/>
    </font>
    <font>
      <u/>
      <sz val="11"/>
      <color theme="10"/>
      <name val="Calibri"/>
      <family val="2"/>
    </font>
    <font>
      <b/>
      <u/>
      <sz val="8"/>
      <color theme="1"/>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gray0625"/>
    </fill>
    <fill>
      <patternFill patternType="solid">
        <fgColor rgb="FFFFFF00"/>
        <bgColor indexed="64"/>
      </patternFill>
    </fill>
    <fill>
      <patternFill patternType="solid">
        <fgColor theme="0"/>
        <bgColor indexed="64"/>
      </patternFill>
    </fill>
    <fill>
      <patternFill patternType="solid">
        <fgColor theme="6" tint="-0.499984740745262"/>
        <bgColor indexed="64"/>
      </patternFill>
    </fill>
    <fill>
      <patternFill patternType="solid">
        <fgColor theme="6"/>
        <bgColor indexed="64"/>
      </patternFill>
    </fill>
    <fill>
      <patternFill patternType="solid">
        <fgColor theme="0" tint="-0.14999847407452621"/>
        <bgColor indexed="64"/>
      </patternFill>
    </fill>
  </fills>
  <borders count="10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medium">
        <color theme="0"/>
      </left>
      <right/>
      <top style="medium">
        <color theme="0"/>
      </top>
      <bottom/>
      <diagonal/>
    </border>
    <border>
      <left/>
      <right/>
      <top style="medium">
        <color theme="0"/>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right/>
      <top style="thin">
        <color theme="0" tint="-0.14993743705557422"/>
      </top>
      <bottom style="thin">
        <color theme="0" tint="-0.14993743705557422"/>
      </bottom>
      <diagonal/>
    </border>
    <border>
      <left style="thin">
        <color theme="0" tint="-0.14996795556505021"/>
      </left>
      <right/>
      <top/>
      <bottom style="thin">
        <color theme="0" tint="-0.14993743705557422"/>
      </bottom>
      <diagonal/>
    </border>
    <border>
      <left style="thin">
        <color theme="0"/>
      </left>
      <right style="thin">
        <color theme="0"/>
      </right>
      <top style="thin">
        <color theme="0" tint="-0.14996795556505021"/>
      </top>
      <bottom/>
      <diagonal/>
    </border>
    <border>
      <left style="thin">
        <color theme="0" tint="-0.14996795556505021"/>
      </left>
      <right/>
      <top/>
      <bottom/>
      <diagonal/>
    </border>
    <border>
      <left style="thin">
        <color theme="0"/>
      </left>
      <right style="thin">
        <color theme="0"/>
      </right>
      <top/>
      <bottom style="thin">
        <color theme="0" tint="-0.14996795556505021"/>
      </bottom>
      <diagonal/>
    </border>
    <border>
      <left style="thin">
        <color theme="0" tint="-0.14996795556505021"/>
      </left>
      <right/>
      <top style="thin">
        <color theme="0" tint="-0.14993743705557422"/>
      </top>
      <bottom/>
      <diagonal/>
    </border>
    <border>
      <left/>
      <right/>
      <top/>
      <bottom style="thin">
        <color theme="0" tint="-0.14993743705557422"/>
      </bottom>
      <diagonal/>
    </border>
    <border>
      <left/>
      <right style="thin">
        <color theme="0"/>
      </right>
      <top style="thin">
        <color theme="0" tint="-0.14996795556505021"/>
      </top>
      <bottom/>
      <diagonal/>
    </border>
    <border>
      <left/>
      <right style="thin">
        <color theme="0"/>
      </right>
      <top/>
      <bottom style="thin">
        <color theme="0" tint="-0.14996795556505021"/>
      </bottom>
      <diagonal/>
    </border>
    <border>
      <left style="thin">
        <color theme="0"/>
      </left>
      <right style="thin">
        <color theme="0" tint="-0.14993743705557422"/>
      </right>
      <top/>
      <bottom style="thin">
        <color theme="0" tint="-0.14996795556505021"/>
      </bottom>
      <diagonal/>
    </border>
    <border>
      <left style="thin">
        <color theme="0"/>
      </left>
      <right style="thin">
        <color theme="0"/>
      </right>
      <top/>
      <bottom/>
      <diagonal/>
    </border>
    <border>
      <left style="thin">
        <color theme="0"/>
      </left>
      <right style="thin">
        <color theme="0" tint="-0.14993743705557422"/>
      </right>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right/>
      <top style="thin">
        <color theme="0" tint="-0.14993743705557422"/>
      </top>
      <bottom style="thin">
        <color theme="0"/>
      </bottom>
      <diagonal/>
    </border>
    <border>
      <left/>
      <right/>
      <top style="thin">
        <color theme="0"/>
      </top>
      <bottom/>
      <diagonal/>
    </border>
    <border>
      <left/>
      <right style="thin">
        <color theme="0" tint="-0.14993743705557422"/>
      </right>
      <top/>
      <bottom style="thin">
        <color theme="0" tint="-0.14993743705557422"/>
      </bottom>
      <diagonal/>
    </border>
    <border>
      <left/>
      <right/>
      <top style="medium">
        <color theme="0"/>
      </top>
      <bottom style="thin">
        <color theme="0" tint="-0.14996795556505021"/>
      </bottom>
      <diagonal/>
    </border>
    <border>
      <left/>
      <right/>
      <top style="medium">
        <color theme="0"/>
      </top>
      <bottom style="thin">
        <color theme="0" tint="-0.14990691854609822"/>
      </bottom>
      <diagonal/>
    </border>
    <border>
      <left/>
      <right style="medium">
        <color theme="0"/>
      </right>
      <top style="medium">
        <color theme="0"/>
      </top>
      <bottom style="thin">
        <color theme="0" tint="-0.14990691854609822"/>
      </bottom>
      <diagonal/>
    </border>
    <border>
      <left/>
      <right/>
      <top style="medium">
        <color theme="0"/>
      </top>
      <bottom style="thin">
        <color theme="0" tint="-0.14993743705557422"/>
      </bottom>
      <diagonal/>
    </border>
    <border>
      <left/>
      <right style="medium">
        <color theme="0"/>
      </right>
      <top style="medium">
        <color theme="0"/>
      </top>
      <bottom style="thin">
        <color theme="0" tint="-0.14993743705557422"/>
      </bottom>
      <diagonal/>
    </border>
    <border>
      <left style="thin">
        <color theme="0" tint="-0.14993743705557422"/>
      </left>
      <right/>
      <top style="thin">
        <color theme="0" tint="-0.14993743705557422"/>
      </top>
      <bottom/>
      <diagonal/>
    </border>
    <border>
      <left/>
      <right style="thin">
        <color theme="0" tint="-0.14993743705557422"/>
      </right>
      <top style="thin">
        <color theme="0" tint="-0.14993743705557422"/>
      </top>
      <bottom/>
      <diagonal/>
    </border>
    <border>
      <left style="thin">
        <color theme="0" tint="-0.1498764000366222"/>
      </left>
      <right style="thin">
        <color theme="0"/>
      </right>
      <top style="thin">
        <color theme="0" tint="-0.1498764000366222"/>
      </top>
      <bottom style="thin">
        <color theme="0"/>
      </bottom>
      <diagonal/>
    </border>
    <border>
      <left style="thin">
        <color theme="0"/>
      </left>
      <right style="thin">
        <color theme="0" tint="-0.1498764000366222"/>
      </right>
      <top style="thin">
        <color theme="0" tint="-0.1498764000366222"/>
      </top>
      <bottom style="thin">
        <color theme="0"/>
      </bottom>
      <diagonal/>
    </border>
    <border>
      <left style="thin">
        <color theme="0" tint="-0.14993743705557422"/>
      </left>
      <right style="thin">
        <color theme="0" tint="-0.14993743705557422"/>
      </right>
      <top style="thin">
        <color theme="0" tint="-0.14993743705557422"/>
      </top>
      <bottom/>
      <diagonal/>
    </border>
    <border>
      <left style="thin">
        <color theme="0" tint="-0.1498764000366222"/>
      </left>
      <right style="thin">
        <color theme="0" tint="-0.1498764000366222"/>
      </right>
      <top style="thin">
        <color theme="0" tint="-0.1498764000366222"/>
      </top>
      <bottom style="thin">
        <color theme="0"/>
      </bottom>
      <diagonal/>
    </border>
    <border>
      <left style="thin">
        <color theme="0" tint="-0.1498764000366222"/>
      </left>
      <right style="thin">
        <color theme="0" tint="-0.1498764000366222"/>
      </right>
      <top style="thin">
        <color theme="0"/>
      </top>
      <bottom style="thin">
        <color theme="0" tint="-0.1498764000366222"/>
      </bottom>
      <diagonal/>
    </border>
    <border>
      <left style="thin">
        <color theme="0" tint="-0.1498764000366222"/>
      </left>
      <right/>
      <top style="thin">
        <color theme="0"/>
      </top>
      <bottom style="thin">
        <color theme="0" tint="-0.1498764000366222"/>
      </bottom>
      <diagonal/>
    </border>
    <border>
      <left/>
      <right style="thin">
        <color theme="0" tint="-0.1498764000366222"/>
      </right>
      <top style="thin">
        <color theme="0"/>
      </top>
      <bottom style="thin">
        <color theme="0" tint="-0.1498764000366222"/>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style="thin">
        <color theme="0" tint="-0.14993743705557422"/>
      </bottom>
      <diagonal/>
    </border>
    <border>
      <left style="thin">
        <color theme="0" tint="-0.1498764000366222"/>
      </left>
      <right/>
      <top style="thin">
        <color theme="0"/>
      </top>
      <bottom/>
      <diagonal/>
    </border>
    <border>
      <left/>
      <right style="thin">
        <color theme="0" tint="-0.1498764000366222"/>
      </right>
      <top style="thin">
        <color theme="0"/>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14993743705557422"/>
      </left>
      <right/>
      <top style="thin">
        <color theme="0" tint="-0.14993743705557422"/>
      </top>
      <bottom style="medium">
        <color theme="0"/>
      </bottom>
      <diagonal/>
    </border>
    <border>
      <left/>
      <right/>
      <top/>
      <bottom style="medium">
        <color theme="0"/>
      </bottom>
      <diagonal/>
    </border>
    <border>
      <left/>
      <right/>
      <top style="thin">
        <color theme="0" tint="-0.14993743705557422"/>
      </top>
      <bottom style="medium">
        <color theme="0"/>
      </bottom>
      <diagonal/>
    </border>
    <border>
      <left/>
      <right style="thin">
        <color theme="0" tint="-0.249977111117893"/>
      </right>
      <top style="thin">
        <color theme="0" tint="-0.14993743705557422"/>
      </top>
      <bottom style="medium">
        <color theme="0"/>
      </bottom>
      <diagonal/>
    </border>
    <border>
      <left/>
      <right/>
      <top style="thin">
        <color theme="0" tint="-0.249977111117893"/>
      </top>
      <bottom/>
      <diagonal/>
    </border>
    <border>
      <left/>
      <right/>
      <top style="thin">
        <color theme="0" tint="-0.14999847407452621"/>
      </top>
      <bottom/>
      <diagonal/>
    </border>
    <border>
      <left style="thin">
        <color theme="0"/>
      </left>
      <right style="thin">
        <color theme="0"/>
      </right>
      <top/>
      <bottom style="thin">
        <color theme="0" tint="-0.14999847407452621"/>
      </bottom>
      <diagonal/>
    </border>
    <border>
      <left style="thin">
        <color theme="0"/>
      </left>
      <right style="thin">
        <color theme="0" tint="-0.14993743705557422"/>
      </right>
      <top style="thin">
        <color theme="0" tint="-0.14996795556505021"/>
      </top>
      <bottom/>
      <diagonal/>
    </border>
    <border>
      <left style="thin">
        <color theme="0"/>
      </left>
      <right style="thin">
        <color theme="0" tint="-0.14993743705557422"/>
      </right>
      <top/>
      <bottom style="thin">
        <color theme="0" tint="-0.14999847407452621"/>
      </bottom>
      <diagonal/>
    </border>
    <border>
      <left style="thin">
        <color theme="0" tint="-0.1498764000366222"/>
      </left>
      <right style="thin">
        <color theme="0"/>
      </right>
      <top/>
      <bottom style="thin">
        <color theme="0"/>
      </bottom>
      <diagonal/>
    </border>
    <border>
      <left style="thin">
        <color theme="0"/>
      </left>
      <right/>
      <top/>
      <bottom style="thin">
        <color theme="0"/>
      </bottom>
      <diagonal/>
    </border>
    <border>
      <left style="thin">
        <color theme="0" tint="-0.1498764000366222"/>
      </left>
      <right/>
      <top style="thin">
        <color theme="0"/>
      </top>
      <bottom style="thin">
        <color theme="0" tint="-0.14999847407452621"/>
      </bottom>
      <diagonal/>
    </border>
    <border>
      <left/>
      <right style="thin">
        <color theme="0" tint="-0.1498764000366222"/>
      </right>
      <top style="thin">
        <color theme="0"/>
      </top>
      <bottom style="thin">
        <color theme="0" tint="-0.14999847407452621"/>
      </bottom>
      <diagonal/>
    </border>
    <border>
      <left style="thin">
        <color theme="0"/>
      </left>
      <right style="thin">
        <color theme="0"/>
      </right>
      <top style="thin">
        <color theme="0" tint="-0.14999847407452621"/>
      </top>
      <bottom/>
      <diagonal/>
    </border>
    <border>
      <left style="thin">
        <color theme="0" tint="-0.14999847407452621"/>
      </left>
      <right/>
      <top/>
      <bottom/>
      <diagonal/>
    </border>
    <border>
      <left style="thin">
        <color theme="0"/>
      </left>
      <right/>
      <top style="thin">
        <color theme="0" tint="-0.14999847407452621"/>
      </top>
      <bottom/>
      <diagonal/>
    </border>
    <border>
      <left style="thin">
        <color theme="0"/>
      </left>
      <right/>
      <top/>
      <bottom style="thin">
        <color theme="0" tint="-0.14999847407452621"/>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right style="thin">
        <color theme="0" tint="-0.249977111117893"/>
      </right>
      <top style="thin">
        <color theme="0" tint="-0.14999847407452621"/>
      </top>
      <bottom/>
      <diagonal/>
    </border>
    <border>
      <left style="thin">
        <color theme="0" tint="-0.249977111117893"/>
      </left>
      <right/>
      <top/>
      <bottom/>
      <diagonal/>
    </border>
    <border>
      <left/>
      <right style="thin">
        <color theme="0" tint="-0.14999847407452621"/>
      </right>
      <top/>
      <bottom/>
      <diagonal/>
    </border>
    <border>
      <left style="thin">
        <color theme="0" tint="-0.1498764000366222"/>
      </left>
      <right style="thin">
        <color theme="0"/>
      </right>
      <top style="thin">
        <color theme="0" tint="-0.14996795556505021"/>
      </top>
      <bottom/>
      <diagonal/>
    </border>
    <border>
      <left style="thin">
        <color theme="0" tint="-0.1498764000366222"/>
      </left>
      <right style="thin">
        <color theme="0"/>
      </right>
      <top/>
      <bottom style="thin">
        <color theme="0" tint="-0.14999847407452621"/>
      </bottom>
      <diagonal/>
    </border>
    <border>
      <left style="thin">
        <color theme="0" tint="-0.14999847407452621"/>
      </left>
      <right style="thin">
        <color theme="0"/>
      </right>
      <top style="thin">
        <color theme="0" tint="-0.14999847407452621"/>
      </top>
      <bottom/>
      <diagonal/>
    </border>
    <border>
      <left style="thin">
        <color theme="0" tint="-0.14999847407452621"/>
      </left>
      <right style="thin">
        <color theme="0"/>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bottom style="thin">
        <color theme="0" tint="-0.14999847407452621"/>
      </bottom>
      <diagonal/>
    </border>
    <border>
      <left/>
      <right style="thin">
        <color theme="0" tint="-0.249977111117893"/>
      </right>
      <top style="thin">
        <color theme="0" tint="-0.14999847407452621"/>
      </top>
      <bottom style="medium">
        <color theme="0"/>
      </bottom>
      <diagonal/>
    </border>
    <border>
      <left/>
      <right/>
      <top style="thin">
        <color theme="0" tint="-0.14999847407452621"/>
      </top>
      <bottom style="medium">
        <color theme="0"/>
      </bottom>
      <diagonal/>
    </border>
    <border>
      <left style="thin">
        <color theme="0" tint="-0.249977111117893"/>
      </left>
      <right/>
      <top style="thin">
        <color theme="0" tint="-0.14999847407452621"/>
      </top>
      <bottom/>
      <diagonal/>
    </border>
    <border>
      <left style="thin">
        <color theme="0" tint="-0.249977111117893"/>
      </left>
      <right/>
      <top/>
      <bottom style="thin">
        <color theme="0" tint="-0.14999847407452621"/>
      </bottom>
      <diagonal/>
    </border>
    <border>
      <left/>
      <right style="thin">
        <color theme="0" tint="-0.249977111117893"/>
      </right>
      <top/>
      <bottom style="thin">
        <color theme="0" tint="-0.14999847407452621"/>
      </bottom>
      <diagonal/>
    </border>
    <border>
      <left style="thin">
        <color theme="0"/>
      </left>
      <right style="thin">
        <color theme="0"/>
      </right>
      <top/>
      <bottom style="thin">
        <color rgb="FFFFFFFF"/>
      </bottom>
      <diagonal/>
    </border>
    <border>
      <left style="thin">
        <color theme="0" tint="-0.249977111117893"/>
      </left>
      <right style="thin">
        <color theme="0" tint="-0.249977111117893"/>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249977111117893"/>
      </right>
      <top style="thin">
        <color theme="0" tint="-0.249977111117893"/>
      </top>
      <bottom/>
      <diagonal/>
    </border>
    <border>
      <left style="thin">
        <color theme="0" tint="-0.14999847407452621"/>
      </left>
      <right style="thin">
        <color theme="0" tint="-0.249977111117893"/>
      </right>
      <top/>
      <bottom style="thin">
        <color theme="0" tint="-0.249977111117893"/>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51">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9" fontId="18" fillId="0" borderId="0" applyFont="0" applyFill="0" applyBorder="0" applyAlignment="0" applyProtection="0"/>
    <xf numFmtId="0" fontId="19" fillId="0" borderId="0"/>
    <xf numFmtId="167" fontId="19" fillId="0" borderId="0" applyFont="0" applyFill="0" applyBorder="0" applyAlignment="0" applyProtection="0"/>
    <xf numFmtId="9" fontId="19" fillId="0" borderId="0" applyFont="0" applyFill="0" applyBorder="0" applyAlignment="0" applyProtection="0"/>
    <xf numFmtId="0" fontId="50" fillId="0" borderId="0" applyNumberFormat="0" applyFill="0" applyBorder="0" applyAlignment="0" applyProtection="0">
      <alignment vertical="top"/>
      <protection locked="0"/>
    </xf>
  </cellStyleXfs>
  <cellXfs count="252">
    <xf numFmtId="0" fontId="0" fillId="0" borderId="0" xfId="0"/>
    <xf numFmtId="0" fontId="18" fillId="0" borderId="0" xfId="45"/>
    <xf numFmtId="3" fontId="18" fillId="0" borderId="0" xfId="45" applyNumberFormat="1"/>
    <xf numFmtId="0" fontId="19" fillId="0" borderId="0" xfId="45" applyFont="1" applyAlignment="1">
      <alignment wrapText="1"/>
    </xf>
    <xf numFmtId="0" fontId="19" fillId="0" borderId="0" xfId="45" applyFont="1"/>
    <xf numFmtId="168" fontId="19" fillId="0" borderId="0" xfId="45" applyNumberFormat="1" applyFont="1" applyFill="1"/>
    <xf numFmtId="3" fontId="19" fillId="0" borderId="0" xfId="45" applyNumberFormat="1" applyFont="1" applyFill="1"/>
    <xf numFmtId="168" fontId="18" fillId="34" borderId="0" xfId="45" applyNumberFormat="1" applyFill="1"/>
    <xf numFmtId="3" fontId="19" fillId="34" borderId="0" xfId="45" applyNumberFormat="1" applyFont="1" applyFill="1"/>
    <xf numFmtId="168" fontId="19" fillId="34" borderId="0" xfId="45" applyNumberFormat="1" applyFont="1" applyFill="1"/>
    <xf numFmtId="165" fontId="0" fillId="0" borderId="0" xfId="2" applyFont="1"/>
    <xf numFmtId="164" fontId="18" fillId="0" borderId="0" xfId="1" applyNumberFormat="1" applyFont="1" applyFill="1"/>
    <xf numFmtId="164" fontId="19" fillId="0" borderId="0" xfId="1" applyNumberFormat="1" applyFont="1" applyFill="1" applyAlignment="1">
      <alignment wrapText="1"/>
    </xf>
    <xf numFmtId="0" fontId="0" fillId="0" borderId="0" xfId="0"/>
    <xf numFmtId="0" fontId="0" fillId="0" borderId="0" xfId="0"/>
    <xf numFmtId="164" fontId="19" fillId="0" borderId="0" xfId="1" applyNumberFormat="1" applyFont="1" applyFill="1"/>
    <xf numFmtId="0" fontId="0" fillId="0" borderId="0" xfId="0"/>
    <xf numFmtId="3" fontId="0" fillId="0" borderId="0" xfId="0" applyNumberFormat="1"/>
    <xf numFmtId="3" fontId="0" fillId="0" borderId="0" xfId="0" applyNumberFormat="1"/>
    <xf numFmtId="3" fontId="0" fillId="0" borderId="0" xfId="0" applyNumberFormat="1"/>
    <xf numFmtId="3" fontId="0" fillId="0" borderId="0" xfId="0" applyNumberFormat="1"/>
    <xf numFmtId="3" fontId="0" fillId="0" borderId="0" xfId="0" applyNumberFormat="1"/>
    <xf numFmtId="3" fontId="0" fillId="0" borderId="0" xfId="0" applyNumberFormat="1"/>
    <xf numFmtId="0" fontId="0" fillId="0" borderId="0" xfId="0"/>
    <xf numFmtId="3" fontId="0" fillId="0" borderId="0" xfId="0" applyNumberFormat="1"/>
    <xf numFmtId="171" fontId="19" fillId="0" borderId="0" xfId="45" applyNumberFormat="1" applyFont="1" applyFill="1"/>
    <xf numFmtId="3" fontId="19" fillId="0" borderId="0" xfId="46" applyNumberFormat="1" applyFont="1"/>
    <xf numFmtId="0" fontId="19" fillId="0" borderId="10" xfId="45" applyFont="1" applyFill="1" applyBorder="1"/>
    <xf numFmtId="3" fontId="19" fillId="0" borderId="10" xfId="45" applyNumberFormat="1" applyFont="1" applyFill="1" applyBorder="1"/>
    <xf numFmtId="168" fontId="19" fillId="0" borderId="10" xfId="45" applyNumberFormat="1" applyFont="1" applyFill="1" applyBorder="1"/>
    <xf numFmtId="9" fontId="19" fillId="0" borderId="10" xfId="3" applyNumberFormat="1" applyFont="1" applyFill="1" applyBorder="1"/>
    <xf numFmtId="171" fontId="19" fillId="0" borderId="10" xfId="45" applyNumberFormat="1" applyFont="1" applyFill="1" applyBorder="1"/>
    <xf numFmtId="165" fontId="19" fillId="0" borderId="10" xfId="2" applyNumberFormat="1" applyFont="1" applyFill="1" applyBorder="1"/>
    <xf numFmtId="0" fontId="19" fillId="0" borderId="12" xfId="45" applyFont="1" applyFill="1" applyBorder="1"/>
    <xf numFmtId="3" fontId="19" fillId="0" borderId="12" xfId="45" applyNumberFormat="1" applyFont="1" applyFill="1" applyBorder="1"/>
    <xf numFmtId="168" fontId="19" fillId="0" borderId="12" xfId="45" applyNumberFormat="1" applyFont="1" applyFill="1" applyBorder="1"/>
    <xf numFmtId="9" fontId="19" fillId="0" borderId="12" xfId="3" applyNumberFormat="1" applyFont="1" applyFill="1" applyBorder="1"/>
    <xf numFmtId="171" fontId="19" fillId="0" borderId="12" xfId="45" applyNumberFormat="1" applyFont="1" applyFill="1" applyBorder="1"/>
    <xf numFmtId="165" fontId="19" fillId="0" borderId="12" xfId="2" applyNumberFormat="1" applyFont="1" applyFill="1" applyBorder="1"/>
    <xf numFmtId="0" fontId="19" fillId="0" borderId="14" xfId="45" applyFont="1" applyFill="1" applyBorder="1"/>
    <xf numFmtId="3" fontId="19" fillId="0" borderId="14" xfId="45" applyNumberFormat="1" applyFont="1" applyFill="1" applyBorder="1"/>
    <xf numFmtId="168" fontId="19" fillId="0" borderId="14" xfId="45" applyNumberFormat="1" applyFont="1" applyFill="1" applyBorder="1"/>
    <xf numFmtId="9" fontId="19" fillId="0" borderId="14" xfId="3" applyNumberFormat="1" applyFont="1" applyFill="1" applyBorder="1"/>
    <xf numFmtId="171" fontId="19" fillId="0" borderId="14" xfId="45" applyNumberFormat="1" applyFont="1" applyFill="1" applyBorder="1"/>
    <xf numFmtId="165" fontId="19" fillId="0" borderId="14" xfId="2" applyNumberFormat="1" applyFont="1" applyFill="1" applyBorder="1"/>
    <xf numFmtId="9" fontId="19" fillId="0" borderId="0" xfId="3" applyNumberFormat="1" applyFont="1" applyFill="1" applyBorder="1"/>
    <xf numFmtId="0" fontId="24" fillId="33" borderId="12" xfId="0" applyNumberFormat="1" applyFont="1" applyFill="1" applyBorder="1" applyAlignment="1">
      <alignment vertical="top" wrapText="1"/>
    </xf>
    <xf numFmtId="0" fontId="19" fillId="0" borderId="0" xfId="0" applyNumberFormat="1" applyFont="1" applyFill="1" applyBorder="1" applyAlignment="1">
      <alignment wrapText="1"/>
    </xf>
    <xf numFmtId="3" fontId="19" fillId="0" borderId="0" xfId="45" applyNumberFormat="1" applyFont="1"/>
    <xf numFmtId="9" fontId="19" fillId="0" borderId="0" xfId="3" applyNumberFormat="1" applyFont="1" applyFill="1"/>
    <xf numFmtId="165" fontId="19" fillId="0" borderId="0" xfId="2" applyNumberFormat="1" applyFont="1" applyFill="1"/>
    <xf numFmtId="0" fontId="19" fillId="0" borderId="0" xfId="45" applyFont="1" applyFill="1" applyBorder="1"/>
    <xf numFmtId="3" fontId="19" fillId="0" borderId="0" xfId="45" applyNumberFormat="1" applyFont="1" applyFill="1" applyBorder="1"/>
    <xf numFmtId="168" fontId="19" fillId="0" borderId="0" xfId="45" applyNumberFormat="1" applyFont="1" applyFill="1" applyBorder="1"/>
    <xf numFmtId="171" fontId="19" fillId="0" borderId="0" xfId="45" applyNumberFormat="1" applyFont="1" applyFill="1" applyBorder="1"/>
    <xf numFmtId="165" fontId="19" fillId="0" borderId="0" xfId="2" applyNumberFormat="1" applyFont="1" applyFill="1" applyBorder="1"/>
    <xf numFmtId="171" fontId="0" fillId="34" borderId="0" xfId="0" applyNumberFormat="1" applyFill="1"/>
    <xf numFmtId="165" fontId="0" fillId="34" borderId="0" xfId="2" applyFont="1" applyFill="1"/>
    <xf numFmtId="0" fontId="18" fillId="0" borderId="0" xfId="45" applyFont="1" applyFill="1" applyAlignment="1">
      <alignment wrapText="1"/>
    </xf>
    <xf numFmtId="0" fontId="18" fillId="0" borderId="0" xfId="0" applyNumberFormat="1" applyFont="1" applyFill="1" applyBorder="1" applyAlignment="1">
      <alignment vertical="top" wrapText="1"/>
    </xf>
    <xf numFmtId="173" fontId="19" fillId="0" borderId="0" xfId="3" applyNumberFormat="1" applyFont="1" applyFill="1"/>
    <xf numFmtId="14" fontId="33" fillId="0" borderId="0" xfId="45" applyNumberFormat="1" applyFont="1" applyAlignment="1">
      <alignment horizontal="center" vertical="center"/>
    </xf>
    <xf numFmtId="0" fontId="33" fillId="0" borderId="0" xfId="45" applyFont="1" applyAlignment="1">
      <alignment horizontal="center" vertical="center" wrapText="1"/>
    </xf>
    <xf numFmtId="0" fontId="33" fillId="0" borderId="0" xfId="45" applyFont="1" applyAlignment="1">
      <alignment horizontal="center" vertical="center"/>
    </xf>
    <xf numFmtId="168" fontId="33" fillId="0" borderId="0" xfId="45" applyNumberFormat="1" applyFont="1" applyAlignment="1">
      <alignment horizontal="center" vertical="center" wrapText="1"/>
    </xf>
    <xf numFmtId="0" fontId="18" fillId="0" borderId="0" xfId="45" applyNumberFormat="1" applyAlignment="1">
      <alignment horizontal="left" vertical="top"/>
    </xf>
    <xf numFmtId="0" fontId="25" fillId="0" borderId="0" xfId="45" applyNumberFormat="1" applyFont="1" applyAlignment="1">
      <alignment horizontal="left" vertical="top"/>
    </xf>
    <xf numFmtId="0" fontId="23" fillId="36" borderId="0" xfId="3" applyNumberFormat="1" applyFont="1" applyFill="1" applyBorder="1" applyAlignment="1"/>
    <xf numFmtId="0" fontId="0" fillId="36" borderId="0" xfId="0" applyFill="1"/>
    <xf numFmtId="172" fontId="27" fillId="36" borderId="15" xfId="47" applyNumberFormat="1" applyFont="1" applyFill="1" applyBorder="1" applyAlignment="1">
      <alignment horizontal="left"/>
    </xf>
    <xf numFmtId="0" fontId="26" fillId="36" borderId="16" xfId="0" applyFont="1" applyFill="1" applyBorder="1" applyAlignment="1">
      <alignment horizontal="center" vertical="center"/>
    </xf>
    <xf numFmtId="0" fontId="30" fillId="36" borderId="16" xfId="47" applyFont="1" applyFill="1" applyBorder="1" applyAlignment="1">
      <alignment horizontal="center"/>
    </xf>
    <xf numFmtId="3" fontId="29" fillId="0" borderId="33" xfId="3" applyNumberFormat="1" applyFont="1" applyBorder="1" applyAlignment="1">
      <alignment horizontal="right"/>
    </xf>
    <xf numFmtId="171" fontId="29" fillId="0" borderId="33" xfId="3" applyNumberFormat="1" applyFont="1" applyBorder="1" applyAlignment="1">
      <alignment horizontal="right"/>
    </xf>
    <xf numFmtId="165" fontId="29" fillId="0" borderId="33" xfId="2" applyFont="1" applyBorder="1" applyAlignment="1">
      <alignment horizontal="right"/>
    </xf>
    <xf numFmtId="169" fontId="29" fillId="0" borderId="43" xfId="48" applyNumberFormat="1" applyFont="1" applyBorder="1" applyAlignment="1">
      <alignment horizontal="right"/>
    </xf>
    <xf numFmtId="9" fontId="34" fillId="0" borderId="44" xfId="49" applyNumberFormat="1" applyFont="1" applyBorder="1" applyAlignment="1">
      <alignment horizontal="right"/>
    </xf>
    <xf numFmtId="169" fontId="29" fillId="0" borderId="46" xfId="48" applyNumberFormat="1" applyFont="1" applyBorder="1" applyAlignment="1">
      <alignment horizontal="right"/>
    </xf>
    <xf numFmtId="169" fontId="29" fillId="0" borderId="47" xfId="48" applyNumberFormat="1" applyFont="1" applyBorder="1" applyAlignment="1">
      <alignment horizontal="right" vertical="top"/>
    </xf>
    <xf numFmtId="170" fontId="29" fillId="0" borderId="43" xfId="48" applyNumberFormat="1" applyFont="1" applyBorder="1" applyAlignment="1">
      <alignment horizontal="right"/>
    </xf>
    <xf numFmtId="170" fontId="29" fillId="0" borderId="46" xfId="48" applyNumberFormat="1" applyFont="1" applyBorder="1" applyAlignment="1">
      <alignment horizontal="right"/>
    </xf>
    <xf numFmtId="3" fontId="29" fillId="0" borderId="43" xfId="3" applyNumberFormat="1" applyFont="1" applyBorder="1" applyAlignment="1">
      <alignment horizontal="right"/>
    </xf>
    <xf numFmtId="3" fontId="29" fillId="0" borderId="46" xfId="3" applyNumberFormat="1" applyFont="1" applyBorder="1" applyAlignment="1">
      <alignment horizontal="right"/>
    </xf>
    <xf numFmtId="171" fontId="29" fillId="0" borderId="43" xfId="3" applyNumberFormat="1" applyFont="1" applyBorder="1" applyAlignment="1">
      <alignment horizontal="right"/>
    </xf>
    <xf numFmtId="171" fontId="29" fillId="0" borderId="13" xfId="3" applyNumberFormat="1" applyFont="1" applyBorder="1" applyAlignment="1">
      <alignment horizontal="right"/>
    </xf>
    <xf numFmtId="169" fontId="29" fillId="0" borderId="34" xfId="48" applyNumberFormat="1" applyFont="1" applyBorder="1" applyAlignment="1">
      <alignment horizontal="right" vertical="top"/>
    </xf>
    <xf numFmtId="165" fontId="29" fillId="0" borderId="43" xfId="2" applyFont="1" applyBorder="1" applyAlignment="1">
      <alignment horizontal="right"/>
    </xf>
    <xf numFmtId="0" fontId="19" fillId="0" borderId="0" xfId="0" applyNumberFormat="1" applyFont="1" applyFill="1" applyBorder="1" applyAlignment="1">
      <alignment vertical="top" wrapText="1"/>
    </xf>
    <xf numFmtId="0" fontId="19" fillId="0" borderId="0" xfId="45" applyFont="1" applyFill="1" applyAlignment="1">
      <alignment wrapText="1"/>
    </xf>
    <xf numFmtId="0" fontId="22" fillId="35" borderId="0" xfId="0" applyFont="1" applyFill="1"/>
    <xf numFmtId="0" fontId="33" fillId="35" borderId="0" xfId="45" applyFont="1" applyFill="1" applyAlignment="1">
      <alignment horizontal="center" vertical="center" wrapText="1"/>
    </xf>
    <xf numFmtId="0" fontId="16" fillId="0" borderId="0" xfId="0" applyFont="1" applyFill="1"/>
    <xf numFmtId="0" fontId="18" fillId="35" borderId="0" xfId="0" applyNumberFormat="1" applyFont="1" applyFill="1" applyBorder="1" applyAlignment="1">
      <alignment vertical="top" wrapText="1"/>
    </xf>
    <xf numFmtId="0" fontId="17" fillId="36" borderId="0" xfId="0" applyFont="1" applyFill="1"/>
    <xf numFmtId="0" fontId="41" fillId="36" borderId="0" xfId="0" applyFont="1" applyFill="1" applyBorder="1" applyAlignment="1">
      <alignment horizontal="center" vertical="center"/>
    </xf>
    <xf numFmtId="172" fontId="23" fillId="36" borderId="0" xfId="47" applyNumberFormat="1" applyFont="1" applyFill="1" applyBorder="1" applyAlignment="1"/>
    <xf numFmtId="0" fontId="23" fillId="36" borderId="0" xfId="47" applyFont="1" applyFill="1" applyBorder="1"/>
    <xf numFmtId="0" fontId="17" fillId="36" borderId="0" xfId="0" applyFont="1" applyFill="1" applyBorder="1"/>
    <xf numFmtId="0" fontId="16" fillId="0" borderId="0" xfId="0" applyFont="1" applyAlignment="1">
      <alignment horizontal="center" vertical="center" wrapText="1"/>
    </xf>
    <xf numFmtId="0" fontId="0" fillId="0" borderId="0" xfId="0" applyAlignment="1">
      <alignment wrapText="1"/>
    </xf>
    <xf numFmtId="49" fontId="0" fillId="0" borderId="0" xfId="0" applyNumberFormat="1"/>
    <xf numFmtId="0" fontId="42" fillId="37" borderId="18" xfId="47" applyFont="1" applyFill="1" applyBorder="1" applyAlignment="1">
      <alignment horizontal="left" vertical="center"/>
    </xf>
    <xf numFmtId="0" fontId="42" fillId="37" borderId="52" xfId="47" applyFont="1" applyFill="1" applyBorder="1" applyAlignment="1">
      <alignment horizontal="right" vertical="center" wrapText="1"/>
    </xf>
    <xf numFmtId="0" fontId="42" fillId="37" borderId="17" xfId="47" applyFont="1" applyFill="1" applyBorder="1" applyAlignment="1">
      <alignment horizontal="left" vertical="center"/>
    </xf>
    <xf numFmtId="0" fontId="42" fillId="37" borderId="45" xfId="47" applyFont="1" applyFill="1" applyBorder="1" applyAlignment="1">
      <alignment horizontal="right" vertical="center" wrapText="1"/>
    </xf>
    <xf numFmtId="169" fontId="44" fillId="37" borderId="0" xfId="48" applyNumberFormat="1" applyFont="1" applyFill="1" applyBorder="1" applyAlignment="1">
      <alignment horizontal="right" vertical="top"/>
    </xf>
    <xf numFmtId="0" fontId="31" fillId="36" borderId="0" xfId="0" applyFont="1" applyFill="1"/>
    <xf numFmtId="172" fontId="32" fillId="36" borderId="0" xfId="0" applyNumberFormat="1" applyFont="1" applyFill="1"/>
    <xf numFmtId="0" fontId="44" fillId="37" borderId="0" xfId="47" applyFont="1" applyFill="1" applyBorder="1" applyAlignment="1">
      <alignment horizontal="left" vertical="center"/>
    </xf>
    <xf numFmtId="9" fontId="45" fillId="37" borderId="0" xfId="49" applyNumberFormat="1" applyFont="1" applyFill="1" applyBorder="1" applyAlignment="1">
      <alignment horizontal="right" vertical="top"/>
    </xf>
    <xf numFmtId="0" fontId="17" fillId="37" borderId="0" xfId="0" applyFont="1" applyFill="1" applyBorder="1" applyAlignment="1">
      <alignment horizontal="right" vertical="top"/>
    </xf>
    <xf numFmtId="169" fontId="45" fillId="37" borderId="0" xfId="48" applyNumberFormat="1" applyFont="1" applyFill="1" applyBorder="1" applyAlignment="1">
      <alignment horizontal="right" vertical="center" wrapText="1"/>
    </xf>
    <xf numFmtId="173" fontId="29" fillId="36" borderId="58" xfId="3" applyNumberFormat="1" applyFont="1" applyFill="1" applyBorder="1" applyAlignment="1">
      <alignment horizontal="right"/>
    </xf>
    <xf numFmtId="9" fontId="48" fillId="36" borderId="60" xfId="49" applyNumberFormat="1" applyFont="1" applyFill="1" applyBorder="1" applyAlignment="1">
      <alignment horizontal="right"/>
    </xf>
    <xf numFmtId="2" fontId="0" fillId="0" borderId="0" xfId="0" applyNumberFormat="1"/>
    <xf numFmtId="10" fontId="0" fillId="0" borderId="0" xfId="3" applyNumberFormat="1" applyFont="1"/>
    <xf numFmtId="0" fontId="0" fillId="38" borderId="0" xfId="0" applyFill="1"/>
    <xf numFmtId="49" fontId="0" fillId="38" borderId="0" xfId="0" applyNumberFormat="1" applyFill="1"/>
    <xf numFmtId="0" fontId="0" fillId="0" borderId="0" xfId="3" applyNumberFormat="1" applyFont="1"/>
    <xf numFmtId="0" fontId="33" fillId="0" borderId="0" xfId="3" applyNumberFormat="1" applyFont="1" applyAlignment="1">
      <alignment horizontal="center" vertical="center" wrapText="1"/>
    </xf>
    <xf numFmtId="0" fontId="19" fillId="34" borderId="0" xfId="3" applyNumberFormat="1" applyFont="1" applyFill="1"/>
    <xf numFmtId="4" fontId="0" fillId="34" borderId="0" xfId="0" applyNumberFormat="1" applyFill="1"/>
    <xf numFmtId="10" fontId="0" fillId="34" borderId="0" xfId="3" applyNumberFormat="1" applyFont="1" applyFill="1"/>
    <xf numFmtId="9" fontId="48" fillId="36" borderId="66" xfId="49" applyNumberFormat="1" applyFont="1" applyFill="1" applyBorder="1" applyAlignment="1">
      <alignment horizontal="right"/>
    </xf>
    <xf numFmtId="9" fontId="34" fillId="0" borderId="72" xfId="49" applyNumberFormat="1" applyFont="1" applyBorder="1" applyAlignment="1">
      <alignment horizontal="right"/>
    </xf>
    <xf numFmtId="0" fontId="0" fillId="36" borderId="76" xfId="0" applyFill="1" applyBorder="1"/>
    <xf numFmtId="169" fontId="46" fillId="37" borderId="90" xfId="48" applyNumberFormat="1" applyFont="1" applyFill="1" applyBorder="1" applyAlignment="1">
      <alignment horizontal="center" vertical="top" wrapText="1"/>
    </xf>
    <xf numFmtId="169" fontId="44" fillId="37" borderId="91" xfId="48" applyNumberFormat="1" applyFont="1" applyFill="1" applyBorder="1" applyAlignment="1">
      <alignment horizontal="center" wrapText="1"/>
    </xf>
    <xf numFmtId="169" fontId="29" fillId="36" borderId="96" xfId="48" applyNumberFormat="1" applyFont="1" applyFill="1" applyBorder="1" applyAlignment="1">
      <alignment horizontal="right" vertical="top"/>
    </xf>
    <xf numFmtId="169" fontId="29" fillId="36" borderId="89" xfId="48" applyNumberFormat="1" applyFont="1" applyFill="1" applyBorder="1" applyAlignment="1">
      <alignment horizontal="right" vertical="top"/>
    </xf>
    <xf numFmtId="169" fontId="29" fillId="36" borderId="88" xfId="48" applyNumberFormat="1" applyFont="1" applyFill="1" applyBorder="1" applyAlignment="1">
      <alignment horizontal="center" wrapText="1"/>
    </xf>
    <xf numFmtId="169" fontId="29" fillId="36" borderId="89" xfId="48" applyNumberFormat="1" applyFont="1" applyFill="1" applyBorder="1" applyAlignment="1">
      <alignment horizontal="center" wrapText="1"/>
    </xf>
    <xf numFmtId="0" fontId="18" fillId="35" borderId="0" xfId="45" applyFont="1" applyFill="1" applyAlignment="1">
      <alignment vertical="top" wrapText="1"/>
    </xf>
    <xf numFmtId="3" fontId="18" fillId="35" borderId="95" xfId="45" applyNumberFormat="1" applyFont="1" applyFill="1" applyBorder="1" applyAlignment="1">
      <alignment vertical="top" wrapText="1"/>
    </xf>
    <xf numFmtId="0" fontId="50" fillId="38" borderId="0" xfId="50" applyFill="1" applyAlignment="1" applyProtection="1"/>
    <xf numFmtId="2" fontId="19" fillId="0" borderId="10" xfId="45" applyNumberFormat="1" applyFont="1" applyFill="1" applyBorder="1"/>
    <xf numFmtId="2" fontId="19" fillId="0" borderId="11" xfId="3" applyNumberFormat="1" applyFont="1" applyFill="1" applyBorder="1"/>
    <xf numFmtId="2" fontId="19" fillId="0" borderId="12" xfId="45" applyNumberFormat="1" applyFont="1" applyFill="1" applyBorder="1"/>
    <xf numFmtId="2" fontId="19" fillId="0" borderId="13" xfId="3" applyNumberFormat="1" applyFont="1" applyFill="1" applyBorder="1"/>
    <xf numFmtId="2" fontId="19" fillId="0" borderId="14" xfId="45" applyNumberFormat="1" applyFont="1" applyFill="1" applyBorder="1"/>
    <xf numFmtId="2" fontId="19" fillId="0" borderId="0" xfId="3" applyNumberFormat="1" applyFont="1" applyFill="1" applyBorder="1"/>
    <xf numFmtId="2" fontId="29" fillId="0" borderId="43" xfId="3" applyNumberFormat="1" applyFont="1" applyBorder="1" applyAlignment="1">
      <alignment horizontal="right"/>
    </xf>
    <xf numFmtId="2" fontId="29" fillId="0" borderId="33" xfId="3" applyNumberFormat="1" applyFont="1" applyBorder="1" applyAlignment="1">
      <alignment horizontal="right"/>
    </xf>
    <xf numFmtId="2" fontId="29" fillId="36" borderId="58" xfId="3" applyNumberFormat="1" applyFont="1" applyFill="1" applyBorder="1" applyAlignment="1">
      <alignment horizontal="right"/>
    </xf>
    <xf numFmtId="2" fontId="29" fillId="36" borderId="56" xfId="3" applyNumberFormat="1" applyFont="1" applyFill="1" applyBorder="1" applyAlignment="1">
      <alignment horizontal="right"/>
    </xf>
    <xf numFmtId="2" fontId="29" fillId="0" borderId="71" xfId="3" applyNumberFormat="1" applyFont="1" applyBorder="1" applyAlignment="1">
      <alignment horizontal="right"/>
    </xf>
    <xf numFmtId="169" fontId="29" fillId="36" borderId="99" xfId="48" applyNumberFormat="1" applyFont="1" applyFill="1" applyBorder="1" applyAlignment="1">
      <alignment horizontal="right" vertical="top"/>
    </xf>
    <xf numFmtId="2" fontId="29" fillId="0" borderId="46" xfId="3" applyNumberFormat="1" applyFont="1" applyBorder="1" applyAlignment="1">
      <alignment horizontal="right"/>
    </xf>
    <xf numFmtId="3" fontId="29" fillId="0" borderId="13" xfId="3" applyNumberFormat="1" applyFont="1" applyBorder="1" applyAlignment="1">
      <alignment horizontal="right"/>
    </xf>
    <xf numFmtId="10" fontId="29" fillId="36" borderId="58" xfId="3" applyNumberFormat="1" applyFont="1" applyFill="1" applyBorder="1" applyAlignment="1">
      <alignment horizontal="right"/>
    </xf>
    <xf numFmtId="10" fontId="29" fillId="36" borderId="98" xfId="3" applyNumberFormat="1" applyFont="1" applyFill="1" applyBorder="1" applyAlignment="1">
      <alignment horizontal="right"/>
    </xf>
    <xf numFmtId="0" fontId="0" fillId="36" borderId="0" xfId="0" applyFill="1" applyBorder="1"/>
    <xf numFmtId="2" fontId="19" fillId="0" borderId="0" xfId="45" applyNumberFormat="1" applyFont="1" applyFill="1"/>
    <xf numFmtId="2" fontId="19" fillId="0" borderId="0" xfId="3" applyNumberFormat="1" applyFont="1" applyFill="1"/>
    <xf numFmtId="2" fontId="18" fillId="0" borderId="0" xfId="45" applyNumberFormat="1" applyFill="1"/>
    <xf numFmtId="0" fontId="51" fillId="36" borderId="0" xfId="0" applyFont="1" applyFill="1" applyBorder="1" applyAlignment="1">
      <alignment vertical="top"/>
    </xf>
    <xf numFmtId="0" fontId="43" fillId="36" borderId="0" xfId="0" applyFont="1" applyFill="1" applyBorder="1"/>
    <xf numFmtId="0" fontId="19" fillId="36" borderId="0" xfId="47" applyFont="1" applyFill="1" applyBorder="1"/>
    <xf numFmtId="0" fontId="18" fillId="36" borderId="0" xfId="47" applyFont="1" applyFill="1"/>
    <xf numFmtId="0" fontId="31" fillId="36" borderId="0" xfId="0" applyFont="1" applyFill="1" applyBorder="1" applyAlignment="1">
      <alignment horizontal="left" vertical="center" wrapText="1"/>
    </xf>
    <xf numFmtId="0" fontId="31" fillId="39" borderId="0" xfId="0" applyFont="1" applyFill="1"/>
    <xf numFmtId="49" fontId="0" fillId="0" borderId="0" xfId="0" applyNumberFormat="1" applyFill="1"/>
    <xf numFmtId="172" fontId="52" fillId="0" borderId="0" xfId="50" applyNumberFormat="1" applyFont="1" applyFill="1" applyAlignment="1" applyProtection="1"/>
    <xf numFmtId="172" fontId="18" fillId="0" borderId="101" xfId="45" applyNumberFormat="1" applyFont="1" applyFill="1" applyBorder="1"/>
    <xf numFmtId="49" fontId="18" fillId="0" borderId="0" xfId="45" applyNumberFormat="1"/>
    <xf numFmtId="17" fontId="0" fillId="0" borderId="0" xfId="0" applyNumberFormat="1"/>
    <xf numFmtId="9" fontId="35" fillId="36" borderId="0" xfId="49" applyNumberFormat="1" applyFont="1" applyFill="1" applyBorder="1" applyAlignment="1">
      <alignment horizontal="right" vertical="top"/>
    </xf>
    <xf numFmtId="0" fontId="31" fillId="36" borderId="0" xfId="0" applyFont="1" applyFill="1" applyBorder="1" applyAlignment="1">
      <alignment horizontal="left" vertical="top" wrapText="1"/>
    </xf>
    <xf numFmtId="9" fontId="35" fillId="0" borderId="48" xfId="49" applyNumberFormat="1" applyFont="1" applyBorder="1" applyAlignment="1">
      <alignment horizontal="right" vertical="top"/>
    </xf>
    <xf numFmtId="0" fontId="0" fillId="0" borderId="49" xfId="0" applyBorder="1" applyAlignment="1">
      <alignment horizontal="right" vertical="top"/>
    </xf>
    <xf numFmtId="9" fontId="35" fillId="0" borderId="54" xfId="49" applyNumberFormat="1" applyFont="1" applyBorder="1" applyAlignment="1">
      <alignment horizontal="right" vertical="top"/>
    </xf>
    <xf numFmtId="0" fontId="0" fillId="0" borderId="55" xfId="0" applyBorder="1" applyAlignment="1">
      <alignment horizontal="right" vertical="top"/>
    </xf>
    <xf numFmtId="9" fontId="28" fillId="36" borderId="59" xfId="49" applyNumberFormat="1" applyFont="1" applyFill="1" applyBorder="1" applyAlignment="1">
      <alignment horizontal="right" vertical="top"/>
    </xf>
    <xf numFmtId="0" fontId="49" fillId="36" borderId="100" xfId="0" applyFont="1" applyFill="1" applyBorder="1" applyAlignment="1">
      <alignment horizontal="right" vertical="top"/>
    </xf>
    <xf numFmtId="0" fontId="49" fillId="36" borderId="61" xfId="0" applyFont="1" applyFill="1" applyBorder="1" applyAlignment="1">
      <alignment horizontal="right" vertical="top"/>
    </xf>
    <xf numFmtId="169" fontId="28" fillId="0" borderId="75" xfId="48" applyNumberFormat="1" applyFont="1" applyBorder="1" applyAlignment="1">
      <alignment horizontal="right" vertical="center" wrapText="1"/>
    </xf>
    <xf numFmtId="169" fontId="28" fillId="0" borderId="68" xfId="48" applyNumberFormat="1" applyFont="1" applyBorder="1" applyAlignment="1">
      <alignment horizontal="right" vertical="center" wrapText="1"/>
    </xf>
    <xf numFmtId="169" fontId="38" fillId="0" borderId="77" xfId="48" applyNumberFormat="1" applyFont="1" applyBorder="1" applyAlignment="1">
      <alignment horizontal="center" vertical="top" wrapText="1"/>
    </xf>
    <xf numFmtId="169" fontId="38" fillId="0" borderId="78" xfId="48" applyNumberFormat="1" applyFont="1" applyBorder="1" applyAlignment="1">
      <alignment horizontal="center" vertical="top" wrapText="1"/>
    </xf>
    <xf numFmtId="0" fontId="0" fillId="0" borderId="34" xfId="0" applyBorder="1" applyAlignment="1">
      <alignment horizontal="right" vertical="top"/>
    </xf>
    <xf numFmtId="169" fontId="29" fillId="0" borderId="26" xfId="48" applyNumberFormat="1" applyFont="1" applyBorder="1" applyAlignment="1">
      <alignment horizontal="center" wrapText="1"/>
    </xf>
    <xf numFmtId="169" fontId="29" fillId="0" borderId="14" xfId="48" applyNumberFormat="1" applyFont="1" applyBorder="1" applyAlignment="1">
      <alignment horizontal="center" wrapText="1"/>
    </xf>
    <xf numFmtId="169" fontId="38" fillId="0" borderId="30" xfId="48" applyNumberFormat="1" applyFont="1" applyBorder="1" applyAlignment="1">
      <alignment horizontal="center" vertical="top" wrapText="1"/>
    </xf>
    <xf numFmtId="169" fontId="38" fillId="0" borderId="28" xfId="48" applyNumberFormat="1" applyFont="1" applyBorder="1" applyAlignment="1">
      <alignment horizontal="center" vertical="top" wrapText="1"/>
    </xf>
    <xf numFmtId="0" fontId="41" fillId="36" borderId="0" xfId="0" applyFont="1" applyFill="1" applyBorder="1" applyAlignment="1">
      <alignment horizontal="center" vertical="center"/>
    </xf>
    <xf numFmtId="0" fontId="26" fillId="36" borderId="16" xfId="0" applyFont="1" applyFill="1" applyBorder="1" applyAlignment="1">
      <alignment horizontal="center" vertical="center"/>
    </xf>
    <xf numFmtId="0" fontId="30" fillId="36" borderId="36" xfId="47" applyFont="1" applyFill="1" applyBorder="1" applyAlignment="1">
      <alignment horizontal="center"/>
    </xf>
    <xf numFmtId="0" fontId="42" fillId="36" borderId="0" xfId="47" applyFont="1" applyFill="1" applyBorder="1" applyAlignment="1">
      <alignment horizontal="right"/>
    </xf>
    <xf numFmtId="0" fontId="42" fillId="36" borderId="37" xfId="47" applyFont="1" applyFill="1" applyBorder="1" applyAlignment="1">
      <alignment horizontal="right"/>
    </xf>
    <xf numFmtId="0" fontId="42" fillId="36" borderId="38" xfId="47" applyFont="1" applyFill="1" applyBorder="1" applyAlignment="1">
      <alignment horizontal="right"/>
    </xf>
    <xf numFmtId="0" fontId="42" fillId="36" borderId="39" xfId="47" applyFont="1" applyFill="1" applyBorder="1" applyAlignment="1">
      <alignment horizontal="right"/>
    </xf>
    <xf numFmtId="0" fontId="42" fillId="36" borderId="40" xfId="47" applyFont="1" applyFill="1" applyBorder="1" applyAlignment="1">
      <alignment horizontal="right"/>
    </xf>
    <xf numFmtId="9" fontId="35" fillId="0" borderId="49" xfId="49" applyNumberFormat="1" applyFont="1" applyBorder="1" applyAlignment="1">
      <alignment horizontal="right" vertical="top"/>
    </xf>
    <xf numFmtId="169" fontId="29" fillId="36" borderId="92" xfId="48" applyNumberFormat="1" applyFont="1" applyFill="1" applyBorder="1" applyAlignment="1">
      <alignment horizontal="center" wrapText="1"/>
    </xf>
    <xf numFmtId="169" fontId="29" fillId="36" borderId="93" xfId="48" applyNumberFormat="1" applyFont="1" applyFill="1" applyBorder="1" applyAlignment="1">
      <alignment horizontal="center" wrapText="1"/>
    </xf>
    <xf numFmtId="169" fontId="28" fillId="36" borderId="0" xfId="48" applyNumberFormat="1" applyFont="1" applyFill="1" applyBorder="1" applyAlignment="1">
      <alignment horizontal="right" vertical="center" wrapText="1"/>
    </xf>
    <xf numFmtId="169" fontId="28" fillId="36" borderId="80" xfId="48" applyNumberFormat="1" applyFont="1" applyFill="1" applyBorder="1" applyAlignment="1">
      <alignment horizontal="right" vertical="center" wrapText="1"/>
    </xf>
    <xf numFmtId="169" fontId="38" fillId="36" borderId="81" xfId="48" applyNumberFormat="1" applyFont="1" applyFill="1" applyBorder="1" applyAlignment="1">
      <alignment horizontal="center" vertical="top" wrapText="1"/>
    </xf>
    <xf numFmtId="169" fontId="38" fillId="36" borderId="94" xfId="48" applyNumberFormat="1" applyFont="1" applyFill="1" applyBorder="1" applyAlignment="1">
      <alignment horizontal="center" vertical="top" wrapText="1"/>
    </xf>
    <xf numFmtId="0" fontId="42" fillId="37" borderId="50" xfId="47" applyFont="1" applyFill="1" applyBorder="1" applyAlignment="1">
      <alignment horizontal="right" vertical="center" wrapText="1"/>
    </xf>
    <xf numFmtId="0" fontId="42" fillId="37" borderId="51" xfId="47" applyFont="1" applyFill="1" applyBorder="1" applyAlignment="1">
      <alignment horizontal="right" vertical="center" wrapText="1"/>
    </xf>
    <xf numFmtId="0" fontId="42" fillId="37" borderId="53" xfId="47" applyFont="1" applyFill="1" applyBorder="1" applyAlignment="1">
      <alignment horizontal="center" vertical="center"/>
    </xf>
    <xf numFmtId="0" fontId="42" fillId="37" borderId="25" xfId="47" applyFont="1" applyFill="1" applyBorder="1" applyAlignment="1">
      <alignment horizontal="center" vertical="center"/>
    </xf>
    <xf numFmtId="0" fontId="42" fillId="37" borderId="35" xfId="47" applyFont="1" applyFill="1" applyBorder="1" applyAlignment="1">
      <alignment horizontal="center" vertical="center"/>
    </xf>
    <xf numFmtId="0" fontId="36" fillId="37" borderId="62" xfId="47" applyFont="1" applyFill="1" applyBorder="1" applyAlignment="1">
      <alignment horizontal="left" vertical="top" wrapText="1" shrinkToFit="1"/>
    </xf>
    <xf numFmtId="0" fontId="36" fillId="37" borderId="63" xfId="47" applyFont="1" applyFill="1" applyBorder="1" applyAlignment="1">
      <alignment horizontal="left" vertical="top" wrapText="1" shrinkToFit="1"/>
    </xf>
    <xf numFmtId="0" fontId="36" fillId="37" borderId="64" xfId="47" applyFont="1" applyFill="1" applyBorder="1" applyAlignment="1">
      <alignment horizontal="left" vertical="top" wrapText="1" shrinkToFit="1"/>
    </xf>
    <xf numFmtId="0" fontId="36" fillId="37" borderId="65" xfId="47" applyFont="1" applyFill="1" applyBorder="1" applyAlignment="1">
      <alignment horizontal="left" vertical="top" wrapText="1" shrinkToFit="1"/>
    </xf>
    <xf numFmtId="0" fontId="42" fillId="37" borderId="41" xfId="47" applyFont="1" applyFill="1" applyBorder="1" applyAlignment="1">
      <alignment horizontal="right" vertical="center" wrapText="1"/>
    </xf>
    <xf numFmtId="0" fontId="42" fillId="37" borderId="42" xfId="47" applyFont="1" applyFill="1" applyBorder="1" applyAlignment="1">
      <alignment horizontal="right" vertical="center" wrapText="1"/>
    </xf>
    <xf numFmtId="0" fontId="47" fillId="37" borderId="67" xfId="47" applyFont="1" applyFill="1" applyBorder="1" applyAlignment="1">
      <alignment horizontal="left" vertical="top" wrapText="1" shrinkToFit="1"/>
    </xf>
    <xf numFmtId="0" fontId="47" fillId="37" borderId="81" xfId="47" applyFont="1" applyFill="1" applyBorder="1" applyAlignment="1">
      <alignment horizontal="left" vertical="top" wrapText="1" shrinkToFit="1"/>
    </xf>
    <xf numFmtId="0" fontId="42" fillId="37" borderId="31" xfId="47" applyFont="1" applyFill="1" applyBorder="1" applyAlignment="1">
      <alignment horizontal="center" vertical="center"/>
    </xf>
    <xf numFmtId="0" fontId="42" fillId="37" borderId="19" xfId="47" applyFont="1" applyFill="1" applyBorder="1" applyAlignment="1">
      <alignment horizontal="center" vertical="center"/>
    </xf>
    <xf numFmtId="0" fontId="42" fillId="37" borderId="32" xfId="47" applyFont="1" applyFill="1" applyBorder="1" applyAlignment="1">
      <alignment horizontal="center" vertical="center"/>
    </xf>
    <xf numFmtId="9" fontId="28" fillId="36" borderId="93" xfId="49" applyNumberFormat="1" applyFont="1" applyFill="1" applyBorder="1" applyAlignment="1">
      <alignment horizontal="right" vertical="top"/>
    </xf>
    <xf numFmtId="0" fontId="49" fillId="36" borderId="94" xfId="0" applyFont="1" applyFill="1" applyBorder="1" applyAlignment="1">
      <alignment horizontal="right" vertical="top"/>
    </xf>
    <xf numFmtId="0" fontId="49" fillId="36" borderId="97" xfId="0" applyFont="1" applyFill="1" applyBorder="1" applyAlignment="1">
      <alignment horizontal="right" vertical="top"/>
    </xf>
    <xf numFmtId="0" fontId="29" fillId="36" borderId="58" xfId="47" applyFont="1" applyFill="1" applyBorder="1" applyAlignment="1">
      <alignment horizontal="left" vertical="center"/>
    </xf>
    <xf numFmtId="0" fontId="29" fillId="36" borderId="82" xfId="47" applyFont="1" applyFill="1" applyBorder="1" applyAlignment="1">
      <alignment horizontal="left" vertical="center"/>
    </xf>
    <xf numFmtId="169" fontId="29" fillId="36" borderId="88" xfId="48" applyNumberFormat="1" applyFont="1" applyFill="1" applyBorder="1" applyAlignment="1">
      <alignment horizontal="center" wrapText="1"/>
    </xf>
    <xf numFmtId="169" fontId="29" fillId="36" borderId="89" xfId="48" applyNumberFormat="1" applyFont="1" applyFill="1" applyBorder="1" applyAlignment="1">
      <alignment horizontal="center" wrapText="1"/>
    </xf>
    <xf numFmtId="169" fontId="28" fillId="36" borderId="67" xfId="48" applyNumberFormat="1" applyFont="1" applyFill="1" applyBorder="1" applyAlignment="1">
      <alignment horizontal="right" vertical="center" wrapText="1"/>
    </xf>
    <xf numFmtId="169" fontId="38" fillId="36" borderId="79" xfId="48" applyNumberFormat="1" applyFont="1" applyFill="1" applyBorder="1" applyAlignment="1">
      <alignment horizontal="center" vertical="top" wrapText="1"/>
    </xf>
    <xf numFmtId="169" fontId="38" fillId="36" borderId="83" xfId="48" applyNumberFormat="1" applyFont="1" applyFill="1" applyBorder="1" applyAlignment="1">
      <alignment horizontal="center" vertical="top" wrapText="1"/>
    </xf>
    <xf numFmtId="0" fontId="29" fillId="36" borderId="79" xfId="47" applyFont="1" applyFill="1" applyBorder="1" applyAlignment="1">
      <alignment horizontal="left" vertical="center"/>
    </xf>
    <xf numFmtId="0" fontId="29" fillId="36" borderId="97" xfId="47" applyFont="1" applyFill="1" applyBorder="1" applyAlignment="1">
      <alignment horizontal="left" vertical="center"/>
    </xf>
    <xf numFmtId="0" fontId="29" fillId="0" borderId="24" xfId="47" applyFont="1" applyBorder="1" applyAlignment="1">
      <alignment horizontal="left" vertical="center"/>
    </xf>
    <xf numFmtId="0" fontId="29" fillId="0" borderId="20" xfId="47" applyFont="1" applyBorder="1" applyAlignment="1">
      <alignment horizontal="left" vertical="center"/>
    </xf>
    <xf numFmtId="169" fontId="28" fillId="0" borderId="21" xfId="48" applyNumberFormat="1" applyFont="1" applyBorder="1" applyAlignment="1">
      <alignment horizontal="right" vertical="center" wrapText="1"/>
    </xf>
    <xf numFmtId="169" fontId="28" fillId="0" borderId="23" xfId="48" applyNumberFormat="1" applyFont="1" applyBorder="1" applyAlignment="1">
      <alignment horizontal="right" vertical="center" wrapText="1"/>
    </xf>
    <xf numFmtId="0" fontId="29" fillId="0" borderId="22" xfId="47" applyFont="1" applyBorder="1" applyAlignment="1">
      <alignment horizontal="left" vertical="center"/>
    </xf>
    <xf numFmtId="169" fontId="29" fillId="0" borderId="86" xfId="48" applyNumberFormat="1" applyFont="1" applyBorder="1" applyAlignment="1">
      <alignment horizontal="center" wrapText="1"/>
    </xf>
    <xf numFmtId="169" fontId="29" fillId="0" borderId="87" xfId="48" applyNumberFormat="1" applyFont="1" applyBorder="1" applyAlignment="1">
      <alignment horizontal="center" wrapText="1"/>
    </xf>
    <xf numFmtId="169" fontId="29" fillId="0" borderId="84" xfId="48" applyNumberFormat="1" applyFont="1" applyBorder="1" applyAlignment="1">
      <alignment horizontal="center" wrapText="1"/>
    </xf>
    <xf numFmtId="169" fontId="29" fillId="0" borderId="85" xfId="48" applyNumberFormat="1" applyFont="1" applyBorder="1" applyAlignment="1">
      <alignment horizontal="center" wrapText="1"/>
    </xf>
    <xf numFmtId="169" fontId="38" fillId="0" borderId="69" xfId="48" applyNumberFormat="1" applyFont="1" applyBorder="1" applyAlignment="1">
      <alignment horizontal="center" vertical="top" wrapText="1"/>
    </xf>
    <xf numFmtId="169" fontId="38" fillId="0" borderId="70" xfId="48" applyNumberFormat="1" applyFont="1" applyBorder="1" applyAlignment="1">
      <alignment horizontal="center" vertical="top" wrapText="1"/>
    </xf>
    <xf numFmtId="9" fontId="35" fillId="0" borderId="73" xfId="49" applyNumberFormat="1" applyFont="1" applyBorder="1" applyAlignment="1">
      <alignment horizontal="right" vertical="top"/>
    </xf>
    <xf numFmtId="0" fontId="0" fillId="0" borderId="74" xfId="0" applyBorder="1" applyAlignment="1">
      <alignment horizontal="right" vertical="top"/>
    </xf>
    <xf numFmtId="0" fontId="29" fillId="0" borderId="24" xfId="47" applyFont="1" applyBorder="1" applyAlignment="1">
      <alignment vertical="center"/>
    </xf>
    <xf numFmtId="0" fontId="29" fillId="0" borderId="20" xfId="47" applyFont="1" applyBorder="1" applyAlignment="1">
      <alignment vertical="center"/>
    </xf>
    <xf numFmtId="0" fontId="29" fillId="36" borderId="56" xfId="47" applyFont="1" applyFill="1" applyBorder="1" applyAlignment="1">
      <alignment horizontal="left" vertical="center"/>
    </xf>
    <xf numFmtId="0" fontId="29" fillId="36" borderId="57" xfId="47" applyFont="1" applyFill="1" applyBorder="1" applyAlignment="1">
      <alignment horizontal="left" vertical="center"/>
    </xf>
    <xf numFmtId="169" fontId="29" fillId="0" borderId="27" xfId="48" applyNumberFormat="1" applyFont="1" applyBorder="1" applyAlignment="1">
      <alignment horizontal="center" wrapText="1"/>
    </xf>
    <xf numFmtId="169" fontId="28" fillId="0" borderId="29" xfId="48" applyNumberFormat="1" applyFont="1" applyBorder="1" applyAlignment="1">
      <alignment horizontal="right" vertical="center" wrapText="1"/>
    </xf>
    <xf numFmtId="0" fontId="31" fillId="39" borderId="0" xfId="0" applyFont="1" applyFill="1" applyBorder="1" applyAlignment="1">
      <alignment horizontal="left" vertical="top" wrapText="1"/>
    </xf>
    <xf numFmtId="0" fontId="31" fillId="39" borderId="0" xfId="0" applyFont="1" applyFill="1" applyBorder="1" applyAlignment="1">
      <alignment horizontal="left" vertical="top"/>
    </xf>
    <xf numFmtId="169" fontId="40" fillId="0" borderId="28" xfId="48" applyNumberFormat="1" applyFont="1" applyBorder="1" applyAlignment="1">
      <alignment horizontal="center" vertical="top" wrapText="1"/>
    </xf>
    <xf numFmtId="0" fontId="31" fillId="36" borderId="0" xfId="0" applyFont="1" applyFill="1" applyBorder="1" applyAlignment="1">
      <alignment vertical="top" wrapText="1"/>
    </xf>
    <xf numFmtId="0" fontId="24" fillId="35" borderId="0" xfId="45" applyFont="1" applyFill="1" applyAlignment="1">
      <alignment horizontal="left" wrapText="1"/>
    </xf>
    <xf numFmtId="0" fontId="16" fillId="35" borderId="0" xfId="0" applyFont="1" applyFill="1" applyAlignment="1">
      <alignment horizontal="left" wrapText="1"/>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4" xfId="48"/>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50" builtinId="8"/>
    <cellStyle name="Input" xfId="12" builtinId="20" customBuiltin="1"/>
    <cellStyle name="Linked Cell" xfId="15" builtinId="24" customBuiltin="1"/>
    <cellStyle name="Neutral" xfId="11" builtinId="28" customBuiltin="1"/>
    <cellStyle name="Normal" xfId="0" builtinId="0"/>
    <cellStyle name="Normal 3" xfId="45"/>
    <cellStyle name="Normal 4" xfId="47"/>
    <cellStyle name="Note" xfId="18" builtinId="10" customBuiltin="1"/>
    <cellStyle name="Output" xfId="13" builtinId="21" customBuiltin="1"/>
    <cellStyle name="Percent" xfId="3" builtinId="5"/>
    <cellStyle name="Percent 3" xfId="46"/>
    <cellStyle name="Percent 4" xfId="49"/>
    <cellStyle name="Title" xfId="4" builtinId="15" customBuiltin="1"/>
    <cellStyle name="Total" xfId="20" builtinId="25" customBuiltin="1"/>
    <cellStyle name="Warning Text" xfId="17" builtinId="11" customBuiltin="1"/>
  </cellStyles>
  <dxfs count="74">
    <dxf>
      <font>
        <b val="0"/>
        <i val="0"/>
        <strike val="0"/>
        <condense val="0"/>
        <extend val="0"/>
        <outline val="0"/>
        <shadow val="0"/>
        <u val="none"/>
        <vertAlign val="baseline"/>
        <sz val="10"/>
        <color auto="1"/>
        <name val="Arial"/>
        <scheme val="none"/>
      </font>
      <numFmt numFmtId="2" formatCode="0.00"/>
      <fill>
        <patternFill patternType="none">
          <fgColor rgb="FF000000"/>
          <bgColor rgb="FFFFFFFF"/>
        </patternFill>
      </fill>
      <border diagonalUp="0" diagonalDown="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right/>
        <top/>
        <bottom style="thin">
          <color theme="0"/>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border diagonalUp="0" diagonalDown="0" outline="0">
        <left/>
        <right/>
        <top/>
        <bottom style="thin">
          <color theme="0"/>
        </bottom>
      </border>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68"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outline="0">
        <left/>
        <right style="thin">
          <color theme="0"/>
        </right>
        <top/>
        <bottom style="thin">
          <color theme="0"/>
        </bottom>
      </border>
    </dxf>
    <dxf>
      <border outline="0">
        <top style="thin">
          <color rgb="FFFFFFFF"/>
        </top>
      </border>
    </dxf>
    <dxf>
      <font>
        <b val="0"/>
        <i val="0"/>
        <strike val="0"/>
        <condense val="0"/>
        <extend val="0"/>
        <outline val="0"/>
        <shadow val="0"/>
        <u val="none"/>
        <vertAlign val="baseline"/>
        <sz val="10"/>
        <color auto="1"/>
        <name val="Arial"/>
        <scheme val="none"/>
      </font>
      <numFmt numFmtId="3" formatCode="#,##0"/>
      <fill>
        <patternFill patternType="none">
          <fgColor rgb="FF000000"/>
          <bgColor rgb="FFFFFFFF"/>
        </patternFill>
      </fill>
      <border diagonalUp="0" diagonalDown="0" outline="0">
        <left style="thin">
          <color rgb="FFFFFFFF"/>
        </left>
        <right style="thin">
          <color rgb="FFFFFFFF"/>
        </right>
        <top/>
        <bottom/>
      </border>
    </dxf>
    <dxf>
      <border outline="0">
        <bottom style="thin">
          <color rgb="FFFFFFFF"/>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textRotation="0" wrapText="1" indent="0" relativeIndent="255" justifyLastLine="0" shrinkToFit="0" readingOrder="0"/>
      <border diagonalUp="0" diagonalDown="0" outline="0">
        <left style="thin">
          <color theme="0"/>
        </left>
        <right style="thin">
          <color theme="0"/>
        </right>
        <top/>
        <bottom/>
      </border>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scheme val="none"/>
      </font>
      <numFmt numFmtId="173" formatCode="0.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dxf>
    <dxf>
      <numFmt numFmtId="165" formatCode="_-&quot;$&quot;* #,##0.00_-;\-&quot;$&quot;* #,##0.00_-;_-&quot;$&quot;* &quot;-&quot;??_-;_-@_-"/>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dxf>
    <dxf>
      <numFmt numFmtId="3" formatCode="#,##0"/>
    </dxf>
    <dxf>
      <numFmt numFmtId="13" formatCode="0%"/>
    </dxf>
    <dxf>
      <numFmt numFmtId="3" formatCode="#,##0"/>
    </dxf>
    <dxf>
      <numFmt numFmtId="168" formatCode="0.0"/>
    </dxf>
    <dxf>
      <font>
        <b val="0"/>
        <i val="0"/>
        <strike val="0"/>
        <condense val="0"/>
        <extend val="0"/>
        <outline val="0"/>
        <shadow val="0"/>
        <u val="none"/>
        <vertAlign val="baseline"/>
        <sz val="10"/>
        <color auto="1"/>
        <name val="Arial"/>
        <scheme val="none"/>
      </font>
      <numFmt numFmtId="3" formatCode="#,##0"/>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alignment horizontal="general" textRotation="0" wrapText="1" indent="0" relativeIndent="255" justifyLastLine="0" shrinkToFit="0" readingOrder="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scheme val="none"/>
      </font>
      <numFmt numFmtId="14" formatCode="0.00%"/>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dxf>
    <dxf>
      <numFmt numFmtId="4" formatCode="#,##0.00"/>
      <fill>
        <patternFill patternType="gray0625">
          <fgColor indexed="64"/>
          <bgColor indexed="65"/>
        </patternFill>
      </fill>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numFmt numFmtId="171" formatCode="#,##0.0"/>
      <fill>
        <patternFill patternType="gray0625">
          <fgColor indexed="64"/>
          <bgColor indexed="65"/>
        </patternFill>
      </fill>
    </dxf>
    <dxf>
      <numFmt numFmtId="3" formatCode="#,##0"/>
    </dxf>
    <dxf>
      <numFmt numFmtId="0" formatCode="General"/>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4" formatCode="_-* #,##0_-;\-* #,##0_-;_-* &quot;-&quot;_-;_-@_-"/>
      <fill>
        <patternFill patternType="none">
          <fgColor indexed="64"/>
          <bgColor indexed="65"/>
        </patternFill>
      </fill>
    </dxf>
    <dxf>
      <numFmt numFmtId="168" formatCode="0.0"/>
      <fill>
        <patternFill patternType="gray0625">
          <fgColor indexed="64"/>
          <bgColor indexed="65"/>
        </patternFill>
      </fill>
    </dxf>
    <dxf>
      <numFmt numFmtId="3" formatCode="#,##0"/>
    </dxf>
    <dxf>
      <font>
        <b val="0"/>
        <i val="0"/>
        <strike val="0"/>
        <condense val="0"/>
        <extend val="0"/>
        <outline val="0"/>
        <shadow val="0"/>
        <u val="none"/>
        <vertAlign val="baseline"/>
        <sz val="10"/>
        <color auto="1"/>
        <name val="Arial"/>
        <scheme val="none"/>
      </font>
      <numFmt numFmtId="3" formatCode="#,##0"/>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numFmt numFmtId="3" formatCode="#,##0"/>
    </dxf>
    <dxf>
      <numFmt numFmtId="0" formatCode="General"/>
      <alignment horizontal="left" vertical="top" textRotation="0" wrapText="0" indent="0" relativeIndent="255" justifyLastLine="0" shrinkToFit="0" readingOrder="0"/>
    </dxf>
    <dxf>
      <numFmt numFmtId="0" formatCode="General"/>
      <alignment horizontal="left" vertical="top" textRotation="0" wrapText="0" indent="0" relativeIndent="255" justifyLastLine="0" shrinkToFit="0" readingOrder="0"/>
    </dxf>
    <dxf>
      <numFmt numFmtId="0" formatCode="General"/>
      <alignment horizontal="left" vertical="top" textRotation="0" wrapText="0" indent="0" relativeIndent="255" justifyLastLine="0" shrinkToFit="0" readingOrder="0"/>
    </dxf>
    <dxf>
      <numFmt numFmtId="30" formatCode="@"/>
    </dxf>
    <dxf>
      <font>
        <b val="0"/>
        <i val="0"/>
        <strike val="0"/>
        <condense val="0"/>
        <extend val="0"/>
        <outline val="0"/>
        <shadow val="0"/>
        <u val="none"/>
        <vertAlign val="baseline"/>
        <sz val="9"/>
        <color auto="1"/>
        <name val="Arial"/>
        <scheme val="none"/>
      </font>
      <alignment horizontal="center" vertical="center" textRotation="0" wrapText="1" indent="0" relativeIndent="255"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Lookup!$D$9:$D$21</c:f>
              <c:numCache>
                <c:formatCode>#,##0</c:formatCode>
                <c:ptCount val="13"/>
                <c:pt idx="0">
                  <c:v>12851</c:v>
                </c:pt>
                <c:pt idx="1">
                  <c:v>13743</c:v>
                </c:pt>
                <c:pt idx="2">
                  <c:v>15085</c:v>
                </c:pt>
                <c:pt idx="3">
                  <c:v>22536</c:v>
                </c:pt>
                <c:pt idx="4">
                  <c:v>22361</c:v>
                </c:pt>
                <c:pt idx="5">
                  <c:v>25092</c:v>
                </c:pt>
                <c:pt idx="6">
                  <c:v>26257</c:v>
                </c:pt>
                <c:pt idx="7">
                  <c:v>28586</c:v>
                </c:pt>
                <c:pt idx="8">
                  <c:v>29050</c:v>
                </c:pt>
                <c:pt idx="9">
                  <c:v>26429</c:v>
                </c:pt>
                <c:pt idx="10">
                  <c:v>24451</c:v>
                </c:pt>
                <c:pt idx="11">
                  <c:v>26763</c:v>
                </c:pt>
                <c:pt idx="12">
                  <c:v>20910</c:v>
                </c:pt>
              </c:numCache>
            </c:numRef>
          </c:val>
          <c:smooth val="1"/>
        </c:ser>
        <c:marker val="1"/>
        <c:axId val="41552128"/>
        <c:axId val="41592704"/>
      </c:lineChart>
      <c:catAx>
        <c:axId val="41552128"/>
        <c:scaling>
          <c:orientation val="minMax"/>
        </c:scaling>
        <c:delete val="1"/>
        <c:axPos val="b"/>
        <c:tickLblPos val="none"/>
        <c:crossAx val="41592704"/>
        <c:crosses val="autoZero"/>
        <c:auto val="1"/>
        <c:lblAlgn val="ctr"/>
        <c:lblOffset val="100"/>
      </c:catAx>
      <c:valAx>
        <c:axId val="41592704"/>
        <c:scaling>
          <c:orientation val="minMax"/>
        </c:scaling>
        <c:delete val="1"/>
        <c:axPos val="l"/>
        <c:numFmt formatCode="#,##0" sourceLinked="1"/>
        <c:tickLblPos val="none"/>
        <c:crossAx val="41552128"/>
        <c:crosses val="autoZero"/>
        <c:crossBetween val="between"/>
      </c:valAx>
      <c:spPr>
        <a:noFill/>
        <a:ln>
          <a:noFill/>
        </a:ln>
      </c:spPr>
    </c:plotArea>
    <c:plotVisOnly val="1"/>
    <c:dispBlanksAs val="gap"/>
  </c:chart>
  <c:spPr>
    <a:noFill/>
    <a:ln>
      <a:noFill/>
    </a:ln>
  </c:spPr>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Lookup!$N$9:$N$21</c:f>
              <c:numCache>
                <c:formatCode>#,##0.0</c:formatCode>
                <c:ptCount val="13"/>
                <c:pt idx="0">
                  <c:v>0</c:v>
                </c:pt>
                <c:pt idx="1">
                  <c:v>0</c:v>
                </c:pt>
                <c:pt idx="2">
                  <c:v>2.2592592592592591</c:v>
                </c:pt>
                <c:pt idx="3">
                  <c:v>1.771869639794168</c:v>
                </c:pt>
                <c:pt idx="4">
                  <c:v>1.8500881834215168</c:v>
                </c:pt>
                <c:pt idx="5">
                  <c:v>1.8688524590163935</c:v>
                </c:pt>
                <c:pt idx="6">
                  <c:v>1.9292307692307693</c:v>
                </c:pt>
                <c:pt idx="7">
                  <c:v>2.219204655674103</c:v>
                </c:pt>
                <c:pt idx="8">
                  <c:v>1.7270659590598938</c:v>
                </c:pt>
                <c:pt idx="9">
                  <c:v>1.9491255961844196</c:v>
                </c:pt>
                <c:pt idx="10">
                  <c:v>1.9604261796042617</c:v>
                </c:pt>
                <c:pt idx="11">
                  <c:v>2.136593591905565</c:v>
                </c:pt>
                <c:pt idx="12">
                  <c:v>1.9181818181818182</c:v>
                </c:pt>
              </c:numCache>
            </c:numRef>
          </c:val>
          <c:smooth val="1"/>
        </c:ser>
        <c:marker val="1"/>
        <c:axId val="108876544"/>
        <c:axId val="108878464"/>
      </c:lineChart>
      <c:catAx>
        <c:axId val="108876544"/>
        <c:scaling>
          <c:orientation val="minMax"/>
        </c:scaling>
        <c:delete val="1"/>
        <c:axPos val="b"/>
        <c:tickLblPos val="none"/>
        <c:crossAx val="108878464"/>
        <c:crosses val="autoZero"/>
        <c:auto val="1"/>
        <c:lblAlgn val="ctr"/>
        <c:lblOffset val="100"/>
      </c:catAx>
      <c:valAx>
        <c:axId val="108878464"/>
        <c:scaling>
          <c:orientation val="minMax"/>
        </c:scaling>
        <c:delete val="1"/>
        <c:axPos val="l"/>
        <c:numFmt formatCode="#,##0.0" sourceLinked="1"/>
        <c:tickLblPos val="none"/>
        <c:crossAx val="108876544"/>
        <c:crosses val="autoZero"/>
        <c:crossBetween val="between"/>
      </c:valAx>
      <c:spPr>
        <a:noFill/>
        <a:ln>
          <a:noFill/>
        </a:ln>
      </c:spPr>
    </c:plotArea>
    <c:plotVisOnly val="1"/>
    <c:dispBlanksAs val="gap"/>
  </c:chart>
  <c:spPr>
    <a:noFill/>
    <a:ln>
      <a:noFill/>
    </a:ln>
  </c:spPr>
  <c:printSettings>
    <c:headerFooter/>
    <c:pageMargins b="0.75000000000000544" l="0.70000000000000062" r="0.70000000000000062" t="0.750000000000005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Lookup!$P$9:$P$21</c:f>
              <c:numCache>
                <c:formatCode>_-"$"* #,##0.00_-;\-"$"* #,##0.00_-;_-"$"* "-"??_-;_-@_-</c:formatCode>
                <c:ptCount val="13"/>
                <c:pt idx="0">
                  <c:v>0</c:v>
                </c:pt>
                <c:pt idx="1">
                  <c:v>0</c:v>
                </c:pt>
                <c:pt idx="2">
                  <c:v>213.12037037037038</c:v>
                </c:pt>
                <c:pt idx="3">
                  <c:v>152.14638078902229</c:v>
                </c:pt>
                <c:pt idx="4">
                  <c:v>150.6584479717813</c:v>
                </c:pt>
                <c:pt idx="5">
                  <c:v>146.44032786885248</c:v>
                </c:pt>
                <c:pt idx="6">
                  <c:v>161.17221538461538</c:v>
                </c:pt>
                <c:pt idx="7">
                  <c:v>146.50861299709021</c:v>
                </c:pt>
                <c:pt idx="8">
                  <c:v>124.21019711902957</c:v>
                </c:pt>
                <c:pt idx="9">
                  <c:v>155.8918759936407</c:v>
                </c:pt>
                <c:pt idx="10">
                  <c:v>147.85881278538812</c:v>
                </c:pt>
                <c:pt idx="11">
                  <c:v>172.93708263069141</c:v>
                </c:pt>
                <c:pt idx="12">
                  <c:v>144.97207272727272</c:v>
                </c:pt>
              </c:numCache>
            </c:numRef>
          </c:val>
          <c:smooth val="1"/>
        </c:ser>
        <c:marker val="1"/>
        <c:axId val="116243456"/>
        <c:axId val="163373824"/>
      </c:lineChart>
      <c:catAx>
        <c:axId val="116243456"/>
        <c:scaling>
          <c:orientation val="minMax"/>
        </c:scaling>
        <c:delete val="1"/>
        <c:axPos val="b"/>
        <c:tickLblPos val="none"/>
        <c:crossAx val="163373824"/>
        <c:crosses val="autoZero"/>
        <c:auto val="1"/>
        <c:lblAlgn val="ctr"/>
        <c:lblOffset val="100"/>
      </c:catAx>
      <c:valAx>
        <c:axId val="163373824"/>
        <c:scaling>
          <c:orientation val="minMax"/>
        </c:scaling>
        <c:delete val="1"/>
        <c:axPos val="l"/>
        <c:numFmt formatCode="_-&quot;$&quot;* #,##0.00_-;\-&quot;$&quot;* #,##0.00_-;_-&quot;$&quot;* &quot;-&quot;??_-;_-@_-" sourceLinked="1"/>
        <c:tickLblPos val="none"/>
        <c:crossAx val="116243456"/>
        <c:crosses val="autoZero"/>
        <c:crossBetween val="between"/>
      </c:valAx>
      <c:spPr>
        <a:noFill/>
        <a:ln>
          <a:noFill/>
        </a:ln>
      </c:spPr>
    </c:plotArea>
    <c:plotVisOnly val="1"/>
    <c:dispBlanksAs val="gap"/>
  </c:chart>
  <c:spPr>
    <a:noFill/>
    <a:ln>
      <a:noFill/>
    </a:ln>
  </c:spPr>
  <c:printSettings>
    <c:headerFooter/>
    <c:pageMargins b="0.75000000000000566" l="0.70000000000000062" r="0.70000000000000062" t="0.750000000000005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Lookup!$O$9:$O$21</c:f>
              <c:numCache>
                <c:formatCode>_-"$"* #,##0.00_-;\-"$"* #,##0.00_-;_-"$"* "-"??_-;_-@_-</c:formatCode>
                <c:ptCount val="13"/>
                <c:pt idx="0">
                  <c:v>0</c:v>
                </c:pt>
                <c:pt idx="1">
                  <c:v>0</c:v>
                </c:pt>
                <c:pt idx="2">
                  <c:v>5754.25</c:v>
                </c:pt>
                <c:pt idx="3">
                  <c:v>88701.34</c:v>
                </c:pt>
                <c:pt idx="4">
                  <c:v>85423.34</c:v>
                </c:pt>
                <c:pt idx="5">
                  <c:v>98261.46</c:v>
                </c:pt>
                <c:pt idx="6">
                  <c:v>104761.94</c:v>
                </c:pt>
                <c:pt idx="7">
                  <c:v>151050.38</c:v>
                </c:pt>
                <c:pt idx="8">
                  <c:v>163833.25</c:v>
                </c:pt>
                <c:pt idx="9">
                  <c:v>98055.99</c:v>
                </c:pt>
                <c:pt idx="10">
                  <c:v>97143.24</c:v>
                </c:pt>
                <c:pt idx="11">
                  <c:v>102551.69</c:v>
                </c:pt>
                <c:pt idx="12">
                  <c:v>79734.64</c:v>
                </c:pt>
              </c:numCache>
            </c:numRef>
          </c:val>
          <c:smooth val="1"/>
        </c:ser>
        <c:marker val="1"/>
        <c:axId val="81352192"/>
        <c:axId val="81353728"/>
      </c:lineChart>
      <c:catAx>
        <c:axId val="81352192"/>
        <c:scaling>
          <c:orientation val="minMax"/>
        </c:scaling>
        <c:delete val="1"/>
        <c:axPos val="b"/>
        <c:tickLblPos val="none"/>
        <c:crossAx val="81353728"/>
        <c:crosses val="autoZero"/>
        <c:auto val="1"/>
        <c:lblAlgn val="ctr"/>
        <c:lblOffset val="100"/>
      </c:catAx>
      <c:valAx>
        <c:axId val="81353728"/>
        <c:scaling>
          <c:orientation val="minMax"/>
        </c:scaling>
        <c:delete val="1"/>
        <c:axPos val="l"/>
        <c:numFmt formatCode="_-&quot;$&quot;* #,##0.00_-;\-&quot;$&quot;* #,##0.00_-;_-&quot;$&quot;* &quot;-&quot;??_-;_-@_-" sourceLinked="1"/>
        <c:tickLblPos val="none"/>
        <c:crossAx val="81352192"/>
        <c:crosses val="autoZero"/>
        <c:crossBetween val="between"/>
      </c:valAx>
      <c:spPr>
        <a:noFill/>
        <a:ln>
          <a:noFill/>
        </a:ln>
      </c:spPr>
    </c:plotArea>
    <c:plotVisOnly val="1"/>
    <c:dispBlanksAs val="gap"/>
  </c:chart>
  <c:spPr>
    <a:noFill/>
    <a:ln>
      <a:noFill/>
    </a:ln>
  </c:spPr>
  <c:printSettings>
    <c:headerFooter/>
    <c:pageMargins b="0.75000000000000588" l="0.70000000000000062" r="0.70000000000000062" t="0.750000000000005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Lookup!$Q$9:$Q$21</c:f>
              <c:numCache>
                <c:formatCode>0.0%</c:formatCode>
                <c:ptCount val="13"/>
                <c:pt idx="0">
                  <c:v>0</c:v>
                </c:pt>
                <c:pt idx="1">
                  <c:v>0</c:v>
                </c:pt>
                <c:pt idx="2">
                  <c:v>1.34717094102385E-3</c:v>
                </c:pt>
                <c:pt idx="3">
                  <c:v>2.0251493677921357E-2</c:v>
                </c:pt>
                <c:pt idx="4">
                  <c:v>2.0223997717220717E-2</c:v>
                </c:pt>
                <c:pt idx="5">
                  <c:v>2.115117891816921E-2</c:v>
                </c:pt>
                <c:pt idx="6">
                  <c:v>1.899307483271484E-2</c:v>
                </c:pt>
                <c:pt idx="7">
                  <c:v>2.6777134249279275E-2</c:v>
                </c:pt>
                <c:pt idx="8">
                  <c:v>3.340847496264026E-2</c:v>
                </c:pt>
                <c:pt idx="9">
                  <c:v>1.7896264261530143E-2</c:v>
                </c:pt>
                <c:pt idx="10">
                  <c:v>2.0004262704381451E-2</c:v>
                </c:pt>
                <c:pt idx="11">
                  <c:v>1.6777004470095627E-2</c:v>
                </c:pt>
                <c:pt idx="12">
                  <c:v>1.9895818260743742E-2</c:v>
                </c:pt>
              </c:numCache>
            </c:numRef>
          </c:val>
          <c:smooth val="1"/>
        </c:ser>
        <c:marker val="1"/>
        <c:axId val="81373440"/>
        <c:axId val="81375232"/>
      </c:lineChart>
      <c:catAx>
        <c:axId val="81373440"/>
        <c:scaling>
          <c:orientation val="minMax"/>
        </c:scaling>
        <c:delete val="1"/>
        <c:axPos val="b"/>
        <c:tickLblPos val="none"/>
        <c:crossAx val="81375232"/>
        <c:crosses val="autoZero"/>
        <c:auto val="1"/>
        <c:lblAlgn val="ctr"/>
        <c:lblOffset val="100"/>
      </c:catAx>
      <c:valAx>
        <c:axId val="81375232"/>
        <c:scaling>
          <c:orientation val="minMax"/>
        </c:scaling>
        <c:delete val="1"/>
        <c:axPos val="l"/>
        <c:numFmt formatCode="0.0%" sourceLinked="1"/>
        <c:tickLblPos val="none"/>
        <c:crossAx val="81373440"/>
        <c:crosses val="autoZero"/>
        <c:crossBetween val="between"/>
      </c:valAx>
      <c:spPr>
        <a:noFill/>
        <a:ln>
          <a:noFill/>
        </a:ln>
      </c:spPr>
    </c:plotArea>
    <c:plotVisOnly val="1"/>
    <c:dispBlanksAs val="gap"/>
  </c:chart>
  <c:spPr>
    <a:noFill/>
    <a:ln>
      <a:noFill/>
    </a:ln>
  </c:spPr>
  <c:printSettings>
    <c:headerFooter/>
    <c:pageMargins b="0.75000000000000611" l="0.70000000000000062" r="0.70000000000000062" t="0.750000000000006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Lookup!$R$9:$R$21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ser>
        <c:marker val="1"/>
        <c:axId val="81382400"/>
        <c:axId val="81388288"/>
      </c:lineChart>
      <c:catAx>
        <c:axId val="81382400"/>
        <c:scaling>
          <c:orientation val="minMax"/>
        </c:scaling>
        <c:delete val="1"/>
        <c:axPos val="b"/>
        <c:tickLblPos val="none"/>
        <c:crossAx val="81388288"/>
        <c:crosses val="autoZero"/>
        <c:auto val="1"/>
        <c:lblAlgn val="ctr"/>
        <c:lblOffset val="100"/>
      </c:catAx>
      <c:valAx>
        <c:axId val="81388288"/>
        <c:scaling>
          <c:orientation val="minMax"/>
        </c:scaling>
        <c:delete val="1"/>
        <c:axPos val="l"/>
        <c:numFmt formatCode="0.00" sourceLinked="1"/>
        <c:tickLblPos val="none"/>
        <c:crossAx val="81382400"/>
        <c:crosses val="autoZero"/>
        <c:crossBetween val="between"/>
      </c:valAx>
      <c:spPr>
        <a:noFill/>
        <a:ln>
          <a:noFill/>
        </a:ln>
      </c:spPr>
    </c:plotArea>
    <c:plotVisOnly val="1"/>
    <c:dispBlanksAs val="gap"/>
  </c:chart>
  <c:spPr>
    <a:noFill/>
    <a:ln>
      <a:noFill/>
    </a:ln>
  </c:spPr>
  <c:printSettings>
    <c:headerFooter/>
    <c:pageMargins b="0.75000000000000544" l="0.70000000000000062" r="0.70000000000000062" t="0.750000000000005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Lookup!$S$9:$S$21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ser>
        <c:marker val="1"/>
        <c:axId val="81399808"/>
        <c:axId val="81401344"/>
      </c:lineChart>
      <c:catAx>
        <c:axId val="81399808"/>
        <c:scaling>
          <c:orientation val="minMax"/>
        </c:scaling>
        <c:delete val="1"/>
        <c:axPos val="b"/>
        <c:tickLblPos val="none"/>
        <c:crossAx val="81401344"/>
        <c:crosses val="autoZero"/>
        <c:auto val="1"/>
        <c:lblAlgn val="ctr"/>
        <c:lblOffset val="100"/>
      </c:catAx>
      <c:valAx>
        <c:axId val="81401344"/>
        <c:scaling>
          <c:orientation val="minMax"/>
        </c:scaling>
        <c:delete val="1"/>
        <c:axPos val="l"/>
        <c:numFmt formatCode="0.00" sourceLinked="1"/>
        <c:tickLblPos val="none"/>
        <c:crossAx val="81399808"/>
        <c:crosses val="autoZero"/>
        <c:crossBetween val="between"/>
      </c:valAx>
      <c:spPr>
        <a:noFill/>
        <a:ln>
          <a:noFill/>
        </a:ln>
      </c:spPr>
    </c:plotArea>
    <c:plotVisOnly val="1"/>
    <c:dispBlanksAs val="gap"/>
  </c:chart>
  <c:spPr>
    <a:noFill/>
    <a:ln>
      <a:noFill/>
    </a:ln>
  </c:spPr>
  <c:printSettings>
    <c:headerFooter/>
    <c:pageMargins b="0.75000000000000566" l="0.70000000000000062" r="0.70000000000000062" t="0.750000000000005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Lookup!$T$9:$T$21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ser>
        <c:marker val="1"/>
        <c:axId val="81445632"/>
        <c:axId val="81447168"/>
      </c:lineChart>
      <c:catAx>
        <c:axId val="81445632"/>
        <c:scaling>
          <c:orientation val="minMax"/>
        </c:scaling>
        <c:delete val="1"/>
        <c:axPos val="b"/>
        <c:tickLblPos val="none"/>
        <c:crossAx val="81447168"/>
        <c:crosses val="autoZero"/>
        <c:auto val="1"/>
        <c:lblAlgn val="ctr"/>
        <c:lblOffset val="100"/>
      </c:catAx>
      <c:valAx>
        <c:axId val="81447168"/>
        <c:scaling>
          <c:orientation val="minMax"/>
        </c:scaling>
        <c:delete val="1"/>
        <c:axPos val="l"/>
        <c:numFmt formatCode="0.00" sourceLinked="1"/>
        <c:tickLblPos val="none"/>
        <c:crossAx val="81445632"/>
        <c:crosses val="autoZero"/>
        <c:crossBetween val="between"/>
      </c:valAx>
      <c:spPr>
        <a:noFill/>
        <a:ln>
          <a:noFill/>
        </a:ln>
      </c:spPr>
    </c:plotArea>
    <c:plotVisOnly val="1"/>
    <c:dispBlanksAs val="gap"/>
  </c:chart>
  <c:spPr>
    <a:noFill/>
    <a:ln>
      <a:noFill/>
    </a:ln>
  </c:spPr>
  <c:printSettings>
    <c:headerFooter/>
    <c:pageMargins b="0.75000000000000588" l="0.70000000000000062" r="0.70000000000000062" t="0.7500000000000058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
            <c:spPr>
              <a:ln w="101600">
                <a:solidFill>
                  <a:srgbClr val="4F81BD">
                    <a:alpha val="20000"/>
                  </a:srgbClr>
                </a:solidFill>
              </a:ln>
            </c:spPr>
          </c:errBars>
          <c:val>
            <c:numRef>
              <c:f>Lookup!#REF!</c:f>
              <c:numCache>
                <c:formatCode>General</c:formatCode>
                <c:ptCount val="1"/>
                <c:pt idx="0">
                  <c:v>1</c:v>
                </c:pt>
              </c:numCache>
            </c:numRef>
          </c:val>
          <c:smooth val="1"/>
        </c:ser>
        <c:marker val="1"/>
        <c:axId val="81581568"/>
        <c:axId val="81583104"/>
      </c:lineChart>
      <c:catAx>
        <c:axId val="81581568"/>
        <c:scaling>
          <c:orientation val="minMax"/>
        </c:scaling>
        <c:delete val="1"/>
        <c:axPos val="b"/>
        <c:tickLblPos val="none"/>
        <c:crossAx val="81583104"/>
        <c:crosses val="autoZero"/>
        <c:auto val="1"/>
        <c:lblAlgn val="ctr"/>
        <c:lblOffset val="100"/>
      </c:catAx>
      <c:valAx>
        <c:axId val="81583104"/>
        <c:scaling>
          <c:orientation val="minMax"/>
        </c:scaling>
        <c:delete val="1"/>
        <c:axPos val="l"/>
        <c:numFmt formatCode="General" sourceLinked="1"/>
        <c:tickLblPos val="none"/>
        <c:crossAx val="81581568"/>
        <c:crosses val="autoZero"/>
        <c:crossBetween val="between"/>
      </c:valAx>
      <c:spPr>
        <a:noFill/>
        <a:ln>
          <a:noFill/>
        </a:ln>
      </c:spPr>
    </c:plotArea>
    <c:plotVisOnly val="1"/>
    <c:dispBlanksAs val="gap"/>
  </c:chart>
  <c:spPr>
    <a:noFill/>
    <a:ln>
      <a:noFill/>
    </a:ln>
  </c:spPr>
  <c:printSettings>
    <c:headerFooter/>
    <c:pageMargins b="0.75000000000000677" l="0.70000000000000062" r="0.70000000000000062" t="0.750000000000006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Lookup!$U$9:$U$21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ser>
        <c:marker val="1"/>
        <c:axId val="84285696"/>
        <c:axId val="84291584"/>
      </c:lineChart>
      <c:catAx>
        <c:axId val="84285696"/>
        <c:scaling>
          <c:orientation val="minMax"/>
        </c:scaling>
        <c:delete val="1"/>
        <c:axPos val="b"/>
        <c:tickLblPos val="none"/>
        <c:crossAx val="84291584"/>
        <c:crosses val="autoZero"/>
        <c:auto val="1"/>
        <c:lblAlgn val="ctr"/>
        <c:lblOffset val="100"/>
      </c:catAx>
      <c:valAx>
        <c:axId val="84291584"/>
        <c:scaling>
          <c:orientation val="minMax"/>
        </c:scaling>
        <c:delete val="1"/>
        <c:axPos val="l"/>
        <c:numFmt formatCode="0.00" sourceLinked="1"/>
        <c:tickLblPos val="none"/>
        <c:crossAx val="84285696"/>
        <c:crosses val="autoZero"/>
        <c:crossBetween val="between"/>
      </c:valAx>
      <c:spPr>
        <a:noFill/>
        <a:ln>
          <a:noFill/>
        </a:ln>
      </c:spPr>
    </c:plotArea>
    <c:plotVisOnly val="1"/>
    <c:dispBlanksAs val="gap"/>
  </c:chart>
  <c:spPr>
    <a:noFill/>
    <a:ln>
      <a:noFill/>
    </a:ln>
  </c:spPr>
  <c:printSettings>
    <c:headerFooter/>
    <c:pageMargins b="0.75000000000000611" l="0.70000000000000062" r="0.70000000000000062" t="0.750000000000006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Lookup!$U$9:$U$21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ser>
        <c:marker val="1"/>
        <c:axId val="84433920"/>
        <c:axId val="84452096"/>
      </c:lineChart>
      <c:catAx>
        <c:axId val="84433920"/>
        <c:scaling>
          <c:orientation val="minMax"/>
        </c:scaling>
        <c:delete val="1"/>
        <c:axPos val="b"/>
        <c:tickLblPos val="none"/>
        <c:crossAx val="84452096"/>
        <c:crosses val="autoZero"/>
        <c:auto val="1"/>
        <c:lblAlgn val="ctr"/>
        <c:lblOffset val="100"/>
      </c:catAx>
      <c:valAx>
        <c:axId val="84452096"/>
        <c:scaling>
          <c:orientation val="minMax"/>
        </c:scaling>
        <c:delete val="1"/>
        <c:axPos val="l"/>
        <c:numFmt formatCode="0.00" sourceLinked="1"/>
        <c:tickLblPos val="none"/>
        <c:crossAx val="84433920"/>
        <c:crosses val="autoZero"/>
        <c:crossBetween val="between"/>
      </c:valAx>
      <c:spPr>
        <a:noFill/>
        <a:ln>
          <a:noFill/>
        </a:ln>
      </c:spPr>
    </c:plotArea>
    <c:plotVisOnly val="1"/>
    <c:dispBlanksAs val="gap"/>
  </c:chart>
  <c:spPr>
    <a:noFill/>
    <a:ln>
      <a:noFill/>
    </a:ln>
  </c:sp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Lookup!$E$9:$E$21</c:f>
              <c:numCache>
                <c:formatCode>#,##0</c:formatCode>
                <c:ptCount val="13"/>
                <c:pt idx="0">
                  <c:v>17844</c:v>
                </c:pt>
                <c:pt idx="1">
                  <c:v>18734</c:v>
                </c:pt>
                <c:pt idx="2">
                  <c:v>20042</c:v>
                </c:pt>
                <c:pt idx="3">
                  <c:v>28788</c:v>
                </c:pt>
                <c:pt idx="4">
                  <c:v>28036</c:v>
                </c:pt>
                <c:pt idx="5">
                  <c:v>31724</c:v>
                </c:pt>
                <c:pt idx="6">
                  <c:v>34223</c:v>
                </c:pt>
                <c:pt idx="7">
                  <c:v>38503</c:v>
                </c:pt>
                <c:pt idx="8">
                  <c:v>39481</c:v>
                </c:pt>
                <c:pt idx="9">
                  <c:v>35147</c:v>
                </c:pt>
                <c:pt idx="10">
                  <c:v>32843</c:v>
                </c:pt>
                <c:pt idx="11">
                  <c:v>35346</c:v>
                </c:pt>
                <c:pt idx="12">
                  <c:v>27644</c:v>
                </c:pt>
              </c:numCache>
            </c:numRef>
          </c:val>
          <c:smooth val="1"/>
        </c:ser>
        <c:marker val="1"/>
        <c:axId val="67279104"/>
        <c:axId val="68800896"/>
      </c:lineChart>
      <c:catAx>
        <c:axId val="67279104"/>
        <c:scaling>
          <c:orientation val="minMax"/>
        </c:scaling>
        <c:delete val="1"/>
        <c:axPos val="b"/>
        <c:tickLblPos val="none"/>
        <c:crossAx val="68800896"/>
        <c:crosses val="autoZero"/>
        <c:auto val="1"/>
        <c:lblAlgn val="ctr"/>
        <c:lblOffset val="100"/>
      </c:catAx>
      <c:valAx>
        <c:axId val="68800896"/>
        <c:scaling>
          <c:orientation val="minMax"/>
        </c:scaling>
        <c:delete val="1"/>
        <c:axPos val="l"/>
        <c:numFmt formatCode="#,##0" sourceLinked="1"/>
        <c:tickLblPos val="none"/>
        <c:crossAx val="67279104"/>
        <c:crosses val="autoZero"/>
        <c:crossBetween val="between"/>
      </c:valAx>
      <c:spPr>
        <a:noFill/>
        <a:ln>
          <a:noFill/>
        </a:ln>
      </c:spPr>
    </c:plotArea>
    <c:plotVisOnly val="1"/>
    <c:dispBlanksAs val="gap"/>
  </c:chart>
  <c:spPr>
    <a:noFill/>
    <a:ln>
      <a:noFill/>
    </a:ln>
  </c:sp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Lookup!$F$9:$F$21</c:f>
              <c:numCache>
                <c:formatCode>0.0</c:formatCode>
                <c:ptCount val="13"/>
                <c:pt idx="0">
                  <c:v>1.3885300754805074</c:v>
                </c:pt>
                <c:pt idx="1">
                  <c:v>1.3631667030488248</c:v>
                </c:pt>
                <c:pt idx="2">
                  <c:v>1.3286045740802122</c:v>
                </c:pt>
                <c:pt idx="3">
                  <c:v>1.277422790202343</c:v>
                </c:pt>
                <c:pt idx="4">
                  <c:v>1.2537900809445015</c:v>
                </c:pt>
                <c:pt idx="5">
                  <c:v>1.2643073489558425</c:v>
                </c:pt>
                <c:pt idx="6">
                  <c:v>1.3033857637963209</c:v>
                </c:pt>
                <c:pt idx="7">
                  <c:v>1.3469180717833904</c:v>
                </c:pt>
                <c:pt idx="8">
                  <c:v>1.3590705679862307</c:v>
                </c:pt>
                <c:pt idx="9">
                  <c:v>1.3298649211093874</c:v>
                </c:pt>
                <c:pt idx="10">
                  <c:v>1.343217046337573</c:v>
                </c:pt>
                <c:pt idx="11">
                  <c:v>1.3207039569554984</c:v>
                </c:pt>
                <c:pt idx="12">
                  <c:v>1.3220468675274988</c:v>
                </c:pt>
              </c:numCache>
            </c:numRef>
          </c:val>
          <c:smooth val="1"/>
        </c:ser>
        <c:marker val="1"/>
        <c:axId val="78532608"/>
        <c:axId val="78534528"/>
      </c:lineChart>
      <c:catAx>
        <c:axId val="78532608"/>
        <c:scaling>
          <c:orientation val="minMax"/>
        </c:scaling>
        <c:delete val="1"/>
        <c:axPos val="b"/>
        <c:tickLblPos val="none"/>
        <c:crossAx val="78534528"/>
        <c:crosses val="autoZero"/>
        <c:auto val="1"/>
        <c:lblAlgn val="ctr"/>
        <c:lblOffset val="100"/>
      </c:catAx>
      <c:valAx>
        <c:axId val="78534528"/>
        <c:scaling>
          <c:orientation val="minMax"/>
        </c:scaling>
        <c:delete val="1"/>
        <c:axPos val="l"/>
        <c:numFmt formatCode="0.0" sourceLinked="1"/>
        <c:tickLblPos val="none"/>
        <c:crossAx val="78532608"/>
        <c:crosses val="autoZero"/>
        <c:crossBetween val="between"/>
      </c:valAx>
      <c:spPr>
        <a:noFill/>
        <a:ln>
          <a:noFill/>
        </a:ln>
      </c:spPr>
    </c:plotArea>
    <c:plotVisOnly val="1"/>
    <c:dispBlanksAs val="gap"/>
  </c:chart>
  <c:spPr>
    <a:noFill/>
    <a:ln>
      <a:noFill/>
    </a:ln>
  </c:spPr>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Lookup!$H$9:$H$21</c:f>
              <c:numCache>
                <c:formatCode>0%</c:formatCode>
                <c:ptCount val="13"/>
                <c:pt idx="0">
                  <c:v>21.68</c:v>
                </c:pt>
                <c:pt idx="1">
                  <c:v>21.99</c:v>
                </c:pt>
                <c:pt idx="2">
                  <c:v>11.18</c:v>
                </c:pt>
                <c:pt idx="3">
                  <c:v>0.56999999999999995</c:v>
                </c:pt>
                <c:pt idx="4">
                  <c:v>0.51</c:v>
                </c:pt>
                <c:pt idx="5">
                  <c:v>1.44</c:v>
                </c:pt>
                <c:pt idx="6">
                  <c:v>31.97</c:v>
                </c:pt>
                <c:pt idx="7">
                  <c:v>22.76</c:v>
                </c:pt>
                <c:pt idx="8">
                  <c:v>21.16</c:v>
                </c:pt>
                <c:pt idx="9">
                  <c:v>26.4</c:v>
                </c:pt>
                <c:pt idx="10">
                  <c:v>24.8</c:v>
                </c:pt>
                <c:pt idx="11">
                  <c:v>23.84</c:v>
                </c:pt>
                <c:pt idx="12">
                  <c:v>20.61</c:v>
                </c:pt>
              </c:numCache>
            </c:numRef>
          </c:val>
          <c:smooth val="1"/>
        </c:ser>
        <c:marker val="1"/>
        <c:axId val="78568832"/>
        <c:axId val="79198080"/>
      </c:lineChart>
      <c:catAx>
        <c:axId val="78568832"/>
        <c:scaling>
          <c:orientation val="minMax"/>
        </c:scaling>
        <c:delete val="1"/>
        <c:axPos val="b"/>
        <c:tickLblPos val="none"/>
        <c:crossAx val="79198080"/>
        <c:crosses val="autoZero"/>
        <c:auto val="1"/>
        <c:lblAlgn val="ctr"/>
        <c:lblOffset val="100"/>
      </c:catAx>
      <c:valAx>
        <c:axId val="79198080"/>
        <c:scaling>
          <c:orientation val="minMax"/>
        </c:scaling>
        <c:delete val="1"/>
        <c:axPos val="l"/>
        <c:numFmt formatCode="0%" sourceLinked="1"/>
        <c:tickLblPos val="none"/>
        <c:crossAx val="78568832"/>
        <c:crosses val="autoZero"/>
        <c:crossBetween val="between"/>
      </c:valAx>
      <c:spPr>
        <a:noFill/>
        <a:ln>
          <a:noFill/>
        </a:ln>
      </c:spPr>
    </c:plotArea>
    <c:plotVisOnly val="1"/>
    <c:dispBlanksAs val="gap"/>
  </c:chart>
  <c:spPr>
    <a:noFill/>
    <a:ln>
      <a:noFill/>
    </a:ln>
  </c:spPr>
  <c:printSettings>
    <c:headerFooter/>
    <c:pageMargins b="0.75000000000000411" l="0.70000000000000062" r="0.70000000000000062" t="0.750000000000004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Lookup!$I$9:$I$21</c:f>
              <c:numCache>
                <c:formatCode>#,##0</c:formatCode>
                <c:ptCount val="13"/>
                <c:pt idx="0">
                  <c:v>159791</c:v>
                </c:pt>
                <c:pt idx="1">
                  <c:v>141664</c:v>
                </c:pt>
                <c:pt idx="2">
                  <c:v>136747</c:v>
                </c:pt>
                <c:pt idx="3">
                  <c:v>177377</c:v>
                </c:pt>
                <c:pt idx="4">
                  <c:v>169130</c:v>
                </c:pt>
                <c:pt idx="5">
                  <c:v>198587</c:v>
                </c:pt>
                <c:pt idx="6">
                  <c:v>201723</c:v>
                </c:pt>
                <c:pt idx="7">
                  <c:v>264120</c:v>
                </c:pt>
                <c:pt idx="8">
                  <c:v>278339</c:v>
                </c:pt>
                <c:pt idx="9">
                  <c:v>211058</c:v>
                </c:pt>
                <c:pt idx="10">
                  <c:v>174296</c:v>
                </c:pt>
                <c:pt idx="11">
                  <c:v>180732</c:v>
                </c:pt>
                <c:pt idx="12">
                  <c:v>156811</c:v>
                </c:pt>
              </c:numCache>
            </c:numRef>
          </c:val>
          <c:smooth val="1"/>
        </c:ser>
        <c:marker val="1"/>
        <c:axId val="81367424"/>
        <c:axId val="81368960"/>
      </c:lineChart>
      <c:catAx>
        <c:axId val="81367424"/>
        <c:scaling>
          <c:orientation val="minMax"/>
        </c:scaling>
        <c:delete val="1"/>
        <c:axPos val="b"/>
        <c:tickLblPos val="none"/>
        <c:crossAx val="81368960"/>
        <c:crosses val="autoZero"/>
        <c:auto val="1"/>
        <c:lblAlgn val="ctr"/>
        <c:lblOffset val="100"/>
      </c:catAx>
      <c:valAx>
        <c:axId val="81368960"/>
        <c:scaling>
          <c:orientation val="minMax"/>
        </c:scaling>
        <c:delete val="1"/>
        <c:axPos val="l"/>
        <c:numFmt formatCode="#,##0" sourceLinked="1"/>
        <c:tickLblPos val="none"/>
        <c:crossAx val="81367424"/>
        <c:crosses val="autoZero"/>
        <c:crossBetween val="between"/>
      </c:valAx>
      <c:spPr>
        <a:noFill/>
        <a:ln>
          <a:noFill/>
        </a:ln>
      </c:spPr>
    </c:plotArea>
    <c:plotVisOnly val="1"/>
    <c:dispBlanksAs val="gap"/>
  </c:chart>
  <c:spPr>
    <a:noFill/>
    <a:ln>
      <a:noFill/>
    </a:ln>
  </c:spPr>
  <c:printSettings>
    <c:headerFooter/>
    <c:pageMargins b="0.75000000000000433" l="0.70000000000000062" r="0.70000000000000062" t="0.750000000000004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Lookup!$J$9:$J$21</c:f>
              <c:numCache>
                <c:formatCode>#,##0.0</c:formatCode>
                <c:ptCount val="13"/>
                <c:pt idx="0">
                  <c:v>8.9548867966823575</c:v>
                </c:pt>
                <c:pt idx="1">
                  <c:v>7.5618661257606492</c:v>
                </c:pt>
                <c:pt idx="2">
                  <c:v>6.8230216545254967</c:v>
                </c:pt>
                <c:pt idx="3">
                  <c:v>6.1614908989856882</c:v>
                </c:pt>
                <c:pt idx="4">
                  <c:v>6.0326009416464546</c:v>
                </c:pt>
                <c:pt idx="5">
                  <c:v>6.2598348253688059</c:v>
                </c:pt>
                <c:pt idx="6">
                  <c:v>5.8943692838149779</c:v>
                </c:pt>
                <c:pt idx="7">
                  <c:v>6.8597252162169182</c:v>
                </c:pt>
                <c:pt idx="8">
                  <c:v>7.0499480762898612</c:v>
                </c:pt>
                <c:pt idx="9">
                  <c:v>6.0050075397615732</c:v>
                </c:pt>
                <c:pt idx="10">
                  <c:v>5.3069451633529212</c:v>
                </c:pt>
                <c:pt idx="11">
                  <c:v>5.1132235613647934</c:v>
                </c:pt>
                <c:pt idx="12">
                  <c:v>5.6725148314281579</c:v>
                </c:pt>
              </c:numCache>
            </c:numRef>
          </c:val>
          <c:smooth val="1"/>
        </c:ser>
        <c:marker val="1"/>
        <c:axId val="81554048"/>
        <c:axId val="81982592"/>
      </c:lineChart>
      <c:catAx>
        <c:axId val="81554048"/>
        <c:scaling>
          <c:orientation val="minMax"/>
        </c:scaling>
        <c:delete val="1"/>
        <c:axPos val="b"/>
        <c:tickLblPos val="none"/>
        <c:crossAx val="81982592"/>
        <c:crosses val="autoZero"/>
        <c:auto val="1"/>
        <c:lblAlgn val="ctr"/>
        <c:lblOffset val="100"/>
      </c:catAx>
      <c:valAx>
        <c:axId val="81982592"/>
        <c:scaling>
          <c:orientation val="minMax"/>
        </c:scaling>
        <c:delete val="1"/>
        <c:axPos val="l"/>
        <c:numFmt formatCode="#,##0.0" sourceLinked="1"/>
        <c:tickLblPos val="none"/>
        <c:crossAx val="81554048"/>
        <c:crosses val="autoZero"/>
        <c:crossBetween val="between"/>
      </c:valAx>
      <c:spPr>
        <a:noFill/>
        <a:ln>
          <a:noFill/>
        </a:ln>
      </c:spPr>
    </c:plotArea>
    <c:plotVisOnly val="1"/>
    <c:dispBlanksAs val="gap"/>
  </c:chart>
  <c:spPr>
    <a:noFill/>
    <a:ln>
      <a:noFill/>
    </a:ln>
  </c:spPr>
  <c:printSettings>
    <c:headerFooter/>
    <c:pageMargins b="0.75000000000000455" l="0.70000000000000062" r="0.70000000000000062" t="0.750000000000004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Lookup!$K$9:$K$21</c:f>
              <c:numCache>
                <c:formatCode>#,##0</c:formatCode>
                <c:ptCount val="13"/>
                <c:pt idx="0">
                  <c:v>0</c:v>
                </c:pt>
                <c:pt idx="1">
                  <c:v>0</c:v>
                </c:pt>
                <c:pt idx="2">
                  <c:v>13416</c:v>
                </c:pt>
                <c:pt idx="3">
                  <c:v>20411</c:v>
                </c:pt>
                <c:pt idx="4">
                  <c:v>20309</c:v>
                </c:pt>
                <c:pt idx="5">
                  <c:v>22744</c:v>
                </c:pt>
                <c:pt idx="6">
                  <c:v>23567</c:v>
                </c:pt>
                <c:pt idx="7">
                  <c:v>25395</c:v>
                </c:pt>
                <c:pt idx="8">
                  <c:v>25543</c:v>
                </c:pt>
                <c:pt idx="9">
                  <c:v>23505</c:v>
                </c:pt>
                <c:pt idx="10">
                  <c:v>21415</c:v>
                </c:pt>
                <c:pt idx="11">
                  <c:v>23514</c:v>
                </c:pt>
                <c:pt idx="12">
                  <c:v>18114</c:v>
                </c:pt>
              </c:numCache>
            </c:numRef>
          </c:val>
          <c:smooth val="1"/>
        </c:ser>
        <c:marker val="1"/>
        <c:axId val="84325888"/>
        <c:axId val="84332544"/>
      </c:lineChart>
      <c:catAx>
        <c:axId val="84325888"/>
        <c:scaling>
          <c:orientation val="minMax"/>
        </c:scaling>
        <c:delete val="1"/>
        <c:axPos val="b"/>
        <c:tickLblPos val="none"/>
        <c:crossAx val="84332544"/>
        <c:crosses val="autoZero"/>
        <c:auto val="1"/>
        <c:lblAlgn val="ctr"/>
        <c:lblOffset val="100"/>
      </c:catAx>
      <c:valAx>
        <c:axId val="84332544"/>
        <c:scaling>
          <c:orientation val="minMax"/>
        </c:scaling>
        <c:delete val="1"/>
        <c:axPos val="l"/>
        <c:numFmt formatCode="#,##0" sourceLinked="1"/>
        <c:tickLblPos val="none"/>
        <c:crossAx val="84325888"/>
        <c:crosses val="autoZero"/>
        <c:crossBetween val="between"/>
      </c:valAx>
      <c:spPr>
        <a:noFill/>
        <a:ln>
          <a:noFill/>
        </a:ln>
      </c:spPr>
    </c:plotArea>
    <c:plotVisOnly val="1"/>
    <c:dispBlanksAs val="gap"/>
  </c:chart>
  <c:spPr>
    <a:noFill/>
    <a:ln>
      <a:noFill/>
    </a:ln>
  </c:spPr>
  <c:printSettings>
    <c:headerFooter/>
    <c:pageMargins b="0.75000000000000477" l="0.70000000000000062" r="0.70000000000000062" t="0.750000000000004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Lookup!$L$9:$L$21</c:f>
              <c:numCache>
                <c:formatCode>#,##0</c:formatCode>
                <c:ptCount val="13"/>
                <c:pt idx="0">
                  <c:v>0</c:v>
                </c:pt>
                <c:pt idx="1">
                  <c:v>0</c:v>
                </c:pt>
                <c:pt idx="2">
                  <c:v>27</c:v>
                </c:pt>
                <c:pt idx="3">
                  <c:v>583</c:v>
                </c:pt>
                <c:pt idx="4">
                  <c:v>567</c:v>
                </c:pt>
                <c:pt idx="5">
                  <c:v>671</c:v>
                </c:pt>
                <c:pt idx="6">
                  <c:v>650</c:v>
                </c:pt>
                <c:pt idx="7">
                  <c:v>1031</c:v>
                </c:pt>
                <c:pt idx="8">
                  <c:v>1319</c:v>
                </c:pt>
                <c:pt idx="9">
                  <c:v>629</c:v>
                </c:pt>
                <c:pt idx="10">
                  <c:v>657</c:v>
                </c:pt>
                <c:pt idx="11">
                  <c:v>593</c:v>
                </c:pt>
                <c:pt idx="12">
                  <c:v>550</c:v>
                </c:pt>
              </c:numCache>
            </c:numRef>
          </c:val>
          <c:smooth val="1"/>
        </c:ser>
        <c:marker val="1"/>
        <c:axId val="85516672"/>
        <c:axId val="85518592"/>
      </c:lineChart>
      <c:catAx>
        <c:axId val="85516672"/>
        <c:scaling>
          <c:orientation val="minMax"/>
        </c:scaling>
        <c:delete val="1"/>
        <c:axPos val="b"/>
        <c:tickLblPos val="none"/>
        <c:crossAx val="85518592"/>
        <c:crosses val="autoZero"/>
        <c:auto val="1"/>
        <c:lblAlgn val="ctr"/>
        <c:lblOffset val="100"/>
      </c:catAx>
      <c:valAx>
        <c:axId val="85518592"/>
        <c:scaling>
          <c:orientation val="minMax"/>
        </c:scaling>
        <c:delete val="1"/>
        <c:axPos val="l"/>
        <c:numFmt formatCode="#,##0" sourceLinked="1"/>
        <c:tickLblPos val="none"/>
        <c:crossAx val="85516672"/>
        <c:crosses val="autoZero"/>
        <c:crossBetween val="between"/>
      </c:valAx>
      <c:spPr>
        <a:noFill/>
        <a:ln>
          <a:noFill/>
        </a:ln>
      </c:spPr>
    </c:plotArea>
    <c:plotVisOnly val="1"/>
    <c:dispBlanksAs val="gap"/>
  </c:chart>
  <c:spPr>
    <a:noFill/>
    <a:ln>
      <a:noFill/>
    </a:ln>
  </c:sp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
          <c:y val="0"/>
          <c:w val="1"/>
          <c:h val="0.99374021909233179"/>
        </c:manualLayout>
      </c:layout>
      <c:lineChart>
        <c:grouping val="standard"/>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Lookup!$M$9:$M$21</c:f>
              <c:numCache>
                <c:formatCode>#,##0</c:formatCode>
                <c:ptCount val="13"/>
                <c:pt idx="0">
                  <c:v>0</c:v>
                </c:pt>
                <c:pt idx="1">
                  <c:v>0</c:v>
                </c:pt>
                <c:pt idx="2">
                  <c:v>61</c:v>
                </c:pt>
                <c:pt idx="3">
                  <c:v>1033</c:v>
                </c:pt>
                <c:pt idx="4">
                  <c:v>1049</c:v>
                </c:pt>
                <c:pt idx="5">
                  <c:v>1254</c:v>
                </c:pt>
                <c:pt idx="6">
                  <c:v>1254</c:v>
                </c:pt>
                <c:pt idx="7">
                  <c:v>2288</c:v>
                </c:pt>
                <c:pt idx="8">
                  <c:v>2278</c:v>
                </c:pt>
                <c:pt idx="9">
                  <c:v>1226</c:v>
                </c:pt>
                <c:pt idx="10">
                  <c:v>1288</c:v>
                </c:pt>
                <c:pt idx="11">
                  <c:v>1267</c:v>
                </c:pt>
                <c:pt idx="12">
                  <c:v>1055</c:v>
                </c:pt>
              </c:numCache>
            </c:numRef>
          </c:val>
          <c:smooth val="1"/>
        </c:ser>
        <c:marker val="1"/>
        <c:axId val="88472576"/>
        <c:axId val="90219264"/>
      </c:lineChart>
      <c:catAx>
        <c:axId val="88472576"/>
        <c:scaling>
          <c:orientation val="minMax"/>
        </c:scaling>
        <c:delete val="1"/>
        <c:axPos val="b"/>
        <c:tickLblPos val="none"/>
        <c:crossAx val="90219264"/>
        <c:crosses val="autoZero"/>
        <c:auto val="1"/>
        <c:lblAlgn val="ctr"/>
        <c:lblOffset val="100"/>
      </c:catAx>
      <c:valAx>
        <c:axId val="90219264"/>
        <c:scaling>
          <c:orientation val="minMax"/>
        </c:scaling>
        <c:delete val="1"/>
        <c:axPos val="l"/>
        <c:numFmt formatCode="#,##0" sourceLinked="1"/>
        <c:tickLblPos val="none"/>
        <c:crossAx val="88472576"/>
        <c:crosses val="autoZero"/>
        <c:crossBetween val="between"/>
      </c:valAx>
      <c:spPr>
        <a:noFill/>
        <a:ln>
          <a:noFill/>
        </a:ln>
      </c:spPr>
    </c:plotArea>
    <c:plotVisOnly val="1"/>
    <c:dispBlanksAs val="gap"/>
  </c:chart>
  <c:spPr>
    <a:noFill/>
    <a:ln>
      <a:noFill/>
    </a:ln>
  </c:spPr>
  <c:printSettings>
    <c:headerFooter/>
    <c:pageMargins b="0.75000000000000522" l="0.70000000000000062" r="0.70000000000000062" t="0.75000000000000522" header="0.30000000000000032" footer="0.30000000000000032"/>
    <c:pageSetup/>
  </c:printSettings>
</c:chartSpace>
</file>

<file path=xl/ctrlProps/ctrlProp1.xml><?xml version="1.0" encoding="utf-8"?>
<formControlPr xmlns="http://schemas.microsoft.com/office/spreadsheetml/2009/9/main" objectType="Drop" dropStyle="combo" dx="16" fmlaLink="$A$3" fmlaRange="Shee1!$A$3:$A$20" sel="15" val="1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0</xdr:colOff>
      <xdr:row>6</xdr:row>
      <xdr:rowOff>3</xdr:rowOff>
    </xdr:from>
    <xdr:to>
      <xdr:col>7</xdr:col>
      <xdr:colOff>0</xdr:colOff>
      <xdr:row>7</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3</xdr:rowOff>
    </xdr:from>
    <xdr:to>
      <xdr:col>7</xdr:col>
      <xdr:colOff>0</xdr:colOff>
      <xdr:row>9</xdr:row>
      <xdr:rowOff>180976</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3</xdr:rowOff>
    </xdr:from>
    <xdr:to>
      <xdr:col>7</xdr:col>
      <xdr:colOff>0</xdr:colOff>
      <xdr:row>11</xdr:row>
      <xdr:rowOff>180976</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12</xdr:row>
      <xdr:rowOff>3</xdr:rowOff>
    </xdr:from>
    <xdr:to>
      <xdr:col>7</xdr:col>
      <xdr:colOff>0</xdr:colOff>
      <xdr:row>13</xdr:row>
      <xdr:rowOff>180976</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14</xdr:row>
      <xdr:rowOff>3</xdr:rowOff>
    </xdr:from>
    <xdr:to>
      <xdr:col>7</xdr:col>
      <xdr:colOff>0</xdr:colOff>
      <xdr:row>15</xdr:row>
      <xdr:rowOff>180976</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16</xdr:row>
      <xdr:rowOff>3</xdr:rowOff>
    </xdr:from>
    <xdr:to>
      <xdr:col>7</xdr:col>
      <xdr:colOff>0</xdr:colOff>
      <xdr:row>17</xdr:row>
      <xdr:rowOff>180976</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21</xdr:row>
      <xdr:rowOff>3</xdr:rowOff>
    </xdr:from>
    <xdr:to>
      <xdr:col>7</xdr:col>
      <xdr:colOff>0</xdr:colOff>
      <xdr:row>22</xdr:row>
      <xdr:rowOff>180976</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23</xdr:row>
      <xdr:rowOff>3</xdr:rowOff>
    </xdr:from>
    <xdr:to>
      <xdr:col>7</xdr:col>
      <xdr:colOff>0</xdr:colOff>
      <xdr:row>24</xdr:row>
      <xdr:rowOff>180976</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25</xdr:row>
      <xdr:rowOff>3</xdr:rowOff>
    </xdr:from>
    <xdr:to>
      <xdr:col>7</xdr:col>
      <xdr:colOff>0</xdr:colOff>
      <xdr:row>26</xdr:row>
      <xdr:rowOff>180976</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27</xdr:row>
      <xdr:rowOff>3</xdr:rowOff>
    </xdr:from>
    <xdr:to>
      <xdr:col>7</xdr:col>
      <xdr:colOff>0</xdr:colOff>
      <xdr:row>28</xdr:row>
      <xdr:rowOff>180976</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29</xdr:row>
      <xdr:rowOff>3</xdr:rowOff>
    </xdr:from>
    <xdr:to>
      <xdr:col>7</xdr:col>
      <xdr:colOff>0</xdr:colOff>
      <xdr:row>30</xdr:row>
      <xdr:rowOff>180976</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31</xdr:row>
      <xdr:rowOff>3</xdr:rowOff>
    </xdr:from>
    <xdr:to>
      <xdr:col>7</xdr:col>
      <xdr:colOff>0</xdr:colOff>
      <xdr:row>32</xdr:row>
      <xdr:rowOff>180976</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23231</xdr:colOff>
      <xdr:row>33</xdr:row>
      <xdr:rowOff>11619</xdr:rowOff>
    </xdr:from>
    <xdr:to>
      <xdr:col>7</xdr:col>
      <xdr:colOff>23231</xdr:colOff>
      <xdr:row>34</xdr:row>
      <xdr:rowOff>192592</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38</xdr:row>
      <xdr:rowOff>34847</xdr:rowOff>
    </xdr:from>
    <xdr:to>
      <xdr:col>7</xdr:col>
      <xdr:colOff>0</xdr:colOff>
      <xdr:row>39</xdr:row>
      <xdr:rowOff>180976</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46462</xdr:colOff>
      <xdr:row>40</xdr:row>
      <xdr:rowOff>46465</xdr:rowOff>
    </xdr:from>
    <xdr:to>
      <xdr:col>7</xdr:col>
      <xdr:colOff>46462</xdr:colOff>
      <xdr:row>41</xdr:row>
      <xdr:rowOff>157746</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11616</xdr:colOff>
      <xdr:row>42</xdr:row>
      <xdr:rowOff>34847</xdr:rowOff>
    </xdr:from>
    <xdr:to>
      <xdr:col>7</xdr:col>
      <xdr:colOff>11616</xdr:colOff>
      <xdr:row>43</xdr:row>
      <xdr:rowOff>180975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52</xdr:row>
      <xdr:rowOff>3</xdr:rowOff>
    </xdr:from>
    <xdr:to>
      <xdr:col>7</xdr:col>
      <xdr:colOff>0</xdr:colOff>
      <xdr:row>53</xdr:row>
      <xdr:rowOff>180976</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46462</xdr:colOff>
      <xdr:row>44</xdr:row>
      <xdr:rowOff>23230</xdr:rowOff>
    </xdr:from>
    <xdr:to>
      <xdr:col>7</xdr:col>
      <xdr:colOff>46462</xdr:colOff>
      <xdr:row>45</xdr:row>
      <xdr:rowOff>204202</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46462</xdr:colOff>
      <xdr:row>46</xdr:row>
      <xdr:rowOff>23230</xdr:rowOff>
    </xdr:from>
    <xdr:to>
      <xdr:col>7</xdr:col>
      <xdr:colOff>46462</xdr:colOff>
      <xdr:row>47</xdr:row>
      <xdr:rowOff>204202</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queryTables/queryTable1.xml><?xml version="1.0" encoding="utf-8"?>
<queryTable xmlns="http://schemas.openxmlformats.org/spreadsheetml/2006/main" name="ExternalData_67" growShrinkType="overwriteClear" preserveFormatting="0" connectionId="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ExternalData_66" growShrinkType="overwriteClear" preserveFormatting="0" connectionId="4"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ExternalData_57" growShrinkType="overwriteClear" preserveFormatting="0" connectionId="10"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ExternalData_59" growShrinkType="overwriteClear" preserveFormatting="0" connectionId="12"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ExternalData_60" growShrinkType="overwriteClear" preserveFormatting="0" connectionId="13"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ExternalData_62" growShrinkType="overwriteClear" preserveFormatting="0" connectionId="15"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ExternalData_69" growShrinkType="overwriteClear" preserveFormatting="0" connectionId="7"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63" growShrinkType="overwriteClear" preserveFormatting="0" connectionId="16"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65" growShrinkType="overwriteClear" preserveFormatting="0"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68" growShrinkType="overwriteClear" preserveFormatting="0"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71" growShrinkType="overwriteClear" preserveFormatting="0" connectionId="9"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70" growShrinkType="overwriteClear" preserveFormatting="0" connectionId="8"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58" growShrinkType="overwriteClear" preserveFormatting="0" connectionId="1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ExternalData_64" growShrinkType="overwriteClear" preserveFormatting="0" connectionId="17"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ExternalData_61" growShrinkType="overwriteClear" preserveFormatting="0" connectionId="14" autoFormatId="16" applyNumberFormats="0" applyBorderFormats="0" applyFontFormats="1" applyPatternFormats="1" applyAlignmentFormats="0" applyWidthHeightFormats="0"/>
</file>

<file path=xl/tables/table1.xml><?xml version="1.0" encoding="utf-8"?>
<table xmlns="http://schemas.openxmlformats.org/spreadsheetml/2006/main" id="1" name="WebDataS1" displayName="WebDataS1" ref="A2:Y20" totalsRowShown="0" headerRowDxfId="73" headerRowCellStyle="Normal 3" dataCellStyle="Normal 3">
  <tableColumns count="25">
    <tableColumn id="1" name="Date" dataDxfId="72" dataCellStyle="Normal 3"/>
    <tableColumn id="28" name="Site Statistics" dataDxfId="71" dataCellStyle="Normal 3"/>
    <tableColumn id="27" name="eCommerce" dataDxfId="70" dataCellStyle="Normal 3"/>
    <tableColumn id="21" name="Conversions" dataDxfId="69" dataCellStyle="Normal 3"/>
    <tableColumn id="2" name="New Visitors" dataDxfId="68" dataCellStyle="Normal 3">
      <calculatedColumnFormula>VLOOKUP(WebDataS1[[#This Row],[Date]],'Background Sheet'!$E$3:$I$20,5,FALSE)</calculatedColumnFormula>
    </tableColumn>
    <tableColumn id="13" name="Returning Visitors" dataDxfId="67" dataCellStyle="Normal 3">
      <calculatedColumnFormula>VLOOKUP(WebDataS1[[#This Row],[Date]],'Background Sheet'!$K$3:$O$20,5,0)</calculatedColumnFormula>
    </tableColumn>
    <tableColumn id="14" name="Unique Visitors" dataDxfId="66" dataCellStyle="Normal 3">
      <calculatedColumnFormula>'Background Sheet'!T3</calculatedColumnFormula>
    </tableColumn>
    <tableColumn id="3" name="Visits" dataDxfId="65" dataCellStyle="Normal 3">
      <calculatedColumnFormula>WebDataS1[[#This Row],[New Visitors]]+WebDataS1[[#This Row],[Returning Visitors]]</calculatedColumnFormula>
    </tableColumn>
    <tableColumn id="4" name="Visits/Visitor" dataDxfId="64" dataCellStyle="Normal 3">
      <calculatedColumnFormula>'Background Sheet'!AA3</calculatedColumnFormula>
    </tableColumn>
    <tableColumn id="15" name="Single Page Visits" dataDxfId="63"/>
    <tableColumn id="5" name="Bounce Rate" dataDxfId="62" dataCellStyle="Percent">
      <calculatedColumnFormula>'Background Sheet'!AF3</calculatedColumnFormula>
    </tableColumn>
    <tableColumn id="6" name="unique pageviews" dataDxfId="61" dataCellStyle="Normal 3">
      <calculatedColumnFormula>'Background Sheet'!AK3</calculatedColumnFormula>
    </tableColumn>
    <tableColumn id="23" name="unique pageviews/Visit" dataDxfId="60">
      <calculatedColumnFormula>'Background Sheet'!AM3</calculatedColumnFormula>
    </tableColumn>
    <tableColumn id="9" name="Customers" dataDxfId="59" dataCellStyle="Normal 3">
      <calculatedColumnFormula>'Background Sheet'!AU3</calculatedColumnFormula>
    </tableColumn>
    <tableColumn id="10" name="Orders" dataDxfId="58" dataCellStyle="Normal 3">
      <calculatedColumnFormula>'Background Sheet'!BA3</calculatedColumnFormula>
    </tableColumn>
    <tableColumn id="11" name="Items" dataDxfId="57" dataCellStyle="Normal 3">
      <calculatedColumnFormula>'Background Sheet'!BG3</calculatedColumnFormula>
    </tableColumn>
    <tableColumn id="24" name="Items/Order" dataDxfId="56" dataCellStyle="Normal 3">
      <calculatedColumnFormula>'Background Sheet'!BJ3</calculatedColumnFormula>
    </tableColumn>
    <tableColumn id="12" name="Revenues" dataDxfId="55" dataCellStyle="Percent 3">
      <calculatedColumnFormula>'Background Sheet'!BO3</calculatedColumnFormula>
    </tableColumn>
    <tableColumn id="25" name="Average Order Size" dataDxfId="54" dataCellStyle="Percent 3">
      <calculatedColumnFormula>'Background Sheet'!BR3</calculatedColumnFormula>
    </tableColumn>
    <tableColumn id="7" name="eCommerce Conversion" dataDxfId="53">
      <calculatedColumnFormula>'Background Sheet'!BT3</calculatedColumnFormula>
    </tableColumn>
    <tableColumn id="17" name="Goal 1" dataDxfId="52" dataCellStyle="Normal 3">
      <calculatedColumnFormula>'Background Sheet'!BY3</calculatedColumnFormula>
    </tableColumn>
    <tableColumn id="18" name="Goal 2" dataDxfId="51" dataCellStyle="Normal 3">
      <calculatedColumnFormula>'Background Sheet'!CD3</calculatedColumnFormula>
    </tableColumn>
    <tableColumn id="19" name="Goal 3" dataDxfId="50" dataCellStyle="Normal 3">
      <calculatedColumnFormula>'Background Sheet'!CI3</calculatedColumnFormula>
    </tableColumn>
    <tableColumn id="22" name="Goal 4" dataDxfId="49">
      <calculatedColumnFormula>'Background Sheet'!CN3</calculatedColumnFormula>
    </tableColumn>
    <tableColumn id="8" name="Goal 5" dataDxfId="48" dataCellStyle="Normal 3">
      <calculatedColumnFormula>'Background Sheet'!CT3</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5" name="GraphData" displayName="GraphData" ref="A8:V21" totalsRowShown="0" headerRowDxfId="47" headerRowCellStyle="Normal 3" dataCellStyle="Normal 3">
  <tableColumns count="22">
    <tableColumn id="1" name="Month Offset" dataCellStyle="Normal 3"/>
    <tableColumn id="2" name="New Visitors" dataDxfId="46" dataCellStyle="Normal 3">
      <calculatedColumnFormula>OFFSET(INDIRECT(Dashboard!$E$2),MATCH(RefDate,#REF!,0)+GraphData[[#This Row],[Month Offset]]-1,MATCH(GraphData[[#Headers],[New Visitors]],#REF!,0)-1,1,1)</calculatedColumnFormula>
    </tableColumn>
    <tableColumn id="3" name="Returning Visitors" dataDxfId="45" dataCellStyle="Normal 3">
      <calculatedColumnFormula>OFFSET(INDIRECT(Dashboard!$E$2),MATCH(RefDate,#REF!,0)+GraphData[[#This Row],[Month Offset]]-1,MATCH(GraphData[[#Headers],[Returning Visitors]],#REF!,0)-1,1,1)</calculatedColumnFormula>
    </tableColumn>
    <tableColumn id="4" name="Unique Visitors" dataDxfId="44" dataCellStyle="Normal 3">
      <calculatedColumnFormula>OFFSET(INDIRECT(Dashboard!$E$2),MATCH(RefDate,#REF!,0)+GraphData[[#This Row],[Month Offset]]-1,MATCH(GraphData[[#Headers],[Unique Visitors]],#REF!,0)-1,1,1)</calculatedColumnFormula>
    </tableColumn>
    <tableColumn id="5" name="Visits" dataDxfId="43" dataCellStyle="Percent 3">
      <calculatedColumnFormula>OFFSET(INDIRECT(Dashboard!$E$2),MATCH(RefDate,#REF!,0)+GraphData[[#This Row],[Month Offset]]-1,MATCH(GraphData[[#Headers],[Visits]],#REF!,0)-1,1,1)</calculatedColumnFormula>
    </tableColumn>
    <tableColumn id="6" name="Visits/Visitor" dataDxfId="42" dataCellStyle="Normal 3">
      <calculatedColumnFormula>OFFSET(INDIRECT(Dashboard!$E$2),MATCH(RefDate,#REF!,0)+GraphData[[#This Row],[Month Offset]]-1,MATCH(GraphData[[#Headers],[Visits/Visitor]],#REF!,0)-1,1,1)</calculatedColumnFormula>
    </tableColumn>
    <tableColumn id="7" name="Single Page Visits" dataDxfId="41" dataCellStyle="Normal 3">
      <calculatedColumnFormula>OFFSET(INDIRECT(Dashboard!$E$2),MATCH(RefDate,#REF!,0)+GraphData[[#This Row],[Month Offset]]-1,MATCH(GraphData[[#Headers],[Single Page Visits]],#REF!,0)-1,1,1)</calculatedColumnFormula>
    </tableColumn>
    <tableColumn id="8" name="Bounce Rate" dataDxfId="40">
      <calculatedColumnFormula>OFFSET(INDIRECT(Dashboard!$E$2),MATCH(RefDate,#REF!,0)+GraphData[[#This Row],[Month Offset]]-1,MATCH(GraphData[[#Headers],[Bounce Rate]],#REF!,0)-1,1,1)</calculatedColumnFormula>
    </tableColumn>
    <tableColumn id="9" name="unique pageviews" dataDxfId="39" dataCellStyle="Normal 3">
      <calculatedColumnFormula>OFFSET(INDIRECT(Dashboard!$E$2),MATCH(RefDate,#REF!,0)+GraphData[[#This Row],[Month Offset]]-1,MATCH(GraphData[[#Headers],[unique pageviews]],#REF!,0)-1,1,1)</calculatedColumnFormula>
    </tableColumn>
    <tableColumn id="19" name="unique pageviews/visit" dataDxfId="38" dataCellStyle="Normal 3">
      <calculatedColumnFormula>OFFSET(INDIRECT(RefData),MATCH(RefDate,WebDataS1[Date],0)+GraphData[[#This Row],[Month Offset]]-1,MATCH(GraphData[[#Headers],[unique pageviews/visit]],WebDataS1[#Headers],0)-1,1,1)</calculatedColumnFormula>
    </tableColumn>
    <tableColumn id="10" name="Customers" dataDxfId="37" dataCellStyle="Normal 3">
      <calculatedColumnFormula>OFFSET(INDIRECT(RefData),MATCH(RefDate,WebDataS1[Date],0)+GraphData[[#This Row],[Month Offset]]-1,MATCH(GraphData[[#Headers],[Customers]],WebDataS1[#Headers],0)-1,1,1)</calculatedColumnFormula>
    </tableColumn>
    <tableColumn id="11" name="Orders" dataDxfId="36" dataCellStyle="Normal 3">
      <calculatedColumnFormula>OFFSET(INDIRECT(RefData),MATCH(RefDate,WebDataS1[Date],0)+GraphData[[#This Row],[Month Offset]]-1,MATCH(GraphData[[#Headers],[Orders]],WebDataS1[#Headers],0)-1,1,1)</calculatedColumnFormula>
    </tableColumn>
    <tableColumn id="12" name="Items" dataDxfId="35" dataCellStyle="Normal 3">
      <calculatedColumnFormula>OFFSET(INDIRECT(RefData),MATCH(RefDate,WebDataS1[Date],0)+GraphData[[#This Row],[Month Offset]]-1,MATCH(GraphData[[#Headers],[Items]],WebDataS1[#Headers],0)-1,1,1)</calculatedColumnFormula>
    </tableColumn>
    <tableColumn id="20" name="Items/Order" dataDxfId="34" dataCellStyle="Normal 3">
      <calculatedColumnFormula>OFFSET(INDIRECT(Dashboard!$E$2),MATCH(RefDate,#REF!,0)+GraphData[[#This Row],[Month Offset]]-1,MATCH(GraphData[[#Headers],[Items/Order]],#REF!,0)-1,1,1)</calculatedColumnFormula>
    </tableColumn>
    <tableColumn id="13" name="Revenues" dataDxfId="33">
      <calculatedColumnFormula>OFFSET(INDIRECT(Dashboard!$E$2),MATCH(RefDate,#REF!,0)+GraphData[[#This Row],[Month Offset]]-1,MATCH(GraphData[[#Headers],[Revenues]],#REF!,0)-1,1,1)</calculatedColumnFormula>
    </tableColumn>
    <tableColumn id="21" name="Average Order Size" dataDxfId="32">
      <calculatedColumnFormula>OFFSET(INDIRECT(Dashboard!$E$2),MATCH(RefDate,#REF!,0)+GraphData[[#This Row],[Month Offset]]-1,MATCH(GraphData[[#Headers],[Average Order Size]],#REF!,0)-1,1,1)</calculatedColumnFormula>
    </tableColumn>
    <tableColumn id="24" name="eCommerce Conversion" dataDxfId="31">
      <calculatedColumnFormula>GraphData[[#This Row],[Orders]]/GraphData[[#This Row],[Visits]]</calculatedColumnFormula>
    </tableColumn>
    <tableColumn id="14" name="Goal 1" dataDxfId="30" dataCellStyle="Normal 3">
      <calculatedColumnFormula>OFFSET(INDIRECT(Dashboard!$E$2),MATCH(RefDate,#REF!,0)+GraphData[[#This Row],[Month Offset]]-1,MATCH(GraphData[[#Headers],[Goal 1]],#REF!,0)-1,1,1)</calculatedColumnFormula>
    </tableColumn>
    <tableColumn id="15" name="Goal 2" dataDxfId="29" dataCellStyle="Normal 3">
      <calculatedColumnFormula>OFFSET(INDIRECT(Dashboard!$E$2),MATCH(RefDate,#REF!,0)+GraphData[[#This Row],[Month Offset]]-1,MATCH(GraphData[[#Headers],[Goal 2]],#REF!,0)-1,1,1)</calculatedColumnFormula>
    </tableColumn>
    <tableColumn id="16" name="Goal 3" dataDxfId="28" dataCellStyle="Normal 3">
      <calculatedColumnFormula>OFFSET(INDIRECT(Dashboard!$E$2),MATCH(RefDate,#REF!,0)+GraphData[[#This Row],[Month Offset]]-1,MATCH(GraphData[[#Headers],[Goal 3]],#REF!,0)-1,1,1)</calculatedColumnFormula>
    </tableColumn>
    <tableColumn id="22" name="Goal 4" dataDxfId="27">
      <calculatedColumnFormula>OFFSET(INDIRECT(Dashboard!$E$2),MATCH(RefDate,#REF!,0)+GraphData[[#This Row],[Month Offset]]-1,MATCH(GraphData[[#Headers],[Goal 4]],#REF!,0)-1,1,1)</calculatedColumnFormula>
    </tableColumn>
    <tableColumn id="17" name="Goal 5" dataDxfId="26" dataCellStyle="Normal 3">
      <calculatedColumnFormula>OFFSET(INDIRECT(RefData),MATCH(RefDate,WebDataS1[Date],0)+GraphData[[#This Row],[Month Offset]]-1,MATCH(GraphData[[#Headers],[Goal 5]],WebDataS1[#Headers],0)-1,1,1)</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8" name="ControlLimits9" displayName="ControlLimits9" ref="A2:V5" totalsRowShown="0" headerRowDxfId="25" dataDxfId="23" headerRowBorderDxfId="24" tableBorderDxfId="22" headerRowCellStyle="Normal 3" dataCellStyle="Normal 3">
  <tableColumns count="22">
    <tableColumn id="1" name="Control&#10;Limits" dataDxfId="21" dataCellStyle="Normal 3"/>
    <tableColumn id="2" name="New Visitors" dataDxfId="20" dataCellStyle="Normal 3"/>
    <tableColumn id="3" name="Returning Visitors" dataDxfId="19" dataCellStyle="Normal 3"/>
    <tableColumn id="4" name="Unique Visitors" dataDxfId="18" dataCellStyle="Normal 3"/>
    <tableColumn id="5" name="Visits" dataDxfId="17" dataCellStyle="Normal 3"/>
    <tableColumn id="6" name="Visits/Visitor" dataDxfId="16" dataCellStyle="Normal 3"/>
    <tableColumn id="7" name="Single Page Visits" dataDxfId="15" dataCellStyle="Normal 3"/>
    <tableColumn id="8" name="Bounce Rate" dataDxfId="14"/>
    <tableColumn id="9" name="unique pageviews" dataDxfId="13" dataCellStyle="Normal 3"/>
    <tableColumn id="10" name="unique pageviews/visit" dataDxfId="12" dataCellStyle="Normal 3"/>
    <tableColumn id="11" name="Customers" dataDxfId="11" dataCellStyle="Normal 3"/>
    <tableColumn id="12" name="Orders" dataDxfId="10" dataCellStyle="Normal 3"/>
    <tableColumn id="13" name="Items" dataDxfId="9" dataCellStyle="Normal 3"/>
    <tableColumn id="14" name="Items/Order" dataDxfId="8" dataCellStyle="Normal 3"/>
    <tableColumn id="15" name="Revenues" dataDxfId="7"/>
    <tableColumn id="16" name="Average Order Size" dataDxfId="6"/>
    <tableColumn id="24" name="eCommerce Conversion" dataDxfId="5"/>
    <tableColumn id="17" name="Goal 1" dataDxfId="4" dataCellStyle="Normal 3"/>
    <tableColumn id="18" name="Goal 2" dataDxfId="3" dataCellStyle="Normal 3"/>
    <tableColumn id="19" name="Goal 3" dataDxfId="2" dataCellStyle="Normal 3"/>
    <tableColumn id="23" name="Goal 4" dataDxfId="1"/>
    <tableColumn id="20" name="Goal 5" dataDxfId="0" dataCellStyle="Normal 3"/>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6.xml"/><Relationship Id="rId13" Type="http://schemas.openxmlformats.org/officeDocument/2006/relationships/queryTable" Target="../queryTables/queryTable11.xml"/><Relationship Id="rId3" Type="http://schemas.openxmlformats.org/officeDocument/2006/relationships/queryTable" Target="../queryTables/queryTable1.xml"/><Relationship Id="rId7" Type="http://schemas.openxmlformats.org/officeDocument/2006/relationships/queryTable" Target="../queryTables/queryTable5.xml"/><Relationship Id="rId12" Type="http://schemas.openxmlformats.org/officeDocument/2006/relationships/queryTable" Target="../queryTables/queryTable10.xml"/><Relationship Id="rId17" Type="http://schemas.openxmlformats.org/officeDocument/2006/relationships/queryTable" Target="../queryTables/queryTable15.xml"/><Relationship Id="rId2" Type="http://schemas.openxmlformats.org/officeDocument/2006/relationships/printerSettings" Target="../printerSettings/printerSettings4.bin"/><Relationship Id="rId16" Type="http://schemas.openxmlformats.org/officeDocument/2006/relationships/queryTable" Target="../queryTables/queryTable14.xml"/><Relationship Id="rId1" Type="http://schemas.openxmlformats.org/officeDocument/2006/relationships/hyperlink" Target="http://www.bingomania.com/" TargetMode="External"/><Relationship Id="rId6" Type="http://schemas.openxmlformats.org/officeDocument/2006/relationships/queryTable" Target="../queryTables/queryTable4.xml"/><Relationship Id="rId11" Type="http://schemas.openxmlformats.org/officeDocument/2006/relationships/queryTable" Target="../queryTables/queryTable9.xml"/><Relationship Id="rId5" Type="http://schemas.openxmlformats.org/officeDocument/2006/relationships/queryTable" Target="../queryTables/queryTable3.xml"/><Relationship Id="rId15" Type="http://schemas.openxmlformats.org/officeDocument/2006/relationships/queryTable" Target="../queryTables/queryTable13.xml"/><Relationship Id="rId10" Type="http://schemas.openxmlformats.org/officeDocument/2006/relationships/queryTable" Target="../queryTables/queryTable8.xml"/><Relationship Id="rId4" Type="http://schemas.openxmlformats.org/officeDocument/2006/relationships/queryTable" Target="../queryTables/queryTable2.xml"/><Relationship Id="rId9" Type="http://schemas.openxmlformats.org/officeDocument/2006/relationships/queryTable" Target="../queryTables/queryTable7.xml"/><Relationship Id="rId14" Type="http://schemas.openxmlformats.org/officeDocument/2006/relationships/queryTable" Target="../queryTables/queryTable12.xml"/></Relationships>
</file>

<file path=xl/worksheets/sheet1.xml><?xml version="1.0" encoding="utf-8"?>
<worksheet xmlns="http://schemas.openxmlformats.org/spreadsheetml/2006/main" xmlns:r="http://schemas.openxmlformats.org/officeDocument/2006/relationships">
  <sheetPr codeName="Sheet1"/>
  <dimension ref="A1:AN121"/>
  <sheetViews>
    <sheetView tabSelected="1" workbookViewId="0"/>
  </sheetViews>
  <sheetFormatPr defaultColWidth="9.140625" defaultRowHeight="15"/>
  <cols>
    <col min="1" max="1" width="23.5703125" customWidth="1"/>
    <col min="2" max="2" width="15.28515625" customWidth="1"/>
    <col min="3" max="3" width="6.28515625" style="23" customWidth="1"/>
    <col min="4" max="4" width="17.85546875" bestFit="1" customWidth="1"/>
    <col min="5" max="5" width="14.5703125" bestFit="1" customWidth="1"/>
    <col min="6" max="6" width="2.5703125" style="23" customWidth="1"/>
    <col min="7" max="7" width="18.42578125" customWidth="1"/>
    <col min="8" max="8" width="9" customWidth="1"/>
    <col min="9" max="9" width="2.7109375" bestFit="1" customWidth="1"/>
    <col min="10" max="10" width="2.7109375" customWidth="1"/>
    <col min="11" max="11" width="58.140625" style="106" customWidth="1"/>
    <col min="12" max="40" width="9.140625" style="68"/>
  </cols>
  <sheetData>
    <row r="1" spans="1:40" s="23" customFormat="1">
      <c r="A1" s="156" t="s">
        <v>25</v>
      </c>
      <c r="B1" s="97"/>
      <c r="C1" s="97"/>
      <c r="D1" s="97"/>
      <c r="E1" s="97"/>
      <c r="F1" s="97"/>
      <c r="G1" s="97"/>
      <c r="H1" s="97"/>
      <c r="I1" s="97"/>
      <c r="J1" s="68"/>
      <c r="K1" s="246" t="s">
        <v>100</v>
      </c>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row>
    <row r="2" spans="1:40">
      <c r="A2" s="96">
        <v>16</v>
      </c>
      <c r="B2" s="95" t="str">
        <f ca="1">OFFSET(WebDataS1[[#All],[Date]],A2,0,1,1)</f>
        <v>April 2010</v>
      </c>
      <c r="C2" s="67">
        <v>1</v>
      </c>
      <c r="D2" s="95" t="str">
        <f ca="1">OFFSET(WebDataS1[[#All],[Date]],C2,0,1,1)</f>
        <v>January 2009</v>
      </c>
      <c r="E2" s="96" t="str">
        <f>IF(RefSite=1,"WebDataS1",0)</f>
        <v>WebDataS1</v>
      </c>
      <c r="F2" s="97"/>
      <c r="G2" s="97"/>
      <c r="H2" s="96"/>
      <c r="I2" s="97"/>
      <c r="J2" s="68"/>
      <c r="K2" s="247"/>
    </row>
    <row r="3" spans="1:40" s="23" customFormat="1">
      <c r="A3" s="157"/>
      <c r="B3" s="95"/>
      <c r="C3" s="67"/>
      <c r="D3" s="95"/>
      <c r="E3" s="96"/>
      <c r="F3" s="96"/>
      <c r="G3" s="97"/>
      <c r="H3" s="96"/>
      <c r="I3" s="97"/>
      <c r="J3" s="68"/>
      <c r="K3" s="247"/>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row>
    <row r="4" spans="1:40" s="23" customFormat="1" ht="12" customHeight="1" thickBot="1">
      <c r="A4" s="158"/>
      <c r="B4" s="67"/>
      <c r="C4" s="96"/>
      <c r="D4" s="96"/>
      <c r="E4" s="96"/>
      <c r="F4" s="96"/>
      <c r="G4" s="96"/>
      <c r="H4" s="96"/>
      <c r="I4" s="97"/>
      <c r="J4" s="68"/>
      <c r="K4" s="160" t="s">
        <v>101</v>
      </c>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s="23" customFormat="1" ht="11.25" customHeight="1">
      <c r="A5" s="69" t="str">
        <f>'Background Sheet'!B3</f>
        <v>all include</v>
      </c>
      <c r="B5" s="184"/>
      <c r="C5" s="184"/>
      <c r="D5" s="184"/>
      <c r="E5" s="184"/>
      <c r="F5" s="94"/>
      <c r="G5" s="187"/>
      <c r="H5" s="187"/>
      <c r="I5" s="187"/>
      <c r="J5" s="68"/>
      <c r="K5" s="107"/>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row>
    <row r="6" spans="1:40" ht="31.5" customHeight="1">
      <c r="A6" s="101" t="s">
        <v>8</v>
      </c>
      <c r="B6" s="199" t="s">
        <v>19</v>
      </c>
      <c r="C6" s="200"/>
      <c r="D6" s="102" t="s">
        <v>7</v>
      </c>
      <c r="E6" s="199" t="s">
        <v>39</v>
      </c>
      <c r="F6" s="200"/>
      <c r="G6" s="201" t="s">
        <v>18</v>
      </c>
      <c r="H6" s="202"/>
      <c r="I6" s="203"/>
      <c r="J6" s="68"/>
      <c r="K6" s="159" t="s">
        <v>102</v>
      </c>
      <c r="L6" s="151"/>
      <c r="M6" s="151"/>
      <c r="N6" s="151"/>
    </row>
    <row r="7" spans="1:40" ht="16.5" customHeight="1">
      <c r="A7" s="240" t="s">
        <v>3</v>
      </c>
      <c r="B7" s="75">
        <f ca="1">OFFSET(INDIRECT($E$2),MATCH(RefDate,WebDataS1[Date],0)-1,MATCH(Dashboard!$A7,WebDataS1[#Headers],0)-1,1,1)</f>
        <v>20910</v>
      </c>
      <c r="C7" s="76">
        <f ca="1">IF(D7&gt;0,B7/D7-1,0)</f>
        <v>-0.21869745544221497</v>
      </c>
      <c r="D7" s="77">
        <f ca="1">OFFSET(INDIRECT($E$2),MATCH(RefDate,WebDataS1[Date],0)-2,MATCH(Dashboard!$A7,WebDataS1[#Headers],0)-1,1,1)</f>
        <v>26763</v>
      </c>
      <c r="E7" s="75">
        <f ca="1">OFFSET(INDIRECT($E$2),MATCH(RefDate,WebDataS1[Date],0)-13,MATCH(Dashboard!$A7,WebDataS1[#Headers],0)-1,1,1)</f>
        <v>12851</v>
      </c>
      <c r="F7" s="76">
        <f ca="1">IF(E7&gt;0,B7/E7-1,0)</f>
        <v>0.62711073068243706</v>
      </c>
      <c r="G7" s="181" t="s">
        <v>1</v>
      </c>
      <c r="H7" s="245" t="str">
        <f ca="1">CONCATENATE(TEXT(OFFSET(ControlLimits9[#Headers],3,MATCH(Dashboard!$A7,ControlLimits9[#Headers],0)-1,1,1),"#,##0"),CHAR(10),TEXT(OFFSET(ControlLimits9[#Headers],2,MATCH(Dashboard!$A7,ControlLimits9[#Headers],0)-1,1,1),"#,##0"),CHAR(10),TEXT(OFFSET(ControlLimits9[#Headers],1,MATCH(Dashboard!$A7,ControlLimits9[#Headers],0)-1,1,1),"#,##0"))</f>
        <v>30,900
22,624
14,348</v>
      </c>
      <c r="I7" s="182" t="s">
        <v>40</v>
      </c>
      <c r="J7" s="68"/>
      <c r="K7" s="249" t="s">
        <v>29</v>
      </c>
      <c r="L7" s="151"/>
      <c r="M7" s="151"/>
      <c r="N7" s="151"/>
    </row>
    <row r="8" spans="1:40" s="23" customFormat="1" ht="16.5" customHeight="1">
      <c r="A8" s="241"/>
      <c r="B8" s="168">
        <f ca="1">IF(D7&gt;0,B7/D7-1,0)</f>
        <v>-0.21869745544221497</v>
      </c>
      <c r="C8" s="192"/>
      <c r="D8" s="78"/>
      <c r="E8" s="168">
        <f ca="1">IF(E7&gt;0,B7/E7-1,0)</f>
        <v>0.62711073068243706</v>
      </c>
      <c r="F8" s="169"/>
      <c r="G8" s="244"/>
      <c r="H8" s="230"/>
      <c r="I8" s="248"/>
      <c r="J8" s="68"/>
      <c r="K8" s="249"/>
      <c r="L8" s="151"/>
      <c r="M8" s="166"/>
      <c r="N8" s="166"/>
      <c r="O8" s="68"/>
      <c r="P8" s="68"/>
      <c r="Q8" s="68"/>
      <c r="R8" s="68"/>
      <c r="S8" s="68"/>
      <c r="T8" s="68"/>
      <c r="U8" s="68"/>
      <c r="V8" s="68"/>
      <c r="W8" s="68"/>
      <c r="X8" s="68"/>
      <c r="Y8" s="68"/>
      <c r="Z8" s="68"/>
      <c r="AA8" s="68"/>
      <c r="AB8" s="68"/>
      <c r="AC8" s="68"/>
      <c r="AD8" s="68"/>
      <c r="AE8" s="68"/>
      <c r="AF8" s="68"/>
      <c r="AG8" s="68"/>
      <c r="AH8" s="68"/>
      <c r="AI8" s="68"/>
      <c r="AJ8" s="68"/>
      <c r="AK8" s="68"/>
      <c r="AL8" s="68"/>
      <c r="AM8" s="68"/>
      <c r="AN8" s="68"/>
    </row>
    <row r="9" spans="1:40" s="23" customFormat="1" ht="16.5" customHeight="1">
      <c r="A9" s="240" t="s">
        <v>0</v>
      </c>
      <c r="B9" s="75">
        <f ca="1">OFFSET(INDIRECT($E$2),MATCH(RefDate,WebDataS1[Date],0)-1,MATCH(Dashboard!$A9,WebDataS1[#Headers],0)-1,1,1)</f>
        <v>27644</v>
      </c>
      <c r="C9" s="76">
        <f ca="1">IF(D9&gt;0,B9/D9-1,0)</f>
        <v>-0.21790301589996042</v>
      </c>
      <c r="D9" s="77">
        <f ca="1">OFFSET(INDIRECT($E$2),MATCH(RefDate,WebDataS1[Date],0)-2,MATCH(Dashboard!$A9,WebDataS1[#Headers],0)-1,1,1)</f>
        <v>35346</v>
      </c>
      <c r="E9" s="75">
        <f ca="1">OFFSET(INDIRECT($E$2),MATCH(RefDate,WebDataS1[Date],0)-13,MATCH(Dashboard!$A9,WebDataS1[#Headers],0)-1,1,1)</f>
        <v>17844</v>
      </c>
      <c r="F9" s="76">
        <f ca="1">IF(E9&gt;0,B9/E9-1,0)</f>
        <v>0.54920421430172617</v>
      </c>
      <c r="G9" s="180" t="s">
        <v>1</v>
      </c>
      <c r="H9" s="229" t="str">
        <f ca="1">CONCATENATE(TEXT(OFFSET(ControlLimits9[#Headers],3,MATCH(Dashboard!$A9,ControlLimits9[#Headers],0)-1,1,1),"#,##0"),CHAR(10),TEXT(OFFSET(ControlLimits9[#Headers],2,MATCH(Dashboard!$A9,ControlLimits9[#Headers],0)-1,1,1),"#,##0"),CHAR(10),TEXT(OFFSET(ControlLimits9[#Headers],1,MATCH(Dashboard!$A9,ControlLimits9[#Headers],0)-1,1,1),"#,##0"))</f>
        <v>40,748
29,873
18,999</v>
      </c>
      <c r="I9" s="182" t="s">
        <v>40</v>
      </c>
      <c r="J9" s="68"/>
      <c r="K9" s="167" t="s">
        <v>33</v>
      </c>
      <c r="L9" s="151"/>
      <c r="M9" s="151"/>
      <c r="N9" s="151"/>
      <c r="O9" s="68"/>
      <c r="P9" s="68"/>
      <c r="Q9" s="68"/>
      <c r="R9" s="68"/>
      <c r="S9" s="68"/>
      <c r="T9" s="68"/>
      <c r="U9" s="68"/>
      <c r="V9" s="68"/>
      <c r="W9" s="68"/>
      <c r="X9" s="68"/>
      <c r="Y9" s="68"/>
      <c r="Z9" s="68"/>
      <c r="AA9" s="68"/>
      <c r="AB9" s="68"/>
      <c r="AC9" s="68"/>
      <c r="AD9" s="68"/>
      <c r="AE9" s="68"/>
      <c r="AF9" s="68"/>
      <c r="AG9" s="68"/>
      <c r="AH9" s="68"/>
      <c r="AI9" s="68"/>
      <c r="AJ9" s="68"/>
      <c r="AK9" s="68"/>
      <c r="AL9" s="68"/>
      <c r="AM9" s="68"/>
      <c r="AN9" s="68"/>
    </row>
    <row r="10" spans="1:40" s="23" customFormat="1" ht="16.5" customHeight="1">
      <c r="A10" s="241"/>
      <c r="B10" s="168">
        <f ca="1">IF(D9&gt;0,B9/D9-1,0)</f>
        <v>-0.21790301589996042</v>
      </c>
      <c r="C10" s="169"/>
      <c r="D10" s="78"/>
      <c r="E10" s="168">
        <f ca="1">IF(E9&gt;0,B9/E9-1,0)</f>
        <v>0.54920421430172617</v>
      </c>
      <c r="F10" s="169"/>
      <c r="G10" s="244"/>
      <c r="H10" s="230"/>
      <c r="I10" s="183"/>
      <c r="J10" s="68"/>
      <c r="K10" s="167"/>
      <c r="L10" s="151"/>
      <c r="M10" s="151"/>
      <c r="N10" s="151"/>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row>
    <row r="11" spans="1:40" s="23" customFormat="1" ht="16.5" customHeight="1">
      <c r="A11" s="240" t="s">
        <v>4</v>
      </c>
      <c r="B11" s="79">
        <f ca="1">OFFSET(INDIRECT($E$2),MATCH(RefDate,WebDataS1[Date],0)-1,MATCH(Dashboard!$A11,WebDataS1[#Headers],0)-1,1,1)</f>
        <v>1.3220468675274988</v>
      </c>
      <c r="C11" s="76">
        <f ca="1">IF(D11&gt;0,B11/D11-1,0)</f>
        <v>1.016814226176832E-3</v>
      </c>
      <c r="D11" s="80">
        <f ca="1">OFFSET(INDIRECT($E$2),MATCH(RefDate,WebDataS1[Date],0)-2,MATCH(Dashboard!$A11,WebDataS1[#Headers],0)-1,1,1)</f>
        <v>1.3207039569554984</v>
      </c>
      <c r="E11" s="79">
        <f ca="1">OFFSET(INDIRECT($E$2),MATCH(RefDate,WebDataS1[Date],0)-13,MATCH(Dashboard!$A11,WebDataS1[#Headers],0)-1,1,1)</f>
        <v>1.3885300754805074</v>
      </c>
      <c r="F11" s="76">
        <f ca="1">IF(E11&gt;0,B11/E11-1,0)</f>
        <v>-4.7880279388260116E-2</v>
      </c>
      <c r="G11" s="180" t="s">
        <v>1</v>
      </c>
      <c r="H11" s="229" t="str">
        <f ca="1">CONCATENATE(TEXT(OFFSET(ControlLimits9[#Headers],3,MATCH(Dashboard!$A11,ControlLimits9[#Headers],0)-1,1,1),"0.0"),CHAR(10),TEXT(OFFSET(ControlLimits9[#Headers],2,MATCH(Dashboard!$A11,ControlLimits9[#Headers],0)-1,1,1),"0.0"),CHAR(10),TEXT(OFFSET(ControlLimits9[#Headers],1,MATCH(Dashboard!$A11,ControlLimits9[#Headers],0)-1,1,1),"0.0"))</f>
        <v>1.4
1.3
1.3</v>
      </c>
      <c r="I11" s="182" t="s">
        <v>40</v>
      </c>
      <c r="J11" s="68"/>
      <c r="K11" s="167" t="s">
        <v>30</v>
      </c>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row>
    <row r="12" spans="1:40" s="23" customFormat="1" ht="16.5" customHeight="1">
      <c r="A12" s="241"/>
      <c r="B12" s="168">
        <f ca="1">IF(D11&gt;0,B11/D11-1,0)</f>
        <v>1.016814226176832E-3</v>
      </c>
      <c r="C12" s="169"/>
      <c r="D12" s="78"/>
      <c r="E12" s="168">
        <f ca="1">IF(E11&gt;0,B11/E11-1,0)</f>
        <v>-4.7880279388260116E-2</v>
      </c>
      <c r="F12" s="169"/>
      <c r="G12" s="244"/>
      <c r="H12" s="230"/>
      <c r="I12" s="183"/>
      <c r="J12" s="68"/>
      <c r="K12" s="167"/>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row>
    <row r="13" spans="1:40" s="23" customFormat="1" ht="16.5" customHeight="1">
      <c r="A13" s="240" t="s">
        <v>6</v>
      </c>
      <c r="B13" s="141">
        <f ca="1">OFFSET(INDIRECT($E$2),MATCH(RefDate,WebDataS1[Date],0)-1,MATCH(Dashboard!$A13,WebDataS1[#Headers],0)-1,1,1)</f>
        <v>20.61</v>
      </c>
      <c r="C13" s="76">
        <f ca="1">IF(D13&gt;0,B13/D13-1,0)</f>
        <v>-0.13548657718120805</v>
      </c>
      <c r="D13" s="147">
        <f ca="1">OFFSET(INDIRECT($E$2),MATCH(RefDate,WebDataS1[Date],0)-2,MATCH(Dashboard!$A13,WebDataS1[#Headers],0)-1,1,1)</f>
        <v>23.84</v>
      </c>
      <c r="E13" s="141">
        <f ca="1">OFFSET(INDIRECT($E$2),MATCH(RefDate,WebDataS1[Date],0)-13,MATCH(Dashboard!$A13,WebDataS1[#Headers],0)-1,1,1)</f>
        <v>21.68</v>
      </c>
      <c r="F13" s="76">
        <f ca="1">IF(E13&gt;0,B13/E13-1,0)</f>
        <v>-4.935424354243545E-2</v>
      </c>
      <c r="G13" s="180" t="s">
        <v>1</v>
      </c>
      <c r="H13" s="229" t="str">
        <f ca="1">CONCATENATE(TEXT(OFFSET(ControlLimits9[#Headers],3,MATCH(Dashboard!$A13,ControlLimits9[#Headers],0)-1,1,1),"0%"),CHAR(10),TEXT(OFFSET(ControlLimits9[#Headers],2,MATCH(Dashboard!$A13,ControlLimits9[#Headers],0)-1,1,1),"0%"),CHAR(10),TEXT(OFFSET(ControlLimits9[#Headers],1,MATCH(Dashboard!$A13,ControlLimits9[#Headers],0)-1,1,1),"0%"))</f>
        <v>3348%
1761%
174%</v>
      </c>
      <c r="I13" s="182" t="s">
        <v>40</v>
      </c>
      <c r="J13" s="68"/>
      <c r="K13" s="167" t="s">
        <v>97</v>
      </c>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row>
    <row r="14" spans="1:40" s="23" customFormat="1" ht="16.5" customHeight="1">
      <c r="A14" s="241"/>
      <c r="B14" s="168">
        <f ca="1">IF(D13&gt;0,B13/D13-1,0)</f>
        <v>-0.13548657718120805</v>
      </c>
      <c r="C14" s="169"/>
      <c r="D14" s="78"/>
      <c r="E14" s="168">
        <f ca="1">IF(E13&gt;0,B13/E13-1,0)</f>
        <v>-4.935424354243545E-2</v>
      </c>
      <c r="F14" s="169"/>
      <c r="G14" s="244"/>
      <c r="H14" s="230"/>
      <c r="I14" s="183"/>
      <c r="J14" s="68"/>
      <c r="K14" s="167"/>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row>
    <row r="15" spans="1:40" s="23" customFormat="1" ht="16.5" customHeight="1">
      <c r="A15" s="240" t="s">
        <v>95</v>
      </c>
      <c r="B15" s="81">
        <f ca="1">OFFSET(INDIRECT($E$2),MATCH(RefDate,WebDataS1[Date],0)-1,MATCH(Dashboard!$A15,WebDataS1[#Headers],0)-1,1,1)</f>
        <v>156811</v>
      </c>
      <c r="C15" s="76">
        <f ca="1">IF(D15&gt;0,B15/D15-1,0)</f>
        <v>-0.13235619591439263</v>
      </c>
      <c r="D15" s="82">
        <f ca="1">OFFSET(INDIRECT($E$2),MATCH(RefDate,WebDataS1[Date],0)-2,MATCH(Dashboard!$A15,WebDataS1[#Headers],0)-1,1,1)</f>
        <v>180732</v>
      </c>
      <c r="E15" s="81">
        <f ca="1">OFFSET(INDIRECT($E$2),MATCH(RefDate,WebDataS1[Date],0)-13,MATCH(Dashboard!$A15,WebDataS1[#Headers],0)-1,1,1)</f>
        <v>159791</v>
      </c>
      <c r="F15" s="76">
        <f ca="1">IF(E15&gt;0,B15/E15-1,0)</f>
        <v>-1.864936072745027E-2</v>
      </c>
      <c r="G15" s="180" t="s">
        <v>1</v>
      </c>
      <c r="H15" s="229" t="str">
        <f ca="1">CONCATENATE(TEXT(OFFSET(ControlLimits9[#Headers],3,MATCH(Dashboard!$A15,ControlLimits9[#Headers],0)-1,1,1),"#,##0"),CHAR(10),TEXT(OFFSET(ControlLimits9[#Headers],2,MATCH(Dashboard!$A15,ControlLimits9[#Headers],0)-1,1,1),"#,##0"),CHAR(10),TEXT(OFFSET(ControlLimits9[#Headers],1,MATCH(Dashboard!$A15,ControlLimits9[#Headers],0)-1,1,1),"#,##0"))</f>
        <v>252,769
188,490
124,211</v>
      </c>
      <c r="I15" s="182" t="s">
        <v>40</v>
      </c>
      <c r="J15" s="68"/>
      <c r="K15" s="167" t="s">
        <v>34</v>
      </c>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row>
    <row r="16" spans="1:40" s="23" customFormat="1" ht="16.5" customHeight="1">
      <c r="A16" s="241"/>
      <c r="B16" s="168">
        <f ca="1">IF(D15&gt;0,B15/D15-1,0)</f>
        <v>-0.13235619591439263</v>
      </c>
      <c r="C16" s="169"/>
      <c r="D16" s="78"/>
      <c r="E16" s="168">
        <f ca="1">IF(E15&gt;0,B15/E15-1,0)</f>
        <v>-1.864936072745027E-2</v>
      </c>
      <c r="F16" s="169"/>
      <c r="G16" s="244"/>
      <c r="H16" s="230"/>
      <c r="I16" s="183"/>
      <c r="J16" s="68"/>
      <c r="K16" s="167"/>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row>
    <row r="17" spans="1:40" s="23" customFormat="1" ht="16.5" customHeight="1">
      <c r="A17" s="240" t="s">
        <v>75</v>
      </c>
      <c r="B17" s="83">
        <f ca="1">OFFSET(INDIRECT($E$2),MATCH(RefDate,WebDataS1[Date],0)-1,MATCH(Dashboard!$A17,WebDataS1[#Headers],0)-1,1,1)</f>
        <v>5.6725148314281579</v>
      </c>
      <c r="C17" s="76">
        <f ca="1">IF(D17&gt;0,B17/D17-1,0)</f>
        <v>0.10938134492873242</v>
      </c>
      <c r="D17" s="84">
        <f ca="1">OFFSET(INDIRECT($E$2),MATCH(RefDate,WebDataS1[Date],0)-2,MATCH(Dashboard!$A17,WebDataS1[#Headers],0)-1,1,1)</f>
        <v>5.1132235613647934</v>
      </c>
      <c r="E17" s="83">
        <f ca="1">OFFSET(INDIRECT($E$2),MATCH(RefDate,WebDataS1[Date],0)-13,MATCH(Dashboard!$A17,WebDataS1[#Headers],0)-1,1,1)</f>
        <v>8.9548867966823575</v>
      </c>
      <c r="F17" s="76">
        <f ca="1">IF(E17&gt;0,B17/E17-1,0)</f>
        <v>-0.36654533326655403</v>
      </c>
      <c r="G17" s="180" t="s">
        <v>1</v>
      </c>
      <c r="H17" s="229" t="str">
        <f ca="1">CONCATENATE(TEXT(OFFSET(ControlLimits9[#Headers],3,MATCH(Dashboard!$A17,ControlLimits9[#Headers],0)-1,1,1),"0.0"),CHAR(10),TEXT(OFFSET(ControlLimits9[#Headers],2,MATCH(Dashboard!$A17,ControlLimits9[#Headers],0)-1,1,1),"0.0"),CHAR(10),TEXT(OFFSET(ControlLimits9[#Headers],1,MATCH(Dashboard!$A17,ControlLimits9[#Headers],0)-1,1,1),"0.0"))</f>
        <v>8.0
6.4
4.9</v>
      </c>
      <c r="I17" s="182" t="s">
        <v>40</v>
      </c>
      <c r="J17" s="68"/>
      <c r="K17" s="167" t="s">
        <v>35</v>
      </c>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row>
    <row r="18" spans="1:40" s="23" customFormat="1" ht="16.5" customHeight="1">
      <c r="A18" s="241"/>
      <c r="B18" s="168">
        <f ca="1">IF(D17&gt;0,B17/D17-1,0)</f>
        <v>0.10938134492873242</v>
      </c>
      <c r="C18" s="169"/>
      <c r="D18" s="85"/>
      <c r="E18" s="168">
        <f ca="1">IF(E17&gt;0,B17/E17-1,0)</f>
        <v>-0.36654533326655403</v>
      </c>
      <c r="F18" s="169"/>
      <c r="G18" s="181"/>
      <c r="H18" s="245"/>
      <c r="I18" s="183"/>
      <c r="J18" s="68"/>
      <c r="K18" s="167"/>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row>
    <row r="19" spans="1:40" s="23" customFormat="1" ht="15" customHeight="1" thickBot="1">
      <c r="A19" s="204" t="str">
        <f ca="1">OFFSET(INDIRECT(RefData),MATCH(RefDate,WebDataS1[Date],0)-1,MATCH("Site Statistics",WebDataS1[#Headers],0)-1,1,1)</f>
        <v xml:space="preserve"> </v>
      </c>
      <c r="B19" s="205"/>
      <c r="C19" s="205"/>
      <c r="D19" s="206"/>
      <c r="E19" s="205"/>
      <c r="F19" s="205"/>
      <c r="G19" s="206"/>
      <c r="H19" s="206"/>
      <c r="I19" s="207"/>
      <c r="J19" s="68"/>
      <c r="K19" s="155" t="s">
        <v>98</v>
      </c>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row>
    <row r="20" spans="1:40" ht="15.75" customHeight="1">
      <c r="A20" s="69"/>
      <c r="B20" s="185"/>
      <c r="C20" s="185"/>
      <c r="D20" s="185"/>
      <c r="E20" s="185"/>
      <c r="F20" s="70"/>
      <c r="G20" s="188"/>
      <c r="H20" s="188"/>
      <c r="I20" s="189"/>
      <c r="J20" s="68"/>
    </row>
    <row r="21" spans="1:40" ht="31.5" customHeight="1">
      <c r="A21" s="103" t="s">
        <v>9</v>
      </c>
      <c r="B21" s="208" t="s">
        <v>19</v>
      </c>
      <c r="C21" s="209"/>
      <c r="D21" s="104" t="s">
        <v>7</v>
      </c>
      <c r="E21" s="208" t="s">
        <v>39</v>
      </c>
      <c r="F21" s="209"/>
      <c r="G21" s="212" t="s">
        <v>18</v>
      </c>
      <c r="H21" s="213"/>
      <c r="I21" s="214"/>
      <c r="J21" s="68"/>
      <c r="K21" s="106" t="s">
        <v>31</v>
      </c>
    </row>
    <row r="22" spans="1:40" s="23" customFormat="1" ht="16.5" customHeight="1">
      <c r="A22" s="227" t="s">
        <v>10</v>
      </c>
      <c r="B22" s="81">
        <f ca="1">OFFSET(INDIRECT($E$2),MATCH(RefDate,WebDataS1[Date],0)-1,MATCH(Dashboard!$A22,WebDataS1[#Headers],0)-1,1,1)</f>
        <v>18114</v>
      </c>
      <c r="C22" s="76">
        <f ca="1">IF(D22&gt;0,B22/D22-1,0)</f>
        <v>-0.22965042102577193</v>
      </c>
      <c r="D22" s="82">
        <f ca="1">OFFSET(INDIRECT($E$2),MATCH(RefDate,WebDataS1[Date],0)-2,MATCH(Dashboard!$A22,WebDataS1[#Headers],0)-1,1,1)</f>
        <v>23514</v>
      </c>
      <c r="E22" s="81">
        <f ca="1">OFFSET(INDIRECT($E$2),MATCH(RefDate,WebDataS1[Date],0)-13,MATCH(Dashboard!$A22,WebDataS1[#Headers],0)-1,1,1)</f>
        <v>0</v>
      </c>
      <c r="F22" s="76">
        <f ca="1">IF(E22&gt;0,B22/E22-1,0)</f>
        <v>0</v>
      </c>
      <c r="G22" s="181" t="s">
        <v>1</v>
      </c>
      <c r="H22" s="245" t="str">
        <f ca="1">CONCATENATE(TEXT(OFFSET(ControlLimits9[#Headers],3,MATCH(Dashboard!$A22,ControlLimits9[#Headers],0)-1,1,1),"0,0"),CHAR(10),TEXT(OFFSET(ControlLimits9[#Headers],2,MATCH(Dashboard!$A22,ControlLimits9[#Headers],0)-1,1,1),"0,0"),CHAR(10),TEXT(OFFSET(ControlLimits9[#Headers],1,MATCH(Dashboard!$A22,ControlLimits9[#Headers],0)-1,1,1),"0,0"))</f>
        <v>31,411
18,303
5,194</v>
      </c>
      <c r="I22" s="182" t="s">
        <v>40</v>
      </c>
      <c r="J22" s="68"/>
      <c r="K22" s="167" t="s">
        <v>32</v>
      </c>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row>
    <row r="23" spans="1:40" s="23" customFormat="1" ht="16.5" customHeight="1">
      <c r="A23" s="228"/>
      <c r="B23" s="168">
        <f ca="1">IF(D22&gt;0,B22/D22-1,0)</f>
        <v>-0.22965042102577193</v>
      </c>
      <c r="C23" s="169"/>
      <c r="D23" s="78"/>
      <c r="E23" s="168">
        <f ca="1">IF(E22&gt;0,B22/E22-1,0)</f>
        <v>0</v>
      </c>
      <c r="F23" s="169"/>
      <c r="G23" s="181"/>
      <c r="H23" s="230"/>
      <c r="I23" s="183"/>
      <c r="J23" s="68"/>
      <c r="K23" s="1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row>
    <row r="24" spans="1:40" s="23" customFormat="1" ht="16.5" customHeight="1">
      <c r="A24" s="227" t="s">
        <v>11</v>
      </c>
      <c r="B24" s="81">
        <f ca="1">OFFSET(INDIRECT($E$2),MATCH(RefDate,WebDataS1[Date],0)-1,MATCH(Dashboard!$A24,WebDataS1[#Headers],0)-1,1,1)</f>
        <v>550</v>
      </c>
      <c r="C24" s="76">
        <f ca="1">IF(D24&gt;0,B24/D24-1,0)</f>
        <v>-7.251264755480602E-2</v>
      </c>
      <c r="D24" s="148">
        <f ca="1">OFFSET(INDIRECT($E$2),MATCH(RefDate,WebDataS1[Date],0)-2,MATCH(Dashboard!$A24,WebDataS1[#Headers],0)-1,1,1)</f>
        <v>593</v>
      </c>
      <c r="E24" s="81">
        <f ca="1">OFFSET(INDIRECT($E$2),MATCH(RefDate,WebDataS1[Date],0)-13,MATCH(Dashboard!$A24,WebDataS1[#Headers],0)-1,1,1)</f>
        <v>0</v>
      </c>
      <c r="F24" s="76">
        <f ca="1">IF(E24&gt;0,B24/E24-1,0)</f>
        <v>0</v>
      </c>
      <c r="G24" s="180" t="s">
        <v>1</v>
      </c>
      <c r="H24" s="229" t="str">
        <f ca="1">CONCATENATE(TEXT(OFFSET(ControlLimits9[#Headers],3,MATCH(Dashboard!$A24,ControlLimits9[#Headers],0)-1,1,1),"0,0"),CHAR(10),TEXT(OFFSET(ControlLimits9[#Headers],2,MATCH(Dashboard!$A24,ControlLimits9[#Headers],0)-1,1,1),"0,0"),CHAR(10),TEXT(OFFSET(ControlLimits9[#Headers],1,MATCH(Dashboard!$A24,ControlLimits9[#Headers],0)-1,1,1),"0,0"))</f>
        <v>1,132
560
-12</v>
      </c>
      <c r="I24" s="182" t="s">
        <v>40</v>
      </c>
      <c r="J24" s="68"/>
      <c r="K24" s="167" t="s">
        <v>32</v>
      </c>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row>
    <row r="25" spans="1:40" s="23" customFormat="1" ht="16.5" customHeight="1">
      <c r="A25" s="228"/>
      <c r="B25" s="168">
        <f ca="1">IF(D24&gt;0,B24/D24-1,0)</f>
        <v>-7.251264755480602E-2</v>
      </c>
      <c r="C25" s="169"/>
      <c r="D25" s="85"/>
      <c r="E25" s="168">
        <f ca="1">IF(E24&gt;0,B24/E24-1,0)</f>
        <v>0</v>
      </c>
      <c r="F25" s="169"/>
      <c r="G25" s="181"/>
      <c r="H25" s="230"/>
      <c r="I25" s="183"/>
      <c r="J25" s="68"/>
      <c r="K25" s="167"/>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row>
    <row r="26" spans="1:40" s="23" customFormat="1" ht="16.5" customHeight="1">
      <c r="A26" s="227" t="s">
        <v>12</v>
      </c>
      <c r="B26" s="81">
        <f ca="1">OFFSET(INDIRECT($E$2),MATCH(RefDate,WebDataS1[Date],0)-1,MATCH(Dashboard!$A26,WebDataS1[#Headers],0)-1,1,1)</f>
        <v>1055</v>
      </c>
      <c r="C26" s="76">
        <f ca="1">IF(D26&gt;0,B26/D26-1,0)</f>
        <v>-0.16732438831886343</v>
      </c>
      <c r="D26" s="72">
        <f ca="1">OFFSET(INDIRECT($E$2),MATCH(RefDate,WebDataS1[Date],0)-2,MATCH(Dashboard!$A26,WebDataS1[#Headers],0)-1,1,1)</f>
        <v>1267</v>
      </c>
      <c r="E26" s="81">
        <f ca="1">OFFSET(INDIRECT($E$2),MATCH(RefDate,WebDataS1[Date],0)-13,MATCH(Dashboard!$A26,WebDataS1[#Headers],0)-1,1,1)</f>
        <v>0</v>
      </c>
      <c r="F26" s="76">
        <f ca="1">IF(E26&gt;0,B26/E26-1,0)</f>
        <v>0</v>
      </c>
      <c r="G26" s="180" t="s">
        <v>1</v>
      </c>
      <c r="H26" s="229" t="str">
        <f ca="1">CONCATENATE(TEXT(OFFSET(ControlLimits9[#Headers],3,MATCH(Dashboard!$A26,ControlLimits9[#Headers],0)-1,1,1),"0,0"),CHAR(10),TEXT(OFFSET(ControlLimits9[#Headers],2,MATCH(Dashboard!$A26,ControlLimits9[#Headers],0)-1,1,1),"0,0"),CHAR(10),TEXT(OFFSET(ControlLimits9[#Headers],1,MATCH(Dashboard!$A26,ControlLimits9[#Headers],0)-1,1,1),"0,0"))</f>
        <v>2,179
1,081
-17</v>
      </c>
      <c r="I26" s="182" t="s">
        <v>40</v>
      </c>
      <c r="J26" s="68"/>
      <c r="K26" s="167" t="s">
        <v>32</v>
      </c>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row>
    <row r="27" spans="1:40" s="23" customFormat="1" ht="16.5" customHeight="1">
      <c r="A27" s="228"/>
      <c r="B27" s="168">
        <f ca="1">IF(D26&gt;0,B26/D26-1,0)</f>
        <v>-0.16732438831886343</v>
      </c>
      <c r="C27" s="169"/>
      <c r="D27" s="85"/>
      <c r="E27" s="168">
        <f ca="1">IF(E26&gt;0,B26/E26-1,0)</f>
        <v>0</v>
      </c>
      <c r="F27" s="169"/>
      <c r="G27" s="181"/>
      <c r="H27" s="230"/>
      <c r="I27" s="183"/>
      <c r="J27" s="68"/>
      <c r="K27" s="167"/>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row>
    <row r="28" spans="1:40" s="23" customFormat="1" ht="16.5" customHeight="1">
      <c r="A28" s="227" t="s">
        <v>13</v>
      </c>
      <c r="B28" s="83">
        <f ca="1">OFFSET(INDIRECT($E$2),MATCH(RefDate,WebDataS1[Date],0)-1,MATCH(Dashboard!$A28,WebDataS1[#Headers],0)-1,1,1)</f>
        <v>1.9181818181818182</v>
      </c>
      <c r="C28" s="76">
        <f ca="1">IF(D28&gt;0,B28/D28-1,0)</f>
        <v>-0.10222429504197461</v>
      </c>
      <c r="D28" s="73">
        <f ca="1">OFFSET(INDIRECT($E$2),MATCH(RefDate,WebDataS1[Date],0)-2,MATCH(Dashboard!$A28,WebDataS1[#Headers],0)-1,1,1)</f>
        <v>2.136593591905565</v>
      </c>
      <c r="E28" s="83" t="e">
        <f ca="1">OFFSET(INDIRECT($E$2),MATCH(RefDate,WebDataS1[Date],0)-13,MATCH(Dashboard!$A28,WebDataS1[#Headers],0)-1,1,1)</f>
        <v>#DIV/0!</v>
      </c>
      <c r="F28" s="76" t="e">
        <f ca="1">IF(E28&gt;0,B28/E28-1,0)</f>
        <v>#DIV/0!</v>
      </c>
      <c r="G28" s="180" t="s">
        <v>1</v>
      </c>
      <c r="H28" s="229" t="e">
        <f ca="1">CONCATENATE(TEXT(OFFSET(ControlLimits9[#Headers],3,MATCH(Dashboard!$A28,ControlLimits9[#Headers],0)-1,1,1),"0.0"),CHAR(10),TEXT(OFFSET(ControlLimits9[#Headers],2,MATCH(Dashboard!$A28,ControlLimits9[#Headers],0)-1,1,1),"0.0"),CHAR(10),TEXT(OFFSET(ControlLimits9[#Headers],1,MATCH(Dashboard!$A28,ControlLimits9[#Headers],0)-1,1,1),"0.0"))</f>
        <v>#DIV/0!</v>
      </c>
      <c r="I28" s="182" t="s">
        <v>40</v>
      </c>
      <c r="J28" s="68"/>
      <c r="K28" s="167" t="s">
        <v>32</v>
      </c>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row>
    <row r="29" spans="1:40" s="23" customFormat="1" ht="16.5" customHeight="1">
      <c r="A29" s="228"/>
      <c r="B29" s="168">
        <f ca="1">IF(D28&gt;0,B28/D28-1,0)</f>
        <v>-0.10222429504197461</v>
      </c>
      <c r="C29" s="169"/>
      <c r="D29" s="85"/>
      <c r="E29" s="168" t="e">
        <f ca="1">IF(E28&gt;0,B28/E28-1,0)</f>
        <v>#DIV/0!</v>
      </c>
      <c r="F29" s="169"/>
      <c r="G29" s="181"/>
      <c r="H29" s="245"/>
      <c r="I29" s="183"/>
      <c r="J29" s="68"/>
      <c r="K29" s="167"/>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row>
    <row r="30" spans="1:40" s="23" customFormat="1" ht="16.5" customHeight="1">
      <c r="A30" s="227" t="s">
        <v>15</v>
      </c>
      <c r="B30" s="86">
        <f ca="1">OFFSET(INDIRECT($E$2),MATCH(RefDate,WebDataS1[Date],0)-1,MATCH(Dashboard!$A30,WebDataS1[#Headers],0)-1,1,1)</f>
        <v>144.97207272727272</v>
      </c>
      <c r="C30" s="76">
        <f ca="1">IF(D30&gt;0,B30/D30-1,0)</f>
        <v>-0.16170626610568073</v>
      </c>
      <c r="D30" s="74">
        <f ca="1">OFFSET(INDIRECT($E$2),MATCH(RefDate,WebDataS1[Date],0)-2,MATCH(Dashboard!$A30,WebDataS1[#Headers],0)-1,1,1)</f>
        <v>172.93708263069141</v>
      </c>
      <c r="E30" s="86" t="e">
        <f ca="1">OFFSET(INDIRECT($E$2),MATCH(RefDate,WebDataS1[Date],0)-13,MATCH(Dashboard!$A30,WebDataS1[#Headers],0)-1,1,1)</f>
        <v>#DIV/0!</v>
      </c>
      <c r="F30" s="76" t="e">
        <f ca="1">IF(E30&gt;0,B30/E30-1,0)</f>
        <v>#DIV/0!</v>
      </c>
      <c r="G30" s="180" t="s">
        <v>1</v>
      </c>
      <c r="H30" s="229" t="e">
        <f ca="1">CONCATENATE(TEXT(OFFSET(ControlLimits9[#Headers],3,MATCH(Dashboard!$A30,ControlLimits9[#Headers],0)-1,1,1),"$0.00"),CHAR(10),TEXT(OFFSET(ControlLimits9[#Headers],2,MATCH(Dashboard!$A30,ControlLimits9[#Headers],0)-1,1,1),"$0.00"),CHAR(10),TEXT(OFFSET(ControlLimits9[#Headers],1,MATCH(Dashboard!$A30,ControlLimits9[#Headers],0)-1,1,1),"$0.00"))</f>
        <v>#DIV/0!</v>
      </c>
      <c r="I30" s="182" t="s">
        <v>40</v>
      </c>
      <c r="J30" s="68"/>
      <c r="K30" s="167" t="s">
        <v>36</v>
      </c>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row>
    <row r="31" spans="1:40" s="23" customFormat="1" ht="16.5" customHeight="1">
      <c r="A31" s="228"/>
      <c r="B31" s="168">
        <f ca="1">IF(D30&gt;0,B30/D30-1,0)</f>
        <v>-0.16170626610568073</v>
      </c>
      <c r="C31" s="169"/>
      <c r="D31" s="85"/>
      <c r="E31" s="168" t="e">
        <f ca="1">IF(E30&gt;0,B30/E30-1,0)</f>
        <v>#DIV/0!</v>
      </c>
      <c r="F31" s="169"/>
      <c r="G31" s="181"/>
      <c r="H31" s="230"/>
      <c r="I31" s="183"/>
      <c r="J31" s="68"/>
      <c r="K31" s="167"/>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row>
    <row r="32" spans="1:40" s="23" customFormat="1" ht="16.5" customHeight="1">
      <c r="A32" s="227" t="s">
        <v>14</v>
      </c>
      <c r="B32" s="86">
        <f ca="1">OFFSET(INDIRECT($E$2),MATCH(RefDate,WebDataS1[Date],0)-1,MATCH(Dashboard!$A32,WebDataS1[#Headers],0)-1,1,1)</f>
        <v>79734.64</v>
      </c>
      <c r="C32" s="76">
        <f ca="1">IF(D32&gt;0,B32/D32-1,0)</f>
        <v>-0.22249316417896192</v>
      </c>
      <c r="D32" s="74">
        <f ca="1">OFFSET(INDIRECT($E$2),MATCH(RefDate,WebDataS1[Date],0)-2,MATCH(Dashboard!$A32,WebDataS1[#Headers],0)-1,1,1)</f>
        <v>102551.69</v>
      </c>
      <c r="E32" s="86">
        <f ca="1">OFFSET(INDIRECT($E$2),MATCH(RefDate,WebDataS1[Date],0)-13,MATCH(Dashboard!$A32,WebDataS1[#Headers],0)-1,1,1)</f>
        <v>0</v>
      </c>
      <c r="F32" s="76">
        <f ca="1">IF(E32&gt;0,B32/E32-1,0)</f>
        <v>0</v>
      </c>
      <c r="G32" s="180" t="s">
        <v>1</v>
      </c>
      <c r="H32" s="229" t="str">
        <f ca="1">CONCATENATE(TEXT(OFFSET(ControlLimits9[#Headers],3,MATCH(Dashboard!$A32,ControlLimits9[#Headers],0)-1,1,1),"$0,0"),CHAR(10),TEXT(OFFSET(ControlLimits9[#Headers],2,MATCH(Dashboard!$A32,ControlLimits9[#Headers],0)-1,1,1),"$0,0"),CHAR(10),TEXT(OFFSET(ControlLimits9[#Headers],1,MATCH(Dashboard!$A32,ControlLimits9[#Headers],0)-1,1,1),"$0,0"))</f>
        <v>$160,744
$82,713
$4,683</v>
      </c>
      <c r="I32" s="182" t="s">
        <v>40</v>
      </c>
      <c r="J32" s="68"/>
      <c r="K32" s="167" t="s">
        <v>37</v>
      </c>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row>
    <row r="33" spans="1:40" s="23" customFormat="1" ht="16.5" customHeight="1">
      <c r="A33" s="231"/>
      <c r="B33" s="170">
        <f ca="1">IF(D32&gt;0,B32/D32-1,0)</f>
        <v>-0.22249316417896192</v>
      </c>
      <c r="C33" s="171"/>
      <c r="D33" s="85"/>
      <c r="E33" s="170">
        <f ca="1">IF(E32&gt;0,B32/E32-1,0)</f>
        <v>0</v>
      </c>
      <c r="F33" s="171"/>
      <c r="G33" s="181"/>
      <c r="H33" s="176"/>
      <c r="I33" s="182"/>
      <c r="J33" s="68"/>
      <c r="K33" s="167"/>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row>
    <row r="34" spans="1:40" s="23" customFormat="1" ht="16.5" customHeight="1">
      <c r="A34" s="242" t="s">
        <v>27</v>
      </c>
      <c r="B34" s="149">
        <f ca="1">OFFSET(INDIRECT($E$2),MATCH(RefDate,WebDataS1[Date],0)-1,MATCH(Dashboard!$A34,WebDataS1[#Headers],0)-1,1,1)</f>
        <v>1.9895818260743742E-2</v>
      </c>
      <c r="C34" s="123">
        <f ca="1">IF(D34&gt;0,B34/D34-1,0)</f>
        <v>0.18589813194645566</v>
      </c>
      <c r="D34" s="150">
        <f ca="1">OFFSET(INDIRECT($E$2),MATCH(RefDate,WebDataS1[Date],0)-2,MATCH(Dashboard!$A34,WebDataS1[#Headers],0)-1,1,1)</f>
        <v>1.6777004470095627E-2</v>
      </c>
      <c r="E34" s="112">
        <f ca="1">OFFSET(INDIRECT($E$2),MATCH(RefDate,WebDataS1[Date],0)-13,MATCH(Dashboard!$A34,WebDataS1[#Headers],0)-1,1,1)</f>
        <v>0</v>
      </c>
      <c r="F34" s="113">
        <f ca="1">IF(E34&gt;0,B34/E34-1,0)</f>
        <v>0</v>
      </c>
      <c r="G34" s="193" t="s">
        <v>1</v>
      </c>
      <c r="H34" s="195" t="str">
        <f ca="1">CONCATENATE(TEXT(OFFSET(ControlLimits9[#Headers],3,MATCH(Dashboard!$A34,ControlLimits9[#Headers],0)-1,1,1),"0.0%"),CHAR(10),TEXT(OFFSET(ControlLimits9[#Headers],2,MATCH(Dashboard!$A34,ControlLimits9[#Headers],0)-1,1,1),"0.0%"),CHAR(10),TEXT(OFFSET(ControlLimits9[#Headers],1,MATCH(Dashboard!$A34,ControlLimits9[#Headers],0)-1,1,1),"0.0%"))</f>
        <v>3.2%
1.7%
0.1%</v>
      </c>
      <c r="I34" s="197" t="s">
        <v>40</v>
      </c>
      <c r="J34" s="68"/>
      <c r="K34" s="167" t="s">
        <v>38</v>
      </c>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row>
    <row r="35" spans="1:40" s="23" customFormat="1" ht="16.5" customHeight="1">
      <c r="A35" s="243"/>
      <c r="B35" s="172">
        <f ca="1">IF(D34&gt;0,B34/D34-1,0)</f>
        <v>0.18589813194645566</v>
      </c>
      <c r="C35" s="173"/>
      <c r="D35" s="146"/>
      <c r="E35" s="172">
        <f ca="1">IF(E34&gt;0,B34/E34-1,0)</f>
        <v>0</v>
      </c>
      <c r="F35" s="174"/>
      <c r="G35" s="194"/>
      <c r="H35" s="196"/>
      <c r="I35" s="198"/>
      <c r="J35" s="68"/>
      <c r="K35" s="167"/>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row>
    <row r="36" spans="1:40" s="23" customFormat="1" ht="15" customHeight="1" thickBot="1">
      <c r="A36" s="108"/>
      <c r="B36" s="109"/>
      <c r="C36" s="110"/>
      <c r="D36" s="105"/>
      <c r="E36" s="109"/>
      <c r="F36" s="110"/>
      <c r="G36" s="127"/>
      <c r="H36" s="111"/>
      <c r="I36" s="126"/>
      <c r="J36" s="68"/>
      <c r="K36" s="155" t="s">
        <v>98</v>
      </c>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row>
    <row r="37" spans="1:40" ht="15.75" customHeight="1">
      <c r="A37" s="69"/>
      <c r="B37" s="186"/>
      <c r="C37" s="186"/>
      <c r="D37" s="186"/>
      <c r="E37" s="186"/>
      <c r="F37" s="71"/>
      <c r="G37" s="190"/>
      <c r="H37" s="190"/>
      <c r="I37" s="191"/>
      <c r="J37" s="68"/>
    </row>
    <row r="38" spans="1:40" ht="31.5" customHeight="1">
      <c r="A38" s="103" t="s">
        <v>121</v>
      </c>
      <c r="B38" s="208" t="s">
        <v>19</v>
      </c>
      <c r="C38" s="209"/>
      <c r="D38" s="104" t="s">
        <v>7</v>
      </c>
      <c r="E38" s="208" t="s">
        <v>39</v>
      </c>
      <c r="F38" s="209"/>
      <c r="G38" s="212" t="s">
        <v>18</v>
      </c>
      <c r="H38" s="213"/>
      <c r="I38" s="214"/>
      <c r="J38" s="68"/>
    </row>
    <row r="39" spans="1:40" s="23" customFormat="1" ht="16.5" customHeight="1">
      <c r="A39" s="227" t="s">
        <v>52</v>
      </c>
      <c r="B39" s="141">
        <f ca="1">OFFSET(INDIRECT($E$2),MATCH(RefDate,WebDataS1[Date],0)-1,MATCH(Dashboard!$A39,WebDataS1[#Headers],0)-1,1,1)</f>
        <v>0</v>
      </c>
      <c r="C39" s="76">
        <f ca="1">IF(D39&gt;0,B39/D39-1,0)</f>
        <v>0</v>
      </c>
      <c r="D39" s="142">
        <f ca="1">OFFSET(INDIRECT($E$2),MATCH(RefDate,WebDataS1[Date],0)-2,MATCH(Dashboard!$A39,WebDataS1[#Headers],0)-1,1,1)</f>
        <v>0</v>
      </c>
      <c r="E39" s="141">
        <f ca="1">OFFSET(INDIRECT($E$2),MATCH(RefDate,WebDataS1[Date],0)-13,MATCH(Dashboard!$A39,WebDataS1[#Headers],0)-1,1,1)</f>
        <v>0</v>
      </c>
      <c r="F39" s="76">
        <f ca="1">IF(E39&gt;0,B39/E39-1,0)</f>
        <v>0</v>
      </c>
      <c r="G39" s="180" t="s">
        <v>1</v>
      </c>
      <c r="H39" s="229" t="str">
        <f ca="1">CONCATENATE(TEXT(OFFSET(ControlLimits9[#Headers],3,MATCH(Dashboard!$A39,ControlLimits9[#Headers],0)-1,1,1),"0,0"),CHAR(10),TEXT(OFFSET(ControlLimits9[#Headers],2,MATCH(Dashboard!$A39,ControlLimits9[#Headers],0)-1,1,1),"0,0"),CHAR(10),TEXT(OFFSET(ControlLimits9[#Headers],1,MATCH(Dashboard!$A39,ControlLimits9[#Headers],0)-1,1,1),"0,0"))</f>
        <v>00
00
00</v>
      </c>
      <c r="I39" s="182" t="s">
        <v>40</v>
      </c>
      <c r="J39" s="68"/>
      <c r="K39" s="167" t="s">
        <v>99</v>
      </c>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row>
    <row r="40" spans="1:40" s="23" customFormat="1" ht="16.5" customHeight="1">
      <c r="A40" s="228"/>
      <c r="B40" s="168">
        <f ca="1">IF(D39&gt;0,B39/D39-1,0)</f>
        <v>0</v>
      </c>
      <c r="C40" s="169"/>
      <c r="D40" s="85"/>
      <c r="E40" s="168">
        <f ca="1">IF(E39&gt;0,B39/E39-1,0)</f>
        <v>0</v>
      </c>
      <c r="F40" s="169"/>
      <c r="G40" s="181"/>
      <c r="H40" s="230"/>
      <c r="I40" s="183"/>
      <c r="J40" s="68"/>
      <c r="K40" s="167"/>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row>
    <row r="41" spans="1:40" s="23" customFormat="1" ht="16.5" customHeight="1">
      <c r="A41" s="227" t="s">
        <v>53</v>
      </c>
      <c r="B41" s="141">
        <f ca="1">OFFSET(INDIRECT($E$2),MATCH(RefDate,WebDataS1[Date],0)-1,MATCH(Dashboard!$A41,WebDataS1[#Headers],0)-1,1,1)</f>
        <v>0</v>
      </c>
      <c r="C41" s="76">
        <f ca="1">IF(D41&gt;0,B41/D41-1,0)</f>
        <v>0</v>
      </c>
      <c r="D41" s="142">
        <f ca="1">OFFSET(INDIRECT($E$2),MATCH(RefDate,WebDataS1[Date],0)-2,MATCH(Dashboard!$A41,WebDataS1[#Headers],0)-1,1,1)</f>
        <v>0</v>
      </c>
      <c r="E41" s="141">
        <f ca="1">OFFSET(INDIRECT($E$2),MATCH(RefDate,WebDataS1[Date],0)-13,MATCH(Dashboard!$A41,WebDataS1[#Headers],0)-1,1,1)</f>
        <v>0</v>
      </c>
      <c r="F41" s="76">
        <f ca="1">IF(E41&gt;0,B41/E41-1,0)</f>
        <v>0</v>
      </c>
      <c r="G41" s="234" t="s">
        <v>1</v>
      </c>
      <c r="H41" s="229" t="str">
        <f ca="1">CONCATENATE(TEXT(OFFSET(ControlLimits9[#Headers],3,MATCH(Dashboard!$A41,ControlLimits9[#Headers],0)-1,1,1),"0,0"),CHAR(10),TEXT(OFFSET(ControlLimits9[#Headers],2,MATCH(Dashboard!$A41,ControlLimits9[#Headers],0)-1,1,1),"0,0"),CHAR(10),TEXT(OFFSET(ControlLimits9[#Headers],1,MATCH(Dashboard!$A41,ControlLimits9[#Headers],0)-1,1,1),"0,0"))</f>
        <v>00
00
00</v>
      </c>
      <c r="I41" s="236" t="s">
        <v>40</v>
      </c>
      <c r="J41" s="68"/>
      <c r="K41" s="167" t="s">
        <v>99</v>
      </c>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row>
    <row r="42" spans="1:40" s="23" customFormat="1" ht="16.5" customHeight="1">
      <c r="A42" s="228"/>
      <c r="B42" s="168">
        <f ca="1">IF(D41&gt;0,B41/D41-1,0)</f>
        <v>0</v>
      </c>
      <c r="C42" s="169"/>
      <c r="D42" s="85"/>
      <c r="E42" s="238">
        <f ca="1">IF(E41&gt;0,B41/E41-1,0)</f>
        <v>0</v>
      </c>
      <c r="F42" s="239"/>
      <c r="G42" s="235"/>
      <c r="H42" s="176"/>
      <c r="I42" s="237"/>
      <c r="J42" s="68"/>
      <c r="K42" s="167"/>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row>
    <row r="43" spans="1:40" s="23" customFormat="1" ht="16.5" customHeight="1">
      <c r="A43" s="227" t="s">
        <v>54</v>
      </c>
      <c r="B43" s="141">
        <f ca="1">OFFSET(INDIRECT($E$2),MATCH(RefDate,WebDataS1[Date],0)-1,MATCH(Dashboard!$A43,WebDataS1[#Headers],0)-1,1,1)</f>
        <v>0</v>
      </c>
      <c r="C43" s="76">
        <f ca="1">IF(D43&gt;0,B43/D43-1,0)</f>
        <v>0</v>
      </c>
      <c r="D43" s="142">
        <f ca="1">OFFSET(INDIRECT($E$2),MATCH(RefDate,WebDataS1[Date],0)-2,MATCH(Dashboard!$A43,WebDataS1[#Headers],0)-1,1,1)</f>
        <v>0</v>
      </c>
      <c r="E43" s="145">
        <f ca="1">OFFSET(INDIRECT($E$2),MATCH(RefDate,WebDataS1[Date],0)-13,MATCH(Dashboard!$A43,WebDataS1[#Headers],0)-1,1,1)</f>
        <v>0</v>
      </c>
      <c r="F43" s="124">
        <f ca="1">IF(E43&gt;0,B43/E43-1,0)</f>
        <v>0</v>
      </c>
      <c r="G43" s="232" t="s">
        <v>1</v>
      </c>
      <c r="H43" s="175" t="str">
        <f ca="1">CONCATENATE(TEXT(OFFSET(ControlLimits9[#Headers],3,MATCH(Dashboard!$A43,ControlLimits9[#Headers],0)-1,1,1),"0,0"),CHAR(10),TEXT(OFFSET(ControlLimits9[#Headers],2,MATCH(Dashboard!$A43,ControlLimits9[#Headers],0)-1,1,1),"0,0"),CHAR(10),TEXT(OFFSET(ControlLimits9[#Headers],1,MATCH(Dashboard!$A43,ControlLimits9[#Headers],0)-1,1,1),"0,0"))</f>
        <v>00
00
00</v>
      </c>
      <c r="I43" s="177" t="s">
        <v>40</v>
      </c>
      <c r="J43" s="125"/>
      <c r="K43" s="167" t="s">
        <v>99</v>
      </c>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row>
    <row r="44" spans="1:40" s="23" customFormat="1" ht="16.5" customHeight="1">
      <c r="A44" s="231"/>
      <c r="B44" s="170">
        <f ca="1">IF(D43&gt;0,B43/D43-1,0)</f>
        <v>0</v>
      </c>
      <c r="C44" s="171"/>
      <c r="D44" s="85"/>
      <c r="E44" s="170">
        <f ca="1">IF(E43&gt;0,B43/E43-1,0)</f>
        <v>0</v>
      </c>
      <c r="F44" s="179"/>
      <c r="G44" s="233"/>
      <c r="H44" s="176"/>
      <c r="I44" s="178"/>
      <c r="J44" s="125"/>
      <c r="K44" s="167"/>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row>
    <row r="45" spans="1:40" s="23" customFormat="1" ht="16.5" customHeight="1">
      <c r="A45" s="218" t="s">
        <v>93</v>
      </c>
      <c r="B45" s="143">
        <f ca="1">OFFSET(INDIRECT($E$2),MATCH(RefDate,WebDataS1[Date],0)-1,MATCH(Dashboard!$A45,WebDataS1[#Headers],0)-1,1,1)</f>
        <v>0</v>
      </c>
      <c r="C45" s="113">
        <f ca="1">IF(D45&gt;0,B45/D45-1,0)</f>
        <v>0</v>
      </c>
      <c r="D45" s="144">
        <f ca="1">OFFSET(INDIRECT($E$2),MATCH(RefDate,WebDataS1[Date],0)-2,MATCH(Dashboard!$A45,WebDataS1[#Headers],0)-1,1,1)</f>
        <v>0</v>
      </c>
      <c r="E45" s="143">
        <f ca="1">OFFSET(INDIRECT($E$2),MATCH(RefDate,WebDataS1[Date],0)-13,MATCH(Dashboard!$A45,WebDataS1[#Headers],0)-1,1,1)</f>
        <v>0</v>
      </c>
      <c r="F45" s="123">
        <f ca="1">IF(E45&gt;0,B45/E45-1,0)</f>
        <v>0</v>
      </c>
      <c r="G45" s="220" t="s">
        <v>1</v>
      </c>
      <c r="H45" s="222" t="str">
        <f ca="1">CONCATENATE(TEXT(OFFSET(ControlLimits9[#Headers],3,MATCH(Dashboard!$A45,ControlLimits9[#Headers],0)-1,1,1),"0.0%"),CHAR(10),TEXT(OFFSET(ControlLimits9[#Headers],2,MATCH(Dashboard!$A45,ControlLimits9[#Headers],0)-1,1,1),"0.0%"),CHAR(10),TEXT(OFFSET(ControlLimits9[#Headers],1,MATCH(Dashboard!$A45,ControlLimits9[#Headers],0)-1,1,1),"0.0%"))</f>
        <v>0.0%
0.0%
0.0%</v>
      </c>
      <c r="I45" s="223" t="s">
        <v>40</v>
      </c>
      <c r="J45" s="125"/>
      <c r="K45" s="167" t="s">
        <v>99</v>
      </c>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row>
    <row r="46" spans="1:40" s="23" customFormat="1" ht="16.5" customHeight="1">
      <c r="A46" s="219"/>
      <c r="B46" s="215">
        <f ca="1">IF(D45&gt;0,B45/D45-1,0)</f>
        <v>0</v>
      </c>
      <c r="C46" s="216"/>
      <c r="D46" s="128"/>
      <c r="E46" s="215">
        <f ca="1">IF(E45&gt;0,B45/E45-1,0)</f>
        <v>0</v>
      </c>
      <c r="F46" s="217"/>
      <c r="G46" s="221"/>
      <c r="H46" s="196"/>
      <c r="I46" s="224"/>
      <c r="J46" s="125"/>
      <c r="K46" s="167"/>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row>
    <row r="47" spans="1:40" s="23" customFormat="1" ht="16.5" customHeight="1">
      <c r="A47" s="225" t="s">
        <v>87</v>
      </c>
      <c r="B47" s="143">
        <f ca="1">OFFSET(INDIRECT($E$2),MATCH(RefDate,WebDataS1[Date],0)-1,MATCH(Dashboard!$A47,WebDataS1[#Headers],0)-1,1,1)</f>
        <v>0</v>
      </c>
      <c r="C47" s="113">
        <f ca="1">IF(D47&gt;0,B47/D47-1,0)</f>
        <v>0</v>
      </c>
      <c r="D47" s="144">
        <f ca="1">OFFSET(INDIRECT($E$2),MATCH(RefDate,WebDataS1[Date],0)-2,MATCH(Dashboard!$A47,WebDataS1[#Headers],0)-1,1,1)</f>
        <v>0</v>
      </c>
      <c r="E47" s="143">
        <f ca="1">OFFSET(INDIRECT($E$2),MATCH(RefDate,WebDataS1[Date],0)-13,MATCH(Dashboard!$A47,WebDataS1[#Headers],0)-1,1,1)</f>
        <v>0</v>
      </c>
      <c r="F47" s="123">
        <f ca="1">IF(E47&gt;0,B47/E47-1,0)</f>
        <v>0</v>
      </c>
      <c r="G47" s="130"/>
      <c r="H47" s="222" t="str">
        <f ca="1">CONCATENATE(TEXT(OFFSET(ControlLimits9[#Headers],3,MATCH(Dashboard!$A47,ControlLimits9[#Headers],0)-1,1,1),"0.0%"),CHAR(10),TEXT(OFFSET(ControlLimits9[#Headers],2,MATCH(Dashboard!$A47,ControlLimits9[#Headers],0)-1,1,1),"0.0%"),CHAR(10),TEXT(OFFSET(ControlLimits9[#Headers],1,MATCH(Dashboard!$A47,ControlLimits9[#Headers],0)-1,1,1),"0.0%"))</f>
        <v>0.0%
0.0%
0.0%</v>
      </c>
      <c r="I47" s="223" t="s">
        <v>40</v>
      </c>
      <c r="J47" s="125"/>
      <c r="K47" s="167" t="s">
        <v>99</v>
      </c>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row>
    <row r="48" spans="1:40" s="23" customFormat="1" ht="16.5" customHeight="1">
      <c r="A48" s="226"/>
      <c r="B48" s="215">
        <f ca="1">IF(D47&gt;0,B47/D47-1,0)</f>
        <v>0</v>
      </c>
      <c r="C48" s="216"/>
      <c r="D48" s="129"/>
      <c r="E48" s="215">
        <f ca="1">IF(E47&gt;0,B47/E47-1,0)</f>
        <v>0</v>
      </c>
      <c r="F48" s="217"/>
      <c r="G48" s="131"/>
      <c r="H48" s="196"/>
      <c r="I48" s="224"/>
      <c r="J48" s="125"/>
      <c r="K48" s="167"/>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row>
    <row r="49" spans="1:11" s="68" customFormat="1" ht="15" customHeight="1">
      <c r="A49" s="210" t="str">
        <f ca="1">OFFSET(INDIRECT(RefData),MATCH(RefDate,WebDataS1[Date],0)-1,MATCH("Conversions",WebDataS1[#Headers],0)-1,1,1)</f>
        <v xml:space="preserve"> </v>
      </c>
      <c r="B49" s="210"/>
      <c r="C49" s="210"/>
      <c r="D49" s="210"/>
      <c r="E49" s="210"/>
      <c r="F49" s="210"/>
      <c r="G49" s="210"/>
      <c r="H49" s="210"/>
      <c r="I49" s="211"/>
      <c r="K49" s="155" t="s">
        <v>98</v>
      </c>
    </row>
    <row r="50" spans="1:11" s="68" customFormat="1">
      <c r="K50" s="106"/>
    </row>
    <row r="51" spans="1:11" s="68" customFormat="1">
      <c r="K51" s="106"/>
    </row>
    <row r="52" spans="1:11" s="68" customFormat="1">
      <c r="C52" s="93"/>
      <c r="K52" s="106"/>
    </row>
    <row r="53" spans="1:11" s="68" customFormat="1">
      <c r="K53" s="106"/>
    </row>
    <row r="54" spans="1:11" s="68" customFormat="1">
      <c r="K54" s="106"/>
    </row>
    <row r="55" spans="1:11" s="68" customFormat="1">
      <c r="K55" s="106"/>
    </row>
    <row r="56" spans="1:11" s="68" customFormat="1">
      <c r="K56" s="106"/>
    </row>
    <row r="57" spans="1:11" s="68" customFormat="1">
      <c r="K57" s="106"/>
    </row>
    <row r="58" spans="1:11" s="68" customFormat="1">
      <c r="K58" s="106"/>
    </row>
    <row r="59" spans="1:11" s="68" customFormat="1">
      <c r="K59" s="106"/>
    </row>
    <row r="60" spans="1:11" s="68" customFormat="1">
      <c r="K60" s="106"/>
    </row>
    <row r="61" spans="1:11" s="68" customFormat="1">
      <c r="K61" s="106"/>
    </row>
    <row r="62" spans="1:11" s="68" customFormat="1">
      <c r="K62" s="106"/>
    </row>
    <row r="63" spans="1:11" s="68" customFormat="1">
      <c r="K63" s="106"/>
    </row>
    <row r="64" spans="1:11" s="68" customFormat="1">
      <c r="K64" s="106"/>
    </row>
    <row r="65" spans="11:11" s="68" customFormat="1">
      <c r="K65" s="106"/>
    </row>
    <row r="66" spans="11:11" s="68" customFormat="1">
      <c r="K66" s="106"/>
    </row>
    <row r="67" spans="11:11" s="68" customFormat="1">
      <c r="K67" s="106"/>
    </row>
    <row r="68" spans="11:11" s="68" customFormat="1">
      <c r="K68" s="106"/>
    </row>
    <row r="69" spans="11:11" s="68" customFormat="1">
      <c r="K69" s="106"/>
    </row>
    <row r="70" spans="11:11" s="68" customFormat="1">
      <c r="K70" s="106"/>
    </row>
    <row r="71" spans="11:11" s="68" customFormat="1">
      <c r="K71" s="106"/>
    </row>
    <row r="72" spans="11:11" s="68" customFormat="1">
      <c r="K72" s="106"/>
    </row>
    <row r="73" spans="11:11" s="68" customFormat="1">
      <c r="K73" s="106"/>
    </row>
    <row r="74" spans="11:11" s="68" customFormat="1">
      <c r="K74" s="106"/>
    </row>
    <row r="75" spans="11:11" s="68" customFormat="1">
      <c r="K75" s="106"/>
    </row>
    <row r="76" spans="11:11" s="68" customFormat="1">
      <c r="K76" s="106"/>
    </row>
    <row r="77" spans="11:11" s="68" customFormat="1">
      <c r="K77" s="106"/>
    </row>
    <row r="78" spans="11:11" s="68" customFormat="1">
      <c r="K78" s="106"/>
    </row>
    <row r="79" spans="11:11" s="68" customFormat="1">
      <c r="K79" s="106"/>
    </row>
    <row r="80" spans="11:11" s="68" customFormat="1">
      <c r="K80" s="106"/>
    </row>
    <row r="81" spans="11:11" s="68" customFormat="1">
      <c r="K81" s="106"/>
    </row>
    <row r="82" spans="11:11" s="68" customFormat="1">
      <c r="K82" s="106"/>
    </row>
    <row r="83" spans="11:11" s="68" customFormat="1">
      <c r="K83" s="106"/>
    </row>
    <row r="84" spans="11:11" s="68" customFormat="1">
      <c r="K84" s="106"/>
    </row>
    <row r="85" spans="11:11" s="68" customFormat="1">
      <c r="K85" s="106"/>
    </row>
    <row r="86" spans="11:11" s="68" customFormat="1">
      <c r="K86" s="106"/>
    </row>
    <row r="87" spans="11:11" s="68" customFormat="1">
      <c r="K87" s="106"/>
    </row>
    <row r="88" spans="11:11" s="68" customFormat="1">
      <c r="K88" s="106"/>
    </row>
    <row r="89" spans="11:11" s="68" customFormat="1">
      <c r="K89" s="106"/>
    </row>
    <row r="90" spans="11:11" s="68" customFormat="1">
      <c r="K90" s="106"/>
    </row>
    <row r="91" spans="11:11" s="68" customFormat="1">
      <c r="K91" s="106"/>
    </row>
    <row r="92" spans="11:11" s="68" customFormat="1">
      <c r="K92" s="106"/>
    </row>
    <row r="93" spans="11:11" s="68" customFormat="1">
      <c r="K93" s="106"/>
    </row>
    <row r="94" spans="11:11" s="68" customFormat="1">
      <c r="K94" s="106"/>
    </row>
    <row r="95" spans="11:11" s="68" customFormat="1">
      <c r="K95" s="106"/>
    </row>
    <row r="96" spans="11:11" s="68" customFormat="1">
      <c r="K96" s="106"/>
    </row>
    <row r="97" spans="11:11" s="68" customFormat="1">
      <c r="K97" s="106"/>
    </row>
    <row r="98" spans="11:11" s="68" customFormat="1">
      <c r="K98" s="106"/>
    </row>
    <row r="99" spans="11:11" s="68" customFormat="1">
      <c r="K99" s="106"/>
    </row>
    <row r="100" spans="11:11" s="68" customFormat="1">
      <c r="K100" s="106"/>
    </row>
    <row r="101" spans="11:11" s="68" customFormat="1">
      <c r="K101" s="106"/>
    </row>
    <row r="102" spans="11:11" s="68" customFormat="1">
      <c r="K102" s="106"/>
    </row>
    <row r="103" spans="11:11" s="68" customFormat="1">
      <c r="K103" s="106"/>
    </row>
    <row r="104" spans="11:11" s="68" customFormat="1">
      <c r="K104" s="106"/>
    </row>
    <row r="105" spans="11:11" s="68" customFormat="1">
      <c r="K105" s="106"/>
    </row>
    <row r="106" spans="11:11" s="68" customFormat="1">
      <c r="K106" s="106"/>
    </row>
    <row r="107" spans="11:11" s="68" customFormat="1">
      <c r="K107" s="106"/>
    </row>
    <row r="108" spans="11:11" s="68" customFormat="1">
      <c r="K108" s="106"/>
    </row>
    <row r="109" spans="11:11" s="68" customFormat="1">
      <c r="K109" s="106"/>
    </row>
    <row r="110" spans="11:11" s="68" customFormat="1">
      <c r="K110" s="106"/>
    </row>
    <row r="111" spans="11:11" s="68" customFormat="1">
      <c r="K111" s="106"/>
    </row>
    <row r="112" spans="11:11" s="68" customFormat="1">
      <c r="K112" s="106"/>
    </row>
    <row r="113" spans="11:11" s="68" customFormat="1">
      <c r="K113" s="106"/>
    </row>
    <row r="114" spans="11:11" s="68" customFormat="1">
      <c r="K114" s="106"/>
    </row>
    <row r="115" spans="11:11" s="68" customFormat="1">
      <c r="K115" s="106"/>
    </row>
    <row r="116" spans="11:11" s="68" customFormat="1">
      <c r="K116" s="106"/>
    </row>
    <row r="117" spans="11:11" s="68" customFormat="1">
      <c r="K117" s="106"/>
    </row>
    <row r="118" spans="11:11" s="68" customFormat="1">
      <c r="K118" s="106"/>
    </row>
    <row r="119" spans="11:11" s="68" customFormat="1">
      <c r="K119" s="106"/>
    </row>
    <row r="120" spans="11:11" s="68" customFormat="1">
      <c r="K120" s="106"/>
    </row>
    <row r="121" spans="11:11" s="68" customFormat="1">
      <c r="K121" s="106"/>
    </row>
  </sheetData>
  <mergeCells count="144">
    <mergeCell ref="K1:K3"/>
    <mergeCell ref="A7:A8"/>
    <mergeCell ref="G7:G8"/>
    <mergeCell ref="H7:H8"/>
    <mergeCell ref="I7:I8"/>
    <mergeCell ref="K7:K8"/>
    <mergeCell ref="E21:F21"/>
    <mergeCell ref="G21:I21"/>
    <mergeCell ref="B12:C12"/>
    <mergeCell ref="B10:C10"/>
    <mergeCell ref="G15:G16"/>
    <mergeCell ref="H15:H16"/>
    <mergeCell ref="I15:I16"/>
    <mergeCell ref="K15:K16"/>
    <mergeCell ref="G17:G18"/>
    <mergeCell ref="H17:H18"/>
    <mergeCell ref="I17:I18"/>
    <mergeCell ref="K17:K18"/>
    <mergeCell ref="G11:G12"/>
    <mergeCell ref="H11:H12"/>
    <mergeCell ref="I11:I12"/>
    <mergeCell ref="K11:K12"/>
    <mergeCell ref="G13:G14"/>
    <mergeCell ref="H13:H14"/>
    <mergeCell ref="H9:H10"/>
    <mergeCell ref="I9:I10"/>
    <mergeCell ref="K9:K10"/>
    <mergeCell ref="K26:K27"/>
    <mergeCell ref="G28:G29"/>
    <mergeCell ref="H28:H29"/>
    <mergeCell ref="I28:I29"/>
    <mergeCell ref="K28:K29"/>
    <mergeCell ref="G22:G23"/>
    <mergeCell ref="H22:H23"/>
    <mergeCell ref="I22:I23"/>
    <mergeCell ref="K22:K23"/>
    <mergeCell ref="G24:G25"/>
    <mergeCell ref="H24:H25"/>
    <mergeCell ref="I24:I25"/>
    <mergeCell ref="K24:K25"/>
    <mergeCell ref="H26:H27"/>
    <mergeCell ref="I26:I27"/>
    <mergeCell ref="K13:K14"/>
    <mergeCell ref="A30:A31"/>
    <mergeCell ref="A32:A33"/>
    <mergeCell ref="A34:A35"/>
    <mergeCell ref="G30:G31"/>
    <mergeCell ref="H30:H31"/>
    <mergeCell ref="I30:I31"/>
    <mergeCell ref="K30:K31"/>
    <mergeCell ref="G32:G33"/>
    <mergeCell ref="H32:H33"/>
    <mergeCell ref="I32:I33"/>
    <mergeCell ref="K32:K33"/>
    <mergeCell ref="A9:A10"/>
    <mergeCell ref="A11:A12"/>
    <mergeCell ref="A13:A14"/>
    <mergeCell ref="A15:A16"/>
    <mergeCell ref="A17:A18"/>
    <mergeCell ref="A22:A23"/>
    <mergeCell ref="A24:A25"/>
    <mergeCell ref="A26:A27"/>
    <mergeCell ref="A28:A29"/>
    <mergeCell ref="A41:A42"/>
    <mergeCell ref="G41:G42"/>
    <mergeCell ref="H41:H42"/>
    <mergeCell ref="I41:I42"/>
    <mergeCell ref="K41:K42"/>
    <mergeCell ref="E42:F42"/>
    <mergeCell ref="K39:K40"/>
    <mergeCell ref="E40:F40"/>
    <mergeCell ref="K34:K35"/>
    <mergeCell ref="A49:I49"/>
    <mergeCell ref="B38:C38"/>
    <mergeCell ref="E38:F38"/>
    <mergeCell ref="G38:I38"/>
    <mergeCell ref="B40:C40"/>
    <mergeCell ref="B42:C42"/>
    <mergeCell ref="B44:C44"/>
    <mergeCell ref="B46:C46"/>
    <mergeCell ref="E46:F46"/>
    <mergeCell ref="A45:A46"/>
    <mergeCell ref="G45:G46"/>
    <mergeCell ref="H45:H46"/>
    <mergeCell ref="I45:I46"/>
    <mergeCell ref="A47:A48"/>
    <mergeCell ref="B48:C48"/>
    <mergeCell ref="E48:F48"/>
    <mergeCell ref="H47:H48"/>
    <mergeCell ref="A39:A40"/>
    <mergeCell ref="G39:G40"/>
    <mergeCell ref="H39:H40"/>
    <mergeCell ref="I39:I40"/>
    <mergeCell ref="I47:I48"/>
    <mergeCell ref="A43:A44"/>
    <mergeCell ref="G43:G44"/>
    <mergeCell ref="B5:E5"/>
    <mergeCell ref="B20:E20"/>
    <mergeCell ref="B37:E37"/>
    <mergeCell ref="G5:I5"/>
    <mergeCell ref="G20:I20"/>
    <mergeCell ref="G37:I37"/>
    <mergeCell ref="B8:C8"/>
    <mergeCell ref="E8:F8"/>
    <mergeCell ref="E10:F10"/>
    <mergeCell ref="E12:F12"/>
    <mergeCell ref="E14:F14"/>
    <mergeCell ref="E16:F16"/>
    <mergeCell ref="E18:F18"/>
    <mergeCell ref="B18:C18"/>
    <mergeCell ref="B16:C16"/>
    <mergeCell ref="B14:C14"/>
    <mergeCell ref="G34:G35"/>
    <mergeCell ref="H34:H35"/>
    <mergeCell ref="I34:I35"/>
    <mergeCell ref="B6:C6"/>
    <mergeCell ref="E6:F6"/>
    <mergeCell ref="G6:I6"/>
    <mergeCell ref="A19:I19"/>
    <mergeCell ref="B21:C21"/>
    <mergeCell ref="M8:N8"/>
    <mergeCell ref="K47:K48"/>
    <mergeCell ref="E29:F29"/>
    <mergeCell ref="E27:F27"/>
    <mergeCell ref="E25:F25"/>
    <mergeCell ref="E23:F23"/>
    <mergeCell ref="B33:C33"/>
    <mergeCell ref="B35:C35"/>
    <mergeCell ref="E35:F35"/>
    <mergeCell ref="E33:F33"/>
    <mergeCell ref="E31:F31"/>
    <mergeCell ref="B23:C23"/>
    <mergeCell ref="B25:C25"/>
    <mergeCell ref="B27:C27"/>
    <mergeCell ref="B29:C29"/>
    <mergeCell ref="B31:C31"/>
    <mergeCell ref="K45:K46"/>
    <mergeCell ref="H43:H44"/>
    <mergeCell ref="I43:I44"/>
    <mergeCell ref="K43:K44"/>
    <mergeCell ref="E44:F44"/>
    <mergeCell ref="G26:G27"/>
    <mergeCell ref="I13:I14"/>
    <mergeCell ref="G9:G10"/>
  </mergeCells>
  <conditionalFormatting sqref="F9 C9">
    <cfRule type="iconSet" priority="46">
      <iconSet iconSet="4Arrows" showValue="0">
        <cfvo type="percent" val="0"/>
        <cfvo type="num" val="-0.05"/>
        <cfvo type="num" val="0"/>
        <cfvo type="num" val="0.05"/>
      </iconSet>
    </cfRule>
  </conditionalFormatting>
  <conditionalFormatting sqref="F11 C11">
    <cfRule type="iconSet" priority="45">
      <iconSet iconSet="4Arrows" showValue="0">
        <cfvo type="percent" val="0"/>
        <cfvo type="num" val="-0.05"/>
        <cfvo type="num" val="0"/>
        <cfvo type="num" val="0.05"/>
      </iconSet>
    </cfRule>
  </conditionalFormatting>
  <conditionalFormatting sqref="F13 C13">
    <cfRule type="iconSet" priority="44">
      <iconSet iconSet="4Arrows" showValue="0">
        <cfvo type="percent" val="0"/>
        <cfvo type="num" val="-0.05"/>
        <cfvo type="num" val="0"/>
        <cfvo type="num" val="0.05"/>
      </iconSet>
    </cfRule>
  </conditionalFormatting>
  <conditionalFormatting sqref="F15 C15">
    <cfRule type="iconSet" priority="43">
      <iconSet iconSet="4Arrows" showValue="0">
        <cfvo type="percent" val="0"/>
        <cfvo type="num" val="-0.05"/>
        <cfvo type="num" val="0"/>
        <cfvo type="num" val="0.05"/>
      </iconSet>
    </cfRule>
  </conditionalFormatting>
  <conditionalFormatting sqref="F17 C17">
    <cfRule type="iconSet" priority="42">
      <iconSet iconSet="4Arrows" showValue="0">
        <cfvo type="percent" val="0"/>
        <cfvo type="num" val="-0.05"/>
        <cfvo type="num" val="0"/>
        <cfvo type="num" val="0.05"/>
      </iconSet>
    </cfRule>
  </conditionalFormatting>
  <conditionalFormatting sqref="F22 C22">
    <cfRule type="iconSet" priority="41">
      <iconSet iconSet="4Arrows" showValue="0">
        <cfvo type="percent" val="0"/>
        <cfvo type="num" val="-0.05"/>
        <cfvo type="num" val="0"/>
        <cfvo type="num" val="0.05"/>
      </iconSet>
    </cfRule>
  </conditionalFormatting>
  <conditionalFormatting sqref="F24 C24">
    <cfRule type="iconSet" priority="40">
      <iconSet iconSet="4Arrows" showValue="0">
        <cfvo type="percent" val="0"/>
        <cfvo type="num" val="-0.05"/>
        <cfvo type="num" val="0"/>
        <cfvo type="num" val="0.05"/>
      </iconSet>
    </cfRule>
  </conditionalFormatting>
  <conditionalFormatting sqref="F26 C26">
    <cfRule type="iconSet" priority="39">
      <iconSet iconSet="4Arrows" showValue="0">
        <cfvo type="percent" val="0"/>
        <cfvo type="num" val="-0.05"/>
        <cfvo type="num" val="0"/>
        <cfvo type="num" val="0.05"/>
      </iconSet>
    </cfRule>
  </conditionalFormatting>
  <conditionalFormatting sqref="F28 C28">
    <cfRule type="iconSet" priority="38">
      <iconSet iconSet="4Arrows" showValue="0">
        <cfvo type="percent" val="0"/>
        <cfvo type="num" val="-0.05"/>
        <cfvo type="num" val="0"/>
        <cfvo type="num" val="0.05"/>
      </iconSet>
    </cfRule>
  </conditionalFormatting>
  <conditionalFormatting sqref="F30 C30">
    <cfRule type="iconSet" priority="36">
      <iconSet iconSet="4Arrows" showValue="0">
        <cfvo type="percent" val="0"/>
        <cfvo type="num" val="-0.05"/>
        <cfvo type="num" val="0"/>
        <cfvo type="num" val="0.05"/>
      </iconSet>
    </cfRule>
  </conditionalFormatting>
  <conditionalFormatting sqref="F32 C32">
    <cfRule type="iconSet" priority="33">
      <iconSet iconSet="4Arrows" showValue="0">
        <cfvo type="percent" val="0"/>
        <cfvo type="num" val="-0.05"/>
        <cfvo type="num" val="0"/>
        <cfvo type="num" val="0.05"/>
      </iconSet>
    </cfRule>
  </conditionalFormatting>
  <conditionalFormatting sqref="F34 C34">
    <cfRule type="iconSet" priority="32">
      <iconSet iconSet="4Arrows" showValue="0">
        <cfvo type="percent" val="0"/>
        <cfvo type="num" val="-0.05"/>
        <cfvo type="num" val="0"/>
        <cfvo type="num" val="0.05"/>
      </iconSet>
    </cfRule>
  </conditionalFormatting>
  <conditionalFormatting sqref="C7">
    <cfRule type="iconSet" priority="49">
      <iconSet iconSet="4Arrows" showValue="0">
        <cfvo type="percent" val="0"/>
        <cfvo type="num" val="-0.05"/>
        <cfvo type="num" val="0"/>
        <cfvo type="num" val="0.05"/>
      </iconSet>
    </cfRule>
  </conditionalFormatting>
  <conditionalFormatting sqref="F7">
    <cfRule type="iconSet" priority="48">
      <iconSet iconSet="4Arrows" showValue="0">
        <cfvo type="percent" val="0"/>
        <cfvo type="num" val="-0.05"/>
        <cfvo type="num" val="0"/>
        <cfvo type="num" val="0.05"/>
      </iconSet>
    </cfRule>
  </conditionalFormatting>
  <conditionalFormatting sqref="F39 C39">
    <cfRule type="iconSet" priority="31">
      <iconSet iconSet="4Arrows" showValue="0">
        <cfvo type="percent" val="0"/>
        <cfvo type="num" val="-0.05"/>
        <cfvo type="num" val="0"/>
        <cfvo type="num" val="0.05"/>
      </iconSet>
    </cfRule>
  </conditionalFormatting>
  <conditionalFormatting sqref="F41 C41">
    <cfRule type="iconSet" priority="30">
      <iconSet iconSet="4Arrows" showValue="0">
        <cfvo type="percent" val="0"/>
        <cfvo type="num" val="-0.05"/>
        <cfvo type="num" val="0"/>
        <cfvo type="num" val="0.05"/>
      </iconSet>
    </cfRule>
  </conditionalFormatting>
  <conditionalFormatting sqref="F43 C43">
    <cfRule type="iconSet" priority="27">
      <iconSet iconSet="4Arrows" showValue="0">
        <cfvo type="percent" val="0"/>
        <cfvo type="num" val="-0.05"/>
        <cfvo type="num" val="0"/>
        <cfvo type="num" val="0.05"/>
      </iconSet>
    </cfRule>
  </conditionalFormatting>
  <conditionalFormatting sqref="F45 C45">
    <cfRule type="iconSet" priority="4">
      <iconSet iconSet="4Arrows" showValue="0">
        <cfvo type="percent" val="0"/>
        <cfvo type="num" val="-0.05"/>
        <cfvo type="num" val="0"/>
        <cfvo type="num" val="0.05"/>
      </iconSet>
    </cfRule>
  </conditionalFormatting>
  <conditionalFormatting sqref="F47 C47">
    <cfRule type="iconSet" priority="3">
      <iconSet iconSet="4Arrows" showValue="0">
        <cfvo type="percent" val="0"/>
        <cfvo type="num" val="-0.05"/>
        <cfvo type="num" val="0"/>
        <cfvo type="num" val="0.05"/>
      </iconSet>
    </cfRule>
  </conditionalFormatting>
  <conditionalFormatting sqref="C47">
    <cfRule type="iconSet" priority="2">
      <iconSet iconSet="4Arrows" showValue="0">
        <cfvo type="percent" val="0"/>
        <cfvo type="num" val="-0.05"/>
        <cfvo type="num" val="0"/>
        <cfvo type="num" val="0.05"/>
      </iconSet>
    </cfRule>
  </conditionalFormatting>
  <conditionalFormatting sqref="F47">
    <cfRule type="iconSet" priority="1">
      <iconSet iconSet="4Arrows" showValue="0">
        <cfvo type="percent" val="0"/>
        <cfvo type="num" val="-0.05"/>
        <cfvo type="num" val="0"/>
        <cfvo type="num" val="0.05"/>
      </iconSet>
    </cfRule>
  </conditionalFormatting>
  <conditionalFormatting sqref="F7 C7">
    <cfRule type="iconSet" priority="47">
      <iconSet iconSet="4Arrows" showValue="0">
        <cfvo type="percent" val="0"/>
        <cfvo type="num" val="-0.05"/>
        <cfvo type="num" val="0"/>
        <cfvo type="num" val="0.05"/>
      </iconSet>
    </cfRule>
  </conditionalFormatting>
  <printOptions horizontalCentered="1"/>
  <pageMargins left="0.43307086614173229" right="0.43307086614173229" top="1.4173228346456694" bottom="0.74803149606299213" header="0.15748031496062992" footer="0.31496062992125984"/>
  <pageSetup orientation="landscape" horizontalDpi="1200" verticalDpi="1200" r:id="rId1"/>
  <headerFooter>
    <oddHeader>&amp;L&amp;"-,Bold"&amp;14[Your logo/company name here]&amp;C&amp;"-,Bold"&amp;16&amp;E&amp;EWeb AnalyticsDashboard</oddHeader>
    <oddFooter>&amp;L&amp;"-,Bold"&amp;8Licensed under Creative Commons Attribution-Noncommercial-Share Alike 2.5 Canada License. Visit http://immeria.net.&amp;R&amp;P/&amp;N&amp;D &amp;T</oddFooter>
  </headerFooter>
  <ignoredErrors>
    <ignoredError sqref="B9 E9 B11 E11 B13 E13 B15 E15 B17 E17 B24 E24 B26 E26 B28 E28 B30 E30 B32 E32 B34 E34 B39 E39 B41 E41 B43 E43 B45 E45 B47 E47" formula="1"/>
  </ignoredErrors>
  <drawing r:id="rId2"/>
  <legacyDrawing r:id="rId3"/>
</worksheet>
</file>

<file path=xl/worksheets/sheet2.xml><?xml version="1.0" encoding="utf-8"?>
<worksheet xmlns="http://schemas.openxmlformats.org/spreadsheetml/2006/main" xmlns:r="http://schemas.openxmlformats.org/officeDocument/2006/relationships">
  <sheetPr codeName="Sheet2"/>
  <dimension ref="A1:AD23"/>
  <sheetViews>
    <sheetView workbookViewId="0">
      <pane xSplit="1" ySplit="2" topLeftCell="B3" activePane="bottomRight" state="frozen"/>
      <selection pane="topRight" activeCell="B1" sqref="B1"/>
      <selection pane="bottomLeft" activeCell="A3" sqref="A3"/>
      <selection pane="bottomRight" activeCell="A3" sqref="A3:Y20"/>
    </sheetView>
  </sheetViews>
  <sheetFormatPr defaultColWidth="9.140625" defaultRowHeight="15"/>
  <cols>
    <col min="1" max="1" width="15.5703125" bestFit="1" customWidth="1"/>
    <col min="2" max="2" width="19.28515625" customWidth="1"/>
    <col min="3" max="3" width="20" style="13" customWidth="1"/>
    <col min="4" max="4" width="19.28515625" style="14" customWidth="1"/>
    <col min="7" max="7" width="7.7109375" bestFit="1" customWidth="1"/>
    <col min="8" max="8" width="7.85546875" bestFit="1" customWidth="1"/>
    <col min="9" max="9" width="11.7109375" bestFit="1" customWidth="1"/>
    <col min="10" max="10" width="11.5703125" hidden="1" customWidth="1"/>
    <col min="11" max="11" width="11.28515625" style="118" customWidth="1"/>
    <col min="13" max="13" width="12.5703125" bestFit="1" customWidth="1"/>
    <col min="14" max="14" width="10.140625" customWidth="1"/>
    <col min="15" max="15" width="12.5703125" style="16" bestFit="1" customWidth="1"/>
    <col min="16" max="16" width="10" style="16" customWidth="1"/>
    <col min="17" max="17" width="12.28515625" style="16" customWidth="1"/>
    <col min="18" max="18" width="12.5703125" style="16" bestFit="1" customWidth="1"/>
    <col min="19" max="19" width="10.5703125" style="16" bestFit="1" customWidth="1"/>
    <col min="20" max="20" width="11.7109375" customWidth="1"/>
    <col min="21" max="21" width="9.42578125" customWidth="1"/>
    <col min="24" max="30" width="11.140625" customWidth="1"/>
    <col min="31" max="35" width="12.140625" customWidth="1"/>
    <col min="36" max="37" width="13.28515625" customWidth="1"/>
    <col min="38" max="44" width="12.140625" customWidth="1"/>
  </cols>
  <sheetData>
    <row r="1" spans="1:30" ht="63" customHeight="1">
      <c r="A1" s="89" t="s">
        <v>41</v>
      </c>
      <c r="B1" s="250" t="s">
        <v>42</v>
      </c>
      <c r="C1" s="250"/>
      <c r="D1" s="250"/>
      <c r="E1" s="250"/>
      <c r="H1" s="24"/>
      <c r="N1" s="16"/>
      <c r="S1"/>
      <c r="T1" s="1"/>
      <c r="U1" s="4"/>
      <c r="V1" s="1"/>
      <c r="W1" s="1"/>
    </row>
    <row r="2" spans="1:30" ht="42.75" customHeight="1">
      <c r="A2" s="61" t="s">
        <v>2</v>
      </c>
      <c r="B2" s="61" t="s">
        <v>8</v>
      </c>
      <c r="C2" s="61" t="s">
        <v>9</v>
      </c>
      <c r="D2" s="61" t="s">
        <v>26</v>
      </c>
      <c r="E2" s="62" t="s">
        <v>16</v>
      </c>
      <c r="F2" s="62" t="s">
        <v>17</v>
      </c>
      <c r="G2" s="62" t="s">
        <v>3</v>
      </c>
      <c r="H2" s="63" t="s">
        <v>0</v>
      </c>
      <c r="I2" s="64" t="s">
        <v>4</v>
      </c>
      <c r="J2" s="64" t="s">
        <v>5</v>
      </c>
      <c r="K2" s="119" t="s">
        <v>6</v>
      </c>
      <c r="L2" s="62" t="s">
        <v>95</v>
      </c>
      <c r="M2" s="62" t="s">
        <v>75</v>
      </c>
      <c r="N2" s="62" t="s">
        <v>10</v>
      </c>
      <c r="O2" s="62" t="s">
        <v>11</v>
      </c>
      <c r="P2" s="62" t="s">
        <v>12</v>
      </c>
      <c r="Q2" s="62" t="s">
        <v>13</v>
      </c>
      <c r="R2" s="62" t="s">
        <v>14</v>
      </c>
      <c r="S2" s="62" t="s">
        <v>15</v>
      </c>
      <c r="T2" s="62" t="s">
        <v>27</v>
      </c>
      <c r="U2" s="90" t="s">
        <v>52</v>
      </c>
      <c r="V2" s="90" t="s">
        <v>53</v>
      </c>
      <c r="W2" s="90" t="s">
        <v>54</v>
      </c>
      <c r="X2" s="90" t="s">
        <v>93</v>
      </c>
      <c r="Y2" s="90" t="s">
        <v>87</v>
      </c>
    </row>
    <row r="3" spans="1:30">
      <c r="A3" s="164" t="s">
        <v>104</v>
      </c>
      <c r="B3" s="65"/>
      <c r="C3" s="65"/>
      <c r="D3" s="65"/>
      <c r="E3" s="17">
        <f>VLOOKUP(WebDataS1[[#This Row],[Date]],'Background Sheet'!$E$3:$I$20,5,FALSE)</f>
        <v>11622</v>
      </c>
      <c r="F3" s="18">
        <f>VLOOKUP(WebDataS1[[#This Row],[Date]],'Background Sheet'!$K$3:$O$20,5,0)</f>
        <v>5415</v>
      </c>
      <c r="G3" s="8">
        <f>'Background Sheet'!T3</f>
        <v>12952</v>
      </c>
      <c r="H3" s="19">
        <f>WebDataS1[[#This Row],[New Visitors]]+WebDataS1[[#This Row],[Returning Visitors]]</f>
        <v>17037</v>
      </c>
      <c r="I3" s="9">
        <f>'Background Sheet'!AA3</f>
        <v>1.3153953057442866</v>
      </c>
      <c r="J3" s="12">
        <v>35583</v>
      </c>
      <c r="K3" s="120">
        <f>'Background Sheet'!AF3</f>
        <v>15.46</v>
      </c>
      <c r="L3" s="20">
        <f>'Background Sheet'!AK3</f>
        <v>173612</v>
      </c>
      <c r="M3" s="56">
        <f>'Background Sheet'!AM3</f>
        <v>10.190291718025474</v>
      </c>
      <c r="N3" s="22">
        <f>'Background Sheet'!AU3</f>
        <v>0</v>
      </c>
      <c r="O3" s="21">
        <f>'Background Sheet'!BA3</f>
        <v>0</v>
      </c>
      <c r="P3" s="24">
        <f>'Background Sheet'!BG3</f>
        <v>0</v>
      </c>
      <c r="Q3" s="121" t="e">
        <f>'Background Sheet'!BJ3</f>
        <v>#DIV/0!</v>
      </c>
      <c r="R3" s="10">
        <f>'Background Sheet'!BO3</f>
        <v>0</v>
      </c>
      <c r="S3" s="57" t="e">
        <f>'Background Sheet'!BR3</f>
        <v>#DIV/0!</v>
      </c>
      <c r="T3" s="122">
        <f>'Background Sheet'!BT3</f>
        <v>0</v>
      </c>
      <c r="U3" s="152">
        <f>'Background Sheet'!BY3</f>
        <v>0</v>
      </c>
      <c r="V3" s="152">
        <f>'Background Sheet'!CD3</f>
        <v>0</v>
      </c>
      <c r="W3" s="152">
        <f>'Background Sheet'!CI3</f>
        <v>0</v>
      </c>
      <c r="X3" s="153">
        <f>'Background Sheet'!CN3</f>
        <v>0</v>
      </c>
      <c r="Y3" s="154">
        <f>'Background Sheet'!CT3</f>
        <v>0</v>
      </c>
      <c r="AC3" s="165"/>
    </row>
    <row r="4" spans="1:30">
      <c r="A4" s="164" t="s">
        <v>105</v>
      </c>
      <c r="B4" s="65"/>
      <c r="C4" s="65"/>
      <c r="D4" s="65"/>
      <c r="E4" s="24">
        <f>VLOOKUP(WebDataS1[[#This Row],[Date]],'Background Sheet'!$E$3:$I$20,5,FALSE)</f>
        <v>11464</v>
      </c>
      <c r="F4" s="24">
        <f>VLOOKUP(WebDataS1[[#This Row],[Date]],'Background Sheet'!$K$3:$O$20,5,0)</f>
        <v>6169</v>
      </c>
      <c r="G4" s="8">
        <f>'Background Sheet'!T4</f>
        <v>13101</v>
      </c>
      <c r="H4" s="24">
        <f>WebDataS1[[#This Row],[New Visitors]]+WebDataS1[[#This Row],[Returning Visitors]]</f>
        <v>17633</v>
      </c>
      <c r="I4" s="9">
        <f>'Background Sheet'!AA4</f>
        <v>1.3459277917716206</v>
      </c>
      <c r="J4" s="12">
        <v>37857</v>
      </c>
      <c r="K4" s="120">
        <f>'Background Sheet'!AF4</f>
        <v>17.82</v>
      </c>
      <c r="L4" s="24">
        <f>'Background Sheet'!AK4</f>
        <v>188098</v>
      </c>
      <c r="M4" s="56">
        <f>'Background Sheet'!AM4</f>
        <v>10.667385016729995</v>
      </c>
      <c r="N4" s="22">
        <f>'Background Sheet'!AU4</f>
        <v>0</v>
      </c>
      <c r="O4" s="24">
        <f>'Background Sheet'!BA4</f>
        <v>0</v>
      </c>
      <c r="P4" s="24">
        <f>'Background Sheet'!BG4</f>
        <v>0</v>
      </c>
      <c r="Q4" s="121" t="e">
        <f>'Background Sheet'!BJ4</f>
        <v>#DIV/0!</v>
      </c>
      <c r="R4" s="10">
        <f>'Background Sheet'!BO4</f>
        <v>0</v>
      </c>
      <c r="S4" s="57" t="e">
        <f>'Background Sheet'!BR4</f>
        <v>#DIV/0!</v>
      </c>
      <c r="T4" s="122">
        <f>'Background Sheet'!BT4</f>
        <v>0</v>
      </c>
      <c r="U4" s="152">
        <f>'Background Sheet'!BY4</f>
        <v>0</v>
      </c>
      <c r="V4" s="152">
        <f>'Background Sheet'!CD4</f>
        <v>0</v>
      </c>
      <c r="W4" s="152">
        <f>'Background Sheet'!CI4</f>
        <v>0</v>
      </c>
      <c r="X4" s="153">
        <f>'Background Sheet'!CN4</f>
        <v>0</v>
      </c>
      <c r="Y4" s="154">
        <f>'Background Sheet'!CT4</f>
        <v>0</v>
      </c>
      <c r="AA4" s="23"/>
      <c r="AB4" s="23"/>
      <c r="AC4" s="165"/>
    </row>
    <row r="5" spans="1:30">
      <c r="A5" s="164" t="s">
        <v>106</v>
      </c>
      <c r="B5" s="65"/>
      <c r="C5" s="65"/>
      <c r="D5" s="65"/>
      <c r="E5" s="24">
        <f>VLOOKUP(WebDataS1[[#This Row],[Date]],'Background Sheet'!$E$3:$I$20,5,FALSE)</f>
        <v>11130</v>
      </c>
      <c r="F5" s="24">
        <f>VLOOKUP(WebDataS1[[#This Row],[Date]],'Background Sheet'!$K$3:$O$20,5,0)</f>
        <v>7164</v>
      </c>
      <c r="G5" s="8">
        <f>'Background Sheet'!T5</f>
        <v>12968</v>
      </c>
      <c r="H5" s="24">
        <f>WebDataS1[[#This Row],[New Visitors]]+WebDataS1[[#This Row],[Returning Visitors]]</f>
        <v>18294</v>
      </c>
      <c r="I5" s="9">
        <f>'Background Sheet'!AA5</f>
        <v>1.4107032695866748</v>
      </c>
      <c r="J5" s="12">
        <v>33464</v>
      </c>
      <c r="K5" s="120">
        <f>'Background Sheet'!AF5</f>
        <v>19.78</v>
      </c>
      <c r="L5" s="24">
        <f>'Background Sheet'!AK5</f>
        <v>180868</v>
      </c>
      <c r="M5" s="56">
        <f>'Background Sheet'!AM5</f>
        <v>9.8867388214715213</v>
      </c>
      <c r="N5" s="22">
        <f>'Background Sheet'!AU5</f>
        <v>0</v>
      </c>
      <c r="O5" s="24">
        <f>'Background Sheet'!BA5</f>
        <v>0</v>
      </c>
      <c r="P5" s="24">
        <f>'Background Sheet'!BG5</f>
        <v>0</v>
      </c>
      <c r="Q5" s="121" t="e">
        <f>'Background Sheet'!BJ5</f>
        <v>#DIV/0!</v>
      </c>
      <c r="R5" s="10">
        <f>'Background Sheet'!BO5</f>
        <v>0</v>
      </c>
      <c r="S5" s="57" t="e">
        <f>'Background Sheet'!BR5</f>
        <v>#DIV/0!</v>
      </c>
      <c r="T5" s="122">
        <f>'Background Sheet'!BT5</f>
        <v>0</v>
      </c>
      <c r="U5" s="152">
        <f>'Background Sheet'!BY5</f>
        <v>0</v>
      </c>
      <c r="V5" s="152">
        <f>'Background Sheet'!CD5</f>
        <v>0</v>
      </c>
      <c r="W5" s="152">
        <f>'Background Sheet'!CI5</f>
        <v>0</v>
      </c>
      <c r="X5" s="153">
        <f>'Background Sheet'!CN5</f>
        <v>0</v>
      </c>
      <c r="Y5" s="154">
        <f>'Background Sheet'!CT5</f>
        <v>0</v>
      </c>
      <c r="AA5" s="23"/>
      <c r="AB5" s="23"/>
      <c r="AC5" s="165"/>
    </row>
    <row r="6" spans="1:30">
      <c r="A6" s="164" t="s">
        <v>107</v>
      </c>
      <c r="B6" s="65"/>
      <c r="C6" s="65"/>
      <c r="D6" s="65"/>
      <c r="E6" s="24">
        <f>VLOOKUP(WebDataS1[[#This Row],[Date]],'Background Sheet'!$E$3:$I$20,5,FALSE)</f>
        <v>10994</v>
      </c>
      <c r="F6" s="24">
        <f>VLOOKUP(WebDataS1[[#This Row],[Date]],'Background Sheet'!$K$3:$O$20,5,0)</f>
        <v>6850</v>
      </c>
      <c r="G6" s="8">
        <f>'Background Sheet'!T6</f>
        <v>12851</v>
      </c>
      <c r="H6" s="24">
        <f>WebDataS1[[#This Row],[New Visitors]]+WebDataS1[[#This Row],[Returning Visitors]]</f>
        <v>17844</v>
      </c>
      <c r="I6" s="9">
        <f>'Background Sheet'!AA6</f>
        <v>1.3885300754805074</v>
      </c>
      <c r="J6" s="12">
        <v>28287</v>
      </c>
      <c r="K6" s="120">
        <f>'Background Sheet'!AF6</f>
        <v>21.68</v>
      </c>
      <c r="L6" s="24">
        <f>'Background Sheet'!AK6</f>
        <v>159791</v>
      </c>
      <c r="M6" s="56">
        <f>'Background Sheet'!AM6</f>
        <v>8.9548867966823575</v>
      </c>
      <c r="N6" s="22">
        <f>'Background Sheet'!AU6</f>
        <v>0</v>
      </c>
      <c r="O6" s="24">
        <f>'Background Sheet'!BA6</f>
        <v>0</v>
      </c>
      <c r="P6" s="24">
        <f>'Background Sheet'!BG6</f>
        <v>0</v>
      </c>
      <c r="Q6" s="121" t="e">
        <f>'Background Sheet'!BJ6</f>
        <v>#DIV/0!</v>
      </c>
      <c r="R6" s="10">
        <f>'Background Sheet'!BO6</f>
        <v>0</v>
      </c>
      <c r="S6" s="57" t="e">
        <f>'Background Sheet'!BR6</f>
        <v>#DIV/0!</v>
      </c>
      <c r="T6" s="122">
        <f>'Background Sheet'!BT6</f>
        <v>0</v>
      </c>
      <c r="U6" s="152">
        <f>'Background Sheet'!BY6</f>
        <v>0</v>
      </c>
      <c r="V6" s="152">
        <f>'Background Sheet'!CD6</f>
        <v>0</v>
      </c>
      <c r="W6" s="152">
        <f>'Background Sheet'!CI6</f>
        <v>0</v>
      </c>
      <c r="X6" s="153">
        <f>'Background Sheet'!CN6</f>
        <v>0</v>
      </c>
      <c r="Y6" s="154">
        <f>'Background Sheet'!CT6</f>
        <v>0</v>
      </c>
      <c r="AA6" s="23"/>
      <c r="AB6" s="23"/>
      <c r="AC6" s="165"/>
    </row>
    <row r="7" spans="1:30">
      <c r="A7" s="164" t="s">
        <v>108</v>
      </c>
      <c r="B7" s="65"/>
      <c r="C7" s="65"/>
      <c r="D7" s="65"/>
      <c r="E7" s="24">
        <f>VLOOKUP(WebDataS1[[#This Row],[Date]],'Background Sheet'!$E$3:$I$20,5,FALSE)</f>
        <v>12033</v>
      </c>
      <c r="F7" s="24">
        <f>VLOOKUP(WebDataS1[[#This Row],[Date]],'Background Sheet'!$K$3:$O$20,5,0)</f>
        <v>6701</v>
      </c>
      <c r="G7" s="8">
        <f>'Background Sheet'!T7</f>
        <v>13743</v>
      </c>
      <c r="H7" s="24">
        <f>WebDataS1[[#This Row],[New Visitors]]+WebDataS1[[#This Row],[Returning Visitors]]</f>
        <v>18734</v>
      </c>
      <c r="I7" s="9">
        <f>'Background Sheet'!AA7</f>
        <v>1.3631667030488248</v>
      </c>
      <c r="J7" s="12">
        <v>34413</v>
      </c>
      <c r="K7" s="120">
        <f>'Background Sheet'!AF7</f>
        <v>21.99</v>
      </c>
      <c r="L7" s="24">
        <f>'Background Sheet'!AK7</f>
        <v>141664</v>
      </c>
      <c r="M7" s="56">
        <f>'Background Sheet'!AM7</f>
        <v>7.5618661257606492</v>
      </c>
      <c r="N7" s="22">
        <f>'Background Sheet'!AU7</f>
        <v>0</v>
      </c>
      <c r="O7" s="24">
        <f>'Background Sheet'!BA7</f>
        <v>0</v>
      </c>
      <c r="P7" s="24">
        <f>'Background Sheet'!BG7</f>
        <v>0</v>
      </c>
      <c r="Q7" s="121" t="e">
        <f>'Background Sheet'!BJ7</f>
        <v>#DIV/0!</v>
      </c>
      <c r="R7" s="10">
        <f>'Background Sheet'!BO7</f>
        <v>0</v>
      </c>
      <c r="S7" s="57" t="e">
        <f>'Background Sheet'!BR7</f>
        <v>#DIV/0!</v>
      </c>
      <c r="T7" s="122">
        <f>'Background Sheet'!BT7</f>
        <v>0</v>
      </c>
      <c r="U7" s="152">
        <f>'Background Sheet'!BY7</f>
        <v>0</v>
      </c>
      <c r="V7" s="152">
        <f>'Background Sheet'!CD7</f>
        <v>0</v>
      </c>
      <c r="W7" s="152">
        <f>'Background Sheet'!CI7</f>
        <v>0</v>
      </c>
      <c r="X7" s="153">
        <f>'Background Sheet'!CN7</f>
        <v>0</v>
      </c>
      <c r="Y7" s="154">
        <f>'Background Sheet'!CT7</f>
        <v>0</v>
      </c>
      <c r="AA7" s="23"/>
      <c r="AB7" s="23"/>
      <c r="AC7" s="165"/>
    </row>
    <row r="8" spans="1:30">
      <c r="A8" s="164" t="s">
        <v>109</v>
      </c>
      <c r="B8" s="65"/>
      <c r="C8" s="65"/>
      <c r="D8" s="65"/>
      <c r="E8" s="24">
        <f>VLOOKUP(WebDataS1[[#This Row],[Date]],'Background Sheet'!$E$3:$I$20,5,FALSE)</f>
        <v>13450</v>
      </c>
      <c r="F8" s="24">
        <f>VLOOKUP(WebDataS1[[#This Row],[Date]],'Background Sheet'!$K$3:$O$20,5,0)</f>
        <v>6592</v>
      </c>
      <c r="G8" s="8">
        <f>'Background Sheet'!T8</f>
        <v>15085</v>
      </c>
      <c r="H8" s="24">
        <f>WebDataS1[[#This Row],[New Visitors]]+WebDataS1[[#This Row],[Returning Visitors]]</f>
        <v>20042</v>
      </c>
      <c r="I8" s="9">
        <f>'Background Sheet'!AA8</f>
        <v>1.3286045740802122</v>
      </c>
      <c r="J8" s="12">
        <v>30443</v>
      </c>
      <c r="K8" s="120">
        <f>'Background Sheet'!AF8</f>
        <v>11.18</v>
      </c>
      <c r="L8" s="24">
        <f>'Background Sheet'!AK8</f>
        <v>136747</v>
      </c>
      <c r="M8" s="56">
        <f>'Background Sheet'!AM8</f>
        <v>6.8230216545254967</v>
      </c>
      <c r="N8" s="22">
        <f>'Background Sheet'!AU8</f>
        <v>13416</v>
      </c>
      <c r="O8" s="24">
        <f>'Background Sheet'!BA8</f>
        <v>27</v>
      </c>
      <c r="P8" s="24">
        <f>'Background Sheet'!BG8</f>
        <v>61</v>
      </c>
      <c r="Q8" s="121">
        <f>'Background Sheet'!BJ8</f>
        <v>2.2592592592592591</v>
      </c>
      <c r="R8" s="10">
        <f>'Background Sheet'!BO8</f>
        <v>5754.25</v>
      </c>
      <c r="S8" s="57">
        <f>'Background Sheet'!BR8</f>
        <v>213.12037037037038</v>
      </c>
      <c r="T8" s="122">
        <f>'Background Sheet'!BT8</f>
        <v>1.34717094102385E-3</v>
      </c>
      <c r="U8" s="152">
        <f>'Background Sheet'!BY8</f>
        <v>0</v>
      </c>
      <c r="V8" s="152">
        <f>'Background Sheet'!CD8</f>
        <v>0</v>
      </c>
      <c r="W8" s="152">
        <f>'Background Sheet'!CI8</f>
        <v>0</v>
      </c>
      <c r="X8" s="153">
        <f>'Background Sheet'!CN8</f>
        <v>0</v>
      </c>
      <c r="Y8" s="154">
        <f>'Background Sheet'!CT8</f>
        <v>0</v>
      </c>
      <c r="AA8" s="23"/>
      <c r="AB8" s="23"/>
      <c r="AC8" s="165"/>
    </row>
    <row r="9" spans="1:30">
      <c r="A9" s="164" t="s">
        <v>110</v>
      </c>
      <c r="B9" s="65"/>
      <c r="C9" s="65"/>
      <c r="D9" s="65"/>
      <c r="E9" s="24">
        <f>VLOOKUP(WebDataS1[[#This Row],[Date]],'Background Sheet'!$E$3:$I$20,5,FALSE)</f>
        <v>20438</v>
      </c>
      <c r="F9" s="24">
        <f>VLOOKUP(WebDataS1[[#This Row],[Date]],'Background Sheet'!$K$3:$O$20,5,0)</f>
        <v>8350</v>
      </c>
      <c r="G9" s="8">
        <f>'Background Sheet'!T9</f>
        <v>22536</v>
      </c>
      <c r="H9" s="24">
        <f>WebDataS1[[#This Row],[New Visitors]]+WebDataS1[[#This Row],[Returning Visitors]]</f>
        <v>28788</v>
      </c>
      <c r="I9" s="9">
        <f>'Background Sheet'!AA9</f>
        <v>1.277422790202343</v>
      </c>
      <c r="J9" s="12">
        <v>25252</v>
      </c>
      <c r="K9" s="120">
        <f>'Background Sheet'!AF9</f>
        <v>0.56999999999999995</v>
      </c>
      <c r="L9" s="24">
        <f>'Background Sheet'!AK9</f>
        <v>177377</v>
      </c>
      <c r="M9" s="56">
        <f>'Background Sheet'!AM9</f>
        <v>6.1614908989856882</v>
      </c>
      <c r="N9" s="22">
        <f>'Background Sheet'!AU9</f>
        <v>20411</v>
      </c>
      <c r="O9" s="24">
        <f>'Background Sheet'!BA9</f>
        <v>583</v>
      </c>
      <c r="P9" s="24">
        <f>'Background Sheet'!BG9</f>
        <v>1033</v>
      </c>
      <c r="Q9" s="121">
        <f>'Background Sheet'!BJ9</f>
        <v>1.771869639794168</v>
      </c>
      <c r="R9" s="10">
        <f>'Background Sheet'!BO9</f>
        <v>88701.34</v>
      </c>
      <c r="S9" s="57">
        <f>'Background Sheet'!BR9</f>
        <v>152.14638078902229</v>
      </c>
      <c r="T9" s="122">
        <f>'Background Sheet'!BT9</f>
        <v>2.0251493677921357E-2</v>
      </c>
      <c r="U9" s="152">
        <f>'Background Sheet'!BY9</f>
        <v>0</v>
      </c>
      <c r="V9" s="152">
        <f>'Background Sheet'!CD9</f>
        <v>0</v>
      </c>
      <c r="W9" s="152">
        <f>'Background Sheet'!CI9</f>
        <v>0</v>
      </c>
      <c r="X9" s="153">
        <f>'Background Sheet'!CN9</f>
        <v>0</v>
      </c>
      <c r="Y9" s="154">
        <f>'Background Sheet'!CT9</f>
        <v>0</v>
      </c>
      <c r="AA9" s="23"/>
      <c r="AB9" s="23"/>
      <c r="AC9" s="165"/>
    </row>
    <row r="10" spans="1:30">
      <c r="A10" s="164" t="s">
        <v>111</v>
      </c>
      <c r="B10" s="65"/>
      <c r="C10" s="65"/>
      <c r="D10" s="65"/>
      <c r="E10" s="24">
        <f>VLOOKUP(WebDataS1[[#This Row],[Date]],'Background Sheet'!$E$3:$I$20,5,FALSE)</f>
        <v>20334</v>
      </c>
      <c r="F10" s="24">
        <f>VLOOKUP(WebDataS1[[#This Row],[Date]],'Background Sheet'!$K$3:$O$20,5,0)</f>
        <v>7702</v>
      </c>
      <c r="G10" s="8">
        <f>'Background Sheet'!T10</f>
        <v>22361</v>
      </c>
      <c r="H10" s="24">
        <f>WebDataS1[[#This Row],[New Visitors]]+WebDataS1[[#This Row],[Returning Visitors]]</f>
        <v>28036</v>
      </c>
      <c r="I10" s="9">
        <f>'Background Sheet'!AA10</f>
        <v>1.2537900809445015</v>
      </c>
      <c r="J10" s="12">
        <v>30691</v>
      </c>
      <c r="K10" s="120">
        <f>'Background Sheet'!AF10</f>
        <v>0.51</v>
      </c>
      <c r="L10" s="24">
        <f>'Background Sheet'!AK10</f>
        <v>169130</v>
      </c>
      <c r="M10" s="56">
        <f>'Background Sheet'!AM10</f>
        <v>6.0326009416464546</v>
      </c>
      <c r="N10" s="22">
        <f>'Background Sheet'!AU10</f>
        <v>20309</v>
      </c>
      <c r="O10" s="24">
        <f>'Background Sheet'!BA10</f>
        <v>567</v>
      </c>
      <c r="P10" s="24">
        <f>'Background Sheet'!BG10</f>
        <v>1049</v>
      </c>
      <c r="Q10" s="121">
        <f>'Background Sheet'!BJ10</f>
        <v>1.8500881834215168</v>
      </c>
      <c r="R10" s="10">
        <f>'Background Sheet'!BO10</f>
        <v>85423.34</v>
      </c>
      <c r="S10" s="57">
        <f>'Background Sheet'!BR10</f>
        <v>150.6584479717813</v>
      </c>
      <c r="T10" s="122">
        <f>'Background Sheet'!BT10</f>
        <v>2.0223997717220717E-2</v>
      </c>
      <c r="U10" s="152">
        <f>'Background Sheet'!BY10</f>
        <v>0</v>
      </c>
      <c r="V10" s="152">
        <f>'Background Sheet'!CD10</f>
        <v>0</v>
      </c>
      <c r="W10" s="152">
        <f>'Background Sheet'!CI10</f>
        <v>0</v>
      </c>
      <c r="X10" s="153">
        <f>'Background Sheet'!CN10</f>
        <v>0</v>
      </c>
      <c r="Y10" s="154">
        <f>'Background Sheet'!CT10</f>
        <v>0</v>
      </c>
      <c r="AA10" s="23"/>
      <c r="AB10" s="23"/>
      <c r="AC10" s="165"/>
    </row>
    <row r="11" spans="1:30">
      <c r="A11" s="164" t="s">
        <v>112</v>
      </c>
      <c r="B11" s="66" t="s">
        <v>28</v>
      </c>
      <c r="C11" s="66" t="s">
        <v>28</v>
      </c>
      <c r="D11" s="66" t="s">
        <v>28</v>
      </c>
      <c r="E11" s="24">
        <f>VLOOKUP(WebDataS1[[#This Row],[Date]],'Background Sheet'!$E$3:$I$20,5,FALSE)</f>
        <v>22772</v>
      </c>
      <c r="F11" s="24">
        <f>VLOOKUP(WebDataS1[[#This Row],[Date]],'Background Sheet'!$K$3:$O$20,5,0)</f>
        <v>8952</v>
      </c>
      <c r="G11" s="8">
        <f>'Background Sheet'!T11</f>
        <v>25092</v>
      </c>
      <c r="H11" s="24">
        <f>WebDataS1[[#This Row],[New Visitors]]+WebDataS1[[#This Row],[Returning Visitors]]</f>
        <v>31724</v>
      </c>
      <c r="I11" s="9">
        <f>'Background Sheet'!AA11</f>
        <v>1.2643073489558425</v>
      </c>
      <c r="J11" s="12">
        <v>23102</v>
      </c>
      <c r="K11" s="120">
        <f>'Background Sheet'!AF11</f>
        <v>1.44</v>
      </c>
      <c r="L11" s="24">
        <f>'Background Sheet'!AK11</f>
        <v>198587</v>
      </c>
      <c r="M11" s="56">
        <f>'Background Sheet'!AM11</f>
        <v>6.2598348253688059</v>
      </c>
      <c r="N11" s="22">
        <f>'Background Sheet'!AU11</f>
        <v>22744</v>
      </c>
      <c r="O11" s="24">
        <f>'Background Sheet'!BA11</f>
        <v>671</v>
      </c>
      <c r="P11" s="24">
        <f>'Background Sheet'!BG11</f>
        <v>1254</v>
      </c>
      <c r="Q11" s="121">
        <f>'Background Sheet'!BJ11</f>
        <v>1.8688524590163935</v>
      </c>
      <c r="R11" s="10">
        <f>'Background Sheet'!BO11</f>
        <v>98261.46</v>
      </c>
      <c r="S11" s="57">
        <f>'Background Sheet'!BR11</f>
        <v>146.44032786885248</v>
      </c>
      <c r="T11" s="122">
        <f>'Background Sheet'!BT11</f>
        <v>2.115117891816921E-2</v>
      </c>
      <c r="U11" s="152">
        <f>'Background Sheet'!BY11</f>
        <v>0</v>
      </c>
      <c r="V11" s="152">
        <f>'Background Sheet'!CD11</f>
        <v>0</v>
      </c>
      <c r="W11" s="152">
        <f>'Background Sheet'!CI11</f>
        <v>0</v>
      </c>
      <c r="X11" s="153">
        <f>'Background Sheet'!CN11</f>
        <v>0</v>
      </c>
      <c r="Y11" s="154">
        <f>'Background Sheet'!CT11</f>
        <v>0</v>
      </c>
      <c r="AA11" s="23"/>
      <c r="AB11" s="23"/>
      <c r="AC11" s="165"/>
    </row>
    <row r="12" spans="1:30">
      <c r="A12" s="164" t="s">
        <v>113</v>
      </c>
      <c r="B12" s="66" t="s">
        <v>28</v>
      </c>
      <c r="C12" s="66" t="s">
        <v>28</v>
      </c>
      <c r="D12" s="66" t="s">
        <v>28</v>
      </c>
      <c r="E12" s="24">
        <f>VLOOKUP(WebDataS1[[#This Row],[Date]],'Background Sheet'!$E$3:$I$20,5,FALSE)</f>
        <v>23608</v>
      </c>
      <c r="F12" s="24">
        <f>VLOOKUP(WebDataS1[[#This Row],[Date]],'Background Sheet'!$K$3:$O$20,5,0)</f>
        <v>10615</v>
      </c>
      <c r="G12" s="8">
        <f>'Background Sheet'!T12</f>
        <v>26257</v>
      </c>
      <c r="H12" s="24">
        <f>WebDataS1[[#This Row],[New Visitors]]+WebDataS1[[#This Row],[Returning Visitors]]</f>
        <v>34223</v>
      </c>
      <c r="I12" s="9">
        <f>'Background Sheet'!AA12</f>
        <v>1.3033857637963209</v>
      </c>
      <c r="J12" s="12">
        <v>25620</v>
      </c>
      <c r="K12" s="120">
        <f>'Background Sheet'!AF12</f>
        <v>31.97</v>
      </c>
      <c r="L12" s="24">
        <f>'Background Sheet'!AK12</f>
        <v>201723</v>
      </c>
      <c r="M12" s="56">
        <f>'Background Sheet'!AM12</f>
        <v>5.8943692838149779</v>
      </c>
      <c r="N12" s="22">
        <f>'Background Sheet'!AU12</f>
        <v>23567</v>
      </c>
      <c r="O12" s="24">
        <f>'Background Sheet'!BA12</f>
        <v>650</v>
      </c>
      <c r="P12" s="24">
        <f>'Background Sheet'!BG12</f>
        <v>1254</v>
      </c>
      <c r="Q12" s="121">
        <f>'Background Sheet'!BJ12</f>
        <v>1.9292307692307693</v>
      </c>
      <c r="R12" s="10">
        <f>'Background Sheet'!BO12</f>
        <v>104761.94</v>
      </c>
      <c r="S12" s="57">
        <f>'Background Sheet'!BR12</f>
        <v>161.17221538461538</v>
      </c>
      <c r="T12" s="122">
        <f>'Background Sheet'!BT12</f>
        <v>1.899307483271484E-2</v>
      </c>
      <c r="U12" s="152">
        <f>'Background Sheet'!BY12</f>
        <v>0</v>
      </c>
      <c r="V12" s="152">
        <f>'Background Sheet'!CD12</f>
        <v>0</v>
      </c>
      <c r="W12" s="152">
        <f>'Background Sheet'!CI12</f>
        <v>0</v>
      </c>
      <c r="X12" s="153">
        <f>'Background Sheet'!CN12</f>
        <v>0</v>
      </c>
      <c r="Y12" s="154">
        <f>'Background Sheet'!CT12</f>
        <v>0</v>
      </c>
      <c r="AA12" s="23"/>
      <c r="AB12" s="23"/>
      <c r="AC12" s="165"/>
    </row>
    <row r="13" spans="1:30">
      <c r="A13" s="164" t="s">
        <v>103</v>
      </c>
      <c r="B13" s="66" t="s">
        <v>28</v>
      </c>
      <c r="C13" s="66" t="s">
        <v>28</v>
      </c>
      <c r="D13" s="66" t="s">
        <v>28</v>
      </c>
      <c r="E13" s="24">
        <f>VLOOKUP(WebDataS1[[#This Row],[Date]],'Background Sheet'!$E$3:$I$20,5,FALSE)</f>
        <v>25422</v>
      </c>
      <c r="F13" s="24">
        <f>VLOOKUP(WebDataS1[[#This Row],[Date]],'Background Sheet'!$K$3:$O$20,5,0)</f>
        <v>13081</v>
      </c>
      <c r="G13" s="8">
        <f>'Background Sheet'!T13</f>
        <v>28586</v>
      </c>
      <c r="H13" s="24">
        <f>WebDataS1[[#This Row],[New Visitors]]+WebDataS1[[#This Row],[Returning Visitors]]</f>
        <v>38503</v>
      </c>
      <c r="I13" s="9">
        <f>'Background Sheet'!AA13</f>
        <v>1.3469180717833904</v>
      </c>
      <c r="J13" s="12">
        <v>62838</v>
      </c>
      <c r="K13" s="120">
        <f>'Background Sheet'!AF13</f>
        <v>22.76</v>
      </c>
      <c r="L13" s="24">
        <f>'Background Sheet'!AK13</f>
        <v>264120</v>
      </c>
      <c r="M13" s="56">
        <f>'Background Sheet'!AM13</f>
        <v>6.8597252162169182</v>
      </c>
      <c r="N13" s="22">
        <f>'Background Sheet'!AU13</f>
        <v>25395</v>
      </c>
      <c r="O13" s="24">
        <f>'Background Sheet'!BA13</f>
        <v>1031</v>
      </c>
      <c r="P13" s="24">
        <f>'Background Sheet'!BG13</f>
        <v>2288</v>
      </c>
      <c r="Q13" s="121">
        <f>'Background Sheet'!BJ13</f>
        <v>2.219204655674103</v>
      </c>
      <c r="R13" s="10">
        <f>'Background Sheet'!BO13</f>
        <v>151050.38</v>
      </c>
      <c r="S13" s="57">
        <f>'Background Sheet'!BR13</f>
        <v>146.50861299709021</v>
      </c>
      <c r="T13" s="122">
        <f>'Background Sheet'!BT13</f>
        <v>2.6777134249279275E-2</v>
      </c>
      <c r="U13" s="152">
        <f>'Background Sheet'!BY13</f>
        <v>0</v>
      </c>
      <c r="V13" s="152">
        <f>'Background Sheet'!CD13</f>
        <v>0</v>
      </c>
      <c r="W13" s="152">
        <f>'Background Sheet'!CI13</f>
        <v>0</v>
      </c>
      <c r="X13" s="153">
        <f>'Background Sheet'!CN13</f>
        <v>0</v>
      </c>
      <c r="Y13" s="154">
        <f>'Background Sheet'!CT13</f>
        <v>0</v>
      </c>
      <c r="AA13" s="23"/>
      <c r="AB13" s="23"/>
      <c r="AC13" s="165"/>
    </row>
    <row r="14" spans="1:30">
      <c r="A14" s="164" t="s">
        <v>114</v>
      </c>
      <c r="B14" s="66"/>
      <c r="C14" s="66"/>
      <c r="D14" s="66" t="s">
        <v>28</v>
      </c>
      <c r="E14" s="24">
        <f>VLOOKUP(WebDataS1[[#This Row],[Date]],'Background Sheet'!$E$3:$I$20,5,FALSE)</f>
        <v>25599</v>
      </c>
      <c r="F14" s="24">
        <f>VLOOKUP(WebDataS1[[#This Row],[Date]],'Background Sheet'!$K$3:$O$20,5,0)</f>
        <v>13882</v>
      </c>
      <c r="G14" s="8">
        <f>'Background Sheet'!T14</f>
        <v>29050</v>
      </c>
      <c r="H14" s="24">
        <f>WebDataS1[[#This Row],[New Visitors]]+WebDataS1[[#This Row],[Returning Visitors]]</f>
        <v>39481</v>
      </c>
      <c r="I14" s="9">
        <f>'Background Sheet'!AA14</f>
        <v>1.3590705679862307</v>
      </c>
      <c r="J14" s="12">
        <v>64318</v>
      </c>
      <c r="K14" s="120">
        <f>'Background Sheet'!AF14</f>
        <v>21.16</v>
      </c>
      <c r="L14" s="24">
        <f>'Background Sheet'!AK14</f>
        <v>278339</v>
      </c>
      <c r="M14" s="56">
        <f>'Background Sheet'!AM14</f>
        <v>7.0499480762898612</v>
      </c>
      <c r="N14" s="22">
        <f>'Background Sheet'!AU14</f>
        <v>25543</v>
      </c>
      <c r="O14" s="24">
        <f>'Background Sheet'!BA14</f>
        <v>1319</v>
      </c>
      <c r="P14" s="24">
        <f>'Background Sheet'!BG14</f>
        <v>2278</v>
      </c>
      <c r="Q14" s="121">
        <f>'Background Sheet'!BJ14</f>
        <v>1.7270659590598938</v>
      </c>
      <c r="R14" s="10">
        <f>'Background Sheet'!BO14</f>
        <v>163833.25</v>
      </c>
      <c r="S14" s="57">
        <f>'Background Sheet'!BR14</f>
        <v>124.21019711902957</v>
      </c>
      <c r="T14" s="122">
        <f>'Background Sheet'!BT14</f>
        <v>3.340847496264026E-2</v>
      </c>
      <c r="U14" s="152">
        <f>'Background Sheet'!BY14</f>
        <v>0</v>
      </c>
      <c r="V14" s="152">
        <f>'Background Sheet'!CD14</f>
        <v>0</v>
      </c>
      <c r="W14" s="152">
        <f>'Background Sheet'!CI14</f>
        <v>0</v>
      </c>
      <c r="X14" s="153">
        <f>'Background Sheet'!CN14</f>
        <v>0</v>
      </c>
      <c r="Y14" s="154">
        <f>'Background Sheet'!CT14</f>
        <v>0</v>
      </c>
      <c r="AA14" s="23"/>
      <c r="AB14" s="23"/>
      <c r="AC14" s="165"/>
    </row>
    <row r="15" spans="1:30">
      <c r="A15" s="164" t="s">
        <v>115</v>
      </c>
      <c r="B15" s="66" t="s">
        <v>28</v>
      </c>
      <c r="C15" s="66" t="s">
        <v>28</v>
      </c>
      <c r="D15" s="66" t="s">
        <v>28</v>
      </c>
      <c r="E15" s="24">
        <f>VLOOKUP(WebDataS1[[#This Row],[Date]],'Background Sheet'!$E$3:$I$20,5,FALSE)</f>
        <v>23541</v>
      </c>
      <c r="F15" s="24">
        <f>VLOOKUP(WebDataS1[[#This Row],[Date]],'Background Sheet'!$K$3:$O$20,5,0)</f>
        <v>11606</v>
      </c>
      <c r="G15" s="8">
        <f>'Background Sheet'!T15</f>
        <v>26429</v>
      </c>
      <c r="H15" s="24">
        <f>WebDataS1[[#This Row],[New Visitors]]+WebDataS1[[#This Row],[Returning Visitors]]</f>
        <v>35147</v>
      </c>
      <c r="I15" s="7">
        <f>'Background Sheet'!AA15</f>
        <v>1.3298649211093874</v>
      </c>
      <c r="J15" s="11">
        <v>63330</v>
      </c>
      <c r="K15" s="120">
        <f>'Background Sheet'!AF15</f>
        <v>26.4</v>
      </c>
      <c r="L15" s="24">
        <f>'Background Sheet'!AK15</f>
        <v>211058</v>
      </c>
      <c r="M15" s="56">
        <f>'Background Sheet'!AM15</f>
        <v>6.0050075397615732</v>
      </c>
      <c r="N15" s="2">
        <f>'Background Sheet'!AU15</f>
        <v>23505</v>
      </c>
      <c r="O15" s="24">
        <f>'Background Sheet'!BA15</f>
        <v>629</v>
      </c>
      <c r="P15" s="24">
        <f>'Background Sheet'!BG15</f>
        <v>1226</v>
      </c>
      <c r="Q15" s="121">
        <f>'Background Sheet'!BJ15</f>
        <v>1.9491255961844196</v>
      </c>
      <c r="R15" s="10">
        <f>'Background Sheet'!BO15</f>
        <v>98055.99</v>
      </c>
      <c r="S15" s="57">
        <f>'Background Sheet'!BR15</f>
        <v>155.8918759936407</v>
      </c>
      <c r="T15" s="122">
        <f>'Background Sheet'!BT15</f>
        <v>1.7896264261530143E-2</v>
      </c>
      <c r="U15" s="152">
        <f>'Background Sheet'!BY15</f>
        <v>0</v>
      </c>
      <c r="V15" s="152">
        <f>'Background Sheet'!CD15</f>
        <v>0</v>
      </c>
      <c r="W15" s="152">
        <f>'Background Sheet'!CI15</f>
        <v>0</v>
      </c>
      <c r="X15" s="153">
        <f>'Background Sheet'!CN15</f>
        <v>0</v>
      </c>
      <c r="Y15" s="154">
        <f>'Background Sheet'!CT15</f>
        <v>0</v>
      </c>
      <c r="AA15" s="23"/>
      <c r="AC15" s="165"/>
    </row>
    <row r="16" spans="1:30">
      <c r="A16" s="164" t="s">
        <v>116</v>
      </c>
      <c r="B16" s="66" t="s">
        <v>28</v>
      </c>
      <c r="C16" s="66" t="s">
        <v>28</v>
      </c>
      <c r="D16" s="66" t="s">
        <v>28</v>
      </c>
      <c r="E16" s="24">
        <f>VLOOKUP(WebDataS1[[#This Row],[Date]],'Background Sheet'!$E$3:$I$20,5,FALSE)</f>
        <v>21442</v>
      </c>
      <c r="F16" s="24">
        <f>VLOOKUP(WebDataS1[[#This Row],[Date]],'Background Sheet'!$K$3:$O$20,5,0)</f>
        <v>11401</v>
      </c>
      <c r="G16" s="8">
        <f>'Background Sheet'!T16</f>
        <v>24451</v>
      </c>
      <c r="H16" s="24">
        <f>WebDataS1[[#This Row],[New Visitors]]+WebDataS1[[#This Row],[Returning Visitors]]</f>
        <v>32843</v>
      </c>
      <c r="I16" s="7">
        <f>'Background Sheet'!AA16</f>
        <v>1.343217046337573</v>
      </c>
      <c r="J16" s="15">
        <v>41885</v>
      </c>
      <c r="K16" s="120">
        <f>'Background Sheet'!AF16</f>
        <v>24.8</v>
      </c>
      <c r="L16" s="24">
        <f>'Background Sheet'!AK16</f>
        <v>174296</v>
      </c>
      <c r="M16" s="56">
        <f>'Background Sheet'!AM16</f>
        <v>5.3069451633529212</v>
      </c>
      <c r="N16" s="2">
        <f>'Background Sheet'!AU16</f>
        <v>21415</v>
      </c>
      <c r="O16" s="24">
        <f>'Background Sheet'!BA16</f>
        <v>657</v>
      </c>
      <c r="P16" s="24">
        <f>'Background Sheet'!BG16</f>
        <v>1288</v>
      </c>
      <c r="Q16" s="121">
        <f>'Background Sheet'!BJ16</f>
        <v>1.9604261796042617</v>
      </c>
      <c r="R16" s="10">
        <f>'Background Sheet'!BO16</f>
        <v>97143.24</v>
      </c>
      <c r="S16" s="57">
        <f>'Background Sheet'!BR16</f>
        <v>147.85881278538812</v>
      </c>
      <c r="T16" s="122">
        <f>'Background Sheet'!BT16</f>
        <v>2.0004262704381451E-2</v>
      </c>
      <c r="U16" s="152">
        <f>'Background Sheet'!BY16</f>
        <v>0</v>
      </c>
      <c r="V16" s="152">
        <f>'Background Sheet'!CD16</f>
        <v>0</v>
      </c>
      <c r="W16" s="152">
        <f>'Background Sheet'!CI16</f>
        <v>0</v>
      </c>
      <c r="X16" s="153">
        <f>'Background Sheet'!CN16</f>
        <v>0</v>
      </c>
      <c r="Y16" s="154">
        <f>'Background Sheet'!CT16</f>
        <v>0</v>
      </c>
      <c r="Z16" s="1"/>
      <c r="AA16" s="23"/>
      <c r="AB16" s="23"/>
      <c r="AC16" s="165"/>
      <c r="AD16" s="1"/>
    </row>
    <row r="17" spans="1:29">
      <c r="A17" s="164" t="s">
        <v>117</v>
      </c>
      <c r="B17" s="66" t="s">
        <v>28</v>
      </c>
      <c r="C17" s="66" t="s">
        <v>28</v>
      </c>
      <c r="D17" s="66" t="s">
        <v>28</v>
      </c>
      <c r="E17" s="24">
        <f>VLOOKUP(WebDataS1[[#This Row],[Date]],'Background Sheet'!$E$3:$I$20,5,FALSE)</f>
        <v>23546</v>
      </c>
      <c r="F17" s="24">
        <f>VLOOKUP(WebDataS1[[#This Row],[Date]],'Background Sheet'!$K$3:$O$20,5,0)</f>
        <v>11800</v>
      </c>
      <c r="G17" s="8">
        <f>'Background Sheet'!T17</f>
        <v>26763</v>
      </c>
      <c r="H17" s="24">
        <f>WebDataS1[[#This Row],[New Visitors]]+WebDataS1[[#This Row],[Returning Visitors]]</f>
        <v>35346</v>
      </c>
      <c r="I17" s="7">
        <f>'Background Sheet'!AA17</f>
        <v>1.3207039569554984</v>
      </c>
      <c r="J17" s="15">
        <v>39178</v>
      </c>
      <c r="K17" s="120">
        <f>'Background Sheet'!AF17</f>
        <v>23.84</v>
      </c>
      <c r="L17" s="24">
        <f>'Background Sheet'!AK17</f>
        <v>180732</v>
      </c>
      <c r="M17" s="56">
        <f>'Background Sheet'!AM17</f>
        <v>5.1132235613647934</v>
      </c>
      <c r="N17" s="2">
        <f>'Background Sheet'!AU17</f>
        <v>23514</v>
      </c>
      <c r="O17" s="24">
        <f>'Background Sheet'!BA17</f>
        <v>593</v>
      </c>
      <c r="P17" s="24">
        <f>'Background Sheet'!BG17</f>
        <v>1267</v>
      </c>
      <c r="Q17" s="121">
        <f>'Background Sheet'!BJ17</f>
        <v>2.136593591905565</v>
      </c>
      <c r="R17" s="10">
        <f>'Background Sheet'!BO17</f>
        <v>102551.69</v>
      </c>
      <c r="S17" s="57">
        <f>'Background Sheet'!BR17</f>
        <v>172.93708263069141</v>
      </c>
      <c r="T17" s="122">
        <f>'Background Sheet'!BT17</f>
        <v>1.6777004470095627E-2</v>
      </c>
      <c r="U17" s="152">
        <f>'Background Sheet'!BY17</f>
        <v>0</v>
      </c>
      <c r="V17" s="152">
        <f>'Background Sheet'!CD17</f>
        <v>0</v>
      </c>
      <c r="W17" s="152">
        <f>'Background Sheet'!CI17</f>
        <v>0</v>
      </c>
      <c r="X17" s="153">
        <f>'Background Sheet'!CN17</f>
        <v>0</v>
      </c>
      <c r="Y17" s="154">
        <f>'Background Sheet'!CT17</f>
        <v>0</v>
      </c>
      <c r="AA17" s="23"/>
      <c r="AB17" s="23"/>
      <c r="AC17" s="165"/>
    </row>
    <row r="18" spans="1:29">
      <c r="A18" s="164" t="s">
        <v>118</v>
      </c>
      <c r="B18" s="66" t="s">
        <v>28</v>
      </c>
      <c r="C18" s="66" t="s">
        <v>28</v>
      </c>
      <c r="D18" s="66" t="s">
        <v>28</v>
      </c>
      <c r="E18" s="24">
        <f>VLOOKUP(WebDataS1[[#This Row],[Date]],'Background Sheet'!$E$3:$I$20,5,FALSE)</f>
        <v>18142</v>
      </c>
      <c r="F18" s="24">
        <f>VLOOKUP(WebDataS1[[#This Row],[Date]],'Background Sheet'!$K$3:$O$20,5,0)</f>
        <v>9502</v>
      </c>
      <c r="G18" s="8">
        <f>'Background Sheet'!T18</f>
        <v>20910</v>
      </c>
      <c r="H18" s="24">
        <f>WebDataS1[[#This Row],[New Visitors]]+WebDataS1[[#This Row],[Returning Visitors]]</f>
        <v>27644</v>
      </c>
      <c r="I18" s="7">
        <f>'Background Sheet'!AA18</f>
        <v>1.3220468675274988</v>
      </c>
      <c r="J18" s="15">
        <v>38248</v>
      </c>
      <c r="K18" s="120">
        <f>'Background Sheet'!AF18</f>
        <v>20.61</v>
      </c>
      <c r="L18" s="24">
        <f>'Background Sheet'!AK18</f>
        <v>156811</v>
      </c>
      <c r="M18" s="56">
        <f>'Background Sheet'!AM18</f>
        <v>5.6725148314281579</v>
      </c>
      <c r="N18" s="2">
        <f>'Background Sheet'!AU18</f>
        <v>18114</v>
      </c>
      <c r="O18" s="24">
        <f>'Background Sheet'!BA18</f>
        <v>550</v>
      </c>
      <c r="P18" s="24">
        <f>'Background Sheet'!BG18</f>
        <v>1055</v>
      </c>
      <c r="Q18" s="121">
        <f>'Background Sheet'!BJ18</f>
        <v>1.9181818181818182</v>
      </c>
      <c r="R18" s="10">
        <f>'Background Sheet'!BO18</f>
        <v>79734.64</v>
      </c>
      <c r="S18" s="57">
        <f>'Background Sheet'!BR18</f>
        <v>144.97207272727272</v>
      </c>
      <c r="T18" s="122">
        <f>'Background Sheet'!BT18</f>
        <v>1.9895818260743742E-2</v>
      </c>
      <c r="U18" s="152">
        <f>'Background Sheet'!BY18</f>
        <v>0</v>
      </c>
      <c r="V18" s="152">
        <f>'Background Sheet'!CD18</f>
        <v>0</v>
      </c>
      <c r="W18" s="152">
        <f>'Background Sheet'!CI18</f>
        <v>0</v>
      </c>
      <c r="X18" s="153">
        <f>'Background Sheet'!CN18</f>
        <v>0</v>
      </c>
      <c r="Y18" s="154">
        <f>'Background Sheet'!CT18</f>
        <v>0</v>
      </c>
      <c r="AA18" s="23"/>
      <c r="AB18" s="23"/>
      <c r="AC18" s="165"/>
    </row>
    <row r="19" spans="1:29">
      <c r="A19" s="164" t="s">
        <v>119</v>
      </c>
      <c r="B19" s="66"/>
      <c r="C19" s="66"/>
      <c r="D19" s="66"/>
      <c r="E19" s="24">
        <f>VLOOKUP(WebDataS1[[#This Row],[Date]],'Background Sheet'!$E$3:$I$20,5,FALSE)</f>
        <v>2279</v>
      </c>
      <c r="F19" s="24">
        <f>VLOOKUP(WebDataS1[[#This Row],[Date]],'Background Sheet'!$K$3:$O$20,5,0)</f>
        <v>1238</v>
      </c>
      <c r="G19" s="8">
        <f>'Background Sheet'!T19</f>
        <v>3080</v>
      </c>
      <c r="H19" s="24">
        <f>WebDataS1[[#This Row],[New Visitors]]+WebDataS1[[#This Row],[Returning Visitors]]</f>
        <v>3517</v>
      </c>
      <c r="I19" s="7">
        <f>'Background Sheet'!AA19</f>
        <v>1.1418831168831169</v>
      </c>
      <c r="J19" s="15">
        <v>36270</v>
      </c>
      <c r="K19" s="120">
        <f>'Background Sheet'!AF19</f>
        <v>22.71</v>
      </c>
      <c r="L19" s="24">
        <f>'Background Sheet'!AK19</f>
        <v>19445</v>
      </c>
      <c r="M19" s="56">
        <f>'Background Sheet'!AM19</f>
        <v>5.5288598237133924</v>
      </c>
      <c r="N19" s="2">
        <f>'Background Sheet'!AU19</f>
        <v>2274</v>
      </c>
      <c r="O19" s="24">
        <f>'Background Sheet'!BA19</f>
        <v>51</v>
      </c>
      <c r="P19" s="24">
        <f>'Background Sheet'!BG19</f>
        <v>85</v>
      </c>
      <c r="Q19" s="121">
        <f>'Background Sheet'!BJ19</f>
        <v>1.6666666666666667</v>
      </c>
      <c r="R19" s="10">
        <f>'Background Sheet'!BO19</f>
        <v>6325.2</v>
      </c>
      <c r="S19" s="57">
        <f>'Background Sheet'!BR19</f>
        <v>124.0235294117647</v>
      </c>
      <c r="T19" s="122">
        <f>'Background Sheet'!BT19</f>
        <v>1.4500995166334945E-2</v>
      </c>
      <c r="U19" s="152">
        <f>'Background Sheet'!BY19</f>
        <v>0</v>
      </c>
      <c r="V19" s="152">
        <f>'Background Sheet'!CD19</f>
        <v>0</v>
      </c>
      <c r="W19" s="152">
        <f>'Background Sheet'!CI19</f>
        <v>0</v>
      </c>
      <c r="X19" s="153">
        <f>'Background Sheet'!CN19</f>
        <v>0</v>
      </c>
      <c r="Y19" s="154">
        <f>'Background Sheet'!CT19</f>
        <v>0</v>
      </c>
      <c r="AA19" s="23"/>
      <c r="AB19" s="23"/>
      <c r="AC19" s="165"/>
    </row>
    <row r="20" spans="1:29">
      <c r="A20" s="164" t="s">
        <v>120</v>
      </c>
      <c r="B20" s="66"/>
      <c r="C20" s="66"/>
      <c r="D20" s="66"/>
      <c r="E20" s="24" t="e">
        <f>VLOOKUP(WebDataS1[[#This Row],[Date]],'Background Sheet'!$E$3:$I$20,5,FALSE)</f>
        <v>#N/A</v>
      </c>
      <c r="F20" s="24" t="e">
        <f>VLOOKUP(WebDataS1[[#This Row],[Date]],'Background Sheet'!$K$3:$O$20,5,0)</f>
        <v>#N/A</v>
      </c>
      <c r="G20" s="8">
        <f>'Background Sheet'!T20</f>
        <v>0</v>
      </c>
      <c r="H20" s="24" t="e">
        <f>WebDataS1[[#This Row],[New Visitors]]+WebDataS1[[#This Row],[Returning Visitors]]</f>
        <v>#N/A</v>
      </c>
      <c r="I20" s="7" t="e">
        <f>'Background Sheet'!AA20</f>
        <v>#DIV/0!</v>
      </c>
      <c r="J20" s="15">
        <v>40489</v>
      </c>
      <c r="K20" s="120">
        <f>'Background Sheet'!AF20</f>
        <v>0</v>
      </c>
      <c r="L20" s="24">
        <f>'Background Sheet'!AK20</f>
        <v>0</v>
      </c>
      <c r="M20" s="56" t="e">
        <f>'Background Sheet'!AM20</f>
        <v>#DIV/0!</v>
      </c>
      <c r="N20" s="2">
        <f>'Background Sheet'!AU20</f>
        <v>0</v>
      </c>
      <c r="O20" s="24">
        <f>'Background Sheet'!BA20</f>
        <v>0</v>
      </c>
      <c r="P20" s="24">
        <f>'Background Sheet'!BG20</f>
        <v>0</v>
      </c>
      <c r="Q20" s="121" t="e">
        <f>'Background Sheet'!BJ20</f>
        <v>#DIV/0!</v>
      </c>
      <c r="R20" s="10">
        <f>'Background Sheet'!BO20</f>
        <v>0</v>
      </c>
      <c r="S20" s="57" t="e">
        <f>'Background Sheet'!BR20</f>
        <v>#DIV/0!</v>
      </c>
      <c r="T20" s="122" t="e">
        <f>'Background Sheet'!BT20</f>
        <v>#DIV/0!</v>
      </c>
      <c r="U20" s="152">
        <f>'Background Sheet'!BY20</f>
        <v>0</v>
      </c>
      <c r="V20" s="152">
        <f>'Background Sheet'!CD20</f>
        <v>0</v>
      </c>
      <c r="W20" s="152">
        <f>'Background Sheet'!CI20</f>
        <v>0</v>
      </c>
      <c r="X20" s="153">
        <f>'Background Sheet'!CN20</f>
        <v>0</v>
      </c>
      <c r="Y20" s="154">
        <f>'Background Sheet'!CT20</f>
        <v>0</v>
      </c>
      <c r="AA20" s="23"/>
      <c r="AB20" s="23"/>
      <c r="AC20" s="165"/>
    </row>
    <row r="21" spans="1:29">
      <c r="T21" s="1"/>
    </row>
    <row r="22" spans="1:29">
      <c r="T22" s="1"/>
    </row>
    <row r="23" spans="1:29">
      <c r="T23" s="1"/>
    </row>
  </sheetData>
  <mergeCells count="1">
    <mergeCell ref="B1:E1"/>
  </mergeCells>
  <pageMargins left="0.7" right="0.7" top="0.75" bottom="0.75" header="0.3" footer="0.3"/>
  <pageSetup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8"/>
  <dimension ref="A1:X30"/>
  <sheetViews>
    <sheetView workbookViewId="0">
      <pane xSplit="1" ySplit="2" topLeftCell="B3" activePane="bottomRight" state="frozen"/>
      <selection pane="topRight" activeCell="B1" sqref="B1"/>
      <selection pane="bottomLeft" activeCell="A3" sqref="A3"/>
      <selection pane="bottomRight" activeCell="A3" sqref="A3:V5"/>
    </sheetView>
  </sheetViews>
  <sheetFormatPr defaultColWidth="9.140625" defaultRowHeight="15"/>
  <cols>
    <col min="1" max="1" width="12.5703125" style="23" bestFit="1" customWidth="1"/>
    <col min="2" max="2" width="9.140625" style="23"/>
    <col min="3" max="4" width="10" style="23" customWidth="1"/>
    <col min="5" max="6" width="9.140625" style="23"/>
    <col min="7" max="7" width="7.7109375" style="23" bestFit="1" customWidth="1"/>
    <col min="8" max="8" width="7.85546875" style="23" bestFit="1" customWidth="1"/>
    <col min="9" max="9" width="11.7109375" style="23" bestFit="1" customWidth="1"/>
    <col min="10" max="10" width="11.5703125" style="23" customWidth="1"/>
    <col min="11" max="11" width="11.28515625" style="23" customWidth="1"/>
    <col min="12" max="12" width="9.140625" style="23"/>
    <col min="13" max="13" width="12.5703125" style="23" bestFit="1" customWidth="1"/>
    <col min="14" max="14" width="9.140625" style="23"/>
    <col min="15" max="15" width="12.5703125" style="23" bestFit="1" customWidth="1"/>
    <col min="16" max="16" width="10" style="23" customWidth="1"/>
    <col min="17" max="17" width="12" style="23" customWidth="1"/>
    <col min="18" max="18" width="10.85546875" style="23" customWidth="1"/>
    <col min="19" max="19" width="10" style="23" customWidth="1"/>
    <col min="20" max="20" width="10.28515625" style="23" customWidth="1"/>
    <col min="21" max="21" width="8.5703125" style="23" customWidth="1"/>
    <col min="22" max="22" width="11.140625" style="23" bestFit="1" customWidth="1"/>
    <col min="23" max="23" width="9.140625" style="23"/>
    <col min="24" max="24" width="12.5703125" style="23" customWidth="1"/>
    <col min="25" max="25" width="11.85546875" style="23" bestFit="1" customWidth="1"/>
    <col min="26" max="33" width="11.140625" style="23" customWidth="1"/>
    <col min="34" max="38" width="12.140625" style="23" customWidth="1"/>
    <col min="39" max="40" width="13.28515625" style="23" customWidth="1"/>
    <col min="41" max="47" width="12.140625" style="23" customWidth="1"/>
    <col min="48" max="16384" width="9.140625" style="23"/>
  </cols>
  <sheetData>
    <row r="1" spans="1:24" ht="43.5" customHeight="1">
      <c r="B1" s="251" t="s">
        <v>43</v>
      </c>
      <c r="C1" s="251"/>
      <c r="D1" s="251"/>
      <c r="E1" s="251"/>
      <c r="F1" s="251"/>
      <c r="G1" s="251"/>
      <c r="H1" s="251"/>
      <c r="I1" s="251"/>
      <c r="J1" s="91"/>
      <c r="K1" s="91"/>
      <c r="L1" s="91"/>
      <c r="M1" s="91"/>
    </row>
    <row r="2" spans="1:24" ht="38.25">
      <c r="A2" s="46" t="s">
        <v>24</v>
      </c>
      <c r="B2" s="47" t="s">
        <v>16</v>
      </c>
      <c r="C2" s="47" t="s">
        <v>17</v>
      </c>
      <c r="D2" s="47" t="s">
        <v>3</v>
      </c>
      <c r="E2" s="47" t="s">
        <v>0</v>
      </c>
      <c r="F2" s="87" t="s">
        <v>4</v>
      </c>
      <c r="G2" s="87" t="s">
        <v>5</v>
      </c>
      <c r="H2" s="87" t="s">
        <v>6</v>
      </c>
      <c r="I2" s="59" t="s">
        <v>95</v>
      </c>
      <c r="J2" s="59" t="s">
        <v>96</v>
      </c>
      <c r="K2" s="87" t="s">
        <v>10</v>
      </c>
      <c r="L2" s="87" t="s">
        <v>11</v>
      </c>
      <c r="M2" s="87" t="s">
        <v>12</v>
      </c>
      <c r="N2" s="87" t="s">
        <v>13</v>
      </c>
      <c r="O2" s="87" t="s">
        <v>14</v>
      </c>
      <c r="P2" s="87" t="s">
        <v>15</v>
      </c>
      <c r="Q2" s="59" t="s">
        <v>27</v>
      </c>
      <c r="R2" s="92" t="s">
        <v>52</v>
      </c>
      <c r="S2" s="92" t="s">
        <v>53</v>
      </c>
      <c r="T2" s="92" t="s">
        <v>54</v>
      </c>
      <c r="U2" s="92" t="s">
        <v>93</v>
      </c>
      <c r="V2" s="133" t="s">
        <v>87</v>
      </c>
      <c r="W2" s="1"/>
    </row>
    <row r="3" spans="1:24">
      <c r="A3" s="27" t="s">
        <v>21</v>
      </c>
      <c r="B3" s="28">
        <f ca="1">B4-1.5*STDEV(B9:B21)</f>
        <v>12604.795445339587</v>
      </c>
      <c r="C3" s="28">
        <f t="shared" ref="C3:V3" ca="1" si="0">C4-1.5*STDEV(C9:C21)</f>
        <v>6051.5634102488757</v>
      </c>
      <c r="D3" s="28">
        <f t="shared" ca="1" si="0"/>
        <v>14347.936099362283</v>
      </c>
      <c r="E3" s="28">
        <f t="shared" ca="1" si="0"/>
        <v>18999.134617646192</v>
      </c>
      <c r="F3" s="29">
        <f t="shared" ca="1" si="0"/>
        <v>1.263515437902508</v>
      </c>
      <c r="G3" s="28">
        <f t="shared" ca="1" si="0"/>
        <v>16509.313000520207</v>
      </c>
      <c r="H3" s="30">
        <f t="shared" ca="1" si="0"/>
        <v>1.7372472109197084</v>
      </c>
      <c r="I3" s="28">
        <f t="shared" ca="1" si="0"/>
        <v>124211.27949986578</v>
      </c>
      <c r="J3" s="31">
        <f t="shared" ca="1" si="0"/>
        <v>4.8965475222317441</v>
      </c>
      <c r="K3" s="28">
        <f t="shared" ca="1" si="0"/>
        <v>5194.1066672402121</v>
      </c>
      <c r="L3" s="28">
        <f t="shared" ca="1" si="0"/>
        <v>-12.326965418357759</v>
      </c>
      <c r="M3" s="28">
        <f t="shared" ca="1" si="0"/>
        <v>-16.967895705516412</v>
      </c>
      <c r="N3" s="31" t="e">
        <f t="shared" ca="1" si="0"/>
        <v>#DIV/0!</v>
      </c>
      <c r="O3" s="32">
        <f t="shared" ca="1" si="0"/>
        <v>4682.8844170158991</v>
      </c>
      <c r="P3" s="32" t="e">
        <f t="shared" ca="1" si="0"/>
        <v>#DIV/0!</v>
      </c>
      <c r="Q3" s="30">
        <f t="shared" ca="1" si="0"/>
        <v>1.381079716125666E-3</v>
      </c>
      <c r="R3" s="135">
        <f t="shared" ca="1" si="0"/>
        <v>0</v>
      </c>
      <c r="S3" s="135">
        <f t="shared" ca="1" si="0"/>
        <v>0</v>
      </c>
      <c r="T3" s="135">
        <f t="shared" ca="1" si="0"/>
        <v>0</v>
      </c>
      <c r="U3" s="136">
        <f t="shared" ca="1" si="0"/>
        <v>0</v>
      </c>
      <c r="V3" s="136">
        <f t="shared" ca="1" si="0"/>
        <v>0</v>
      </c>
    </row>
    <row r="4" spans="1:24">
      <c r="A4" s="33" t="s">
        <v>20</v>
      </c>
      <c r="B4" s="34">
        <f t="shared" ref="B4" ca="1" si="1">AVERAGE(B9:B21)</f>
        <v>20101.615384615383</v>
      </c>
      <c r="C4" s="34">
        <f t="shared" ref="C4:V4" ca="1" si="2">AVERAGE(C9:C21)</f>
        <v>9771.8461538461543</v>
      </c>
      <c r="D4" s="34">
        <f t="shared" ca="1" si="2"/>
        <v>22624.153846153848</v>
      </c>
      <c r="E4" s="34">
        <f t="shared" ca="1" si="2"/>
        <v>29873.461538461539</v>
      </c>
      <c r="F4" s="35">
        <f t="shared" ca="1" si="2"/>
        <v>1.323156059092933</v>
      </c>
      <c r="G4" s="34">
        <f t="shared" ca="1" si="2"/>
        <v>39046.538461538461</v>
      </c>
      <c r="H4" s="36">
        <f t="shared" ca="1" si="2"/>
        <v>17.60846153846154</v>
      </c>
      <c r="I4" s="34">
        <f t="shared" ca="1" si="2"/>
        <v>188490.38461538462</v>
      </c>
      <c r="J4" s="37">
        <f t="shared" ca="1" si="2"/>
        <v>6.4381103780922038</v>
      </c>
      <c r="K4" s="34">
        <f t="shared" ca="1" si="2"/>
        <v>18302.538461538461</v>
      </c>
      <c r="L4" s="34">
        <f t="shared" ca="1" si="2"/>
        <v>559.76923076923072</v>
      </c>
      <c r="M4" s="34">
        <f t="shared" ca="1" si="2"/>
        <v>1081</v>
      </c>
      <c r="N4" s="37" t="e">
        <f t="shared" ca="1" si="2"/>
        <v>#DIV/0!</v>
      </c>
      <c r="O4" s="38">
        <f t="shared" ca="1" si="2"/>
        <v>82713.193846153823</v>
      </c>
      <c r="P4" s="38" t="e">
        <f t="shared" ca="1" si="2"/>
        <v>#DIV/0!</v>
      </c>
      <c r="Q4" s="36">
        <f t="shared" ca="1" si="2"/>
        <v>1.667122115351696E-2</v>
      </c>
      <c r="R4" s="137">
        <f t="shared" ca="1" si="2"/>
        <v>0</v>
      </c>
      <c r="S4" s="137">
        <f t="shared" ca="1" si="2"/>
        <v>0</v>
      </c>
      <c r="T4" s="137">
        <f t="shared" ca="1" si="2"/>
        <v>0</v>
      </c>
      <c r="U4" s="138">
        <f t="shared" ca="1" si="2"/>
        <v>0</v>
      </c>
      <c r="V4" s="138">
        <f t="shared" ca="1" si="2"/>
        <v>0</v>
      </c>
    </row>
    <row r="5" spans="1:24">
      <c r="A5" s="39" t="s">
        <v>22</v>
      </c>
      <c r="B5" s="40">
        <f ca="1">B4+1.5*STDEV(B9:B21)</f>
        <v>27598.435323891179</v>
      </c>
      <c r="C5" s="40">
        <f t="shared" ref="C5:V5" ca="1" si="3">C4+1.5*STDEV(C9:C21)</f>
        <v>13492.128897443432</v>
      </c>
      <c r="D5" s="40">
        <f t="shared" ca="1" si="3"/>
        <v>30900.371592945412</v>
      </c>
      <c r="E5" s="40">
        <f t="shared" ca="1" si="3"/>
        <v>40747.788459276882</v>
      </c>
      <c r="F5" s="41">
        <f t="shared" ca="1" si="3"/>
        <v>1.382796680283358</v>
      </c>
      <c r="G5" s="40">
        <f t="shared" ca="1" si="3"/>
        <v>61583.763922556711</v>
      </c>
      <c r="H5" s="42">
        <f t="shared" ca="1" si="3"/>
        <v>33.479675866003376</v>
      </c>
      <c r="I5" s="40">
        <f t="shared" ca="1" si="3"/>
        <v>252769.48973090347</v>
      </c>
      <c r="J5" s="43">
        <f t="shared" ca="1" si="3"/>
        <v>7.9796732339526635</v>
      </c>
      <c r="K5" s="40">
        <f t="shared" ca="1" si="3"/>
        <v>31410.97025583671</v>
      </c>
      <c r="L5" s="40">
        <f t="shared" ca="1" si="3"/>
        <v>1131.8654269568192</v>
      </c>
      <c r="M5" s="40">
        <f t="shared" ca="1" si="3"/>
        <v>2178.9678957055166</v>
      </c>
      <c r="N5" s="43" t="e">
        <f t="shared" ca="1" si="3"/>
        <v>#DIV/0!</v>
      </c>
      <c r="O5" s="44">
        <f t="shared" ca="1" si="3"/>
        <v>160743.50327529176</v>
      </c>
      <c r="P5" s="44" t="e">
        <f t="shared" ca="1" si="3"/>
        <v>#DIV/0!</v>
      </c>
      <c r="Q5" s="42">
        <f t="shared" ca="1" si="3"/>
        <v>3.1961362590908253E-2</v>
      </c>
      <c r="R5" s="139">
        <f t="shared" ca="1" si="3"/>
        <v>0</v>
      </c>
      <c r="S5" s="139">
        <f t="shared" ca="1" si="3"/>
        <v>0</v>
      </c>
      <c r="T5" s="139">
        <f t="shared" ca="1" si="3"/>
        <v>0</v>
      </c>
      <c r="U5" s="140">
        <f t="shared" ca="1" si="3"/>
        <v>0</v>
      </c>
      <c r="V5" s="140">
        <f t="shared" ca="1" si="3"/>
        <v>0</v>
      </c>
    </row>
    <row r="6" spans="1:24">
      <c r="A6" s="51"/>
      <c r="B6" s="52"/>
      <c r="C6" s="52"/>
      <c r="D6" s="52"/>
      <c r="E6" s="52"/>
      <c r="F6" s="53"/>
      <c r="G6" s="52"/>
      <c r="H6" s="45"/>
      <c r="I6" s="52"/>
      <c r="J6" s="54"/>
      <c r="K6" s="52"/>
      <c r="L6" s="52"/>
      <c r="M6" s="52"/>
      <c r="N6" s="54"/>
      <c r="O6" s="55"/>
      <c r="P6" s="55"/>
      <c r="Q6" s="52"/>
      <c r="R6" s="52"/>
      <c r="S6" s="52"/>
      <c r="T6" s="52"/>
      <c r="U6" s="52"/>
      <c r="V6" s="52"/>
      <c r="W6" s="45"/>
      <c r="X6" s="1"/>
    </row>
    <row r="7" spans="1:24">
      <c r="T7" s="1"/>
    </row>
    <row r="8" spans="1:24" ht="39">
      <c r="A8" s="3" t="s">
        <v>23</v>
      </c>
      <c r="B8" s="3" t="s">
        <v>16</v>
      </c>
      <c r="C8" s="3" t="s">
        <v>17</v>
      </c>
      <c r="D8" s="3" t="s">
        <v>3</v>
      </c>
      <c r="E8" s="3" t="s">
        <v>0</v>
      </c>
      <c r="F8" s="88" t="s">
        <v>4</v>
      </c>
      <c r="G8" s="88" t="s">
        <v>5</v>
      </c>
      <c r="H8" s="88" t="s">
        <v>6</v>
      </c>
      <c r="I8" s="58" t="s">
        <v>95</v>
      </c>
      <c r="J8" s="58" t="s">
        <v>96</v>
      </c>
      <c r="K8" s="88" t="s">
        <v>10</v>
      </c>
      <c r="L8" s="88" t="s">
        <v>11</v>
      </c>
      <c r="M8" s="88" t="s">
        <v>12</v>
      </c>
      <c r="N8" s="88" t="s">
        <v>13</v>
      </c>
      <c r="O8" s="88" t="s">
        <v>14</v>
      </c>
      <c r="P8" s="88" t="s">
        <v>15</v>
      </c>
      <c r="Q8" s="58" t="s">
        <v>27</v>
      </c>
      <c r="R8" s="92" t="s">
        <v>52</v>
      </c>
      <c r="S8" s="92" t="s">
        <v>53</v>
      </c>
      <c r="T8" s="92" t="s">
        <v>54</v>
      </c>
      <c r="U8" s="132" t="s">
        <v>93</v>
      </c>
      <c r="V8" s="132" t="s">
        <v>87</v>
      </c>
    </row>
    <row r="9" spans="1:24">
      <c r="A9" s="4">
        <v>-12</v>
      </c>
      <c r="B9" s="48">
        <f ca="1">OFFSET(INDIRECT(RefData),MATCH(RefDate,WebDataS1[Date],0)+GraphData[[#This Row],[Month Offset]]-1,MATCH(GraphData[[#Headers],[New Visitors]],WebDataS1[#Headers],0)-1,1,1)</f>
        <v>10994</v>
      </c>
      <c r="C9" s="48">
        <f ca="1">OFFSET(INDIRECT(RefData),MATCH(RefDate,WebDataS1[Date],0)+GraphData[[#This Row],[Month Offset]]-1,MATCH(GraphData[[#Headers],[Returning Visitors]],WebDataS1[#Headers],0)-1,1,1)</f>
        <v>6850</v>
      </c>
      <c r="D9" s="48">
        <f ca="1">OFFSET(INDIRECT(RefData),MATCH(RefDate,WebDataS1[Date],0)+GraphData[[#This Row],[Month Offset]]-1,MATCH(GraphData[[#Headers],[Unique Visitors]],WebDataS1[#Headers],0)-1,1,1)</f>
        <v>12851</v>
      </c>
      <c r="E9" s="26">
        <f ca="1">OFFSET(INDIRECT(RefData),MATCH(RefDate,WebDataS1[Date],0)+GraphData[[#This Row],[Month Offset]]-1,MATCH(GraphData[[#Headers],[Visits]],WebDataS1[#Headers],0)-1,1,1)</f>
        <v>17844</v>
      </c>
      <c r="F9" s="5">
        <f ca="1">OFFSET(INDIRECT(RefData),MATCH(RefDate,WebDataS1[Date],0)+GraphData[[#This Row],[Month Offset]]-1,MATCH(GraphData[[#Headers],[Visits/Visitor]],WebDataS1[#Headers],0)-1,1,1)</f>
        <v>1.3885300754805074</v>
      </c>
      <c r="G9" s="6">
        <f ca="1">OFFSET(INDIRECT(RefData),MATCH(RefDate,WebDataS1[Date],0)+GraphData[[#This Row],[Month Offset]]-1,MATCH(GraphData[[#Headers],[Single Page Visits]],WebDataS1[#Headers],0)-1,1,1)</f>
        <v>28287</v>
      </c>
      <c r="H9" s="49">
        <f ca="1">OFFSET(INDIRECT(RefData),MATCH(RefDate,WebDataS1[Date],0)+GraphData[[#This Row],[Month Offset]]-1,MATCH(GraphData[[#Headers],[Bounce Rate]],WebDataS1[#Headers],0)-1,1,1)</f>
        <v>21.68</v>
      </c>
      <c r="I9" s="6">
        <f ca="1">OFFSET(INDIRECT(RefData),MATCH(RefDate,WebDataS1[Date],0)+GraphData[[#This Row],[Month Offset]]-1,MATCH(GraphData[[#Headers],[unique pageviews]],WebDataS1[#Headers],0)-1,1,1)</f>
        <v>159791</v>
      </c>
      <c r="J9" s="25">
        <f ca="1">OFFSET(INDIRECT(RefData),MATCH(RefDate,WebDataS1[Date],0)+GraphData[[#This Row],[Month Offset]]-1,MATCH(GraphData[[#Headers],[unique pageviews/visit]],WebDataS1[#Headers],0)-1,1,1)</f>
        <v>8.9548867966823575</v>
      </c>
      <c r="K9" s="6">
        <f ca="1">OFFSET(INDIRECT(RefData),MATCH(RefDate,WebDataS1[Date],0)+GraphData[[#This Row],[Month Offset]]-1,MATCH(GraphData[[#Headers],[Customers]],WebDataS1[#Headers],0)-1,1,1)</f>
        <v>0</v>
      </c>
      <c r="L9" s="6">
        <f ca="1">OFFSET(INDIRECT(RefData),MATCH(RefDate,WebDataS1[Date],0)+GraphData[[#This Row],[Month Offset]]-1,MATCH(GraphData[[#Headers],[Orders]],WebDataS1[#Headers],0)-1,1,1)</f>
        <v>0</v>
      </c>
      <c r="M9" s="6">
        <f ca="1">OFFSET(INDIRECT(RefData),MATCH(RefDate,WebDataS1[Date],0)+GraphData[[#This Row],[Month Offset]]-1,MATCH(GraphData[[#Headers],[Items]],WebDataS1[#Headers],0)-1,1,1)</f>
        <v>0</v>
      </c>
      <c r="N9" s="25" t="e">
        <f ca="1">OFFSET(INDIRECT(RefData),MATCH(RefDate,WebDataS1[Date],0)+GraphData[[#This Row],[Month Offset]]-1,MATCH(GraphData[[#Headers],[Items/Order]],WebDataS1[#Headers],0)-1,1,1)</f>
        <v>#DIV/0!</v>
      </c>
      <c r="O9" s="50">
        <f ca="1">OFFSET(INDIRECT(RefData),MATCH(RefDate,WebDataS1[Date],0)+GraphData[[#This Row],[Month Offset]]-1,MATCH(GraphData[[#Headers],[Revenues]],WebDataS1[#Headers],0)-1,1,1)</f>
        <v>0</v>
      </c>
      <c r="P9" s="50" t="e">
        <f ca="1">OFFSET(INDIRECT(RefData),MATCH(RefDate,WebDataS1[Date],0)+GraphData[[#This Row],[Month Offset]]-1,MATCH(GraphData[[#Headers],[Average Order Size]],WebDataS1[#Headers],0)-1,1,1)</f>
        <v>#DIV/0!</v>
      </c>
      <c r="Q9" s="60">
        <f ca="1">GraphData[[#This Row],[Orders]]/GraphData[[#This Row],[Visits]]</f>
        <v>0</v>
      </c>
      <c r="R9" s="152">
        <f ca="1">OFFSET(INDIRECT(RefData),MATCH(RefDate,WebDataS1[Date],0)+GraphData[[#This Row],[Month Offset]]-1,MATCH(GraphData[[#Headers],[Goal 1]],WebDataS1[#Headers],0)-1,1,1)</f>
        <v>0</v>
      </c>
      <c r="S9" s="152">
        <f ca="1">OFFSET(INDIRECT(RefData),MATCH(RefDate,WebDataS1[Date],0)+GraphData[[#This Row],[Month Offset]]-1,MATCH(GraphData[[#Headers],[Goal 2]],WebDataS1[#Headers],0)-1,1,1)</f>
        <v>0</v>
      </c>
      <c r="T9" s="152">
        <f ca="1">OFFSET(INDIRECT(RefData),MATCH(RefDate,WebDataS1[Date],0)+GraphData[[#This Row],[Month Offset]]-1,MATCH(GraphData[[#Headers],[Goal 3]],WebDataS1[#Headers],0)-1,1,1)</f>
        <v>0</v>
      </c>
      <c r="U9" s="153">
        <f ca="1">OFFSET(INDIRECT(RefData),MATCH(RefDate,WebDataS1[Date],0)+GraphData[[#This Row],[Month Offset]]-1,MATCH(GraphData[[#Headers],[Goal 4]],WebDataS1[#Headers],0)-1,1,1)</f>
        <v>0</v>
      </c>
      <c r="V9" s="153">
        <f ca="1">OFFSET(INDIRECT(RefData),MATCH(RefDate,WebDataS1[Date],0)+GraphData[[#This Row],[Month Offset]]-1,MATCH(GraphData[[#Headers],[Goal 5]],WebDataS1[#Headers],0)-1,1,1)</f>
        <v>0</v>
      </c>
    </row>
    <row r="10" spans="1:24">
      <c r="A10" s="4">
        <v>-11</v>
      </c>
      <c r="B10" s="48">
        <f ca="1">OFFSET(INDIRECT(RefData),MATCH(RefDate,WebDataS1[Date],0)+GraphData[[#This Row],[Month Offset]]-1,MATCH(GraphData[[#Headers],[New Visitors]],WebDataS1[#Headers],0)-1,1,1)</f>
        <v>12033</v>
      </c>
      <c r="C10" s="48">
        <f ca="1">OFFSET(INDIRECT(RefData),MATCH(RefDate,WebDataS1[Date],0)+GraphData[[#This Row],[Month Offset]]-1,MATCH(GraphData[[#Headers],[Returning Visitors]],WebDataS1[#Headers],0)-1,1,1)</f>
        <v>6701</v>
      </c>
      <c r="D10" s="48">
        <f ca="1">OFFSET(INDIRECT(RefData),MATCH(RefDate,WebDataS1[Date],0)+GraphData[[#This Row],[Month Offset]]-1,MATCH(GraphData[[#Headers],[Unique Visitors]],WebDataS1[#Headers],0)-1,1,1)</f>
        <v>13743</v>
      </c>
      <c r="E10" s="26">
        <f ca="1">OFFSET(INDIRECT(RefData),MATCH(RefDate,WebDataS1[Date],0)+GraphData[[#This Row],[Month Offset]]-1,MATCH(GraphData[[#Headers],[Visits]],WebDataS1[#Headers],0)-1,1,1)</f>
        <v>18734</v>
      </c>
      <c r="F10" s="5">
        <f ca="1">OFFSET(INDIRECT(RefData),MATCH(RefDate,WebDataS1[Date],0)+GraphData[[#This Row],[Month Offset]]-1,MATCH(GraphData[[#Headers],[Visits/Visitor]],WebDataS1[#Headers],0)-1,1,1)</f>
        <v>1.3631667030488248</v>
      </c>
      <c r="G10" s="6">
        <f ca="1">OFFSET(INDIRECT(RefData),MATCH(RefDate,WebDataS1[Date],0)+GraphData[[#This Row],[Month Offset]]-1,MATCH(GraphData[[#Headers],[Single Page Visits]],WebDataS1[#Headers],0)-1,1,1)</f>
        <v>34413</v>
      </c>
      <c r="H10" s="49">
        <f ca="1">OFFSET(INDIRECT(RefData),MATCH(RefDate,WebDataS1[Date],0)+GraphData[[#This Row],[Month Offset]]-1,MATCH(GraphData[[#Headers],[Bounce Rate]],WebDataS1[#Headers],0)-1,1,1)</f>
        <v>21.99</v>
      </c>
      <c r="I10" s="6">
        <f ca="1">OFFSET(INDIRECT(RefData),MATCH(RefDate,WebDataS1[Date],0)+GraphData[[#This Row],[Month Offset]]-1,MATCH(GraphData[[#Headers],[unique pageviews]],WebDataS1[#Headers],0)-1,1,1)</f>
        <v>141664</v>
      </c>
      <c r="J10" s="25">
        <f ca="1">OFFSET(INDIRECT(RefData),MATCH(RefDate,WebDataS1[Date],0)+GraphData[[#This Row],[Month Offset]]-1,MATCH(GraphData[[#Headers],[unique pageviews/visit]],WebDataS1[#Headers],0)-1,1,1)</f>
        <v>7.5618661257606492</v>
      </c>
      <c r="K10" s="6">
        <f ca="1">OFFSET(INDIRECT(RefData),MATCH(RefDate,WebDataS1[Date],0)+GraphData[[#This Row],[Month Offset]]-1,MATCH(GraphData[[#Headers],[Customers]],WebDataS1[#Headers],0)-1,1,1)</f>
        <v>0</v>
      </c>
      <c r="L10" s="6">
        <f ca="1">OFFSET(INDIRECT(RefData),MATCH(RefDate,WebDataS1[Date],0)+GraphData[[#This Row],[Month Offset]]-1,MATCH(GraphData[[#Headers],[Orders]],WebDataS1[#Headers],0)-1,1,1)</f>
        <v>0</v>
      </c>
      <c r="M10" s="6">
        <f ca="1">OFFSET(INDIRECT(RefData),MATCH(RefDate,WebDataS1[Date],0)+GraphData[[#This Row],[Month Offset]]-1,MATCH(GraphData[[#Headers],[Items]],WebDataS1[#Headers],0)-1,1,1)</f>
        <v>0</v>
      </c>
      <c r="N10" s="25" t="e">
        <f ca="1">OFFSET(INDIRECT(RefData),MATCH(RefDate,WebDataS1[Date],0)+GraphData[[#This Row],[Month Offset]]-1,MATCH(GraphData[[#Headers],[Items/Order]],WebDataS1[#Headers],0)-1,1,1)</f>
        <v>#DIV/0!</v>
      </c>
      <c r="O10" s="50">
        <f ca="1">OFFSET(INDIRECT(RefData),MATCH(RefDate,WebDataS1[Date],0)+GraphData[[#This Row],[Month Offset]]-1,MATCH(GraphData[[#Headers],[Revenues]],WebDataS1[#Headers],0)-1,1,1)</f>
        <v>0</v>
      </c>
      <c r="P10" s="50" t="e">
        <f ca="1">OFFSET(INDIRECT(RefData),MATCH(RefDate,WebDataS1[Date],0)+GraphData[[#This Row],[Month Offset]]-1,MATCH(GraphData[[#Headers],[Average Order Size]],WebDataS1[#Headers],0)-1,1,1)</f>
        <v>#DIV/0!</v>
      </c>
      <c r="Q10" s="60">
        <f ca="1">GraphData[[#This Row],[Orders]]/GraphData[[#This Row],[Visits]]</f>
        <v>0</v>
      </c>
      <c r="R10" s="152">
        <f ca="1">OFFSET(INDIRECT(RefData),MATCH(RefDate,WebDataS1[Date],0)+GraphData[[#This Row],[Month Offset]]-1,MATCH(GraphData[[#Headers],[Goal 1]],WebDataS1[#Headers],0)-1,1,1)</f>
        <v>0</v>
      </c>
      <c r="S10" s="152">
        <f ca="1">OFFSET(INDIRECT(RefData),MATCH(RefDate,WebDataS1[Date],0)+GraphData[[#This Row],[Month Offset]]-1,MATCH(GraphData[[#Headers],[Goal 2]],WebDataS1[#Headers],0)-1,1,1)</f>
        <v>0</v>
      </c>
      <c r="T10" s="152">
        <f ca="1">OFFSET(INDIRECT(RefData),MATCH(RefDate,WebDataS1[Date],0)+GraphData[[#This Row],[Month Offset]]-1,MATCH(GraphData[[#Headers],[Goal 3]],WebDataS1[#Headers],0)-1,1,1)</f>
        <v>0</v>
      </c>
      <c r="U10" s="153">
        <f ca="1">OFFSET(INDIRECT(RefData),MATCH(RefDate,WebDataS1[Date],0)+GraphData[[#This Row],[Month Offset]]-1,MATCH(GraphData[[#Headers],[Goal 4]],WebDataS1[#Headers],0)-1,1,1)</f>
        <v>0</v>
      </c>
      <c r="V10" s="153">
        <f ca="1">OFFSET(INDIRECT(RefData),MATCH(RefDate,WebDataS1[Date],0)+GraphData[[#This Row],[Month Offset]]-1,MATCH(GraphData[[#Headers],[Goal 5]],WebDataS1[#Headers],0)-1,1,1)</f>
        <v>0</v>
      </c>
    </row>
    <row r="11" spans="1:24">
      <c r="A11" s="4">
        <v>-10</v>
      </c>
      <c r="B11" s="48">
        <f ca="1">OFFSET(INDIRECT(RefData),MATCH(RefDate,WebDataS1[Date],0)+GraphData[[#This Row],[Month Offset]]-1,MATCH(GraphData[[#Headers],[New Visitors]],WebDataS1[#Headers],0)-1,1,1)</f>
        <v>13450</v>
      </c>
      <c r="C11" s="48">
        <f ca="1">OFFSET(INDIRECT(RefData),MATCH(RefDate,WebDataS1[Date],0)+GraphData[[#This Row],[Month Offset]]-1,MATCH(GraphData[[#Headers],[Returning Visitors]],WebDataS1[#Headers],0)-1,1,1)</f>
        <v>6592</v>
      </c>
      <c r="D11" s="48">
        <f ca="1">OFFSET(INDIRECT(RefData),MATCH(RefDate,WebDataS1[Date],0)+GraphData[[#This Row],[Month Offset]]-1,MATCH(GraphData[[#Headers],[Unique Visitors]],WebDataS1[#Headers],0)-1,1,1)</f>
        <v>15085</v>
      </c>
      <c r="E11" s="26">
        <f ca="1">OFFSET(INDIRECT(RefData),MATCH(RefDate,WebDataS1[Date],0)+GraphData[[#This Row],[Month Offset]]-1,MATCH(GraphData[[#Headers],[Visits]],WebDataS1[#Headers],0)-1,1,1)</f>
        <v>20042</v>
      </c>
      <c r="F11" s="5">
        <f ca="1">OFFSET(INDIRECT(RefData),MATCH(RefDate,WebDataS1[Date],0)+GraphData[[#This Row],[Month Offset]]-1,MATCH(GraphData[[#Headers],[Visits/Visitor]],WebDataS1[#Headers],0)-1,1,1)</f>
        <v>1.3286045740802122</v>
      </c>
      <c r="G11" s="6">
        <f ca="1">OFFSET(INDIRECT(RefData),MATCH(RefDate,WebDataS1[Date],0)+GraphData[[#This Row],[Month Offset]]-1,MATCH(GraphData[[#Headers],[Single Page Visits]],WebDataS1[#Headers],0)-1,1,1)</f>
        <v>30443</v>
      </c>
      <c r="H11" s="49">
        <f ca="1">OFFSET(INDIRECT(RefData),MATCH(RefDate,WebDataS1[Date],0)+GraphData[[#This Row],[Month Offset]]-1,MATCH(GraphData[[#Headers],[Bounce Rate]],WebDataS1[#Headers],0)-1,1,1)</f>
        <v>11.18</v>
      </c>
      <c r="I11" s="6">
        <f ca="1">OFFSET(INDIRECT(RefData),MATCH(RefDate,WebDataS1[Date],0)+GraphData[[#This Row],[Month Offset]]-1,MATCH(GraphData[[#Headers],[unique pageviews]],WebDataS1[#Headers],0)-1,1,1)</f>
        <v>136747</v>
      </c>
      <c r="J11" s="25">
        <f ca="1">OFFSET(INDIRECT(RefData),MATCH(RefDate,WebDataS1[Date],0)+GraphData[[#This Row],[Month Offset]]-1,MATCH(GraphData[[#Headers],[unique pageviews/visit]],WebDataS1[#Headers],0)-1,1,1)</f>
        <v>6.8230216545254967</v>
      </c>
      <c r="K11" s="6">
        <f ca="1">OFFSET(INDIRECT(RefData),MATCH(RefDate,WebDataS1[Date],0)+GraphData[[#This Row],[Month Offset]]-1,MATCH(GraphData[[#Headers],[Customers]],WebDataS1[#Headers],0)-1,1,1)</f>
        <v>13416</v>
      </c>
      <c r="L11" s="6">
        <f ca="1">OFFSET(INDIRECT(RefData),MATCH(RefDate,WebDataS1[Date],0)+GraphData[[#This Row],[Month Offset]]-1,MATCH(GraphData[[#Headers],[Orders]],WebDataS1[#Headers],0)-1,1,1)</f>
        <v>27</v>
      </c>
      <c r="M11" s="6">
        <f ca="1">OFFSET(INDIRECT(RefData),MATCH(RefDate,WebDataS1[Date],0)+GraphData[[#This Row],[Month Offset]]-1,MATCH(GraphData[[#Headers],[Items]],WebDataS1[#Headers],0)-1,1,1)</f>
        <v>61</v>
      </c>
      <c r="N11" s="25">
        <f ca="1">OFFSET(INDIRECT(RefData),MATCH(RefDate,WebDataS1[Date],0)+GraphData[[#This Row],[Month Offset]]-1,MATCH(GraphData[[#Headers],[Items/Order]],WebDataS1[#Headers],0)-1,1,1)</f>
        <v>2.2592592592592591</v>
      </c>
      <c r="O11" s="50">
        <f ca="1">OFFSET(INDIRECT(RefData),MATCH(RefDate,WebDataS1[Date],0)+GraphData[[#This Row],[Month Offset]]-1,MATCH(GraphData[[#Headers],[Revenues]],WebDataS1[#Headers],0)-1,1,1)</f>
        <v>5754.25</v>
      </c>
      <c r="P11" s="50">
        <f ca="1">OFFSET(INDIRECT(RefData),MATCH(RefDate,WebDataS1[Date],0)+GraphData[[#This Row],[Month Offset]]-1,MATCH(GraphData[[#Headers],[Average Order Size]],WebDataS1[#Headers],0)-1,1,1)</f>
        <v>213.12037037037038</v>
      </c>
      <c r="Q11" s="60">
        <f ca="1">GraphData[[#This Row],[Orders]]/GraphData[[#This Row],[Visits]]</f>
        <v>1.34717094102385E-3</v>
      </c>
      <c r="R11" s="152">
        <f ca="1">OFFSET(INDIRECT(RefData),MATCH(RefDate,WebDataS1[Date],0)+GraphData[[#This Row],[Month Offset]]-1,MATCH(GraphData[[#Headers],[Goal 1]],WebDataS1[#Headers],0)-1,1,1)</f>
        <v>0</v>
      </c>
      <c r="S11" s="152">
        <f ca="1">OFFSET(INDIRECT(RefData),MATCH(RefDate,WebDataS1[Date],0)+GraphData[[#This Row],[Month Offset]]-1,MATCH(GraphData[[#Headers],[Goal 2]],WebDataS1[#Headers],0)-1,1,1)</f>
        <v>0</v>
      </c>
      <c r="T11" s="152">
        <f ca="1">OFFSET(INDIRECT(RefData),MATCH(RefDate,WebDataS1[Date],0)+GraphData[[#This Row],[Month Offset]]-1,MATCH(GraphData[[#Headers],[Goal 3]],WebDataS1[#Headers],0)-1,1,1)</f>
        <v>0</v>
      </c>
      <c r="U11" s="153">
        <f ca="1">OFFSET(INDIRECT(RefData),MATCH(RefDate,WebDataS1[Date],0)+GraphData[[#This Row],[Month Offset]]-1,MATCH(GraphData[[#Headers],[Goal 4]],WebDataS1[#Headers],0)-1,1,1)</f>
        <v>0</v>
      </c>
      <c r="V11" s="153">
        <f ca="1">OFFSET(INDIRECT(RefData),MATCH(RefDate,WebDataS1[Date],0)+GraphData[[#This Row],[Month Offset]]-1,MATCH(GraphData[[#Headers],[Goal 5]],WebDataS1[#Headers],0)-1,1,1)</f>
        <v>0</v>
      </c>
    </row>
    <row r="12" spans="1:24">
      <c r="A12" s="4">
        <v>-9</v>
      </c>
      <c r="B12" s="48">
        <f ca="1">OFFSET(INDIRECT(RefData),MATCH(RefDate,WebDataS1[Date],0)+GraphData[[#This Row],[Month Offset]]-1,MATCH(GraphData[[#Headers],[New Visitors]],WebDataS1[#Headers],0)-1,1,1)</f>
        <v>20438</v>
      </c>
      <c r="C12" s="48">
        <f ca="1">OFFSET(INDIRECT(RefData),MATCH(RefDate,WebDataS1[Date],0)+GraphData[[#This Row],[Month Offset]]-1,MATCH(GraphData[[#Headers],[Returning Visitors]],WebDataS1[#Headers],0)-1,1,1)</f>
        <v>8350</v>
      </c>
      <c r="D12" s="48">
        <f ca="1">OFFSET(INDIRECT(RefData),MATCH(RefDate,WebDataS1[Date],0)+GraphData[[#This Row],[Month Offset]]-1,MATCH(GraphData[[#Headers],[Unique Visitors]],WebDataS1[#Headers],0)-1,1,1)</f>
        <v>22536</v>
      </c>
      <c r="E12" s="26">
        <f ca="1">OFFSET(INDIRECT(RefData),MATCH(RefDate,WebDataS1[Date],0)+GraphData[[#This Row],[Month Offset]]-1,MATCH(GraphData[[#Headers],[Visits]],WebDataS1[#Headers],0)-1,1,1)</f>
        <v>28788</v>
      </c>
      <c r="F12" s="5">
        <f ca="1">OFFSET(INDIRECT(RefData),MATCH(RefDate,WebDataS1[Date],0)+GraphData[[#This Row],[Month Offset]]-1,MATCH(GraphData[[#Headers],[Visits/Visitor]],WebDataS1[#Headers],0)-1,1,1)</f>
        <v>1.277422790202343</v>
      </c>
      <c r="G12" s="6">
        <f ca="1">OFFSET(INDIRECT(RefData),MATCH(RefDate,WebDataS1[Date],0)+GraphData[[#This Row],[Month Offset]]-1,MATCH(GraphData[[#Headers],[Single Page Visits]],WebDataS1[#Headers],0)-1,1,1)</f>
        <v>25252</v>
      </c>
      <c r="H12" s="49">
        <f ca="1">OFFSET(INDIRECT(RefData),MATCH(RefDate,WebDataS1[Date],0)+GraphData[[#This Row],[Month Offset]]-1,MATCH(GraphData[[#Headers],[Bounce Rate]],WebDataS1[#Headers],0)-1,1,1)</f>
        <v>0.56999999999999995</v>
      </c>
      <c r="I12" s="6">
        <f ca="1">OFFSET(INDIRECT(RefData),MATCH(RefDate,WebDataS1[Date],0)+GraphData[[#This Row],[Month Offset]]-1,MATCH(GraphData[[#Headers],[unique pageviews]],WebDataS1[#Headers],0)-1,1,1)</f>
        <v>177377</v>
      </c>
      <c r="J12" s="25">
        <f ca="1">OFFSET(INDIRECT(RefData),MATCH(RefDate,WebDataS1[Date],0)+GraphData[[#This Row],[Month Offset]]-1,MATCH(GraphData[[#Headers],[unique pageviews/visit]],WebDataS1[#Headers],0)-1,1,1)</f>
        <v>6.1614908989856882</v>
      </c>
      <c r="K12" s="6">
        <f ca="1">OFFSET(INDIRECT(RefData),MATCH(RefDate,WebDataS1[Date],0)+GraphData[[#This Row],[Month Offset]]-1,MATCH(GraphData[[#Headers],[Customers]],WebDataS1[#Headers],0)-1,1,1)</f>
        <v>20411</v>
      </c>
      <c r="L12" s="6">
        <f ca="1">OFFSET(INDIRECT(RefData),MATCH(RefDate,WebDataS1[Date],0)+GraphData[[#This Row],[Month Offset]]-1,MATCH(GraphData[[#Headers],[Orders]],WebDataS1[#Headers],0)-1,1,1)</f>
        <v>583</v>
      </c>
      <c r="M12" s="6">
        <f ca="1">OFFSET(INDIRECT(RefData),MATCH(RefDate,WebDataS1[Date],0)+GraphData[[#This Row],[Month Offset]]-1,MATCH(GraphData[[#Headers],[Items]],WebDataS1[#Headers],0)-1,1,1)</f>
        <v>1033</v>
      </c>
      <c r="N12" s="25">
        <f ca="1">OFFSET(INDIRECT(RefData),MATCH(RefDate,WebDataS1[Date],0)+GraphData[[#This Row],[Month Offset]]-1,MATCH(GraphData[[#Headers],[Items/Order]],WebDataS1[#Headers],0)-1,1,1)</f>
        <v>1.771869639794168</v>
      </c>
      <c r="O12" s="50">
        <f ca="1">OFFSET(INDIRECT(RefData),MATCH(RefDate,WebDataS1[Date],0)+GraphData[[#This Row],[Month Offset]]-1,MATCH(GraphData[[#Headers],[Revenues]],WebDataS1[#Headers],0)-1,1,1)</f>
        <v>88701.34</v>
      </c>
      <c r="P12" s="50">
        <f ca="1">OFFSET(INDIRECT(RefData),MATCH(RefDate,WebDataS1[Date],0)+GraphData[[#This Row],[Month Offset]]-1,MATCH(GraphData[[#Headers],[Average Order Size]],WebDataS1[#Headers],0)-1,1,1)</f>
        <v>152.14638078902229</v>
      </c>
      <c r="Q12" s="60">
        <f ca="1">GraphData[[#This Row],[Orders]]/GraphData[[#This Row],[Visits]]</f>
        <v>2.0251493677921357E-2</v>
      </c>
      <c r="R12" s="152">
        <f ca="1">OFFSET(INDIRECT(RefData),MATCH(RefDate,WebDataS1[Date],0)+GraphData[[#This Row],[Month Offset]]-1,MATCH(GraphData[[#Headers],[Goal 1]],WebDataS1[#Headers],0)-1,1,1)</f>
        <v>0</v>
      </c>
      <c r="S12" s="152">
        <f ca="1">OFFSET(INDIRECT(RefData),MATCH(RefDate,WebDataS1[Date],0)+GraphData[[#This Row],[Month Offset]]-1,MATCH(GraphData[[#Headers],[Goal 2]],WebDataS1[#Headers],0)-1,1,1)</f>
        <v>0</v>
      </c>
      <c r="T12" s="152">
        <f ca="1">OFFSET(INDIRECT(RefData),MATCH(RefDate,WebDataS1[Date],0)+GraphData[[#This Row],[Month Offset]]-1,MATCH(GraphData[[#Headers],[Goal 3]],WebDataS1[#Headers],0)-1,1,1)</f>
        <v>0</v>
      </c>
      <c r="U12" s="153">
        <f ca="1">OFFSET(INDIRECT(RefData),MATCH(RefDate,WebDataS1[Date],0)+GraphData[[#This Row],[Month Offset]]-1,MATCH(GraphData[[#Headers],[Goal 4]],WebDataS1[#Headers],0)-1,1,1)</f>
        <v>0</v>
      </c>
      <c r="V12" s="153">
        <f ca="1">OFFSET(INDIRECT(RefData),MATCH(RefDate,WebDataS1[Date],0)+GraphData[[#This Row],[Month Offset]]-1,MATCH(GraphData[[#Headers],[Goal 5]],WebDataS1[#Headers],0)-1,1,1)</f>
        <v>0</v>
      </c>
    </row>
    <row r="13" spans="1:24">
      <c r="A13" s="4">
        <v>-8</v>
      </c>
      <c r="B13" s="48">
        <f ca="1">OFFSET(INDIRECT(RefData),MATCH(RefDate,WebDataS1[Date],0)+GraphData[[#This Row],[Month Offset]]-1,MATCH(GraphData[[#Headers],[New Visitors]],WebDataS1[#Headers],0)-1,1,1)</f>
        <v>20334</v>
      </c>
      <c r="C13" s="48">
        <f ca="1">OFFSET(INDIRECT(RefData),MATCH(RefDate,WebDataS1[Date],0)+GraphData[[#This Row],[Month Offset]]-1,MATCH(GraphData[[#Headers],[Returning Visitors]],WebDataS1[#Headers],0)-1,1,1)</f>
        <v>7702</v>
      </c>
      <c r="D13" s="48">
        <f ca="1">OFFSET(INDIRECT(RefData),MATCH(RefDate,WebDataS1[Date],0)+GraphData[[#This Row],[Month Offset]]-1,MATCH(GraphData[[#Headers],[Unique Visitors]],WebDataS1[#Headers],0)-1,1,1)</f>
        <v>22361</v>
      </c>
      <c r="E13" s="26">
        <f ca="1">OFFSET(INDIRECT(RefData),MATCH(RefDate,WebDataS1[Date],0)+GraphData[[#This Row],[Month Offset]]-1,MATCH(GraphData[[#Headers],[Visits]],WebDataS1[#Headers],0)-1,1,1)</f>
        <v>28036</v>
      </c>
      <c r="F13" s="5">
        <f ca="1">OFFSET(INDIRECT(RefData),MATCH(RefDate,WebDataS1[Date],0)+GraphData[[#This Row],[Month Offset]]-1,MATCH(GraphData[[#Headers],[Visits/Visitor]],WebDataS1[#Headers],0)-1,1,1)</f>
        <v>1.2537900809445015</v>
      </c>
      <c r="G13" s="6">
        <f ca="1">OFFSET(INDIRECT(RefData),MATCH(RefDate,WebDataS1[Date],0)+GraphData[[#This Row],[Month Offset]]-1,MATCH(GraphData[[#Headers],[Single Page Visits]],WebDataS1[#Headers],0)-1,1,1)</f>
        <v>30691</v>
      </c>
      <c r="H13" s="49">
        <f ca="1">OFFSET(INDIRECT(RefData),MATCH(RefDate,WebDataS1[Date],0)+GraphData[[#This Row],[Month Offset]]-1,MATCH(GraphData[[#Headers],[Bounce Rate]],WebDataS1[#Headers],0)-1,1,1)</f>
        <v>0.51</v>
      </c>
      <c r="I13" s="6">
        <f ca="1">OFFSET(INDIRECT(RefData),MATCH(RefDate,WebDataS1[Date],0)+GraphData[[#This Row],[Month Offset]]-1,MATCH(GraphData[[#Headers],[unique pageviews]],WebDataS1[#Headers],0)-1,1,1)</f>
        <v>169130</v>
      </c>
      <c r="J13" s="25">
        <f ca="1">OFFSET(INDIRECT(RefData),MATCH(RefDate,WebDataS1[Date],0)+GraphData[[#This Row],[Month Offset]]-1,MATCH(GraphData[[#Headers],[unique pageviews/visit]],WebDataS1[#Headers],0)-1,1,1)</f>
        <v>6.0326009416464546</v>
      </c>
      <c r="K13" s="6">
        <f ca="1">OFFSET(INDIRECT(RefData),MATCH(RefDate,WebDataS1[Date],0)+GraphData[[#This Row],[Month Offset]]-1,MATCH(GraphData[[#Headers],[Customers]],WebDataS1[#Headers],0)-1,1,1)</f>
        <v>20309</v>
      </c>
      <c r="L13" s="6">
        <f ca="1">OFFSET(INDIRECT(RefData),MATCH(RefDate,WebDataS1[Date],0)+GraphData[[#This Row],[Month Offset]]-1,MATCH(GraphData[[#Headers],[Orders]],WebDataS1[#Headers],0)-1,1,1)</f>
        <v>567</v>
      </c>
      <c r="M13" s="6">
        <f ca="1">OFFSET(INDIRECT(RefData),MATCH(RefDate,WebDataS1[Date],0)+GraphData[[#This Row],[Month Offset]]-1,MATCH(GraphData[[#Headers],[Items]],WebDataS1[#Headers],0)-1,1,1)</f>
        <v>1049</v>
      </c>
      <c r="N13" s="25">
        <f ca="1">OFFSET(INDIRECT(RefData),MATCH(RefDate,WebDataS1[Date],0)+GraphData[[#This Row],[Month Offset]]-1,MATCH(GraphData[[#Headers],[Items/Order]],WebDataS1[#Headers],0)-1,1,1)</f>
        <v>1.8500881834215168</v>
      </c>
      <c r="O13" s="50">
        <f ca="1">OFFSET(INDIRECT(RefData),MATCH(RefDate,WebDataS1[Date],0)+GraphData[[#This Row],[Month Offset]]-1,MATCH(GraphData[[#Headers],[Revenues]],WebDataS1[#Headers],0)-1,1,1)</f>
        <v>85423.34</v>
      </c>
      <c r="P13" s="50">
        <f ca="1">OFFSET(INDIRECT(RefData),MATCH(RefDate,WebDataS1[Date],0)+GraphData[[#This Row],[Month Offset]]-1,MATCH(GraphData[[#Headers],[Average Order Size]],WebDataS1[#Headers],0)-1,1,1)</f>
        <v>150.6584479717813</v>
      </c>
      <c r="Q13" s="60">
        <f ca="1">GraphData[[#This Row],[Orders]]/GraphData[[#This Row],[Visits]]</f>
        <v>2.0223997717220717E-2</v>
      </c>
      <c r="R13" s="152">
        <f ca="1">OFFSET(INDIRECT(RefData),MATCH(RefDate,WebDataS1[Date],0)+GraphData[[#This Row],[Month Offset]]-1,MATCH(GraphData[[#Headers],[Goal 1]],WebDataS1[#Headers],0)-1,1,1)</f>
        <v>0</v>
      </c>
      <c r="S13" s="152">
        <f ca="1">OFFSET(INDIRECT(RefData),MATCH(RefDate,WebDataS1[Date],0)+GraphData[[#This Row],[Month Offset]]-1,MATCH(GraphData[[#Headers],[Goal 2]],WebDataS1[#Headers],0)-1,1,1)</f>
        <v>0</v>
      </c>
      <c r="T13" s="152">
        <f ca="1">OFFSET(INDIRECT(RefData),MATCH(RefDate,WebDataS1[Date],0)+GraphData[[#This Row],[Month Offset]]-1,MATCH(GraphData[[#Headers],[Goal 3]],WebDataS1[#Headers],0)-1,1,1)</f>
        <v>0</v>
      </c>
      <c r="U13" s="153">
        <f ca="1">OFFSET(INDIRECT(RefData),MATCH(RefDate,WebDataS1[Date],0)+GraphData[[#This Row],[Month Offset]]-1,MATCH(GraphData[[#Headers],[Goal 4]],WebDataS1[#Headers],0)-1,1,1)</f>
        <v>0</v>
      </c>
      <c r="V13" s="153">
        <f ca="1">OFFSET(INDIRECT(RefData),MATCH(RefDate,WebDataS1[Date],0)+GraphData[[#This Row],[Month Offset]]-1,MATCH(GraphData[[#Headers],[Goal 5]],WebDataS1[#Headers],0)-1,1,1)</f>
        <v>0</v>
      </c>
    </row>
    <row r="14" spans="1:24">
      <c r="A14" s="4">
        <v>-7</v>
      </c>
      <c r="B14" s="48">
        <f ca="1">OFFSET(INDIRECT(RefData),MATCH(RefDate,WebDataS1[Date],0)+GraphData[[#This Row],[Month Offset]]-1,MATCH(GraphData[[#Headers],[New Visitors]],WebDataS1[#Headers],0)-1,1,1)</f>
        <v>22772</v>
      </c>
      <c r="C14" s="48">
        <f ca="1">OFFSET(INDIRECT(RefData),MATCH(RefDate,WebDataS1[Date],0)+GraphData[[#This Row],[Month Offset]]-1,MATCH(GraphData[[#Headers],[Returning Visitors]],WebDataS1[#Headers],0)-1,1,1)</f>
        <v>8952</v>
      </c>
      <c r="D14" s="48">
        <f ca="1">OFFSET(INDIRECT(RefData),MATCH(RefDate,WebDataS1[Date],0)+GraphData[[#This Row],[Month Offset]]-1,MATCH(GraphData[[#Headers],[Unique Visitors]],WebDataS1[#Headers],0)-1,1,1)</f>
        <v>25092</v>
      </c>
      <c r="E14" s="26">
        <f ca="1">OFFSET(INDIRECT(RefData),MATCH(RefDate,WebDataS1[Date],0)+GraphData[[#This Row],[Month Offset]]-1,MATCH(GraphData[[#Headers],[Visits]],WebDataS1[#Headers],0)-1,1,1)</f>
        <v>31724</v>
      </c>
      <c r="F14" s="5">
        <f ca="1">OFFSET(INDIRECT(RefData),MATCH(RefDate,WebDataS1[Date],0)+GraphData[[#This Row],[Month Offset]]-1,MATCH(GraphData[[#Headers],[Visits/Visitor]],WebDataS1[#Headers],0)-1,1,1)</f>
        <v>1.2643073489558425</v>
      </c>
      <c r="G14" s="6">
        <f ca="1">OFFSET(INDIRECT(RefData),MATCH(RefDate,WebDataS1[Date],0)+GraphData[[#This Row],[Month Offset]]-1,MATCH(GraphData[[#Headers],[Single Page Visits]],WebDataS1[#Headers],0)-1,1,1)</f>
        <v>23102</v>
      </c>
      <c r="H14" s="49">
        <f ca="1">OFFSET(INDIRECT(RefData),MATCH(RefDate,WebDataS1[Date],0)+GraphData[[#This Row],[Month Offset]]-1,MATCH(GraphData[[#Headers],[Bounce Rate]],WebDataS1[#Headers],0)-1,1,1)</f>
        <v>1.44</v>
      </c>
      <c r="I14" s="6">
        <f ca="1">OFFSET(INDIRECT(RefData),MATCH(RefDate,WebDataS1[Date],0)+GraphData[[#This Row],[Month Offset]]-1,MATCH(GraphData[[#Headers],[unique pageviews]],WebDataS1[#Headers],0)-1,1,1)</f>
        <v>198587</v>
      </c>
      <c r="J14" s="25">
        <f ca="1">OFFSET(INDIRECT(RefData),MATCH(RefDate,WebDataS1[Date],0)+GraphData[[#This Row],[Month Offset]]-1,MATCH(GraphData[[#Headers],[unique pageviews/visit]],WebDataS1[#Headers],0)-1,1,1)</f>
        <v>6.2598348253688059</v>
      </c>
      <c r="K14" s="6">
        <f ca="1">OFFSET(INDIRECT(RefData),MATCH(RefDate,WebDataS1[Date],0)+GraphData[[#This Row],[Month Offset]]-1,MATCH(GraphData[[#Headers],[Customers]],WebDataS1[#Headers],0)-1,1,1)</f>
        <v>22744</v>
      </c>
      <c r="L14" s="6">
        <f ca="1">OFFSET(INDIRECT(RefData),MATCH(RefDate,WebDataS1[Date],0)+GraphData[[#This Row],[Month Offset]]-1,MATCH(GraphData[[#Headers],[Orders]],WebDataS1[#Headers],0)-1,1,1)</f>
        <v>671</v>
      </c>
      <c r="M14" s="6">
        <f ca="1">OFFSET(INDIRECT(RefData),MATCH(RefDate,WebDataS1[Date],0)+GraphData[[#This Row],[Month Offset]]-1,MATCH(GraphData[[#Headers],[Items]],WebDataS1[#Headers],0)-1,1,1)</f>
        <v>1254</v>
      </c>
      <c r="N14" s="25">
        <f ca="1">OFFSET(INDIRECT(RefData),MATCH(RefDate,WebDataS1[Date],0)+GraphData[[#This Row],[Month Offset]]-1,MATCH(GraphData[[#Headers],[Items/Order]],WebDataS1[#Headers],0)-1,1,1)</f>
        <v>1.8688524590163935</v>
      </c>
      <c r="O14" s="50">
        <f ca="1">OFFSET(INDIRECT(RefData),MATCH(RefDate,WebDataS1[Date],0)+GraphData[[#This Row],[Month Offset]]-1,MATCH(GraphData[[#Headers],[Revenues]],WebDataS1[#Headers],0)-1,1,1)</f>
        <v>98261.46</v>
      </c>
      <c r="P14" s="50">
        <f ca="1">OFFSET(INDIRECT(RefData),MATCH(RefDate,WebDataS1[Date],0)+GraphData[[#This Row],[Month Offset]]-1,MATCH(GraphData[[#Headers],[Average Order Size]],WebDataS1[#Headers],0)-1,1,1)</f>
        <v>146.44032786885248</v>
      </c>
      <c r="Q14" s="60">
        <f ca="1">GraphData[[#This Row],[Orders]]/GraphData[[#This Row],[Visits]]</f>
        <v>2.115117891816921E-2</v>
      </c>
      <c r="R14" s="152">
        <f ca="1">OFFSET(INDIRECT(RefData),MATCH(RefDate,WebDataS1[Date],0)+GraphData[[#This Row],[Month Offset]]-1,MATCH(GraphData[[#Headers],[Goal 1]],WebDataS1[#Headers],0)-1,1,1)</f>
        <v>0</v>
      </c>
      <c r="S14" s="152">
        <f ca="1">OFFSET(INDIRECT(RefData),MATCH(RefDate,WebDataS1[Date],0)+GraphData[[#This Row],[Month Offset]]-1,MATCH(GraphData[[#Headers],[Goal 2]],WebDataS1[#Headers],0)-1,1,1)</f>
        <v>0</v>
      </c>
      <c r="T14" s="152">
        <f ca="1">OFFSET(INDIRECT(RefData),MATCH(RefDate,WebDataS1[Date],0)+GraphData[[#This Row],[Month Offset]]-1,MATCH(GraphData[[#Headers],[Goal 3]],WebDataS1[#Headers],0)-1,1,1)</f>
        <v>0</v>
      </c>
      <c r="U14" s="153">
        <f ca="1">OFFSET(INDIRECT(RefData),MATCH(RefDate,WebDataS1[Date],0)+GraphData[[#This Row],[Month Offset]]-1,MATCH(GraphData[[#Headers],[Goal 4]],WebDataS1[#Headers],0)-1,1,1)</f>
        <v>0</v>
      </c>
      <c r="V14" s="153">
        <f ca="1">OFFSET(INDIRECT(RefData),MATCH(RefDate,WebDataS1[Date],0)+GraphData[[#This Row],[Month Offset]]-1,MATCH(GraphData[[#Headers],[Goal 5]],WebDataS1[#Headers],0)-1,1,1)</f>
        <v>0</v>
      </c>
    </row>
    <row r="15" spans="1:24">
      <c r="A15" s="4">
        <v>-6</v>
      </c>
      <c r="B15" s="48">
        <f ca="1">OFFSET(INDIRECT(RefData),MATCH(RefDate,WebDataS1[Date],0)+GraphData[[#This Row],[Month Offset]]-1,MATCH(GraphData[[#Headers],[New Visitors]],WebDataS1[#Headers],0)-1,1,1)</f>
        <v>23608</v>
      </c>
      <c r="C15" s="48">
        <f ca="1">OFFSET(INDIRECT(RefData),MATCH(RefDate,WebDataS1[Date],0)+GraphData[[#This Row],[Month Offset]]-1,MATCH(GraphData[[#Headers],[Returning Visitors]],WebDataS1[#Headers],0)-1,1,1)</f>
        <v>10615</v>
      </c>
      <c r="D15" s="48">
        <f ca="1">OFFSET(INDIRECT(RefData),MATCH(RefDate,WebDataS1[Date],0)+GraphData[[#This Row],[Month Offset]]-1,MATCH(GraphData[[#Headers],[Unique Visitors]],WebDataS1[#Headers],0)-1,1,1)</f>
        <v>26257</v>
      </c>
      <c r="E15" s="26">
        <f ca="1">OFFSET(INDIRECT(RefData),MATCH(RefDate,WebDataS1[Date],0)+GraphData[[#This Row],[Month Offset]]-1,MATCH(GraphData[[#Headers],[Visits]],WebDataS1[#Headers],0)-1,1,1)</f>
        <v>34223</v>
      </c>
      <c r="F15" s="5">
        <f ca="1">OFFSET(INDIRECT(RefData),MATCH(RefDate,WebDataS1[Date],0)+GraphData[[#This Row],[Month Offset]]-1,MATCH(GraphData[[#Headers],[Visits/Visitor]],WebDataS1[#Headers],0)-1,1,1)</f>
        <v>1.3033857637963209</v>
      </c>
      <c r="G15" s="6">
        <f ca="1">OFFSET(INDIRECT(RefData),MATCH(RefDate,WebDataS1[Date],0)+GraphData[[#This Row],[Month Offset]]-1,MATCH(GraphData[[#Headers],[Single Page Visits]],WebDataS1[#Headers],0)-1,1,1)</f>
        <v>25620</v>
      </c>
      <c r="H15" s="49">
        <f ca="1">OFFSET(INDIRECT(RefData),MATCH(RefDate,WebDataS1[Date],0)+GraphData[[#This Row],[Month Offset]]-1,MATCH(GraphData[[#Headers],[Bounce Rate]],WebDataS1[#Headers],0)-1,1,1)</f>
        <v>31.97</v>
      </c>
      <c r="I15" s="6">
        <f ca="1">OFFSET(INDIRECT(RefData),MATCH(RefDate,WebDataS1[Date],0)+GraphData[[#This Row],[Month Offset]]-1,MATCH(GraphData[[#Headers],[unique pageviews]],WebDataS1[#Headers],0)-1,1,1)</f>
        <v>201723</v>
      </c>
      <c r="J15" s="25">
        <f ca="1">OFFSET(INDIRECT(RefData),MATCH(RefDate,WebDataS1[Date],0)+GraphData[[#This Row],[Month Offset]]-1,MATCH(GraphData[[#Headers],[unique pageviews/visit]],WebDataS1[#Headers],0)-1,1,1)</f>
        <v>5.8943692838149779</v>
      </c>
      <c r="K15" s="6">
        <f ca="1">OFFSET(INDIRECT(RefData),MATCH(RefDate,WebDataS1[Date],0)+GraphData[[#This Row],[Month Offset]]-1,MATCH(GraphData[[#Headers],[Customers]],WebDataS1[#Headers],0)-1,1,1)</f>
        <v>23567</v>
      </c>
      <c r="L15" s="6">
        <f ca="1">OFFSET(INDIRECT(RefData),MATCH(RefDate,WebDataS1[Date],0)+GraphData[[#This Row],[Month Offset]]-1,MATCH(GraphData[[#Headers],[Orders]],WebDataS1[#Headers],0)-1,1,1)</f>
        <v>650</v>
      </c>
      <c r="M15" s="6">
        <f ca="1">OFFSET(INDIRECT(RefData),MATCH(RefDate,WebDataS1[Date],0)+GraphData[[#This Row],[Month Offset]]-1,MATCH(GraphData[[#Headers],[Items]],WebDataS1[#Headers],0)-1,1,1)</f>
        <v>1254</v>
      </c>
      <c r="N15" s="25">
        <f ca="1">OFFSET(INDIRECT(RefData),MATCH(RefDate,WebDataS1[Date],0)+GraphData[[#This Row],[Month Offset]]-1,MATCH(GraphData[[#Headers],[Items/Order]],WebDataS1[#Headers],0)-1,1,1)</f>
        <v>1.9292307692307693</v>
      </c>
      <c r="O15" s="50">
        <f ca="1">OFFSET(INDIRECT(RefData),MATCH(RefDate,WebDataS1[Date],0)+GraphData[[#This Row],[Month Offset]]-1,MATCH(GraphData[[#Headers],[Revenues]],WebDataS1[#Headers],0)-1,1,1)</f>
        <v>104761.94</v>
      </c>
      <c r="P15" s="50">
        <f ca="1">OFFSET(INDIRECT(RefData),MATCH(RefDate,WebDataS1[Date],0)+GraphData[[#This Row],[Month Offset]]-1,MATCH(GraphData[[#Headers],[Average Order Size]],WebDataS1[#Headers],0)-1,1,1)</f>
        <v>161.17221538461538</v>
      </c>
      <c r="Q15" s="60">
        <f ca="1">GraphData[[#This Row],[Orders]]/GraphData[[#This Row],[Visits]]</f>
        <v>1.899307483271484E-2</v>
      </c>
      <c r="R15" s="152">
        <f ca="1">OFFSET(INDIRECT(RefData),MATCH(RefDate,WebDataS1[Date],0)+GraphData[[#This Row],[Month Offset]]-1,MATCH(GraphData[[#Headers],[Goal 1]],WebDataS1[#Headers],0)-1,1,1)</f>
        <v>0</v>
      </c>
      <c r="S15" s="152">
        <f ca="1">OFFSET(INDIRECT(RefData),MATCH(RefDate,WebDataS1[Date],0)+GraphData[[#This Row],[Month Offset]]-1,MATCH(GraphData[[#Headers],[Goal 2]],WebDataS1[#Headers],0)-1,1,1)</f>
        <v>0</v>
      </c>
      <c r="T15" s="152">
        <f ca="1">OFFSET(INDIRECT(RefData),MATCH(RefDate,WebDataS1[Date],0)+GraphData[[#This Row],[Month Offset]]-1,MATCH(GraphData[[#Headers],[Goal 3]],WebDataS1[#Headers],0)-1,1,1)</f>
        <v>0</v>
      </c>
      <c r="U15" s="153">
        <f ca="1">OFFSET(INDIRECT(RefData),MATCH(RefDate,WebDataS1[Date],0)+GraphData[[#This Row],[Month Offset]]-1,MATCH(GraphData[[#Headers],[Goal 4]],WebDataS1[#Headers],0)-1,1,1)</f>
        <v>0</v>
      </c>
      <c r="V15" s="153">
        <f ca="1">OFFSET(INDIRECT(RefData),MATCH(RefDate,WebDataS1[Date],0)+GraphData[[#This Row],[Month Offset]]-1,MATCH(GraphData[[#Headers],[Goal 5]],WebDataS1[#Headers],0)-1,1,1)</f>
        <v>0</v>
      </c>
    </row>
    <row r="16" spans="1:24">
      <c r="A16" s="4">
        <v>-5</v>
      </c>
      <c r="B16" s="48">
        <f ca="1">OFFSET(INDIRECT(RefData),MATCH(RefDate,WebDataS1[Date],0)+GraphData[[#This Row],[Month Offset]]-1,MATCH(GraphData[[#Headers],[New Visitors]],WebDataS1[#Headers],0)-1,1,1)</f>
        <v>25422</v>
      </c>
      <c r="C16" s="48">
        <f ca="1">OFFSET(INDIRECT(RefData),MATCH(RefDate,WebDataS1[Date],0)+GraphData[[#This Row],[Month Offset]]-1,MATCH(GraphData[[#Headers],[Returning Visitors]],WebDataS1[#Headers],0)-1,1,1)</f>
        <v>13081</v>
      </c>
      <c r="D16" s="48">
        <f ca="1">OFFSET(INDIRECT(RefData),MATCH(RefDate,WebDataS1[Date],0)+GraphData[[#This Row],[Month Offset]]-1,MATCH(GraphData[[#Headers],[Unique Visitors]],WebDataS1[#Headers],0)-1,1,1)</f>
        <v>28586</v>
      </c>
      <c r="E16" s="26">
        <f ca="1">OFFSET(INDIRECT(RefData),MATCH(RefDate,WebDataS1[Date],0)+GraphData[[#This Row],[Month Offset]]-1,MATCH(GraphData[[#Headers],[Visits]],WebDataS1[#Headers],0)-1,1,1)</f>
        <v>38503</v>
      </c>
      <c r="F16" s="5">
        <f ca="1">OFFSET(INDIRECT(RefData),MATCH(RefDate,WebDataS1[Date],0)+GraphData[[#This Row],[Month Offset]]-1,MATCH(GraphData[[#Headers],[Visits/Visitor]],WebDataS1[#Headers],0)-1,1,1)</f>
        <v>1.3469180717833904</v>
      </c>
      <c r="G16" s="6">
        <f ca="1">OFFSET(INDIRECT(RefData),MATCH(RefDate,WebDataS1[Date],0)+GraphData[[#This Row],[Month Offset]]-1,MATCH(GraphData[[#Headers],[Single Page Visits]],WebDataS1[#Headers],0)-1,1,1)</f>
        <v>62838</v>
      </c>
      <c r="H16" s="49">
        <f ca="1">OFFSET(INDIRECT(RefData),MATCH(RefDate,WebDataS1[Date],0)+GraphData[[#This Row],[Month Offset]]-1,MATCH(GraphData[[#Headers],[Bounce Rate]],WebDataS1[#Headers],0)-1,1,1)</f>
        <v>22.76</v>
      </c>
      <c r="I16" s="6">
        <f ca="1">OFFSET(INDIRECT(RefData),MATCH(RefDate,WebDataS1[Date],0)+GraphData[[#This Row],[Month Offset]]-1,MATCH(GraphData[[#Headers],[unique pageviews]],WebDataS1[#Headers],0)-1,1,1)</f>
        <v>264120</v>
      </c>
      <c r="J16" s="25">
        <f ca="1">OFFSET(INDIRECT(RefData),MATCH(RefDate,WebDataS1[Date],0)+GraphData[[#This Row],[Month Offset]]-1,MATCH(GraphData[[#Headers],[unique pageviews/visit]],WebDataS1[#Headers],0)-1,1,1)</f>
        <v>6.8597252162169182</v>
      </c>
      <c r="K16" s="6">
        <f ca="1">OFFSET(INDIRECT(RefData),MATCH(RefDate,WebDataS1[Date],0)+GraphData[[#This Row],[Month Offset]]-1,MATCH(GraphData[[#Headers],[Customers]],WebDataS1[#Headers],0)-1,1,1)</f>
        <v>25395</v>
      </c>
      <c r="L16" s="6">
        <f ca="1">OFFSET(INDIRECT(RefData),MATCH(RefDate,WebDataS1[Date],0)+GraphData[[#This Row],[Month Offset]]-1,MATCH(GraphData[[#Headers],[Orders]],WebDataS1[#Headers],0)-1,1,1)</f>
        <v>1031</v>
      </c>
      <c r="M16" s="6">
        <f ca="1">OFFSET(INDIRECT(RefData),MATCH(RefDate,WebDataS1[Date],0)+GraphData[[#This Row],[Month Offset]]-1,MATCH(GraphData[[#Headers],[Items]],WebDataS1[#Headers],0)-1,1,1)</f>
        <v>2288</v>
      </c>
      <c r="N16" s="25">
        <f ca="1">OFFSET(INDIRECT(RefData),MATCH(RefDate,WebDataS1[Date],0)+GraphData[[#This Row],[Month Offset]]-1,MATCH(GraphData[[#Headers],[Items/Order]],WebDataS1[#Headers],0)-1,1,1)</f>
        <v>2.219204655674103</v>
      </c>
      <c r="O16" s="50">
        <f ca="1">OFFSET(INDIRECT(RefData),MATCH(RefDate,WebDataS1[Date],0)+GraphData[[#This Row],[Month Offset]]-1,MATCH(GraphData[[#Headers],[Revenues]],WebDataS1[#Headers],0)-1,1,1)</f>
        <v>151050.38</v>
      </c>
      <c r="P16" s="50">
        <f ca="1">OFFSET(INDIRECT(RefData),MATCH(RefDate,WebDataS1[Date],0)+GraphData[[#This Row],[Month Offset]]-1,MATCH(GraphData[[#Headers],[Average Order Size]],WebDataS1[#Headers],0)-1,1,1)</f>
        <v>146.50861299709021</v>
      </c>
      <c r="Q16" s="60">
        <f ca="1">GraphData[[#This Row],[Orders]]/GraphData[[#This Row],[Visits]]</f>
        <v>2.6777134249279275E-2</v>
      </c>
      <c r="R16" s="152">
        <f ca="1">OFFSET(INDIRECT(RefData),MATCH(RefDate,WebDataS1[Date],0)+GraphData[[#This Row],[Month Offset]]-1,MATCH(GraphData[[#Headers],[Goal 1]],WebDataS1[#Headers],0)-1,1,1)</f>
        <v>0</v>
      </c>
      <c r="S16" s="152">
        <f ca="1">OFFSET(INDIRECT(RefData),MATCH(RefDate,WebDataS1[Date],0)+GraphData[[#This Row],[Month Offset]]-1,MATCH(GraphData[[#Headers],[Goal 2]],WebDataS1[#Headers],0)-1,1,1)</f>
        <v>0</v>
      </c>
      <c r="T16" s="152">
        <f ca="1">OFFSET(INDIRECT(RefData),MATCH(RefDate,WebDataS1[Date],0)+GraphData[[#This Row],[Month Offset]]-1,MATCH(GraphData[[#Headers],[Goal 3]],WebDataS1[#Headers],0)-1,1,1)</f>
        <v>0</v>
      </c>
      <c r="U16" s="153">
        <f ca="1">OFFSET(INDIRECT(RefData),MATCH(RefDate,WebDataS1[Date],0)+GraphData[[#This Row],[Month Offset]]-1,MATCH(GraphData[[#Headers],[Goal 4]],WebDataS1[#Headers],0)-1,1,1)</f>
        <v>0</v>
      </c>
      <c r="V16" s="153">
        <f ca="1">OFFSET(INDIRECT(RefData),MATCH(RefDate,WebDataS1[Date],0)+GraphData[[#This Row],[Month Offset]]-1,MATCH(GraphData[[#Headers],[Goal 5]],WebDataS1[#Headers],0)-1,1,1)</f>
        <v>0</v>
      </c>
    </row>
    <row r="17" spans="1:22">
      <c r="A17" s="4">
        <v>-4</v>
      </c>
      <c r="B17" s="48">
        <f ca="1">OFFSET(INDIRECT(RefData),MATCH(RefDate,WebDataS1[Date],0)+GraphData[[#This Row],[Month Offset]]-1,MATCH(GraphData[[#Headers],[New Visitors]],WebDataS1[#Headers],0)-1,1,1)</f>
        <v>25599</v>
      </c>
      <c r="C17" s="48">
        <f ca="1">OFFSET(INDIRECT(RefData),MATCH(RefDate,WebDataS1[Date],0)+GraphData[[#This Row],[Month Offset]]-1,MATCH(GraphData[[#Headers],[Returning Visitors]],WebDataS1[#Headers],0)-1,1,1)</f>
        <v>13882</v>
      </c>
      <c r="D17" s="48">
        <f ca="1">OFFSET(INDIRECT(RefData),MATCH(RefDate,WebDataS1[Date],0)+GraphData[[#This Row],[Month Offset]]-1,MATCH(GraphData[[#Headers],[Unique Visitors]],WebDataS1[#Headers],0)-1,1,1)</f>
        <v>29050</v>
      </c>
      <c r="E17" s="26">
        <f ca="1">OFFSET(INDIRECT(RefData),MATCH(RefDate,WebDataS1[Date],0)+GraphData[[#This Row],[Month Offset]]-1,MATCH(GraphData[[#Headers],[Visits]],WebDataS1[#Headers],0)-1,1,1)</f>
        <v>39481</v>
      </c>
      <c r="F17" s="5">
        <f ca="1">OFFSET(INDIRECT(RefData),MATCH(RefDate,WebDataS1[Date],0)+GraphData[[#This Row],[Month Offset]]-1,MATCH(GraphData[[#Headers],[Visits/Visitor]],WebDataS1[#Headers],0)-1,1,1)</f>
        <v>1.3590705679862307</v>
      </c>
      <c r="G17" s="6">
        <f ca="1">OFFSET(INDIRECT(RefData),MATCH(RefDate,WebDataS1[Date],0)+GraphData[[#This Row],[Month Offset]]-1,MATCH(GraphData[[#Headers],[Single Page Visits]],WebDataS1[#Headers],0)-1,1,1)</f>
        <v>64318</v>
      </c>
      <c r="H17" s="49">
        <f ca="1">OFFSET(INDIRECT(RefData),MATCH(RefDate,WebDataS1[Date],0)+GraphData[[#This Row],[Month Offset]]-1,MATCH(GraphData[[#Headers],[Bounce Rate]],WebDataS1[#Headers],0)-1,1,1)</f>
        <v>21.16</v>
      </c>
      <c r="I17" s="6">
        <f ca="1">OFFSET(INDIRECT(RefData),MATCH(RefDate,WebDataS1[Date],0)+GraphData[[#This Row],[Month Offset]]-1,MATCH(GraphData[[#Headers],[unique pageviews]],WebDataS1[#Headers],0)-1,1,1)</f>
        <v>278339</v>
      </c>
      <c r="J17" s="25">
        <f ca="1">OFFSET(INDIRECT(RefData),MATCH(RefDate,WebDataS1[Date],0)+GraphData[[#This Row],[Month Offset]]-1,MATCH(GraphData[[#Headers],[unique pageviews/visit]],WebDataS1[#Headers],0)-1,1,1)</f>
        <v>7.0499480762898612</v>
      </c>
      <c r="K17" s="6">
        <f ca="1">OFFSET(INDIRECT(RefData),MATCH(RefDate,WebDataS1[Date],0)+GraphData[[#This Row],[Month Offset]]-1,MATCH(GraphData[[#Headers],[Customers]],WebDataS1[#Headers],0)-1,1,1)</f>
        <v>25543</v>
      </c>
      <c r="L17" s="6">
        <f ca="1">OFFSET(INDIRECT(RefData),MATCH(RefDate,WebDataS1[Date],0)+GraphData[[#This Row],[Month Offset]]-1,MATCH(GraphData[[#Headers],[Orders]],WebDataS1[#Headers],0)-1,1,1)</f>
        <v>1319</v>
      </c>
      <c r="M17" s="6">
        <f ca="1">OFFSET(INDIRECT(RefData),MATCH(RefDate,WebDataS1[Date],0)+GraphData[[#This Row],[Month Offset]]-1,MATCH(GraphData[[#Headers],[Items]],WebDataS1[#Headers],0)-1,1,1)</f>
        <v>2278</v>
      </c>
      <c r="N17" s="25">
        <f ca="1">OFFSET(INDIRECT(RefData),MATCH(RefDate,WebDataS1[Date],0)+GraphData[[#This Row],[Month Offset]]-1,MATCH(GraphData[[#Headers],[Items/Order]],WebDataS1[#Headers],0)-1,1,1)</f>
        <v>1.7270659590598938</v>
      </c>
      <c r="O17" s="50">
        <f ca="1">OFFSET(INDIRECT(RefData),MATCH(RefDate,WebDataS1[Date],0)+GraphData[[#This Row],[Month Offset]]-1,MATCH(GraphData[[#Headers],[Revenues]],WebDataS1[#Headers],0)-1,1,1)</f>
        <v>163833.25</v>
      </c>
      <c r="P17" s="50">
        <f ca="1">OFFSET(INDIRECT(RefData),MATCH(RefDate,WebDataS1[Date],0)+GraphData[[#This Row],[Month Offset]]-1,MATCH(GraphData[[#Headers],[Average Order Size]],WebDataS1[#Headers],0)-1,1,1)</f>
        <v>124.21019711902957</v>
      </c>
      <c r="Q17" s="60">
        <f ca="1">GraphData[[#This Row],[Orders]]/GraphData[[#This Row],[Visits]]</f>
        <v>3.340847496264026E-2</v>
      </c>
      <c r="R17" s="152">
        <f ca="1">OFFSET(INDIRECT(RefData),MATCH(RefDate,WebDataS1[Date],0)+GraphData[[#This Row],[Month Offset]]-1,MATCH(GraphData[[#Headers],[Goal 1]],WebDataS1[#Headers],0)-1,1,1)</f>
        <v>0</v>
      </c>
      <c r="S17" s="152">
        <f ca="1">OFFSET(INDIRECT(RefData),MATCH(RefDate,WebDataS1[Date],0)+GraphData[[#This Row],[Month Offset]]-1,MATCH(GraphData[[#Headers],[Goal 2]],WebDataS1[#Headers],0)-1,1,1)</f>
        <v>0</v>
      </c>
      <c r="T17" s="152">
        <f ca="1">OFFSET(INDIRECT(RefData),MATCH(RefDate,WebDataS1[Date],0)+GraphData[[#This Row],[Month Offset]]-1,MATCH(GraphData[[#Headers],[Goal 3]],WebDataS1[#Headers],0)-1,1,1)</f>
        <v>0</v>
      </c>
      <c r="U17" s="153">
        <f ca="1">OFFSET(INDIRECT(RefData),MATCH(RefDate,WebDataS1[Date],0)+GraphData[[#This Row],[Month Offset]]-1,MATCH(GraphData[[#Headers],[Goal 4]],WebDataS1[#Headers],0)-1,1,1)</f>
        <v>0</v>
      </c>
      <c r="V17" s="153">
        <f ca="1">OFFSET(INDIRECT(RefData),MATCH(RefDate,WebDataS1[Date],0)+GraphData[[#This Row],[Month Offset]]-1,MATCH(GraphData[[#Headers],[Goal 5]],WebDataS1[#Headers],0)-1,1,1)</f>
        <v>0</v>
      </c>
    </row>
    <row r="18" spans="1:22">
      <c r="A18" s="4">
        <v>-3</v>
      </c>
      <c r="B18" s="48">
        <f ca="1">OFFSET(INDIRECT(RefData),MATCH(RefDate,WebDataS1[Date],0)+GraphData[[#This Row],[Month Offset]]-1,MATCH(GraphData[[#Headers],[New Visitors]],WebDataS1[#Headers],0)-1,1,1)</f>
        <v>23541</v>
      </c>
      <c r="C18" s="48">
        <f ca="1">OFFSET(INDIRECT(RefData),MATCH(RefDate,WebDataS1[Date],0)+GraphData[[#This Row],[Month Offset]]-1,MATCH(GraphData[[#Headers],[Returning Visitors]],WebDataS1[#Headers],0)-1,1,1)</f>
        <v>11606</v>
      </c>
      <c r="D18" s="48">
        <f ca="1">OFFSET(INDIRECT(RefData),MATCH(RefDate,WebDataS1[Date],0)+GraphData[[#This Row],[Month Offset]]-1,MATCH(GraphData[[#Headers],[Unique Visitors]],WebDataS1[#Headers],0)-1,1,1)</f>
        <v>26429</v>
      </c>
      <c r="E18" s="26">
        <f ca="1">OFFSET(INDIRECT(RefData),MATCH(RefDate,WebDataS1[Date],0)+GraphData[[#This Row],[Month Offset]]-1,MATCH(GraphData[[#Headers],[Visits]],WebDataS1[#Headers],0)-1,1,1)</f>
        <v>35147</v>
      </c>
      <c r="F18" s="5">
        <f ca="1">OFFSET(INDIRECT(RefData),MATCH(RefDate,WebDataS1[Date],0)+GraphData[[#This Row],[Month Offset]]-1,MATCH(GraphData[[#Headers],[Visits/Visitor]],WebDataS1[#Headers],0)-1,1,1)</f>
        <v>1.3298649211093874</v>
      </c>
      <c r="G18" s="6">
        <f ca="1">OFFSET(INDIRECT(RefData),MATCH(RefDate,WebDataS1[Date],0)+GraphData[[#This Row],[Month Offset]]-1,MATCH(GraphData[[#Headers],[Single Page Visits]],WebDataS1[#Headers],0)-1,1,1)</f>
        <v>63330</v>
      </c>
      <c r="H18" s="49">
        <f ca="1">OFFSET(INDIRECT(RefData),MATCH(RefDate,WebDataS1[Date],0)+GraphData[[#This Row],[Month Offset]]-1,MATCH(GraphData[[#Headers],[Bounce Rate]],WebDataS1[#Headers],0)-1,1,1)</f>
        <v>26.4</v>
      </c>
      <c r="I18" s="6">
        <f ca="1">OFFSET(INDIRECT(RefData),MATCH(RefDate,WebDataS1[Date],0)+GraphData[[#This Row],[Month Offset]]-1,MATCH(GraphData[[#Headers],[unique pageviews]],WebDataS1[#Headers],0)-1,1,1)</f>
        <v>211058</v>
      </c>
      <c r="J18" s="25">
        <f ca="1">OFFSET(INDIRECT(RefData),MATCH(RefDate,WebDataS1[Date],0)+GraphData[[#This Row],[Month Offset]]-1,MATCH(GraphData[[#Headers],[unique pageviews/visit]],WebDataS1[#Headers],0)-1,1,1)</f>
        <v>6.0050075397615732</v>
      </c>
      <c r="K18" s="6">
        <f ca="1">OFFSET(INDIRECT(RefData),MATCH(RefDate,WebDataS1[Date],0)+GraphData[[#This Row],[Month Offset]]-1,MATCH(GraphData[[#Headers],[Customers]],WebDataS1[#Headers],0)-1,1,1)</f>
        <v>23505</v>
      </c>
      <c r="L18" s="6">
        <f ca="1">OFFSET(INDIRECT(RefData),MATCH(RefDate,WebDataS1[Date],0)+GraphData[[#This Row],[Month Offset]]-1,MATCH(GraphData[[#Headers],[Orders]],WebDataS1[#Headers],0)-1,1,1)</f>
        <v>629</v>
      </c>
      <c r="M18" s="6">
        <f ca="1">OFFSET(INDIRECT(RefData),MATCH(RefDate,WebDataS1[Date],0)+GraphData[[#This Row],[Month Offset]]-1,MATCH(GraphData[[#Headers],[Items]],WebDataS1[#Headers],0)-1,1,1)</f>
        <v>1226</v>
      </c>
      <c r="N18" s="25">
        <f ca="1">OFFSET(INDIRECT(RefData),MATCH(RefDate,WebDataS1[Date],0)+GraphData[[#This Row],[Month Offset]]-1,MATCH(GraphData[[#Headers],[Items/Order]],WebDataS1[#Headers],0)-1,1,1)</f>
        <v>1.9491255961844196</v>
      </c>
      <c r="O18" s="50">
        <f ca="1">OFFSET(INDIRECT(RefData),MATCH(RefDate,WebDataS1[Date],0)+GraphData[[#This Row],[Month Offset]]-1,MATCH(GraphData[[#Headers],[Revenues]],WebDataS1[#Headers],0)-1,1,1)</f>
        <v>98055.99</v>
      </c>
      <c r="P18" s="50">
        <f ca="1">OFFSET(INDIRECT(RefData),MATCH(RefDate,WebDataS1[Date],0)+GraphData[[#This Row],[Month Offset]]-1,MATCH(GraphData[[#Headers],[Average Order Size]],WebDataS1[#Headers],0)-1,1,1)</f>
        <v>155.8918759936407</v>
      </c>
      <c r="Q18" s="60">
        <f ca="1">GraphData[[#This Row],[Orders]]/GraphData[[#This Row],[Visits]]</f>
        <v>1.7896264261530143E-2</v>
      </c>
      <c r="R18" s="152">
        <f ca="1">OFFSET(INDIRECT(RefData),MATCH(RefDate,WebDataS1[Date],0)+GraphData[[#This Row],[Month Offset]]-1,MATCH(GraphData[[#Headers],[Goal 1]],WebDataS1[#Headers],0)-1,1,1)</f>
        <v>0</v>
      </c>
      <c r="S18" s="152">
        <f ca="1">OFFSET(INDIRECT(RefData),MATCH(RefDate,WebDataS1[Date],0)+GraphData[[#This Row],[Month Offset]]-1,MATCH(GraphData[[#Headers],[Goal 2]],WebDataS1[#Headers],0)-1,1,1)</f>
        <v>0</v>
      </c>
      <c r="T18" s="152">
        <f ca="1">OFFSET(INDIRECT(RefData),MATCH(RefDate,WebDataS1[Date],0)+GraphData[[#This Row],[Month Offset]]-1,MATCH(GraphData[[#Headers],[Goal 3]],WebDataS1[#Headers],0)-1,1,1)</f>
        <v>0</v>
      </c>
      <c r="U18" s="153">
        <f ca="1">OFFSET(INDIRECT(RefData),MATCH(RefDate,WebDataS1[Date],0)+GraphData[[#This Row],[Month Offset]]-1,MATCH(GraphData[[#Headers],[Goal 4]],WebDataS1[#Headers],0)-1,1,1)</f>
        <v>0</v>
      </c>
      <c r="V18" s="153">
        <f ca="1">OFFSET(INDIRECT(RefData),MATCH(RefDate,WebDataS1[Date],0)+GraphData[[#This Row],[Month Offset]]-1,MATCH(GraphData[[#Headers],[Goal 5]],WebDataS1[#Headers],0)-1,1,1)</f>
        <v>0</v>
      </c>
    </row>
    <row r="19" spans="1:22">
      <c r="A19" s="4">
        <v>-2</v>
      </c>
      <c r="B19" s="48">
        <f ca="1">OFFSET(INDIRECT(RefData),MATCH(RefDate,WebDataS1[Date],0)+GraphData[[#This Row],[Month Offset]]-1,MATCH(GraphData[[#Headers],[New Visitors]],WebDataS1[#Headers],0)-1,1,1)</f>
        <v>21442</v>
      </c>
      <c r="C19" s="48">
        <f ca="1">OFFSET(INDIRECT(RefData),MATCH(RefDate,WebDataS1[Date],0)+GraphData[[#This Row],[Month Offset]]-1,MATCH(GraphData[[#Headers],[Returning Visitors]],WebDataS1[#Headers],0)-1,1,1)</f>
        <v>11401</v>
      </c>
      <c r="D19" s="48">
        <f ca="1">OFFSET(INDIRECT(RefData),MATCH(RefDate,WebDataS1[Date],0)+GraphData[[#This Row],[Month Offset]]-1,MATCH(GraphData[[#Headers],[Unique Visitors]],WebDataS1[#Headers],0)-1,1,1)</f>
        <v>24451</v>
      </c>
      <c r="E19" s="26">
        <f ca="1">OFFSET(INDIRECT(RefData),MATCH(RefDate,WebDataS1[Date],0)+GraphData[[#This Row],[Month Offset]]-1,MATCH(GraphData[[#Headers],[Visits]],WebDataS1[#Headers],0)-1,1,1)</f>
        <v>32843</v>
      </c>
      <c r="F19" s="5">
        <f ca="1">OFFSET(INDIRECT(RefData),MATCH(RefDate,WebDataS1[Date],0)+GraphData[[#This Row],[Month Offset]]-1,MATCH(GraphData[[#Headers],[Visits/Visitor]],WebDataS1[#Headers],0)-1,1,1)</f>
        <v>1.343217046337573</v>
      </c>
      <c r="G19" s="6">
        <f ca="1">OFFSET(INDIRECT(RefData),MATCH(RefDate,WebDataS1[Date],0)+GraphData[[#This Row],[Month Offset]]-1,MATCH(GraphData[[#Headers],[Single Page Visits]],WebDataS1[#Headers],0)-1,1,1)</f>
        <v>41885</v>
      </c>
      <c r="H19" s="49">
        <f ca="1">OFFSET(INDIRECT(RefData),MATCH(RefDate,WebDataS1[Date],0)+GraphData[[#This Row],[Month Offset]]-1,MATCH(GraphData[[#Headers],[Bounce Rate]],WebDataS1[#Headers],0)-1,1,1)</f>
        <v>24.8</v>
      </c>
      <c r="I19" s="6">
        <f ca="1">OFFSET(INDIRECT(RefData),MATCH(RefDate,WebDataS1[Date],0)+GraphData[[#This Row],[Month Offset]]-1,MATCH(GraphData[[#Headers],[unique pageviews]],WebDataS1[#Headers],0)-1,1,1)</f>
        <v>174296</v>
      </c>
      <c r="J19" s="25">
        <f ca="1">OFFSET(INDIRECT(RefData),MATCH(RefDate,WebDataS1[Date],0)+GraphData[[#This Row],[Month Offset]]-1,MATCH(GraphData[[#Headers],[unique pageviews/visit]],WebDataS1[#Headers],0)-1,1,1)</f>
        <v>5.3069451633529212</v>
      </c>
      <c r="K19" s="6">
        <f ca="1">OFFSET(INDIRECT(RefData),MATCH(RefDate,WebDataS1[Date],0)+GraphData[[#This Row],[Month Offset]]-1,MATCH(GraphData[[#Headers],[Customers]],WebDataS1[#Headers],0)-1,1,1)</f>
        <v>21415</v>
      </c>
      <c r="L19" s="6">
        <f ca="1">OFFSET(INDIRECT(RefData),MATCH(RefDate,WebDataS1[Date],0)+GraphData[[#This Row],[Month Offset]]-1,MATCH(GraphData[[#Headers],[Orders]],WebDataS1[#Headers],0)-1,1,1)</f>
        <v>657</v>
      </c>
      <c r="M19" s="6">
        <f ca="1">OFFSET(INDIRECT(RefData),MATCH(RefDate,WebDataS1[Date],0)+GraphData[[#This Row],[Month Offset]]-1,MATCH(GraphData[[#Headers],[Items]],WebDataS1[#Headers],0)-1,1,1)</f>
        <v>1288</v>
      </c>
      <c r="N19" s="25">
        <f ca="1">OFFSET(INDIRECT(RefData),MATCH(RefDate,WebDataS1[Date],0)+GraphData[[#This Row],[Month Offset]]-1,MATCH(GraphData[[#Headers],[Items/Order]],WebDataS1[#Headers],0)-1,1,1)</f>
        <v>1.9604261796042617</v>
      </c>
      <c r="O19" s="50">
        <f ca="1">OFFSET(INDIRECT(RefData),MATCH(RefDate,WebDataS1[Date],0)+GraphData[[#This Row],[Month Offset]]-1,MATCH(GraphData[[#Headers],[Revenues]],WebDataS1[#Headers],0)-1,1,1)</f>
        <v>97143.24</v>
      </c>
      <c r="P19" s="50">
        <f ca="1">OFFSET(INDIRECT(RefData),MATCH(RefDate,WebDataS1[Date],0)+GraphData[[#This Row],[Month Offset]]-1,MATCH(GraphData[[#Headers],[Average Order Size]],WebDataS1[#Headers],0)-1,1,1)</f>
        <v>147.85881278538812</v>
      </c>
      <c r="Q19" s="60">
        <f ca="1">GraphData[[#This Row],[Orders]]/GraphData[[#This Row],[Visits]]</f>
        <v>2.0004262704381451E-2</v>
      </c>
      <c r="R19" s="152">
        <f ca="1">OFFSET(INDIRECT(RefData),MATCH(RefDate,WebDataS1[Date],0)+GraphData[[#This Row],[Month Offset]]-1,MATCH(GraphData[[#Headers],[Goal 1]],WebDataS1[#Headers],0)-1,1,1)</f>
        <v>0</v>
      </c>
      <c r="S19" s="152">
        <f ca="1">OFFSET(INDIRECT(RefData),MATCH(RefDate,WebDataS1[Date],0)+GraphData[[#This Row],[Month Offset]]-1,MATCH(GraphData[[#Headers],[Goal 2]],WebDataS1[#Headers],0)-1,1,1)</f>
        <v>0</v>
      </c>
      <c r="T19" s="152">
        <f ca="1">OFFSET(INDIRECT(RefData),MATCH(RefDate,WebDataS1[Date],0)+GraphData[[#This Row],[Month Offset]]-1,MATCH(GraphData[[#Headers],[Goal 3]],WebDataS1[#Headers],0)-1,1,1)</f>
        <v>0</v>
      </c>
      <c r="U19" s="153">
        <f ca="1">OFFSET(INDIRECT(RefData),MATCH(RefDate,WebDataS1[Date],0)+GraphData[[#This Row],[Month Offset]]-1,MATCH(GraphData[[#Headers],[Goal 4]],WebDataS1[#Headers],0)-1,1,1)</f>
        <v>0</v>
      </c>
      <c r="V19" s="153">
        <f ca="1">OFFSET(INDIRECT(RefData),MATCH(RefDate,WebDataS1[Date],0)+GraphData[[#This Row],[Month Offset]]-1,MATCH(GraphData[[#Headers],[Goal 5]],WebDataS1[#Headers],0)-1,1,1)</f>
        <v>0</v>
      </c>
    </row>
    <row r="20" spans="1:22">
      <c r="A20" s="4">
        <v>-1</v>
      </c>
      <c r="B20" s="48">
        <f ca="1">OFFSET(INDIRECT(RefData),MATCH(RefDate,WebDataS1[Date],0)+GraphData[[#This Row],[Month Offset]]-1,MATCH(GraphData[[#Headers],[New Visitors]],WebDataS1[#Headers],0)-1,1,1)</f>
        <v>23546</v>
      </c>
      <c r="C20" s="48">
        <f ca="1">OFFSET(INDIRECT(RefData),MATCH(RefDate,WebDataS1[Date],0)+GraphData[[#This Row],[Month Offset]]-1,MATCH(GraphData[[#Headers],[Returning Visitors]],WebDataS1[#Headers],0)-1,1,1)</f>
        <v>11800</v>
      </c>
      <c r="D20" s="48">
        <f ca="1">OFFSET(INDIRECT(RefData),MATCH(RefDate,WebDataS1[Date],0)+GraphData[[#This Row],[Month Offset]]-1,MATCH(GraphData[[#Headers],[Unique Visitors]],WebDataS1[#Headers],0)-1,1,1)</f>
        <v>26763</v>
      </c>
      <c r="E20" s="26">
        <f ca="1">OFFSET(INDIRECT(RefData),MATCH(RefDate,WebDataS1[Date],0)+GraphData[[#This Row],[Month Offset]]-1,MATCH(GraphData[[#Headers],[Visits]],WebDataS1[#Headers],0)-1,1,1)</f>
        <v>35346</v>
      </c>
      <c r="F20" s="5">
        <f ca="1">OFFSET(INDIRECT(RefData),MATCH(RefDate,WebDataS1[Date],0)+GraphData[[#This Row],[Month Offset]]-1,MATCH(GraphData[[#Headers],[Visits/Visitor]],WebDataS1[#Headers],0)-1,1,1)</f>
        <v>1.3207039569554984</v>
      </c>
      <c r="G20" s="6">
        <f ca="1">OFFSET(INDIRECT(RefData),MATCH(RefDate,WebDataS1[Date],0)+GraphData[[#This Row],[Month Offset]]-1,MATCH(GraphData[[#Headers],[Single Page Visits]],WebDataS1[#Headers],0)-1,1,1)</f>
        <v>39178</v>
      </c>
      <c r="H20" s="49">
        <f ca="1">OFFSET(INDIRECT(RefData),MATCH(RefDate,WebDataS1[Date],0)+GraphData[[#This Row],[Month Offset]]-1,MATCH(GraphData[[#Headers],[Bounce Rate]],WebDataS1[#Headers],0)-1,1,1)</f>
        <v>23.84</v>
      </c>
      <c r="I20" s="6">
        <f ca="1">OFFSET(INDIRECT(RefData),MATCH(RefDate,WebDataS1[Date],0)+GraphData[[#This Row],[Month Offset]]-1,MATCH(GraphData[[#Headers],[unique pageviews]],WebDataS1[#Headers],0)-1,1,1)</f>
        <v>180732</v>
      </c>
      <c r="J20" s="25">
        <f ca="1">OFFSET(INDIRECT(RefData),MATCH(RefDate,WebDataS1[Date],0)+GraphData[[#This Row],[Month Offset]]-1,MATCH(GraphData[[#Headers],[unique pageviews/visit]],WebDataS1[#Headers],0)-1,1,1)</f>
        <v>5.1132235613647934</v>
      </c>
      <c r="K20" s="6">
        <f ca="1">OFFSET(INDIRECT(RefData),MATCH(RefDate,WebDataS1[Date],0)+GraphData[[#This Row],[Month Offset]]-1,MATCH(GraphData[[#Headers],[Customers]],WebDataS1[#Headers],0)-1,1,1)</f>
        <v>23514</v>
      </c>
      <c r="L20" s="6">
        <f ca="1">OFFSET(INDIRECT(RefData),MATCH(RefDate,WebDataS1[Date],0)+GraphData[[#This Row],[Month Offset]]-1,MATCH(GraphData[[#Headers],[Orders]],WebDataS1[#Headers],0)-1,1,1)</f>
        <v>593</v>
      </c>
      <c r="M20" s="6">
        <f ca="1">OFFSET(INDIRECT(RefData),MATCH(RefDate,WebDataS1[Date],0)+GraphData[[#This Row],[Month Offset]]-1,MATCH(GraphData[[#Headers],[Items]],WebDataS1[#Headers],0)-1,1,1)</f>
        <v>1267</v>
      </c>
      <c r="N20" s="25">
        <f ca="1">OFFSET(INDIRECT(RefData),MATCH(RefDate,WebDataS1[Date],0)+GraphData[[#This Row],[Month Offset]]-1,MATCH(GraphData[[#Headers],[Items/Order]],WebDataS1[#Headers],0)-1,1,1)</f>
        <v>2.136593591905565</v>
      </c>
      <c r="O20" s="50">
        <f ca="1">OFFSET(INDIRECT(RefData),MATCH(RefDate,WebDataS1[Date],0)+GraphData[[#This Row],[Month Offset]]-1,MATCH(GraphData[[#Headers],[Revenues]],WebDataS1[#Headers],0)-1,1,1)</f>
        <v>102551.69</v>
      </c>
      <c r="P20" s="50">
        <f ca="1">OFFSET(INDIRECT(RefData),MATCH(RefDate,WebDataS1[Date],0)+GraphData[[#This Row],[Month Offset]]-1,MATCH(GraphData[[#Headers],[Average Order Size]],WebDataS1[#Headers],0)-1,1,1)</f>
        <v>172.93708263069141</v>
      </c>
      <c r="Q20" s="60">
        <f ca="1">GraphData[[#This Row],[Orders]]/GraphData[[#This Row],[Visits]]</f>
        <v>1.6777004470095627E-2</v>
      </c>
      <c r="R20" s="152">
        <f ca="1">OFFSET(INDIRECT(RefData),MATCH(RefDate,WebDataS1[Date],0)+GraphData[[#This Row],[Month Offset]]-1,MATCH(GraphData[[#Headers],[Goal 1]],WebDataS1[#Headers],0)-1,1,1)</f>
        <v>0</v>
      </c>
      <c r="S20" s="152">
        <f ca="1">OFFSET(INDIRECT(RefData),MATCH(RefDate,WebDataS1[Date],0)+GraphData[[#This Row],[Month Offset]]-1,MATCH(GraphData[[#Headers],[Goal 2]],WebDataS1[#Headers],0)-1,1,1)</f>
        <v>0</v>
      </c>
      <c r="T20" s="152">
        <f ca="1">OFFSET(INDIRECT(RefData),MATCH(RefDate,WebDataS1[Date],0)+GraphData[[#This Row],[Month Offset]]-1,MATCH(GraphData[[#Headers],[Goal 3]],WebDataS1[#Headers],0)-1,1,1)</f>
        <v>0</v>
      </c>
      <c r="U20" s="153">
        <f ca="1">OFFSET(INDIRECT(RefData),MATCH(RefDate,WebDataS1[Date],0)+GraphData[[#This Row],[Month Offset]]-1,MATCH(GraphData[[#Headers],[Goal 4]],WebDataS1[#Headers],0)-1,1,1)</f>
        <v>0</v>
      </c>
      <c r="V20" s="153">
        <f ca="1">OFFSET(INDIRECT(RefData),MATCH(RefDate,WebDataS1[Date],0)+GraphData[[#This Row],[Month Offset]]-1,MATCH(GraphData[[#Headers],[Goal 5]],WebDataS1[#Headers],0)-1,1,1)</f>
        <v>0</v>
      </c>
    </row>
    <row r="21" spans="1:22">
      <c r="A21" s="4">
        <v>0</v>
      </c>
      <c r="B21" s="48">
        <f ca="1">OFFSET(INDIRECT(RefData),MATCH(RefDate,WebDataS1[Date],0)+GraphData[[#This Row],[Month Offset]]-1,MATCH(GraphData[[#Headers],[New Visitors]],WebDataS1[#Headers],0)-1,1,1)</f>
        <v>18142</v>
      </c>
      <c r="C21" s="48">
        <f ca="1">OFFSET(INDIRECT(RefData),MATCH(RefDate,WebDataS1[Date],0)+GraphData[[#This Row],[Month Offset]]-1,MATCH(GraphData[[#Headers],[Returning Visitors]],WebDataS1[#Headers],0)-1,1,1)</f>
        <v>9502</v>
      </c>
      <c r="D21" s="48">
        <f ca="1">OFFSET(INDIRECT(RefData),MATCH(RefDate,WebDataS1[Date],0)+GraphData[[#This Row],[Month Offset]]-1,MATCH(GraphData[[#Headers],[Unique Visitors]],WebDataS1[#Headers],0)-1,1,1)</f>
        <v>20910</v>
      </c>
      <c r="E21" s="26">
        <f ca="1">OFFSET(INDIRECT(RefData),MATCH(RefDate,WebDataS1[Date],0)+GraphData[[#This Row],[Month Offset]]-1,MATCH(GraphData[[#Headers],[Visits]],WebDataS1[#Headers],0)-1,1,1)</f>
        <v>27644</v>
      </c>
      <c r="F21" s="5">
        <f ca="1">OFFSET(INDIRECT(RefData),MATCH(RefDate,WebDataS1[Date],0)+GraphData[[#This Row],[Month Offset]]-1,MATCH(GraphData[[#Headers],[Visits/Visitor]],WebDataS1[#Headers],0)-1,1,1)</f>
        <v>1.3220468675274988</v>
      </c>
      <c r="G21" s="6">
        <f ca="1">OFFSET(INDIRECT(RefData),MATCH(RefDate,WebDataS1[Date],0)+GraphData[[#This Row],[Month Offset]]-1,MATCH(GraphData[[#Headers],[Single Page Visits]],WebDataS1[#Headers],0)-1,1,1)</f>
        <v>38248</v>
      </c>
      <c r="H21" s="49">
        <f ca="1">OFFSET(INDIRECT(RefData),MATCH(RefDate,WebDataS1[Date],0)+GraphData[[#This Row],[Month Offset]]-1,MATCH(GraphData[[#Headers],[Bounce Rate]],WebDataS1[#Headers],0)-1,1,1)</f>
        <v>20.61</v>
      </c>
      <c r="I21" s="6">
        <f ca="1">OFFSET(INDIRECT(RefData),MATCH(RefDate,WebDataS1[Date],0)+GraphData[[#This Row],[Month Offset]]-1,MATCH(GraphData[[#Headers],[unique pageviews]],WebDataS1[#Headers],0)-1,1,1)</f>
        <v>156811</v>
      </c>
      <c r="J21" s="25">
        <f ca="1">OFFSET(INDIRECT(RefData),MATCH(RefDate,WebDataS1[Date],0)+GraphData[[#This Row],[Month Offset]]-1,MATCH(GraphData[[#Headers],[unique pageviews/visit]],WebDataS1[#Headers],0)-1,1,1)</f>
        <v>5.6725148314281579</v>
      </c>
      <c r="K21" s="6">
        <f ca="1">OFFSET(INDIRECT(RefData),MATCH(RefDate,WebDataS1[Date],0)+GraphData[[#This Row],[Month Offset]]-1,MATCH(GraphData[[#Headers],[Customers]],WebDataS1[#Headers],0)-1,1,1)</f>
        <v>18114</v>
      </c>
      <c r="L21" s="6">
        <f ca="1">OFFSET(INDIRECT(RefData),MATCH(RefDate,WebDataS1[Date],0)+GraphData[[#This Row],[Month Offset]]-1,MATCH(GraphData[[#Headers],[Orders]],WebDataS1[#Headers],0)-1,1,1)</f>
        <v>550</v>
      </c>
      <c r="M21" s="6">
        <f ca="1">OFFSET(INDIRECT(RefData),MATCH(RefDate,WebDataS1[Date],0)+GraphData[[#This Row],[Month Offset]]-1,MATCH(GraphData[[#Headers],[Items]],WebDataS1[#Headers],0)-1,1,1)</f>
        <v>1055</v>
      </c>
      <c r="N21" s="25">
        <f ca="1">OFFSET(INDIRECT(RefData),MATCH(RefDate,WebDataS1[Date],0)+GraphData[[#This Row],[Month Offset]]-1,MATCH(GraphData[[#Headers],[Items/Order]],WebDataS1[#Headers],0)-1,1,1)</f>
        <v>1.9181818181818182</v>
      </c>
      <c r="O21" s="50">
        <f ca="1">OFFSET(INDIRECT(RefData),MATCH(RefDate,WebDataS1[Date],0)+GraphData[[#This Row],[Month Offset]]-1,MATCH(GraphData[[#Headers],[Revenues]],WebDataS1[#Headers],0)-1,1,1)</f>
        <v>79734.64</v>
      </c>
      <c r="P21" s="50">
        <f ca="1">OFFSET(INDIRECT(RefData),MATCH(RefDate,WebDataS1[Date],0)+GraphData[[#This Row],[Month Offset]]-1,MATCH(GraphData[[#Headers],[Average Order Size]],WebDataS1[#Headers],0)-1,1,1)</f>
        <v>144.97207272727272</v>
      </c>
      <c r="Q21" s="60">
        <f ca="1">GraphData[[#This Row],[Orders]]/GraphData[[#This Row],[Visits]]</f>
        <v>1.9895818260743742E-2</v>
      </c>
      <c r="R21" s="152">
        <f ca="1">OFFSET(INDIRECT(RefData),MATCH(RefDate,WebDataS1[Date],0)+GraphData[[#This Row],[Month Offset]]-1,MATCH(GraphData[[#Headers],[Goal 1]],WebDataS1[#Headers],0)-1,1,1)</f>
        <v>0</v>
      </c>
      <c r="S21" s="152">
        <f ca="1">OFFSET(INDIRECT(RefData),MATCH(RefDate,WebDataS1[Date],0)+GraphData[[#This Row],[Month Offset]]-1,MATCH(GraphData[[#Headers],[Goal 2]],WebDataS1[#Headers],0)-1,1,1)</f>
        <v>0</v>
      </c>
      <c r="T21" s="152">
        <f ca="1">OFFSET(INDIRECT(RefData),MATCH(RefDate,WebDataS1[Date],0)+GraphData[[#This Row],[Month Offset]]-1,MATCH(GraphData[[#Headers],[Goal 3]],WebDataS1[#Headers],0)-1,1,1)</f>
        <v>0</v>
      </c>
      <c r="U21" s="153">
        <f ca="1">OFFSET(INDIRECT(RefData),MATCH(RefDate,WebDataS1[Date],0)+GraphData[[#This Row],[Month Offset]]-1,MATCH(GraphData[[#Headers],[Goal 4]],WebDataS1[#Headers],0)-1,1,1)</f>
        <v>0</v>
      </c>
      <c r="V21" s="153">
        <f ca="1">OFFSET(INDIRECT(RefData),MATCH(RefDate,WebDataS1[Date],0)+GraphData[[#This Row],[Month Offset]]-1,MATCH(GraphData[[#Headers],[Goal 5]],WebDataS1[#Headers],0)-1,1,1)</f>
        <v>0</v>
      </c>
    </row>
    <row r="22" spans="1:22">
      <c r="T22" s="1"/>
    </row>
    <row r="23" spans="1:22">
      <c r="B23" s="23" t="s">
        <v>44</v>
      </c>
      <c r="T23" s="1"/>
    </row>
    <row r="24" spans="1:22">
      <c r="B24" s="23" t="s">
        <v>44</v>
      </c>
    </row>
    <row r="28" spans="1:22">
      <c r="A28" s="23" t="s">
        <v>46</v>
      </c>
      <c r="B28" s="23" t="s">
        <v>45</v>
      </c>
    </row>
    <row r="29" spans="1:22">
      <c r="A29" s="23" t="s">
        <v>48</v>
      </c>
      <c r="B29" s="23" t="s">
        <v>47</v>
      </c>
    </row>
    <row r="30" spans="1:22">
      <c r="A30" s="23" t="s">
        <v>49</v>
      </c>
      <c r="C30" s="23" t="s">
        <v>50</v>
      </c>
    </row>
  </sheetData>
  <mergeCells count="1">
    <mergeCell ref="B1:I1"/>
  </mergeCells>
  <pageMargins left="0.7" right="0.7" top="0.75" bottom="0.75" header="0.3" footer="0.3"/>
  <pageSetup orientation="portrait" horizontalDpi="1200" verticalDpi="1200" r:id="rId1"/>
  <ignoredErrors>
    <ignoredError sqref="B9:I9 N9:P9 R9:U9 B10:I10 N10:P10 R10:U10 B11:I11 N11:P11 R11:U11 B12:I12 N12:P12 R12:U12 B13:I13 N13:P13 R13:U13 B14:I14 N14:P14 R14:U14 B15:I15 N15:P15 R15:U15 B16:I16 N16:P16 R16:U16 B17:I17 N17:P17 R17:U17 B18:I18 N18:P18 R18:U18 C19:I19 N19:P19 R19:U19 C20:I20 N20:P20 R20:U20 C21:I21 N21:P21 R21:U21" calculatedColumn="1"/>
  </ignoredErrors>
  <tableParts count="2">
    <tablePart r:id="rId2"/>
    <tablePart r:id="rId3"/>
  </tableParts>
</worksheet>
</file>

<file path=xl/worksheets/sheet4.xml><?xml version="1.0" encoding="utf-8"?>
<worksheet xmlns="http://schemas.openxmlformats.org/spreadsheetml/2006/main" xmlns:r="http://schemas.openxmlformats.org/officeDocument/2006/relationships">
  <dimension ref="A1:DC72"/>
  <sheetViews>
    <sheetView workbookViewId="0"/>
  </sheetViews>
  <sheetFormatPr defaultRowHeight="15"/>
  <cols>
    <col min="1" max="1" width="16.42578125" customWidth="1"/>
    <col min="2" max="2" width="10.85546875" bestFit="1" customWidth="1"/>
    <col min="3" max="4" width="12.85546875" style="23" bestFit="1" customWidth="1"/>
    <col min="5" max="5" width="15" bestFit="1" customWidth="1"/>
    <col min="6" max="6" width="5" customWidth="1"/>
    <col min="7" max="7" width="10.85546875" customWidth="1"/>
    <col min="8" max="8" width="11.5703125" bestFit="1" customWidth="1"/>
    <col min="9" max="9" width="6" customWidth="1"/>
    <col min="11" max="11" width="15" bestFit="1" customWidth="1"/>
    <col min="12" max="12" width="5" customWidth="1"/>
    <col min="13" max="13" width="10.85546875" customWidth="1"/>
    <col min="14" max="14" width="16.140625" bestFit="1" customWidth="1"/>
    <col min="15" max="15" width="6" customWidth="1"/>
    <col min="18" max="18" width="5" customWidth="1"/>
    <col min="19" max="19" width="10.85546875" bestFit="1" customWidth="1"/>
    <col min="20" max="20" width="7.7109375" customWidth="1"/>
    <col min="23" max="23" width="5" customWidth="1"/>
    <col min="24" max="24" width="10.85546875" bestFit="1" customWidth="1"/>
    <col min="25" max="25" width="6" customWidth="1"/>
    <col min="27" max="27" width="14.5703125" customWidth="1"/>
    <col min="30" max="30" width="5" customWidth="1"/>
    <col min="31" max="31" width="10.85546875" bestFit="1" customWidth="1"/>
    <col min="32" max="32" width="15.140625" bestFit="1" customWidth="1"/>
    <col min="35" max="35" width="5" customWidth="1"/>
    <col min="36" max="36" width="10.85546875" bestFit="1" customWidth="1"/>
    <col min="37" max="37" width="17.7109375" bestFit="1" customWidth="1"/>
    <col min="39" max="39" width="25.140625" customWidth="1"/>
    <col min="42" max="42" width="5" customWidth="1"/>
    <col min="43" max="43" width="10.85546875" bestFit="1" customWidth="1"/>
    <col min="44" max="44" width="10.42578125" bestFit="1" customWidth="1"/>
    <col min="45" max="45" width="10" customWidth="1"/>
    <col min="47" max="47" width="17.85546875" customWidth="1"/>
    <col min="51" max="51" width="5" customWidth="1"/>
    <col min="52" max="52" width="10.85546875" bestFit="1" customWidth="1"/>
    <col min="53" max="53" width="11.140625" bestFit="1" customWidth="1"/>
    <col min="57" max="57" width="5" customWidth="1"/>
    <col min="58" max="58" width="10.85546875" bestFit="1" customWidth="1"/>
    <col min="59" max="59" width="8.7109375" customWidth="1"/>
    <col min="62" max="62" width="19.5703125" customWidth="1"/>
    <col min="65" max="65" width="5" customWidth="1"/>
    <col min="66" max="66" width="10.85546875" bestFit="1" customWidth="1"/>
    <col min="67" max="67" width="10" customWidth="1"/>
    <col min="70" max="70" width="22.5703125" customWidth="1"/>
    <col min="72" max="72" width="30.140625" customWidth="1"/>
    <col min="75" max="75" width="5" customWidth="1"/>
    <col min="76" max="76" width="10.85546875" bestFit="1" customWidth="1"/>
    <col min="77" max="77" width="24.7109375" bestFit="1" customWidth="1"/>
    <col min="80" max="80" width="5" customWidth="1"/>
    <col min="81" max="81" width="10.85546875" bestFit="1" customWidth="1"/>
    <col min="82" max="82" width="24.7109375" bestFit="1" customWidth="1"/>
    <col min="85" max="85" width="5" customWidth="1"/>
    <col min="86" max="86" width="10.85546875" bestFit="1" customWidth="1"/>
    <col min="87" max="87" width="24.7109375" bestFit="1" customWidth="1"/>
    <col min="90" max="90" width="5" customWidth="1"/>
    <col min="91" max="91" width="10.85546875" bestFit="1" customWidth="1"/>
    <col min="92" max="92" width="24.7109375" bestFit="1" customWidth="1"/>
    <col min="96" max="96" width="5" customWidth="1"/>
    <col min="97" max="97" width="10.85546875" bestFit="1" customWidth="1"/>
    <col min="98" max="98" width="24.7109375" bestFit="1" customWidth="1"/>
    <col min="104" max="104" width="5" customWidth="1"/>
    <col min="105" max="105" width="8.5703125" customWidth="1"/>
    <col min="106" max="106" width="10.85546875" bestFit="1" customWidth="1"/>
    <col min="107" max="107" width="9" customWidth="1"/>
  </cols>
  <sheetData>
    <row r="1" spans="1:107" s="23" customFormat="1">
      <c r="A1" s="116" t="s">
        <v>84</v>
      </c>
      <c r="B1" s="117" t="s">
        <v>51</v>
      </c>
      <c r="C1" s="161"/>
      <c r="D1" s="161"/>
      <c r="F1" s="23">
        <v>1</v>
      </c>
      <c r="L1" s="23">
        <v>2</v>
      </c>
      <c r="R1" s="23">
        <v>3</v>
      </c>
      <c r="W1" s="23">
        <v>4</v>
      </c>
      <c r="AD1" s="23">
        <v>5</v>
      </c>
      <c r="AI1" s="23">
        <v>6</v>
      </c>
      <c r="AP1" s="23">
        <v>7</v>
      </c>
      <c r="AY1" s="23">
        <v>8</v>
      </c>
      <c r="BE1" s="23">
        <v>9</v>
      </c>
      <c r="BM1" s="23">
        <v>10</v>
      </c>
      <c r="BW1" s="23">
        <v>11</v>
      </c>
      <c r="CB1" s="23">
        <v>12</v>
      </c>
      <c r="CG1" s="23">
        <v>13</v>
      </c>
      <c r="CL1" s="23">
        <v>14</v>
      </c>
      <c r="CR1" s="23">
        <v>15</v>
      </c>
    </row>
    <row r="2" spans="1:107" s="23" customFormat="1">
      <c r="A2" s="116" t="s">
        <v>85</v>
      </c>
      <c r="B2" s="117" t="s">
        <v>94</v>
      </c>
      <c r="C2" s="161"/>
      <c r="D2" s="161"/>
      <c r="F2" s="98" t="s">
        <v>55</v>
      </c>
      <c r="G2" s="98" t="s">
        <v>56</v>
      </c>
      <c r="H2" s="98" t="s">
        <v>57</v>
      </c>
      <c r="I2" s="98" t="s">
        <v>0</v>
      </c>
      <c r="L2" s="98" t="s">
        <v>55</v>
      </c>
      <c r="M2" s="98" t="s">
        <v>56</v>
      </c>
      <c r="N2" s="98" t="s">
        <v>57</v>
      </c>
      <c r="O2" s="98" t="s">
        <v>0</v>
      </c>
      <c r="R2" s="98" t="s">
        <v>55</v>
      </c>
      <c r="S2" s="98" t="s">
        <v>56</v>
      </c>
      <c r="T2" s="98" t="s">
        <v>72</v>
      </c>
      <c r="W2" s="98" t="s">
        <v>55</v>
      </c>
      <c r="X2" s="98" t="s">
        <v>56</v>
      </c>
      <c r="Y2" s="98" t="s">
        <v>0</v>
      </c>
      <c r="AA2" s="98" t="s">
        <v>4</v>
      </c>
      <c r="AD2" s="98" t="s">
        <v>55</v>
      </c>
      <c r="AE2" s="98" t="s">
        <v>56</v>
      </c>
      <c r="AF2" s="98" t="s">
        <v>73</v>
      </c>
      <c r="AI2" s="98" t="s">
        <v>55</v>
      </c>
      <c r="AJ2" s="98" t="s">
        <v>56</v>
      </c>
      <c r="AK2" s="98" t="s">
        <v>74</v>
      </c>
      <c r="AM2" s="98" t="s">
        <v>75</v>
      </c>
      <c r="AP2" s="98" t="s">
        <v>55</v>
      </c>
      <c r="AQ2" s="98" t="s">
        <v>56</v>
      </c>
      <c r="AR2" s="98" t="s">
        <v>76</v>
      </c>
      <c r="AS2" s="98" t="s">
        <v>77</v>
      </c>
      <c r="AU2" s="98" t="s">
        <v>78</v>
      </c>
      <c r="AY2" s="98" t="s">
        <v>55</v>
      </c>
      <c r="AZ2" s="98" t="s">
        <v>56</v>
      </c>
      <c r="BA2" s="98" t="s">
        <v>79</v>
      </c>
      <c r="BE2" s="98" t="s">
        <v>55</v>
      </c>
      <c r="BF2" s="98" t="s">
        <v>56</v>
      </c>
      <c r="BG2" s="98" t="s">
        <v>80</v>
      </c>
      <c r="BJ2" s="98" t="s">
        <v>81</v>
      </c>
      <c r="BM2" s="98" t="s">
        <v>55</v>
      </c>
      <c r="BN2" s="98" t="s">
        <v>56</v>
      </c>
      <c r="BO2" s="98" t="s">
        <v>77</v>
      </c>
      <c r="BR2" s="98" t="s">
        <v>82</v>
      </c>
      <c r="BT2" s="23" t="s">
        <v>83</v>
      </c>
      <c r="BW2" s="98" t="s">
        <v>55</v>
      </c>
      <c r="BX2" s="98" t="s">
        <v>56</v>
      </c>
      <c r="BY2" s="98" t="s">
        <v>92</v>
      </c>
      <c r="CB2" s="98" t="s">
        <v>55</v>
      </c>
      <c r="CC2" s="98" t="s">
        <v>56</v>
      </c>
      <c r="CD2" s="98" t="s">
        <v>91</v>
      </c>
      <c r="CG2" s="98" t="s">
        <v>55</v>
      </c>
      <c r="CH2" s="98" t="s">
        <v>56</v>
      </c>
      <c r="CI2" s="98" t="s">
        <v>90</v>
      </c>
      <c r="CL2" s="98" t="s">
        <v>55</v>
      </c>
      <c r="CM2" s="98" t="s">
        <v>56</v>
      </c>
      <c r="CN2" s="98" t="s">
        <v>88</v>
      </c>
      <c r="CR2" s="98" t="s">
        <v>55</v>
      </c>
      <c r="CS2" s="98" t="s">
        <v>56</v>
      </c>
      <c r="CT2" s="98" t="s">
        <v>89</v>
      </c>
      <c r="CZ2" s="98"/>
      <c r="DA2" s="98"/>
      <c r="DB2" s="98"/>
      <c r="DC2" s="98"/>
    </row>
    <row r="3" spans="1:107" s="23" customFormat="1">
      <c r="A3" s="116" t="s">
        <v>86</v>
      </c>
      <c r="B3" s="134" t="s">
        <v>122</v>
      </c>
      <c r="C3" s="162"/>
      <c r="D3" s="162"/>
      <c r="E3" s="100" t="str">
        <f>CONCATENATE(G3," ", F3)</f>
        <v>January 2009</v>
      </c>
      <c r="F3" s="99">
        <v>2009</v>
      </c>
      <c r="G3" s="99" t="s">
        <v>58</v>
      </c>
      <c r="H3" s="99" t="s">
        <v>59</v>
      </c>
      <c r="I3" s="99">
        <v>11622</v>
      </c>
      <c r="K3" s="23" t="str">
        <f>CONCATENATE(M3," ",L3)</f>
        <v>January 2009</v>
      </c>
      <c r="L3" s="99">
        <v>2009</v>
      </c>
      <c r="M3" s="99" t="s">
        <v>58</v>
      </c>
      <c r="N3" s="99" t="s">
        <v>71</v>
      </c>
      <c r="O3" s="99">
        <v>5415</v>
      </c>
      <c r="R3" s="99">
        <v>2009</v>
      </c>
      <c r="S3" s="99" t="s">
        <v>58</v>
      </c>
      <c r="T3" s="99">
        <v>12952</v>
      </c>
      <c r="W3" s="99">
        <v>2009</v>
      </c>
      <c r="X3" s="99" t="s">
        <v>58</v>
      </c>
      <c r="Y3" s="99">
        <v>17037</v>
      </c>
      <c r="AA3" s="114">
        <f>Y3/T3</f>
        <v>1.3153953057442866</v>
      </c>
      <c r="AD3" s="99">
        <v>2009</v>
      </c>
      <c r="AE3" s="99" t="s">
        <v>58</v>
      </c>
      <c r="AF3" s="99">
        <v>15.46</v>
      </c>
      <c r="AI3" s="99">
        <v>2009</v>
      </c>
      <c r="AJ3" s="99" t="s">
        <v>58</v>
      </c>
      <c r="AK3" s="99">
        <v>173612</v>
      </c>
      <c r="AM3" s="114">
        <f>AK3/Y3</f>
        <v>10.190291718025474</v>
      </c>
      <c r="AP3" s="99">
        <v>2009</v>
      </c>
      <c r="AQ3" s="99" t="s">
        <v>58</v>
      </c>
      <c r="AR3" s="99">
        <v>11600</v>
      </c>
      <c r="AS3" s="99">
        <v>0</v>
      </c>
      <c r="AU3" s="23">
        <f>IF(AS3&gt;0,AR3,0)</f>
        <v>0</v>
      </c>
      <c r="AY3" s="99">
        <v>2009</v>
      </c>
      <c r="AZ3" s="99" t="s">
        <v>58</v>
      </c>
      <c r="BA3" s="99">
        <v>0</v>
      </c>
      <c r="BE3" s="99">
        <v>2009</v>
      </c>
      <c r="BF3" s="99" t="s">
        <v>58</v>
      </c>
      <c r="BG3" s="99">
        <v>0</v>
      </c>
      <c r="BJ3" s="114" t="e">
        <f>BG3/BA3</f>
        <v>#DIV/0!</v>
      </c>
      <c r="BM3" s="99">
        <v>2009</v>
      </c>
      <c r="BN3" s="99" t="s">
        <v>58</v>
      </c>
      <c r="BO3" s="99">
        <v>0</v>
      </c>
      <c r="BR3" s="114" t="e">
        <f>BO3/BA3</f>
        <v>#DIV/0!</v>
      </c>
      <c r="BT3" s="115">
        <f>BA3/Y3</f>
        <v>0</v>
      </c>
      <c r="BW3" s="99">
        <v>2009</v>
      </c>
      <c r="BX3" s="99" t="s">
        <v>58</v>
      </c>
      <c r="BY3" s="99">
        <v>0</v>
      </c>
      <c r="CB3" s="99">
        <v>2009</v>
      </c>
      <c r="CC3" s="99" t="s">
        <v>58</v>
      </c>
      <c r="CD3" s="99">
        <v>0</v>
      </c>
      <c r="CG3" s="99">
        <v>2009</v>
      </c>
      <c r="CH3" s="99" t="s">
        <v>58</v>
      </c>
      <c r="CI3" s="99">
        <v>0</v>
      </c>
      <c r="CL3" s="99">
        <v>2009</v>
      </c>
      <c r="CM3" s="99" t="s">
        <v>58</v>
      </c>
      <c r="CN3" s="99">
        <v>0</v>
      </c>
      <c r="CR3" s="99">
        <v>2009</v>
      </c>
      <c r="CS3" s="99" t="s">
        <v>58</v>
      </c>
      <c r="CT3" s="99">
        <v>0</v>
      </c>
      <c r="CZ3" s="99"/>
      <c r="DA3" s="99"/>
      <c r="DB3" s="99"/>
      <c r="DC3" s="99"/>
    </row>
    <row r="4" spans="1:107" s="23" customFormat="1">
      <c r="C4" s="162"/>
      <c r="D4" s="162"/>
      <c r="E4" s="100" t="str">
        <f t="shared" ref="E4:E8" si="0">CONCATENATE(G4," ", F4)</f>
        <v>February 2009</v>
      </c>
      <c r="F4" s="99">
        <v>2009</v>
      </c>
      <c r="G4" s="99" t="s">
        <v>60</v>
      </c>
      <c r="H4" s="99" t="s">
        <v>59</v>
      </c>
      <c r="I4" s="99">
        <v>11464</v>
      </c>
      <c r="K4" s="23" t="str">
        <f t="shared" ref="K4:K20" si="1">CONCATENATE(M4," ",L4)</f>
        <v>February 2009</v>
      </c>
      <c r="L4" s="99">
        <v>2009</v>
      </c>
      <c r="M4" s="99" t="s">
        <v>60</v>
      </c>
      <c r="N4" s="99" t="s">
        <v>71</v>
      </c>
      <c r="O4" s="99">
        <v>6169</v>
      </c>
      <c r="R4" s="99">
        <v>2009</v>
      </c>
      <c r="S4" s="99" t="s">
        <v>60</v>
      </c>
      <c r="T4" s="99">
        <v>13101</v>
      </c>
      <c r="W4" s="99">
        <v>2009</v>
      </c>
      <c r="X4" s="99" t="s">
        <v>60</v>
      </c>
      <c r="Y4" s="99">
        <v>17633</v>
      </c>
      <c r="AA4" s="114">
        <f t="shared" ref="AA4:AA17" si="2">Y4/T4</f>
        <v>1.3459277917716206</v>
      </c>
      <c r="AD4" s="99">
        <v>2009</v>
      </c>
      <c r="AE4" s="99" t="s">
        <v>60</v>
      </c>
      <c r="AF4" s="99">
        <v>17.82</v>
      </c>
      <c r="AI4" s="99">
        <v>2009</v>
      </c>
      <c r="AJ4" s="99" t="s">
        <v>60</v>
      </c>
      <c r="AK4" s="99">
        <v>188098</v>
      </c>
      <c r="AM4" s="114">
        <f t="shared" ref="AM4:AM17" si="3">AK4/Y4</f>
        <v>10.667385016729995</v>
      </c>
      <c r="AP4" s="99">
        <v>2009</v>
      </c>
      <c r="AQ4" s="99" t="s">
        <v>60</v>
      </c>
      <c r="AR4" s="99">
        <v>11447</v>
      </c>
      <c r="AS4" s="99">
        <v>0</v>
      </c>
      <c r="AU4" s="23">
        <f t="shared" ref="AU4:AU20" si="4">IF(AS4&gt;0,AR4,0)</f>
        <v>0</v>
      </c>
      <c r="AY4" s="99">
        <v>2009</v>
      </c>
      <c r="AZ4" s="99" t="s">
        <v>60</v>
      </c>
      <c r="BA4" s="99">
        <v>0</v>
      </c>
      <c r="BE4" s="99">
        <v>2009</v>
      </c>
      <c r="BF4" s="99" t="s">
        <v>60</v>
      </c>
      <c r="BG4" s="99">
        <v>0</v>
      </c>
      <c r="BJ4" s="114" t="e">
        <f t="shared" ref="BJ4:BJ20" si="5">BG4/BA4</f>
        <v>#DIV/0!</v>
      </c>
      <c r="BM4" s="99">
        <v>2009</v>
      </c>
      <c r="BN4" s="99" t="s">
        <v>60</v>
      </c>
      <c r="BO4" s="99">
        <v>0</v>
      </c>
      <c r="BR4" s="114" t="e">
        <f t="shared" ref="BR4:BR20" si="6">BO4/BA4</f>
        <v>#DIV/0!</v>
      </c>
      <c r="BT4" s="115">
        <f t="shared" ref="BT4:BT20" si="7">BA4/Y4</f>
        <v>0</v>
      </c>
      <c r="BW4" s="99">
        <v>2009</v>
      </c>
      <c r="BX4" s="99" t="s">
        <v>60</v>
      </c>
      <c r="BY4" s="99">
        <v>0</v>
      </c>
      <c r="CB4" s="99">
        <v>2009</v>
      </c>
      <c r="CC4" s="99" t="s">
        <v>60</v>
      </c>
      <c r="CD4" s="99">
        <v>0</v>
      </c>
      <c r="CG4" s="99">
        <v>2009</v>
      </c>
      <c r="CH4" s="99" t="s">
        <v>60</v>
      </c>
      <c r="CI4" s="99">
        <v>0</v>
      </c>
      <c r="CL4" s="99">
        <v>2009</v>
      </c>
      <c r="CM4" s="99" t="s">
        <v>60</v>
      </c>
      <c r="CN4" s="99">
        <v>0</v>
      </c>
      <c r="CR4" s="99">
        <v>2009</v>
      </c>
      <c r="CS4" s="99" t="s">
        <v>60</v>
      </c>
      <c r="CT4" s="99">
        <v>0</v>
      </c>
      <c r="CZ4" s="99"/>
      <c r="DA4" s="99"/>
      <c r="DB4" s="99"/>
      <c r="DC4" s="99"/>
    </row>
    <row r="5" spans="1:107">
      <c r="A5" s="98"/>
      <c r="B5" s="98"/>
      <c r="C5" s="162"/>
      <c r="D5" s="162"/>
      <c r="E5" s="100" t="str">
        <f t="shared" si="0"/>
        <v>March 2009</v>
      </c>
      <c r="F5" s="99">
        <v>2009</v>
      </c>
      <c r="G5" s="99" t="s">
        <v>61</v>
      </c>
      <c r="H5" s="99" t="s">
        <v>59</v>
      </c>
      <c r="I5" s="99">
        <v>11130</v>
      </c>
      <c r="K5" s="23" t="str">
        <f t="shared" si="1"/>
        <v>March 2009</v>
      </c>
      <c r="L5" s="99">
        <v>2009</v>
      </c>
      <c r="M5" s="99" t="s">
        <v>61</v>
      </c>
      <c r="N5" s="99" t="s">
        <v>71</v>
      </c>
      <c r="O5" s="99">
        <v>7164</v>
      </c>
      <c r="R5" s="99">
        <v>2009</v>
      </c>
      <c r="S5" s="99" t="s">
        <v>61</v>
      </c>
      <c r="T5" s="99">
        <v>12968</v>
      </c>
      <c r="W5" s="99">
        <v>2009</v>
      </c>
      <c r="X5" s="99" t="s">
        <v>61</v>
      </c>
      <c r="Y5" s="99">
        <v>18294</v>
      </c>
      <c r="AA5" s="114">
        <f t="shared" si="2"/>
        <v>1.4107032695866748</v>
      </c>
      <c r="AD5" s="99">
        <v>2009</v>
      </c>
      <c r="AE5" s="99" t="s">
        <v>61</v>
      </c>
      <c r="AF5" s="99">
        <v>19.78</v>
      </c>
      <c r="AI5" s="99">
        <v>2009</v>
      </c>
      <c r="AJ5" s="99" t="s">
        <v>61</v>
      </c>
      <c r="AK5" s="99">
        <v>180868</v>
      </c>
      <c r="AM5" s="114">
        <f t="shared" si="3"/>
        <v>9.8867388214715213</v>
      </c>
      <c r="AP5" s="99">
        <v>2009</v>
      </c>
      <c r="AQ5" s="99" t="s">
        <v>61</v>
      </c>
      <c r="AR5" s="99">
        <v>11097</v>
      </c>
      <c r="AS5" s="99">
        <v>0</v>
      </c>
      <c r="AU5" s="23">
        <f t="shared" si="4"/>
        <v>0</v>
      </c>
      <c r="AV5" s="23"/>
      <c r="AY5" s="99">
        <v>2009</v>
      </c>
      <c r="AZ5" s="99" t="s">
        <v>61</v>
      </c>
      <c r="BA5" s="99">
        <v>0</v>
      </c>
      <c r="BE5" s="99">
        <v>2009</v>
      </c>
      <c r="BF5" s="99" t="s">
        <v>61</v>
      </c>
      <c r="BG5" s="99">
        <v>0</v>
      </c>
      <c r="BJ5" s="114" t="e">
        <f t="shared" si="5"/>
        <v>#DIV/0!</v>
      </c>
      <c r="BM5" s="99">
        <v>2009</v>
      </c>
      <c r="BN5" s="99" t="s">
        <v>61</v>
      </c>
      <c r="BO5" s="99">
        <v>0</v>
      </c>
      <c r="BR5" s="114" t="e">
        <f t="shared" si="6"/>
        <v>#DIV/0!</v>
      </c>
      <c r="BT5" s="115">
        <f t="shared" si="7"/>
        <v>0</v>
      </c>
      <c r="BW5" s="99">
        <v>2009</v>
      </c>
      <c r="BX5" s="99" t="s">
        <v>61</v>
      </c>
      <c r="BY5" s="99">
        <v>0</v>
      </c>
      <c r="CB5" s="99">
        <v>2009</v>
      </c>
      <c r="CC5" s="99" t="s">
        <v>61</v>
      </c>
      <c r="CD5" s="99">
        <v>0</v>
      </c>
      <c r="CG5" s="99">
        <v>2009</v>
      </c>
      <c r="CH5" s="99" t="s">
        <v>61</v>
      </c>
      <c r="CI5" s="99">
        <v>0</v>
      </c>
      <c r="CL5" s="99">
        <v>2009</v>
      </c>
      <c r="CM5" s="99" t="s">
        <v>61</v>
      </c>
      <c r="CN5" s="99">
        <v>0</v>
      </c>
      <c r="CR5" s="99">
        <v>2009</v>
      </c>
      <c r="CS5" s="99" t="s">
        <v>61</v>
      </c>
      <c r="CT5" s="99">
        <v>0</v>
      </c>
      <c r="CZ5" s="99"/>
      <c r="DA5" s="99"/>
      <c r="DB5" s="99"/>
      <c r="DC5" s="99"/>
    </row>
    <row r="6" spans="1:107">
      <c r="A6" s="99"/>
      <c r="B6" s="99"/>
      <c r="C6" s="162"/>
      <c r="D6" s="162"/>
      <c r="E6" s="100" t="str">
        <f t="shared" si="0"/>
        <v>April 2009</v>
      </c>
      <c r="F6" s="99">
        <v>2009</v>
      </c>
      <c r="G6" s="99" t="s">
        <v>62</v>
      </c>
      <c r="H6" s="99" t="s">
        <v>59</v>
      </c>
      <c r="I6" s="99">
        <v>10994</v>
      </c>
      <c r="K6" s="23" t="str">
        <f t="shared" si="1"/>
        <v>April 2009</v>
      </c>
      <c r="L6" s="99">
        <v>2009</v>
      </c>
      <c r="M6" s="99" t="s">
        <v>62</v>
      </c>
      <c r="N6" s="99" t="s">
        <v>71</v>
      </c>
      <c r="O6" s="99">
        <v>6850</v>
      </c>
      <c r="R6" s="99">
        <v>2009</v>
      </c>
      <c r="S6" s="99" t="s">
        <v>62</v>
      </c>
      <c r="T6" s="99">
        <v>12851</v>
      </c>
      <c r="W6" s="99">
        <v>2009</v>
      </c>
      <c r="X6" s="99" t="s">
        <v>62</v>
      </c>
      <c r="Y6" s="99">
        <v>17844</v>
      </c>
      <c r="AA6" s="114">
        <f t="shared" si="2"/>
        <v>1.3885300754805074</v>
      </c>
      <c r="AD6" s="99">
        <v>2009</v>
      </c>
      <c r="AE6" s="99" t="s">
        <v>62</v>
      </c>
      <c r="AF6" s="99">
        <v>21.68</v>
      </c>
      <c r="AI6" s="99">
        <v>2009</v>
      </c>
      <c r="AJ6" s="99" t="s">
        <v>62</v>
      </c>
      <c r="AK6" s="99">
        <v>159791</v>
      </c>
      <c r="AM6" s="114">
        <f t="shared" si="3"/>
        <v>8.9548867966823575</v>
      </c>
      <c r="AP6" s="99">
        <v>2009</v>
      </c>
      <c r="AQ6" s="99" t="s">
        <v>62</v>
      </c>
      <c r="AR6" s="99">
        <v>10970</v>
      </c>
      <c r="AS6" s="99">
        <v>0</v>
      </c>
      <c r="AU6" s="23">
        <f t="shared" si="4"/>
        <v>0</v>
      </c>
      <c r="AV6" s="23"/>
      <c r="AY6" s="99">
        <v>2009</v>
      </c>
      <c r="AZ6" s="99" t="s">
        <v>62</v>
      </c>
      <c r="BA6" s="99">
        <v>0</v>
      </c>
      <c r="BE6" s="99">
        <v>2009</v>
      </c>
      <c r="BF6" s="99" t="s">
        <v>62</v>
      </c>
      <c r="BG6" s="99">
        <v>0</v>
      </c>
      <c r="BJ6" s="114" t="e">
        <f t="shared" si="5"/>
        <v>#DIV/0!</v>
      </c>
      <c r="BM6" s="99">
        <v>2009</v>
      </c>
      <c r="BN6" s="99" t="s">
        <v>62</v>
      </c>
      <c r="BO6" s="99">
        <v>0</v>
      </c>
      <c r="BR6" s="114" t="e">
        <f t="shared" si="6"/>
        <v>#DIV/0!</v>
      </c>
      <c r="BT6" s="115">
        <f t="shared" si="7"/>
        <v>0</v>
      </c>
      <c r="BW6" s="99">
        <v>2009</v>
      </c>
      <c r="BX6" s="99" t="s">
        <v>62</v>
      </c>
      <c r="BY6" s="99">
        <v>0</v>
      </c>
      <c r="CB6" s="99">
        <v>2009</v>
      </c>
      <c r="CC6" s="99" t="s">
        <v>62</v>
      </c>
      <c r="CD6" s="99">
        <v>0</v>
      </c>
      <c r="CG6" s="99">
        <v>2009</v>
      </c>
      <c r="CH6" s="99" t="s">
        <v>62</v>
      </c>
      <c r="CI6" s="99">
        <v>0</v>
      </c>
      <c r="CL6" s="99">
        <v>2009</v>
      </c>
      <c r="CM6" s="99" t="s">
        <v>62</v>
      </c>
      <c r="CN6" s="99">
        <v>0</v>
      </c>
      <c r="CR6" s="99">
        <v>2009</v>
      </c>
      <c r="CS6" s="99" t="s">
        <v>62</v>
      </c>
      <c r="CT6" s="99">
        <v>0</v>
      </c>
      <c r="CZ6" s="99"/>
      <c r="DA6" s="99"/>
      <c r="DB6" s="99"/>
      <c r="DC6" s="99"/>
    </row>
    <row r="7" spans="1:107">
      <c r="A7" s="99"/>
      <c r="B7" s="99"/>
      <c r="C7" s="162"/>
      <c r="D7" s="162"/>
      <c r="E7" s="100" t="str">
        <f t="shared" si="0"/>
        <v>May 2009</v>
      </c>
      <c r="F7" s="99">
        <v>2009</v>
      </c>
      <c r="G7" s="99" t="s">
        <v>63</v>
      </c>
      <c r="H7" s="99" t="s">
        <v>59</v>
      </c>
      <c r="I7" s="99">
        <v>12033</v>
      </c>
      <c r="K7" s="23" t="str">
        <f t="shared" si="1"/>
        <v>May 2009</v>
      </c>
      <c r="L7" s="99">
        <v>2009</v>
      </c>
      <c r="M7" s="99" t="s">
        <v>63</v>
      </c>
      <c r="N7" s="99" t="s">
        <v>71</v>
      </c>
      <c r="O7" s="99">
        <v>6701</v>
      </c>
      <c r="R7" s="99">
        <v>2009</v>
      </c>
      <c r="S7" s="99" t="s">
        <v>63</v>
      </c>
      <c r="T7" s="99">
        <v>13743</v>
      </c>
      <c r="W7" s="99">
        <v>2009</v>
      </c>
      <c r="X7" s="99" t="s">
        <v>63</v>
      </c>
      <c r="Y7" s="99">
        <v>18734</v>
      </c>
      <c r="AA7" s="114">
        <f t="shared" si="2"/>
        <v>1.3631667030488248</v>
      </c>
      <c r="AD7" s="99">
        <v>2009</v>
      </c>
      <c r="AE7" s="99" t="s">
        <v>63</v>
      </c>
      <c r="AF7" s="99">
        <v>21.99</v>
      </c>
      <c r="AI7" s="99">
        <v>2009</v>
      </c>
      <c r="AJ7" s="99" t="s">
        <v>63</v>
      </c>
      <c r="AK7" s="99">
        <v>141664</v>
      </c>
      <c r="AM7" s="114">
        <f t="shared" si="3"/>
        <v>7.5618661257606492</v>
      </c>
      <c r="AP7" s="99">
        <v>2009</v>
      </c>
      <c r="AQ7" s="99" t="s">
        <v>63</v>
      </c>
      <c r="AR7" s="99">
        <v>12012</v>
      </c>
      <c r="AS7" s="99">
        <v>0</v>
      </c>
      <c r="AU7" s="23">
        <f t="shared" si="4"/>
        <v>0</v>
      </c>
      <c r="AV7" s="23"/>
      <c r="AY7" s="99">
        <v>2009</v>
      </c>
      <c r="AZ7" s="99" t="s">
        <v>63</v>
      </c>
      <c r="BA7" s="99">
        <v>0</v>
      </c>
      <c r="BE7" s="99">
        <v>2009</v>
      </c>
      <c r="BF7" s="99" t="s">
        <v>63</v>
      </c>
      <c r="BG7" s="99">
        <v>0</v>
      </c>
      <c r="BJ7" s="114" t="e">
        <f t="shared" si="5"/>
        <v>#DIV/0!</v>
      </c>
      <c r="BM7" s="99">
        <v>2009</v>
      </c>
      <c r="BN7" s="99" t="s">
        <v>63</v>
      </c>
      <c r="BO7" s="99">
        <v>0</v>
      </c>
      <c r="BR7" s="114" t="e">
        <f t="shared" si="6"/>
        <v>#DIV/0!</v>
      </c>
      <c r="BT7" s="115">
        <f t="shared" si="7"/>
        <v>0</v>
      </c>
      <c r="BW7" s="99">
        <v>2009</v>
      </c>
      <c r="BX7" s="99" t="s">
        <v>63</v>
      </c>
      <c r="BY7" s="99">
        <v>0</v>
      </c>
      <c r="CB7" s="99">
        <v>2009</v>
      </c>
      <c r="CC7" s="99" t="s">
        <v>63</v>
      </c>
      <c r="CD7" s="99">
        <v>0</v>
      </c>
      <c r="CG7" s="99">
        <v>2009</v>
      </c>
      <c r="CH7" s="99" t="s">
        <v>63</v>
      </c>
      <c r="CI7" s="99">
        <v>0</v>
      </c>
      <c r="CL7" s="99">
        <v>2009</v>
      </c>
      <c r="CM7" s="99" t="s">
        <v>63</v>
      </c>
      <c r="CN7" s="99">
        <v>0</v>
      </c>
      <c r="CR7" s="99">
        <v>2009</v>
      </c>
      <c r="CS7" s="99" t="s">
        <v>63</v>
      </c>
      <c r="CT7" s="99">
        <v>0</v>
      </c>
      <c r="CZ7" s="99"/>
      <c r="DA7" s="99"/>
      <c r="DB7" s="99"/>
      <c r="DC7" s="99"/>
    </row>
    <row r="8" spans="1:107">
      <c r="A8" s="99"/>
      <c r="B8" s="99"/>
      <c r="C8" s="162"/>
      <c r="D8" s="162"/>
      <c r="E8" s="100" t="str">
        <f t="shared" si="0"/>
        <v>June 2009</v>
      </c>
      <c r="F8" s="99">
        <v>2009</v>
      </c>
      <c r="G8" s="99" t="s">
        <v>64</v>
      </c>
      <c r="H8" s="99" t="s">
        <v>59</v>
      </c>
      <c r="I8" s="99">
        <v>13450</v>
      </c>
      <c r="K8" s="23" t="str">
        <f t="shared" si="1"/>
        <v>June 2009</v>
      </c>
      <c r="L8" s="99">
        <v>2009</v>
      </c>
      <c r="M8" s="99" t="s">
        <v>64</v>
      </c>
      <c r="N8" s="99" t="s">
        <v>71</v>
      </c>
      <c r="O8" s="99">
        <v>6592</v>
      </c>
      <c r="R8" s="99">
        <v>2009</v>
      </c>
      <c r="S8" s="99" t="s">
        <v>64</v>
      </c>
      <c r="T8" s="99">
        <v>15085</v>
      </c>
      <c r="W8" s="99">
        <v>2009</v>
      </c>
      <c r="X8" s="99" t="s">
        <v>64</v>
      </c>
      <c r="Y8" s="99">
        <v>20042</v>
      </c>
      <c r="AA8" s="114">
        <f t="shared" si="2"/>
        <v>1.3286045740802122</v>
      </c>
      <c r="AD8" s="99">
        <v>2009</v>
      </c>
      <c r="AE8" s="99" t="s">
        <v>64</v>
      </c>
      <c r="AF8" s="99">
        <v>11.18</v>
      </c>
      <c r="AI8" s="99">
        <v>2009</v>
      </c>
      <c r="AJ8" s="99" t="s">
        <v>64</v>
      </c>
      <c r="AK8" s="99">
        <v>136747</v>
      </c>
      <c r="AM8" s="114">
        <f t="shared" si="3"/>
        <v>6.8230216545254967</v>
      </c>
      <c r="AP8" s="99">
        <v>2009</v>
      </c>
      <c r="AQ8" s="99" t="s">
        <v>64</v>
      </c>
      <c r="AR8" s="99">
        <v>13416</v>
      </c>
      <c r="AS8" s="99">
        <v>5754.25</v>
      </c>
      <c r="AU8" s="23">
        <f t="shared" si="4"/>
        <v>13416</v>
      </c>
      <c r="AV8" s="23"/>
      <c r="AY8" s="99">
        <v>2009</v>
      </c>
      <c r="AZ8" s="99" t="s">
        <v>64</v>
      </c>
      <c r="BA8" s="99">
        <v>27</v>
      </c>
      <c r="BE8" s="99">
        <v>2009</v>
      </c>
      <c r="BF8" s="99" t="s">
        <v>64</v>
      </c>
      <c r="BG8" s="99">
        <v>61</v>
      </c>
      <c r="BJ8" s="114">
        <f t="shared" si="5"/>
        <v>2.2592592592592591</v>
      </c>
      <c r="BM8" s="99">
        <v>2009</v>
      </c>
      <c r="BN8" s="99" t="s">
        <v>64</v>
      </c>
      <c r="BO8" s="99">
        <v>5754.25</v>
      </c>
      <c r="BR8" s="114">
        <f t="shared" si="6"/>
        <v>213.12037037037038</v>
      </c>
      <c r="BT8" s="115">
        <f t="shared" si="7"/>
        <v>1.34717094102385E-3</v>
      </c>
      <c r="BW8" s="99">
        <v>2009</v>
      </c>
      <c r="BX8" s="99" t="s">
        <v>64</v>
      </c>
      <c r="BY8" s="99">
        <v>0</v>
      </c>
      <c r="CB8" s="99">
        <v>2009</v>
      </c>
      <c r="CC8" s="99" t="s">
        <v>64</v>
      </c>
      <c r="CD8" s="99">
        <v>0</v>
      </c>
      <c r="CG8" s="99">
        <v>2009</v>
      </c>
      <c r="CH8" s="99" t="s">
        <v>64</v>
      </c>
      <c r="CI8" s="99">
        <v>0</v>
      </c>
      <c r="CL8" s="99">
        <v>2009</v>
      </c>
      <c r="CM8" s="99" t="s">
        <v>64</v>
      </c>
      <c r="CN8" s="99">
        <v>0</v>
      </c>
      <c r="CR8" s="99">
        <v>2009</v>
      </c>
      <c r="CS8" s="99" t="s">
        <v>64</v>
      </c>
      <c r="CT8" s="99">
        <v>0</v>
      </c>
      <c r="CZ8" s="99"/>
      <c r="DA8" s="99"/>
      <c r="DB8" s="99"/>
      <c r="DC8" s="99"/>
    </row>
    <row r="9" spans="1:107">
      <c r="A9" s="99"/>
      <c r="B9" s="99"/>
      <c r="C9" s="99"/>
      <c r="D9" s="99"/>
      <c r="E9" s="23" t="str">
        <f t="shared" ref="E9:E20" si="8">CONCATENATE(G9," ", F9)</f>
        <v>July 2009</v>
      </c>
      <c r="F9" s="99">
        <v>2009</v>
      </c>
      <c r="G9" s="99" t="s">
        <v>65</v>
      </c>
      <c r="H9" s="99" t="s">
        <v>59</v>
      </c>
      <c r="I9" s="99">
        <v>20438</v>
      </c>
      <c r="K9" s="23" t="str">
        <f t="shared" si="1"/>
        <v>July 2009</v>
      </c>
      <c r="L9" s="99">
        <v>2009</v>
      </c>
      <c r="M9" s="99" t="s">
        <v>65</v>
      </c>
      <c r="N9" s="99" t="s">
        <v>71</v>
      </c>
      <c r="O9" s="99">
        <v>8350</v>
      </c>
      <c r="R9" s="99">
        <v>2009</v>
      </c>
      <c r="S9" s="99" t="s">
        <v>65</v>
      </c>
      <c r="T9" s="99">
        <v>22536</v>
      </c>
      <c r="W9" s="99">
        <v>2009</v>
      </c>
      <c r="X9" s="99" t="s">
        <v>65</v>
      </c>
      <c r="Y9" s="99">
        <v>28788</v>
      </c>
      <c r="AA9" s="114">
        <f t="shared" si="2"/>
        <v>1.277422790202343</v>
      </c>
      <c r="AD9" s="99">
        <v>2009</v>
      </c>
      <c r="AE9" s="99" t="s">
        <v>65</v>
      </c>
      <c r="AF9" s="99">
        <v>0.56999999999999995</v>
      </c>
      <c r="AI9" s="99">
        <v>2009</v>
      </c>
      <c r="AJ9" s="99" t="s">
        <v>65</v>
      </c>
      <c r="AK9" s="99">
        <v>177377</v>
      </c>
      <c r="AM9" s="114">
        <f t="shared" si="3"/>
        <v>6.1614908989856882</v>
      </c>
      <c r="AP9" s="99">
        <v>2009</v>
      </c>
      <c r="AQ9" s="99" t="s">
        <v>65</v>
      </c>
      <c r="AR9" s="99">
        <v>20411</v>
      </c>
      <c r="AS9" s="99">
        <v>88701.34</v>
      </c>
      <c r="AU9" s="23">
        <f t="shared" si="4"/>
        <v>20411</v>
      </c>
      <c r="AV9" s="23"/>
      <c r="AY9" s="99">
        <v>2009</v>
      </c>
      <c r="AZ9" s="99" t="s">
        <v>65</v>
      </c>
      <c r="BA9" s="99">
        <v>583</v>
      </c>
      <c r="BE9" s="99">
        <v>2009</v>
      </c>
      <c r="BF9" s="99" t="s">
        <v>65</v>
      </c>
      <c r="BG9" s="99">
        <v>1033</v>
      </c>
      <c r="BJ9" s="114">
        <f t="shared" si="5"/>
        <v>1.771869639794168</v>
      </c>
      <c r="BM9" s="99">
        <v>2009</v>
      </c>
      <c r="BN9" s="99" t="s">
        <v>65</v>
      </c>
      <c r="BO9" s="99">
        <v>88701.34</v>
      </c>
      <c r="BR9" s="114">
        <f t="shared" si="6"/>
        <v>152.14638078902229</v>
      </c>
      <c r="BT9" s="115">
        <f t="shared" si="7"/>
        <v>2.0251493677921357E-2</v>
      </c>
      <c r="BW9" s="99">
        <v>2009</v>
      </c>
      <c r="BX9" s="99" t="s">
        <v>65</v>
      </c>
      <c r="BY9" s="99">
        <v>0</v>
      </c>
      <c r="CB9" s="99">
        <v>2009</v>
      </c>
      <c r="CC9" s="99" t="s">
        <v>65</v>
      </c>
      <c r="CD9" s="99">
        <v>0</v>
      </c>
      <c r="CG9" s="99">
        <v>2009</v>
      </c>
      <c r="CH9" s="99" t="s">
        <v>65</v>
      </c>
      <c r="CI9" s="99">
        <v>0</v>
      </c>
      <c r="CL9" s="99">
        <v>2009</v>
      </c>
      <c r="CM9" s="99" t="s">
        <v>65</v>
      </c>
      <c r="CN9" s="99">
        <v>0</v>
      </c>
      <c r="CR9" s="99">
        <v>2009</v>
      </c>
      <c r="CS9" s="99" t="s">
        <v>65</v>
      </c>
      <c r="CT9" s="99">
        <v>0</v>
      </c>
      <c r="CZ9" s="99"/>
      <c r="DA9" s="99"/>
      <c r="DB9" s="99"/>
      <c r="DC9" s="99"/>
    </row>
    <row r="10" spans="1:107">
      <c r="A10" s="99"/>
      <c r="B10" s="99"/>
      <c r="C10" s="99"/>
      <c r="D10" s="99"/>
      <c r="E10" s="23" t="str">
        <f t="shared" si="8"/>
        <v>August 2009</v>
      </c>
      <c r="F10" s="99">
        <v>2009</v>
      </c>
      <c r="G10" s="99" t="s">
        <v>66</v>
      </c>
      <c r="H10" s="99" t="s">
        <v>59</v>
      </c>
      <c r="I10" s="99">
        <v>20334</v>
      </c>
      <c r="K10" s="23" t="str">
        <f t="shared" si="1"/>
        <v>August 2009</v>
      </c>
      <c r="L10" s="99">
        <v>2009</v>
      </c>
      <c r="M10" s="99" t="s">
        <v>66</v>
      </c>
      <c r="N10" s="99" t="s">
        <v>71</v>
      </c>
      <c r="O10" s="99">
        <v>7702</v>
      </c>
      <c r="R10" s="99">
        <v>2009</v>
      </c>
      <c r="S10" s="99" t="s">
        <v>66</v>
      </c>
      <c r="T10" s="99">
        <v>22361</v>
      </c>
      <c r="W10" s="99">
        <v>2009</v>
      </c>
      <c r="X10" s="99" t="s">
        <v>66</v>
      </c>
      <c r="Y10" s="99">
        <v>28036</v>
      </c>
      <c r="AA10" s="114">
        <f t="shared" si="2"/>
        <v>1.2537900809445015</v>
      </c>
      <c r="AD10" s="99">
        <v>2009</v>
      </c>
      <c r="AE10" s="99" t="s">
        <v>66</v>
      </c>
      <c r="AF10" s="99">
        <v>0.51</v>
      </c>
      <c r="AI10" s="99">
        <v>2009</v>
      </c>
      <c r="AJ10" s="99" t="s">
        <v>66</v>
      </c>
      <c r="AK10" s="99">
        <v>169130</v>
      </c>
      <c r="AM10" s="114">
        <f t="shared" si="3"/>
        <v>6.0326009416464546</v>
      </c>
      <c r="AP10" s="99">
        <v>2009</v>
      </c>
      <c r="AQ10" s="99" t="s">
        <v>66</v>
      </c>
      <c r="AR10" s="99">
        <v>20309</v>
      </c>
      <c r="AS10" s="99">
        <v>85423.34</v>
      </c>
      <c r="AU10" s="23">
        <f t="shared" si="4"/>
        <v>20309</v>
      </c>
      <c r="AV10" s="23"/>
      <c r="AY10" s="99">
        <v>2009</v>
      </c>
      <c r="AZ10" s="99" t="s">
        <v>66</v>
      </c>
      <c r="BA10" s="99">
        <v>567</v>
      </c>
      <c r="BE10" s="99">
        <v>2009</v>
      </c>
      <c r="BF10" s="99" t="s">
        <v>66</v>
      </c>
      <c r="BG10" s="99">
        <v>1049</v>
      </c>
      <c r="BJ10" s="114">
        <f t="shared" si="5"/>
        <v>1.8500881834215168</v>
      </c>
      <c r="BM10" s="99">
        <v>2009</v>
      </c>
      <c r="BN10" s="99" t="s">
        <v>66</v>
      </c>
      <c r="BO10" s="99">
        <v>85423.34</v>
      </c>
      <c r="BR10" s="114">
        <f t="shared" si="6"/>
        <v>150.6584479717813</v>
      </c>
      <c r="BT10" s="115">
        <f t="shared" si="7"/>
        <v>2.0223997717220717E-2</v>
      </c>
      <c r="BW10" s="99">
        <v>2009</v>
      </c>
      <c r="BX10" s="99" t="s">
        <v>66</v>
      </c>
      <c r="BY10" s="99">
        <v>0</v>
      </c>
      <c r="CB10" s="99">
        <v>2009</v>
      </c>
      <c r="CC10" s="99" t="s">
        <v>66</v>
      </c>
      <c r="CD10" s="99">
        <v>0</v>
      </c>
      <c r="CG10" s="99">
        <v>2009</v>
      </c>
      <c r="CH10" s="99" t="s">
        <v>66</v>
      </c>
      <c r="CI10" s="99">
        <v>0</v>
      </c>
      <c r="CL10" s="99">
        <v>2009</v>
      </c>
      <c r="CM10" s="99" t="s">
        <v>66</v>
      </c>
      <c r="CN10" s="99">
        <v>0</v>
      </c>
      <c r="CR10" s="99">
        <v>2009</v>
      </c>
      <c r="CS10" s="99" t="s">
        <v>66</v>
      </c>
      <c r="CT10" s="99">
        <v>0</v>
      </c>
      <c r="CZ10" s="99"/>
      <c r="DA10" s="99"/>
      <c r="DB10" s="99"/>
      <c r="DC10" s="99"/>
    </row>
    <row r="11" spans="1:107">
      <c r="A11" s="99"/>
      <c r="B11" s="99"/>
      <c r="C11" s="99"/>
      <c r="D11" s="99"/>
      <c r="E11" s="23" t="str">
        <f t="shared" si="8"/>
        <v>September 2009</v>
      </c>
      <c r="F11" s="99">
        <v>2009</v>
      </c>
      <c r="G11" s="99" t="s">
        <v>67</v>
      </c>
      <c r="H11" s="99" t="s">
        <v>59</v>
      </c>
      <c r="I11" s="99">
        <v>22772</v>
      </c>
      <c r="K11" s="23" t="str">
        <f t="shared" si="1"/>
        <v>September 2009</v>
      </c>
      <c r="L11" s="99">
        <v>2009</v>
      </c>
      <c r="M11" s="99" t="s">
        <v>67</v>
      </c>
      <c r="N11" s="99" t="s">
        <v>71</v>
      </c>
      <c r="O11" s="99">
        <v>8952</v>
      </c>
      <c r="R11" s="99">
        <v>2009</v>
      </c>
      <c r="S11" s="99" t="s">
        <v>67</v>
      </c>
      <c r="T11" s="99">
        <v>25092</v>
      </c>
      <c r="W11" s="99">
        <v>2009</v>
      </c>
      <c r="X11" s="99" t="s">
        <v>67</v>
      </c>
      <c r="Y11" s="99">
        <v>31724</v>
      </c>
      <c r="AA11" s="114">
        <f t="shared" si="2"/>
        <v>1.2643073489558425</v>
      </c>
      <c r="AD11" s="99">
        <v>2009</v>
      </c>
      <c r="AE11" s="99" t="s">
        <v>67</v>
      </c>
      <c r="AF11" s="99">
        <v>1.44</v>
      </c>
      <c r="AI11" s="99">
        <v>2009</v>
      </c>
      <c r="AJ11" s="99" t="s">
        <v>67</v>
      </c>
      <c r="AK11" s="99">
        <v>198587</v>
      </c>
      <c r="AM11" s="114">
        <f t="shared" si="3"/>
        <v>6.2598348253688059</v>
      </c>
      <c r="AP11" s="99">
        <v>2009</v>
      </c>
      <c r="AQ11" s="99" t="s">
        <v>67</v>
      </c>
      <c r="AR11" s="99">
        <v>22744</v>
      </c>
      <c r="AS11" s="99">
        <v>98261.46</v>
      </c>
      <c r="AU11" s="23">
        <f t="shared" si="4"/>
        <v>22744</v>
      </c>
      <c r="AV11" s="23"/>
      <c r="AY11" s="99">
        <v>2009</v>
      </c>
      <c r="AZ11" s="99" t="s">
        <v>67</v>
      </c>
      <c r="BA11" s="99">
        <v>671</v>
      </c>
      <c r="BE11" s="99">
        <v>2009</v>
      </c>
      <c r="BF11" s="99" t="s">
        <v>67</v>
      </c>
      <c r="BG11" s="99">
        <v>1254</v>
      </c>
      <c r="BJ11" s="114">
        <f t="shared" si="5"/>
        <v>1.8688524590163935</v>
      </c>
      <c r="BM11" s="99">
        <v>2009</v>
      </c>
      <c r="BN11" s="99" t="s">
        <v>67</v>
      </c>
      <c r="BO11" s="99">
        <v>98261.46</v>
      </c>
      <c r="BR11" s="114">
        <f t="shared" si="6"/>
        <v>146.44032786885248</v>
      </c>
      <c r="BT11" s="115">
        <f t="shared" si="7"/>
        <v>2.115117891816921E-2</v>
      </c>
      <c r="BW11" s="99">
        <v>2009</v>
      </c>
      <c r="BX11" s="99" t="s">
        <v>67</v>
      </c>
      <c r="BY11" s="99">
        <v>0</v>
      </c>
      <c r="CB11" s="99">
        <v>2009</v>
      </c>
      <c r="CC11" s="99" t="s">
        <v>67</v>
      </c>
      <c r="CD11" s="99">
        <v>0</v>
      </c>
      <c r="CG11" s="99">
        <v>2009</v>
      </c>
      <c r="CH11" s="99" t="s">
        <v>67</v>
      </c>
      <c r="CI11" s="99">
        <v>0</v>
      </c>
      <c r="CL11" s="99">
        <v>2009</v>
      </c>
      <c r="CM11" s="99" t="s">
        <v>67</v>
      </c>
      <c r="CN11" s="99">
        <v>0</v>
      </c>
      <c r="CR11" s="99">
        <v>2009</v>
      </c>
      <c r="CS11" s="99" t="s">
        <v>67</v>
      </c>
      <c r="CT11" s="99">
        <v>0</v>
      </c>
      <c r="CZ11" s="99"/>
      <c r="DA11" s="99"/>
      <c r="DB11" s="99"/>
      <c r="DC11" s="99"/>
    </row>
    <row r="12" spans="1:107">
      <c r="A12" s="99"/>
      <c r="B12" s="99"/>
      <c r="C12" s="99"/>
      <c r="D12" s="99"/>
      <c r="E12" s="23" t="str">
        <f t="shared" si="8"/>
        <v>October 2009</v>
      </c>
      <c r="F12" s="99">
        <v>2009</v>
      </c>
      <c r="G12" s="99" t="s">
        <v>68</v>
      </c>
      <c r="H12" s="99" t="s">
        <v>59</v>
      </c>
      <c r="I12" s="99">
        <v>23608</v>
      </c>
      <c r="K12" s="23" t="str">
        <f t="shared" si="1"/>
        <v>October 2009</v>
      </c>
      <c r="L12" s="99">
        <v>2009</v>
      </c>
      <c r="M12" s="99" t="s">
        <v>68</v>
      </c>
      <c r="N12" s="99" t="s">
        <v>71</v>
      </c>
      <c r="O12" s="99">
        <v>10615</v>
      </c>
      <c r="R12" s="99">
        <v>2009</v>
      </c>
      <c r="S12" s="99" t="s">
        <v>68</v>
      </c>
      <c r="T12" s="99">
        <v>26257</v>
      </c>
      <c r="W12" s="99">
        <v>2009</v>
      </c>
      <c r="X12" s="99" t="s">
        <v>68</v>
      </c>
      <c r="Y12" s="99">
        <v>34223</v>
      </c>
      <c r="AA12" s="114">
        <f t="shared" si="2"/>
        <v>1.3033857637963209</v>
      </c>
      <c r="AD12" s="99">
        <v>2009</v>
      </c>
      <c r="AE12" s="99" t="s">
        <v>68</v>
      </c>
      <c r="AF12" s="99">
        <v>31.97</v>
      </c>
      <c r="AI12" s="99">
        <v>2009</v>
      </c>
      <c r="AJ12" s="99" t="s">
        <v>68</v>
      </c>
      <c r="AK12" s="99">
        <v>201723</v>
      </c>
      <c r="AM12" s="114">
        <f t="shared" si="3"/>
        <v>5.8943692838149779</v>
      </c>
      <c r="AP12" s="99">
        <v>2009</v>
      </c>
      <c r="AQ12" s="99" t="s">
        <v>68</v>
      </c>
      <c r="AR12" s="99">
        <v>23567</v>
      </c>
      <c r="AS12" s="99">
        <v>104761.94</v>
      </c>
      <c r="AU12" s="23">
        <f t="shared" si="4"/>
        <v>23567</v>
      </c>
      <c r="AV12" s="23"/>
      <c r="AY12" s="99">
        <v>2009</v>
      </c>
      <c r="AZ12" s="99" t="s">
        <v>68</v>
      </c>
      <c r="BA12" s="99">
        <v>650</v>
      </c>
      <c r="BE12" s="99">
        <v>2009</v>
      </c>
      <c r="BF12" s="99" t="s">
        <v>68</v>
      </c>
      <c r="BG12" s="99">
        <v>1254</v>
      </c>
      <c r="BJ12" s="114">
        <f t="shared" si="5"/>
        <v>1.9292307692307693</v>
      </c>
      <c r="BM12" s="99">
        <v>2009</v>
      </c>
      <c r="BN12" s="99" t="s">
        <v>68</v>
      </c>
      <c r="BO12" s="99">
        <v>104761.94</v>
      </c>
      <c r="BR12" s="114">
        <f t="shared" si="6"/>
        <v>161.17221538461538</v>
      </c>
      <c r="BT12" s="115">
        <f t="shared" si="7"/>
        <v>1.899307483271484E-2</v>
      </c>
      <c r="BW12" s="99">
        <v>2009</v>
      </c>
      <c r="BX12" s="99" t="s">
        <v>68</v>
      </c>
      <c r="BY12" s="99">
        <v>0</v>
      </c>
      <c r="CB12" s="99">
        <v>2009</v>
      </c>
      <c r="CC12" s="99" t="s">
        <v>68</v>
      </c>
      <c r="CD12" s="99">
        <v>0</v>
      </c>
      <c r="CG12" s="99">
        <v>2009</v>
      </c>
      <c r="CH12" s="99" t="s">
        <v>68</v>
      </c>
      <c r="CI12" s="99">
        <v>0</v>
      </c>
      <c r="CL12" s="99">
        <v>2009</v>
      </c>
      <c r="CM12" s="99" t="s">
        <v>68</v>
      </c>
      <c r="CN12" s="99">
        <v>0</v>
      </c>
      <c r="CR12" s="99">
        <v>2009</v>
      </c>
      <c r="CS12" s="99" t="s">
        <v>68</v>
      </c>
      <c r="CT12" s="99">
        <v>0</v>
      </c>
      <c r="CZ12" s="99"/>
      <c r="DA12" s="99"/>
      <c r="DB12" s="99"/>
      <c r="DC12" s="99"/>
    </row>
    <row r="13" spans="1:107">
      <c r="A13" s="99"/>
      <c r="B13" s="99"/>
      <c r="C13" s="99"/>
      <c r="D13" s="99"/>
      <c r="E13" s="23" t="str">
        <f t="shared" si="8"/>
        <v>November 2009</v>
      </c>
      <c r="F13" s="99">
        <v>2009</v>
      </c>
      <c r="G13" s="99" t="s">
        <v>69</v>
      </c>
      <c r="H13" s="99" t="s">
        <v>59</v>
      </c>
      <c r="I13" s="99">
        <v>25422</v>
      </c>
      <c r="K13" s="23" t="str">
        <f t="shared" si="1"/>
        <v>November 2009</v>
      </c>
      <c r="L13" s="99">
        <v>2009</v>
      </c>
      <c r="M13" s="99" t="s">
        <v>69</v>
      </c>
      <c r="N13" s="99" t="s">
        <v>71</v>
      </c>
      <c r="O13" s="99">
        <v>13081</v>
      </c>
      <c r="R13" s="99">
        <v>2009</v>
      </c>
      <c r="S13" s="99" t="s">
        <v>69</v>
      </c>
      <c r="T13" s="99">
        <v>28586</v>
      </c>
      <c r="W13" s="99">
        <v>2009</v>
      </c>
      <c r="X13" s="99" t="s">
        <v>69</v>
      </c>
      <c r="Y13" s="99">
        <v>38503</v>
      </c>
      <c r="AA13" s="114">
        <f t="shared" si="2"/>
        <v>1.3469180717833904</v>
      </c>
      <c r="AD13" s="99">
        <v>2009</v>
      </c>
      <c r="AE13" s="99" t="s">
        <v>69</v>
      </c>
      <c r="AF13" s="99">
        <v>22.76</v>
      </c>
      <c r="AI13" s="99">
        <v>2009</v>
      </c>
      <c r="AJ13" s="99" t="s">
        <v>69</v>
      </c>
      <c r="AK13" s="99">
        <v>264120</v>
      </c>
      <c r="AM13" s="114">
        <f t="shared" si="3"/>
        <v>6.8597252162169182</v>
      </c>
      <c r="AP13" s="99">
        <v>2009</v>
      </c>
      <c r="AQ13" s="99" t="s">
        <v>69</v>
      </c>
      <c r="AR13" s="99">
        <v>25395</v>
      </c>
      <c r="AS13" s="99">
        <v>151050.38</v>
      </c>
      <c r="AU13" s="23">
        <f t="shared" si="4"/>
        <v>25395</v>
      </c>
      <c r="AV13" s="23"/>
      <c r="AY13" s="99">
        <v>2009</v>
      </c>
      <c r="AZ13" s="99" t="s">
        <v>69</v>
      </c>
      <c r="BA13" s="99">
        <v>1031</v>
      </c>
      <c r="BE13" s="99">
        <v>2009</v>
      </c>
      <c r="BF13" s="99" t="s">
        <v>69</v>
      </c>
      <c r="BG13" s="99">
        <v>2288</v>
      </c>
      <c r="BJ13" s="114">
        <f t="shared" si="5"/>
        <v>2.219204655674103</v>
      </c>
      <c r="BM13" s="99">
        <v>2009</v>
      </c>
      <c r="BN13" s="99" t="s">
        <v>69</v>
      </c>
      <c r="BO13" s="99">
        <v>151050.38</v>
      </c>
      <c r="BR13" s="114">
        <f t="shared" si="6"/>
        <v>146.50861299709021</v>
      </c>
      <c r="BT13" s="115">
        <f t="shared" si="7"/>
        <v>2.6777134249279275E-2</v>
      </c>
      <c r="BW13" s="99">
        <v>2009</v>
      </c>
      <c r="BX13" s="99" t="s">
        <v>69</v>
      </c>
      <c r="BY13" s="99">
        <v>0</v>
      </c>
      <c r="CB13" s="99">
        <v>2009</v>
      </c>
      <c r="CC13" s="99" t="s">
        <v>69</v>
      </c>
      <c r="CD13" s="99">
        <v>0</v>
      </c>
      <c r="CG13" s="99">
        <v>2009</v>
      </c>
      <c r="CH13" s="99" t="s">
        <v>69</v>
      </c>
      <c r="CI13" s="99">
        <v>0</v>
      </c>
      <c r="CL13" s="99">
        <v>2009</v>
      </c>
      <c r="CM13" s="99" t="s">
        <v>69</v>
      </c>
      <c r="CN13" s="99">
        <v>0</v>
      </c>
      <c r="CR13" s="99">
        <v>2009</v>
      </c>
      <c r="CS13" s="99" t="s">
        <v>69</v>
      </c>
      <c r="CT13" s="99">
        <v>0</v>
      </c>
      <c r="CZ13" s="99"/>
      <c r="DA13" s="99"/>
      <c r="DB13" s="99"/>
      <c r="DC13" s="99"/>
    </row>
    <row r="14" spans="1:107">
      <c r="A14" s="99"/>
      <c r="B14" s="99"/>
      <c r="C14" s="99"/>
      <c r="D14" s="99"/>
      <c r="E14" s="23" t="str">
        <f t="shared" si="8"/>
        <v>December 2009</v>
      </c>
      <c r="F14" s="99">
        <v>2009</v>
      </c>
      <c r="G14" s="99" t="s">
        <v>70</v>
      </c>
      <c r="H14" s="99" t="s">
        <v>59</v>
      </c>
      <c r="I14" s="99">
        <v>25599</v>
      </c>
      <c r="K14" s="23" t="str">
        <f t="shared" si="1"/>
        <v>December 2009</v>
      </c>
      <c r="L14" s="99">
        <v>2009</v>
      </c>
      <c r="M14" s="99" t="s">
        <v>70</v>
      </c>
      <c r="N14" s="99" t="s">
        <v>71</v>
      </c>
      <c r="O14" s="99">
        <v>13882</v>
      </c>
      <c r="R14" s="99">
        <v>2009</v>
      </c>
      <c r="S14" s="99" t="s">
        <v>70</v>
      </c>
      <c r="T14" s="99">
        <v>29050</v>
      </c>
      <c r="W14" s="99">
        <v>2009</v>
      </c>
      <c r="X14" s="99" t="s">
        <v>70</v>
      </c>
      <c r="Y14" s="99">
        <v>39481</v>
      </c>
      <c r="AA14" s="114">
        <f t="shared" si="2"/>
        <v>1.3590705679862307</v>
      </c>
      <c r="AD14" s="99">
        <v>2009</v>
      </c>
      <c r="AE14" s="99" t="s">
        <v>70</v>
      </c>
      <c r="AF14" s="99">
        <v>21.16</v>
      </c>
      <c r="AI14" s="99">
        <v>2009</v>
      </c>
      <c r="AJ14" s="99" t="s">
        <v>70</v>
      </c>
      <c r="AK14" s="99">
        <v>278339</v>
      </c>
      <c r="AM14" s="114">
        <f t="shared" si="3"/>
        <v>7.0499480762898612</v>
      </c>
      <c r="AP14" s="99">
        <v>2009</v>
      </c>
      <c r="AQ14" s="99" t="s">
        <v>70</v>
      </c>
      <c r="AR14" s="99">
        <v>25543</v>
      </c>
      <c r="AS14" s="99">
        <v>163833.25</v>
      </c>
      <c r="AU14" s="23">
        <f t="shared" si="4"/>
        <v>25543</v>
      </c>
      <c r="AV14" s="23"/>
      <c r="AY14" s="99">
        <v>2009</v>
      </c>
      <c r="AZ14" s="99" t="s">
        <v>70</v>
      </c>
      <c r="BA14" s="99">
        <v>1319</v>
      </c>
      <c r="BE14" s="99">
        <v>2009</v>
      </c>
      <c r="BF14" s="99" t="s">
        <v>70</v>
      </c>
      <c r="BG14" s="99">
        <v>2278</v>
      </c>
      <c r="BJ14" s="114">
        <f t="shared" si="5"/>
        <v>1.7270659590598938</v>
      </c>
      <c r="BM14" s="99">
        <v>2009</v>
      </c>
      <c r="BN14" s="99" t="s">
        <v>70</v>
      </c>
      <c r="BO14" s="99">
        <v>163833.25</v>
      </c>
      <c r="BR14" s="114">
        <f t="shared" si="6"/>
        <v>124.21019711902957</v>
      </c>
      <c r="BT14" s="115">
        <f t="shared" si="7"/>
        <v>3.340847496264026E-2</v>
      </c>
      <c r="BW14" s="99">
        <v>2009</v>
      </c>
      <c r="BX14" s="99" t="s">
        <v>70</v>
      </c>
      <c r="BY14" s="99">
        <v>0</v>
      </c>
      <c r="CB14" s="99">
        <v>2009</v>
      </c>
      <c r="CC14" s="99" t="s">
        <v>70</v>
      </c>
      <c r="CD14" s="99">
        <v>0</v>
      </c>
      <c r="CG14" s="99">
        <v>2009</v>
      </c>
      <c r="CH14" s="99" t="s">
        <v>70</v>
      </c>
      <c r="CI14" s="99">
        <v>0</v>
      </c>
      <c r="CL14" s="99">
        <v>2009</v>
      </c>
      <c r="CM14" s="99" t="s">
        <v>70</v>
      </c>
      <c r="CN14" s="99">
        <v>0</v>
      </c>
      <c r="CR14" s="99">
        <v>2009</v>
      </c>
      <c r="CS14" s="99" t="s">
        <v>70</v>
      </c>
      <c r="CT14" s="99">
        <v>0</v>
      </c>
      <c r="CZ14" s="99"/>
      <c r="DA14" s="99"/>
      <c r="DB14" s="99"/>
      <c r="DC14" s="99"/>
    </row>
    <row r="15" spans="1:107">
      <c r="A15" s="99"/>
      <c r="B15" s="99"/>
      <c r="C15" s="99"/>
      <c r="D15" s="99"/>
      <c r="E15" s="23" t="str">
        <f t="shared" si="8"/>
        <v>January 2010</v>
      </c>
      <c r="F15" s="99">
        <v>2010</v>
      </c>
      <c r="G15" s="99" t="s">
        <v>58</v>
      </c>
      <c r="H15" s="99" t="s">
        <v>59</v>
      </c>
      <c r="I15" s="99">
        <v>23541</v>
      </c>
      <c r="K15" s="23" t="str">
        <f t="shared" si="1"/>
        <v>January 2010</v>
      </c>
      <c r="L15" s="99">
        <v>2010</v>
      </c>
      <c r="M15" s="99" t="s">
        <v>58</v>
      </c>
      <c r="N15" s="99" t="s">
        <v>71</v>
      </c>
      <c r="O15" s="99">
        <v>11606</v>
      </c>
      <c r="R15" s="99">
        <v>2010</v>
      </c>
      <c r="S15" s="99" t="s">
        <v>58</v>
      </c>
      <c r="T15" s="99">
        <v>26429</v>
      </c>
      <c r="W15" s="99">
        <v>2010</v>
      </c>
      <c r="X15" s="99" t="s">
        <v>58</v>
      </c>
      <c r="Y15" s="99">
        <v>35147</v>
      </c>
      <c r="AA15" s="114">
        <f t="shared" si="2"/>
        <v>1.3298649211093874</v>
      </c>
      <c r="AD15" s="99">
        <v>2010</v>
      </c>
      <c r="AE15" s="99" t="s">
        <v>58</v>
      </c>
      <c r="AF15" s="99">
        <v>26.4</v>
      </c>
      <c r="AI15" s="99">
        <v>2010</v>
      </c>
      <c r="AJ15" s="99" t="s">
        <v>58</v>
      </c>
      <c r="AK15" s="99">
        <v>211058</v>
      </c>
      <c r="AM15" s="114">
        <f t="shared" si="3"/>
        <v>6.0050075397615732</v>
      </c>
      <c r="AP15" s="99">
        <v>2010</v>
      </c>
      <c r="AQ15" s="99" t="s">
        <v>58</v>
      </c>
      <c r="AR15" s="99">
        <v>23505</v>
      </c>
      <c r="AS15" s="99">
        <v>98055.99</v>
      </c>
      <c r="AU15" s="23">
        <f t="shared" si="4"/>
        <v>23505</v>
      </c>
      <c r="AV15" s="23"/>
      <c r="AY15" s="99">
        <v>2010</v>
      </c>
      <c r="AZ15" s="99" t="s">
        <v>58</v>
      </c>
      <c r="BA15" s="99">
        <v>629</v>
      </c>
      <c r="BE15" s="99">
        <v>2010</v>
      </c>
      <c r="BF15" s="99" t="s">
        <v>58</v>
      </c>
      <c r="BG15" s="99">
        <v>1226</v>
      </c>
      <c r="BJ15" s="114">
        <f t="shared" si="5"/>
        <v>1.9491255961844196</v>
      </c>
      <c r="BM15" s="99">
        <v>2010</v>
      </c>
      <c r="BN15" s="99" t="s">
        <v>58</v>
      </c>
      <c r="BO15" s="99">
        <v>98055.99</v>
      </c>
      <c r="BR15" s="114">
        <f t="shared" si="6"/>
        <v>155.8918759936407</v>
      </c>
      <c r="BT15" s="115">
        <f t="shared" si="7"/>
        <v>1.7896264261530143E-2</v>
      </c>
      <c r="BW15" s="99">
        <v>2010</v>
      </c>
      <c r="BX15" s="99" t="s">
        <v>58</v>
      </c>
      <c r="BY15" s="99">
        <v>0</v>
      </c>
      <c r="CB15" s="99">
        <v>2010</v>
      </c>
      <c r="CC15" s="99" t="s">
        <v>58</v>
      </c>
      <c r="CD15" s="99">
        <v>0</v>
      </c>
      <c r="CG15" s="99">
        <v>2010</v>
      </c>
      <c r="CH15" s="99" t="s">
        <v>58</v>
      </c>
      <c r="CI15" s="99">
        <v>0</v>
      </c>
      <c r="CL15" s="99">
        <v>2010</v>
      </c>
      <c r="CM15" s="99" t="s">
        <v>58</v>
      </c>
      <c r="CN15" s="99">
        <v>0</v>
      </c>
      <c r="CR15" s="99">
        <v>2010</v>
      </c>
      <c r="CS15" s="99" t="s">
        <v>58</v>
      </c>
      <c r="CT15" s="99">
        <v>0</v>
      </c>
      <c r="CZ15" s="99"/>
      <c r="DA15" s="99"/>
      <c r="DB15" s="99"/>
      <c r="DC15" s="99"/>
    </row>
    <row r="16" spans="1:107">
      <c r="A16" s="163"/>
      <c r="B16" s="99"/>
      <c r="C16" s="99"/>
      <c r="D16" s="99"/>
      <c r="E16" s="23" t="str">
        <f t="shared" si="8"/>
        <v>February 2010</v>
      </c>
      <c r="F16" s="99">
        <v>2010</v>
      </c>
      <c r="G16" s="99" t="s">
        <v>60</v>
      </c>
      <c r="H16" s="99" t="s">
        <v>59</v>
      </c>
      <c r="I16" s="99">
        <v>21442</v>
      </c>
      <c r="K16" s="23" t="str">
        <f t="shared" si="1"/>
        <v>February 2010</v>
      </c>
      <c r="L16" s="99">
        <v>2010</v>
      </c>
      <c r="M16" s="99" t="s">
        <v>60</v>
      </c>
      <c r="N16" s="99" t="s">
        <v>71</v>
      </c>
      <c r="O16" s="99">
        <v>11401</v>
      </c>
      <c r="R16" s="99">
        <v>2010</v>
      </c>
      <c r="S16" s="99" t="s">
        <v>60</v>
      </c>
      <c r="T16" s="99">
        <v>24451</v>
      </c>
      <c r="W16" s="99">
        <v>2010</v>
      </c>
      <c r="X16" s="99" t="s">
        <v>60</v>
      </c>
      <c r="Y16" s="99">
        <v>32843</v>
      </c>
      <c r="AA16" s="114">
        <f t="shared" si="2"/>
        <v>1.343217046337573</v>
      </c>
      <c r="AD16" s="99">
        <v>2010</v>
      </c>
      <c r="AE16" s="99" t="s">
        <v>60</v>
      </c>
      <c r="AF16" s="99">
        <v>24.8</v>
      </c>
      <c r="AI16" s="99">
        <v>2010</v>
      </c>
      <c r="AJ16" s="99" t="s">
        <v>60</v>
      </c>
      <c r="AK16" s="99">
        <v>174296</v>
      </c>
      <c r="AM16" s="114">
        <f t="shared" si="3"/>
        <v>5.3069451633529212</v>
      </c>
      <c r="AP16" s="99">
        <v>2010</v>
      </c>
      <c r="AQ16" s="99" t="s">
        <v>60</v>
      </c>
      <c r="AR16" s="99">
        <v>21415</v>
      </c>
      <c r="AS16" s="99">
        <v>97143.24</v>
      </c>
      <c r="AU16" s="23">
        <f t="shared" si="4"/>
        <v>21415</v>
      </c>
      <c r="AV16" s="23"/>
      <c r="AY16" s="99">
        <v>2010</v>
      </c>
      <c r="AZ16" s="99" t="s">
        <v>60</v>
      </c>
      <c r="BA16" s="99">
        <v>657</v>
      </c>
      <c r="BE16" s="99">
        <v>2010</v>
      </c>
      <c r="BF16" s="99" t="s">
        <v>60</v>
      </c>
      <c r="BG16" s="99">
        <v>1288</v>
      </c>
      <c r="BJ16" s="114">
        <f t="shared" si="5"/>
        <v>1.9604261796042617</v>
      </c>
      <c r="BM16" s="99">
        <v>2010</v>
      </c>
      <c r="BN16" s="99" t="s">
        <v>60</v>
      </c>
      <c r="BO16" s="99">
        <v>97143.24</v>
      </c>
      <c r="BR16" s="114">
        <f t="shared" si="6"/>
        <v>147.85881278538812</v>
      </c>
      <c r="BT16" s="115">
        <f t="shared" si="7"/>
        <v>2.0004262704381451E-2</v>
      </c>
      <c r="BW16" s="99">
        <v>2010</v>
      </c>
      <c r="BX16" s="99" t="s">
        <v>60</v>
      </c>
      <c r="BY16" s="99">
        <v>0</v>
      </c>
      <c r="CB16" s="99">
        <v>2010</v>
      </c>
      <c r="CC16" s="99" t="s">
        <v>60</v>
      </c>
      <c r="CD16" s="99">
        <v>0</v>
      </c>
      <c r="CG16" s="99">
        <v>2010</v>
      </c>
      <c r="CH16" s="99" t="s">
        <v>60</v>
      </c>
      <c r="CI16" s="99">
        <v>0</v>
      </c>
      <c r="CL16" s="99">
        <v>2010</v>
      </c>
      <c r="CM16" s="99" t="s">
        <v>60</v>
      </c>
      <c r="CN16" s="99">
        <v>0</v>
      </c>
      <c r="CR16" s="99">
        <v>2010</v>
      </c>
      <c r="CS16" s="99" t="s">
        <v>60</v>
      </c>
      <c r="CT16" s="99">
        <v>0</v>
      </c>
      <c r="CZ16" s="99"/>
      <c r="DA16" s="99"/>
      <c r="DB16" s="99"/>
      <c r="DC16" s="99"/>
    </row>
    <row r="17" spans="1:107">
      <c r="A17" s="99"/>
      <c r="B17" s="99"/>
      <c r="C17" s="99"/>
      <c r="D17" s="99"/>
      <c r="E17" s="23" t="str">
        <f t="shared" si="8"/>
        <v>March 2010</v>
      </c>
      <c r="F17" s="99">
        <v>2010</v>
      </c>
      <c r="G17" s="99" t="s">
        <v>61</v>
      </c>
      <c r="H17" s="99" t="s">
        <v>59</v>
      </c>
      <c r="I17" s="99">
        <v>23546</v>
      </c>
      <c r="K17" s="23" t="str">
        <f t="shared" si="1"/>
        <v>March 2010</v>
      </c>
      <c r="L17" s="99">
        <v>2010</v>
      </c>
      <c r="M17" s="99" t="s">
        <v>61</v>
      </c>
      <c r="N17" s="99" t="s">
        <v>71</v>
      </c>
      <c r="O17" s="99">
        <v>11800</v>
      </c>
      <c r="R17" s="99">
        <v>2010</v>
      </c>
      <c r="S17" s="99" t="s">
        <v>61</v>
      </c>
      <c r="T17" s="99">
        <v>26763</v>
      </c>
      <c r="W17" s="99">
        <v>2010</v>
      </c>
      <c r="X17" s="99" t="s">
        <v>61</v>
      </c>
      <c r="Y17" s="99">
        <v>35346</v>
      </c>
      <c r="AA17" s="114">
        <f t="shared" si="2"/>
        <v>1.3207039569554984</v>
      </c>
      <c r="AD17" s="99">
        <v>2010</v>
      </c>
      <c r="AE17" s="99" t="s">
        <v>61</v>
      </c>
      <c r="AF17" s="99">
        <v>23.84</v>
      </c>
      <c r="AI17" s="99">
        <v>2010</v>
      </c>
      <c r="AJ17" s="99" t="s">
        <v>61</v>
      </c>
      <c r="AK17" s="99">
        <v>180732</v>
      </c>
      <c r="AM17" s="114">
        <f t="shared" si="3"/>
        <v>5.1132235613647934</v>
      </c>
      <c r="AP17" s="99">
        <v>2010</v>
      </c>
      <c r="AQ17" s="99" t="s">
        <v>61</v>
      </c>
      <c r="AR17" s="99">
        <v>23514</v>
      </c>
      <c r="AS17" s="99">
        <v>102551.69</v>
      </c>
      <c r="AU17" s="23">
        <f t="shared" si="4"/>
        <v>23514</v>
      </c>
      <c r="AV17" s="23"/>
      <c r="AY17" s="99">
        <v>2010</v>
      </c>
      <c r="AZ17" s="99" t="s">
        <v>61</v>
      </c>
      <c r="BA17" s="99">
        <v>593</v>
      </c>
      <c r="BE17" s="99">
        <v>2010</v>
      </c>
      <c r="BF17" s="99" t="s">
        <v>61</v>
      </c>
      <c r="BG17" s="99">
        <v>1267</v>
      </c>
      <c r="BJ17" s="114">
        <f t="shared" si="5"/>
        <v>2.136593591905565</v>
      </c>
      <c r="BM17" s="99">
        <v>2010</v>
      </c>
      <c r="BN17" s="99" t="s">
        <v>61</v>
      </c>
      <c r="BO17" s="99">
        <v>102551.69</v>
      </c>
      <c r="BR17" s="114">
        <f t="shared" si="6"/>
        <v>172.93708263069141</v>
      </c>
      <c r="BT17" s="115">
        <f t="shared" si="7"/>
        <v>1.6777004470095627E-2</v>
      </c>
      <c r="BW17" s="99">
        <v>2010</v>
      </c>
      <c r="BX17" s="99" t="s">
        <v>61</v>
      </c>
      <c r="BY17" s="99">
        <v>0</v>
      </c>
      <c r="CB17" s="99">
        <v>2010</v>
      </c>
      <c r="CC17" s="99" t="s">
        <v>61</v>
      </c>
      <c r="CD17" s="99">
        <v>0</v>
      </c>
      <c r="CG17" s="99">
        <v>2010</v>
      </c>
      <c r="CH17" s="99" t="s">
        <v>61</v>
      </c>
      <c r="CI17" s="99">
        <v>0</v>
      </c>
      <c r="CL17" s="99">
        <v>2010</v>
      </c>
      <c r="CM17" s="99" t="s">
        <v>61</v>
      </c>
      <c r="CN17" s="99">
        <v>0</v>
      </c>
      <c r="CR17" s="99">
        <v>2010</v>
      </c>
      <c r="CS17" s="99" t="s">
        <v>61</v>
      </c>
      <c r="CT17" s="99">
        <v>0</v>
      </c>
      <c r="CZ17" s="99"/>
      <c r="DA17" s="99"/>
      <c r="DB17" s="99"/>
      <c r="DC17" s="99"/>
    </row>
    <row r="18" spans="1:107">
      <c r="A18" s="99"/>
      <c r="B18" s="99"/>
      <c r="C18" s="99"/>
      <c r="D18" s="99"/>
      <c r="E18" s="23" t="str">
        <f t="shared" si="8"/>
        <v>April 2010</v>
      </c>
      <c r="F18" s="99">
        <v>2010</v>
      </c>
      <c r="G18" s="99" t="s">
        <v>62</v>
      </c>
      <c r="H18" s="99" t="s">
        <v>59</v>
      </c>
      <c r="I18" s="99">
        <v>18142</v>
      </c>
      <c r="K18" s="23" t="str">
        <f t="shared" si="1"/>
        <v>April 2010</v>
      </c>
      <c r="L18" s="99">
        <v>2010</v>
      </c>
      <c r="M18" s="99" t="s">
        <v>62</v>
      </c>
      <c r="N18" s="99" t="s">
        <v>71</v>
      </c>
      <c r="O18" s="99">
        <v>9502</v>
      </c>
      <c r="R18" s="99">
        <v>2010</v>
      </c>
      <c r="S18" s="99" t="s">
        <v>62</v>
      </c>
      <c r="T18" s="99">
        <v>20910</v>
      </c>
      <c r="W18" s="99">
        <v>2010</v>
      </c>
      <c r="X18" s="99" t="s">
        <v>62</v>
      </c>
      <c r="Y18" s="99">
        <v>27644</v>
      </c>
      <c r="AA18" s="114">
        <f>Y18/T18</f>
        <v>1.3220468675274988</v>
      </c>
      <c r="AD18" s="99">
        <v>2010</v>
      </c>
      <c r="AE18" s="99" t="s">
        <v>62</v>
      </c>
      <c r="AF18" s="99">
        <v>20.61</v>
      </c>
      <c r="AI18" s="99">
        <v>2010</v>
      </c>
      <c r="AJ18" s="99" t="s">
        <v>62</v>
      </c>
      <c r="AK18" s="99">
        <v>156811</v>
      </c>
      <c r="AM18" s="114">
        <f>AK18/Y18</f>
        <v>5.6725148314281579</v>
      </c>
      <c r="AP18" s="99">
        <v>2010</v>
      </c>
      <c r="AQ18" s="99" t="s">
        <v>62</v>
      </c>
      <c r="AR18" s="99">
        <v>18114</v>
      </c>
      <c r="AS18" s="99">
        <v>79734.64</v>
      </c>
      <c r="AU18" s="23">
        <f t="shared" si="4"/>
        <v>18114</v>
      </c>
      <c r="AY18" s="99">
        <v>2010</v>
      </c>
      <c r="AZ18" s="99" t="s">
        <v>62</v>
      </c>
      <c r="BA18" s="99">
        <v>550</v>
      </c>
      <c r="BE18" s="99">
        <v>2010</v>
      </c>
      <c r="BF18" s="99" t="s">
        <v>62</v>
      </c>
      <c r="BG18" s="99">
        <v>1055</v>
      </c>
      <c r="BJ18" s="114">
        <f t="shared" si="5"/>
        <v>1.9181818181818182</v>
      </c>
      <c r="BM18" s="99">
        <v>2010</v>
      </c>
      <c r="BN18" s="99" t="s">
        <v>62</v>
      </c>
      <c r="BO18" s="99">
        <v>79734.64</v>
      </c>
      <c r="BR18" s="114">
        <f t="shared" si="6"/>
        <v>144.97207272727272</v>
      </c>
      <c r="BT18" s="115">
        <f t="shared" si="7"/>
        <v>1.9895818260743742E-2</v>
      </c>
      <c r="BW18" s="99">
        <v>2010</v>
      </c>
      <c r="BX18" s="99" t="s">
        <v>62</v>
      </c>
      <c r="BY18" s="99">
        <v>0</v>
      </c>
      <c r="CB18" s="99">
        <v>2010</v>
      </c>
      <c r="CC18" s="99" t="s">
        <v>62</v>
      </c>
      <c r="CD18" s="99">
        <v>0</v>
      </c>
      <c r="CG18" s="99">
        <v>2010</v>
      </c>
      <c r="CH18" s="99" t="s">
        <v>62</v>
      </c>
      <c r="CI18" s="99">
        <v>0</v>
      </c>
      <c r="CL18" s="99">
        <v>2010</v>
      </c>
      <c r="CM18" s="99" t="s">
        <v>62</v>
      </c>
      <c r="CN18" s="99">
        <v>0</v>
      </c>
      <c r="CR18" s="99">
        <v>2010</v>
      </c>
      <c r="CS18" s="99" t="s">
        <v>62</v>
      </c>
      <c r="CT18" s="99">
        <v>0</v>
      </c>
      <c r="CZ18" s="99"/>
      <c r="DA18" s="99"/>
      <c r="DB18" s="99"/>
      <c r="DC18" s="99"/>
    </row>
    <row r="19" spans="1:107">
      <c r="A19" s="99"/>
      <c r="B19" s="99"/>
      <c r="C19" s="99"/>
      <c r="D19" s="99"/>
      <c r="E19" s="23" t="str">
        <f t="shared" si="8"/>
        <v>May 2010</v>
      </c>
      <c r="F19" s="99">
        <v>2010</v>
      </c>
      <c r="G19" s="99" t="s">
        <v>63</v>
      </c>
      <c r="H19" s="99" t="s">
        <v>59</v>
      </c>
      <c r="I19" s="99">
        <v>2279</v>
      </c>
      <c r="K19" s="23" t="str">
        <f t="shared" si="1"/>
        <v>May 2010</v>
      </c>
      <c r="L19" s="99">
        <v>2010</v>
      </c>
      <c r="M19" s="99" t="s">
        <v>63</v>
      </c>
      <c r="N19" s="99" t="s">
        <v>71</v>
      </c>
      <c r="O19" s="99">
        <v>1238</v>
      </c>
      <c r="R19" s="99">
        <v>2010</v>
      </c>
      <c r="S19" s="99" t="s">
        <v>63</v>
      </c>
      <c r="T19" s="99">
        <v>3080</v>
      </c>
      <c r="W19" s="99">
        <v>2010</v>
      </c>
      <c r="X19" s="99" t="s">
        <v>63</v>
      </c>
      <c r="Y19" s="99">
        <v>3517</v>
      </c>
      <c r="AA19" s="114">
        <f t="shared" ref="AA19:AA20" si="9">Y19/T19</f>
        <v>1.1418831168831169</v>
      </c>
      <c r="AD19" s="99">
        <v>2010</v>
      </c>
      <c r="AE19" s="99" t="s">
        <v>63</v>
      </c>
      <c r="AF19" s="99">
        <v>22.71</v>
      </c>
      <c r="AI19" s="99">
        <v>2010</v>
      </c>
      <c r="AJ19" s="99" t="s">
        <v>63</v>
      </c>
      <c r="AK19" s="99">
        <v>19445</v>
      </c>
      <c r="AM19" s="114">
        <f t="shared" ref="AM19:AM20" si="10">AK19/Y19</f>
        <v>5.5288598237133924</v>
      </c>
      <c r="AP19" s="99">
        <v>2010</v>
      </c>
      <c r="AQ19" s="99" t="s">
        <v>63</v>
      </c>
      <c r="AR19" s="99">
        <v>2274</v>
      </c>
      <c r="AS19" s="99">
        <v>8916.14</v>
      </c>
      <c r="AU19" s="23">
        <f t="shared" si="4"/>
        <v>2274</v>
      </c>
      <c r="AY19" s="99">
        <v>2010</v>
      </c>
      <c r="AZ19" s="99" t="s">
        <v>63</v>
      </c>
      <c r="BA19" s="99">
        <v>51</v>
      </c>
      <c r="BE19" s="99">
        <v>2010</v>
      </c>
      <c r="BF19" s="99" t="s">
        <v>63</v>
      </c>
      <c r="BG19" s="99">
        <v>85</v>
      </c>
      <c r="BJ19" s="114">
        <f t="shared" si="5"/>
        <v>1.6666666666666667</v>
      </c>
      <c r="BM19" s="99">
        <v>2010</v>
      </c>
      <c r="BN19" s="99" t="s">
        <v>63</v>
      </c>
      <c r="BO19" s="99">
        <v>6325.2</v>
      </c>
      <c r="BR19" s="114">
        <f t="shared" si="6"/>
        <v>124.0235294117647</v>
      </c>
      <c r="BT19" s="115">
        <f t="shared" si="7"/>
        <v>1.4500995166334945E-2</v>
      </c>
      <c r="BW19" s="99">
        <v>2010</v>
      </c>
      <c r="BX19" s="99" t="s">
        <v>63</v>
      </c>
      <c r="BY19" s="99">
        <v>0</v>
      </c>
      <c r="CB19" s="99">
        <v>2010</v>
      </c>
      <c r="CC19" s="99" t="s">
        <v>63</v>
      </c>
      <c r="CD19" s="99">
        <v>0</v>
      </c>
      <c r="CG19" s="99">
        <v>2010</v>
      </c>
      <c r="CH19" s="99" t="s">
        <v>63</v>
      </c>
      <c r="CI19" s="99">
        <v>0</v>
      </c>
      <c r="CL19" s="99">
        <v>2010</v>
      </c>
      <c r="CM19" s="99" t="s">
        <v>63</v>
      </c>
      <c r="CN19" s="99">
        <v>0</v>
      </c>
      <c r="CR19" s="99">
        <v>2010</v>
      </c>
      <c r="CS19" s="99" t="s">
        <v>63</v>
      </c>
      <c r="CT19" s="99">
        <v>0</v>
      </c>
      <c r="CZ19" s="99"/>
      <c r="DA19" s="99"/>
      <c r="DB19" s="99"/>
      <c r="DC19" s="99"/>
    </row>
    <row r="20" spans="1:107">
      <c r="A20" s="99"/>
      <c r="B20" s="99"/>
      <c r="C20" s="99"/>
      <c r="D20" s="99"/>
      <c r="E20" s="23" t="str">
        <f t="shared" si="8"/>
        <v xml:space="preserve"> </v>
      </c>
      <c r="F20" s="99"/>
      <c r="K20" s="23" t="str">
        <f t="shared" si="1"/>
        <v xml:space="preserve"> </v>
      </c>
      <c r="R20" s="99">
        <v>2010</v>
      </c>
      <c r="S20" s="99" t="s">
        <v>64</v>
      </c>
      <c r="T20" s="99">
        <v>0</v>
      </c>
      <c r="W20" s="99">
        <v>2010</v>
      </c>
      <c r="X20" s="99" t="s">
        <v>64</v>
      </c>
      <c r="Y20" s="99">
        <v>0</v>
      </c>
      <c r="AA20" s="114" t="e">
        <f t="shared" si="9"/>
        <v>#DIV/0!</v>
      </c>
      <c r="AD20" s="99">
        <v>2010</v>
      </c>
      <c r="AE20" s="99" t="s">
        <v>64</v>
      </c>
      <c r="AF20" s="99">
        <v>0</v>
      </c>
      <c r="AI20" s="99">
        <v>2010</v>
      </c>
      <c r="AJ20" s="99" t="s">
        <v>64</v>
      </c>
      <c r="AK20" s="99">
        <v>0</v>
      </c>
      <c r="AM20" s="114" t="e">
        <f t="shared" si="10"/>
        <v>#DIV/0!</v>
      </c>
      <c r="AP20" s="99">
        <v>2010</v>
      </c>
      <c r="AQ20" s="99" t="s">
        <v>64</v>
      </c>
      <c r="AR20" s="99">
        <v>0</v>
      </c>
      <c r="AS20" s="99">
        <v>0</v>
      </c>
      <c r="AU20" s="23">
        <f t="shared" si="4"/>
        <v>0</v>
      </c>
      <c r="AY20" s="99">
        <v>2010</v>
      </c>
      <c r="AZ20" s="99" t="s">
        <v>64</v>
      </c>
      <c r="BA20" s="99">
        <v>0</v>
      </c>
      <c r="BE20" s="99">
        <v>2010</v>
      </c>
      <c r="BF20" s="99" t="s">
        <v>64</v>
      </c>
      <c r="BG20" s="99">
        <v>0</v>
      </c>
      <c r="BJ20" s="114" t="e">
        <f t="shared" si="5"/>
        <v>#DIV/0!</v>
      </c>
      <c r="BM20" s="99">
        <v>2010</v>
      </c>
      <c r="BN20" s="99" t="s">
        <v>64</v>
      </c>
      <c r="BO20" s="99">
        <v>0</v>
      </c>
      <c r="BR20" s="114" t="e">
        <f t="shared" si="6"/>
        <v>#DIV/0!</v>
      </c>
      <c r="BT20" s="115" t="e">
        <f t="shared" si="7"/>
        <v>#DIV/0!</v>
      </c>
      <c r="BW20" s="99">
        <v>2010</v>
      </c>
      <c r="BX20" s="99" t="s">
        <v>64</v>
      </c>
      <c r="BY20" s="99">
        <v>0</v>
      </c>
      <c r="CB20" s="99">
        <v>2010</v>
      </c>
      <c r="CC20" s="99" t="s">
        <v>64</v>
      </c>
      <c r="CD20" s="99">
        <v>0</v>
      </c>
      <c r="CG20" s="99">
        <v>2010</v>
      </c>
      <c r="CH20" s="99" t="s">
        <v>64</v>
      </c>
      <c r="CI20" s="99">
        <v>0</v>
      </c>
      <c r="CL20" s="99">
        <v>2010</v>
      </c>
      <c r="CM20" s="99" t="s">
        <v>64</v>
      </c>
      <c r="CN20" s="99">
        <v>0</v>
      </c>
      <c r="CR20" s="99">
        <v>2010</v>
      </c>
      <c r="CS20" s="99" t="s">
        <v>64</v>
      </c>
      <c r="CT20" s="99">
        <v>0</v>
      </c>
      <c r="CZ20" s="99"/>
      <c r="DA20" s="99"/>
      <c r="DB20" s="99"/>
      <c r="DC20" s="99"/>
    </row>
    <row r="21" spans="1:107">
      <c r="CZ21" s="99"/>
      <c r="DA21" s="99"/>
      <c r="DB21" s="99"/>
      <c r="DC21" s="99"/>
    </row>
    <row r="22" spans="1:107">
      <c r="CZ22" s="99"/>
      <c r="DA22" s="99"/>
      <c r="DB22" s="99"/>
      <c r="DC22" s="99"/>
    </row>
    <row r="23" spans="1:107">
      <c r="CZ23" s="99"/>
      <c r="DA23" s="99"/>
      <c r="DB23" s="99"/>
      <c r="DC23" s="99"/>
    </row>
    <row r="24" spans="1:107">
      <c r="CZ24" s="99"/>
      <c r="DA24" s="99"/>
      <c r="DB24" s="99"/>
      <c r="DC24" s="99"/>
    </row>
    <row r="25" spans="1:107">
      <c r="CZ25" s="99"/>
      <c r="DA25" s="99"/>
      <c r="DB25" s="99"/>
      <c r="DC25" s="99"/>
    </row>
    <row r="26" spans="1:107">
      <c r="CZ26" s="99"/>
      <c r="DA26" s="99"/>
      <c r="DB26" s="99"/>
      <c r="DC26" s="99"/>
    </row>
    <row r="27" spans="1:107">
      <c r="CZ27" s="99"/>
      <c r="DA27" s="99"/>
      <c r="DB27" s="99"/>
      <c r="DC27" s="99"/>
    </row>
    <row r="28" spans="1:107">
      <c r="CZ28" s="99"/>
      <c r="DA28" s="99"/>
      <c r="DB28" s="99"/>
      <c r="DC28" s="99"/>
    </row>
    <row r="29" spans="1:107">
      <c r="CZ29" s="99"/>
      <c r="DA29" s="99"/>
      <c r="DB29" s="99"/>
      <c r="DC29" s="99"/>
    </row>
    <row r="30" spans="1:107">
      <c r="CZ30" s="99"/>
      <c r="DA30" s="99"/>
      <c r="DB30" s="99"/>
      <c r="DC30" s="99"/>
    </row>
    <row r="31" spans="1:107">
      <c r="CZ31" s="99"/>
      <c r="DA31" s="99"/>
      <c r="DB31" s="99"/>
      <c r="DC31" s="99"/>
    </row>
    <row r="32" spans="1:107">
      <c r="CZ32" s="99"/>
      <c r="DA32" s="99"/>
      <c r="DB32" s="99"/>
      <c r="DC32" s="99"/>
    </row>
    <row r="33" spans="104:107">
      <c r="CZ33" s="99"/>
      <c r="DA33" s="99"/>
      <c r="DB33" s="99"/>
      <c r="DC33" s="99"/>
    </row>
    <row r="34" spans="104:107">
      <c r="CZ34" s="99"/>
      <c r="DA34" s="99"/>
      <c r="DB34" s="99"/>
      <c r="DC34" s="99"/>
    </row>
    <row r="35" spans="104:107">
      <c r="CZ35" s="99"/>
      <c r="DA35" s="99"/>
      <c r="DB35" s="99"/>
      <c r="DC35" s="99"/>
    </row>
    <row r="36" spans="104:107">
      <c r="CZ36" s="99"/>
      <c r="DA36" s="99"/>
      <c r="DB36" s="99"/>
      <c r="DC36" s="99"/>
    </row>
    <row r="37" spans="104:107">
      <c r="CZ37" s="99"/>
      <c r="DA37" s="99"/>
      <c r="DB37" s="99"/>
      <c r="DC37" s="99"/>
    </row>
    <row r="38" spans="104:107">
      <c r="CZ38" s="99"/>
      <c r="DA38" s="99"/>
      <c r="DB38" s="99"/>
      <c r="DC38" s="99"/>
    </row>
    <row r="39" spans="104:107">
      <c r="CZ39" s="99"/>
      <c r="DA39" s="99"/>
      <c r="DB39" s="99"/>
      <c r="DC39" s="99"/>
    </row>
    <row r="40" spans="104:107">
      <c r="CZ40" s="99"/>
      <c r="DA40" s="99"/>
      <c r="DB40" s="99"/>
      <c r="DC40" s="99"/>
    </row>
    <row r="41" spans="104:107">
      <c r="CZ41" s="99"/>
      <c r="DA41" s="99"/>
      <c r="DB41" s="99"/>
      <c r="DC41" s="99"/>
    </row>
    <row r="42" spans="104:107">
      <c r="CZ42" s="99"/>
      <c r="DA42" s="99"/>
      <c r="DB42" s="99"/>
      <c r="DC42" s="99"/>
    </row>
    <row r="43" spans="104:107">
      <c r="CZ43" s="99"/>
      <c r="DA43" s="99"/>
      <c r="DB43" s="99"/>
      <c r="DC43" s="99"/>
    </row>
    <row r="44" spans="104:107">
      <c r="CZ44" s="99"/>
      <c r="DA44" s="99"/>
      <c r="DB44" s="99"/>
      <c r="DC44" s="99"/>
    </row>
    <row r="45" spans="104:107">
      <c r="CZ45" s="99"/>
      <c r="DA45" s="99"/>
      <c r="DB45" s="99"/>
      <c r="DC45" s="99"/>
    </row>
    <row r="46" spans="104:107">
      <c r="CZ46" s="99"/>
      <c r="DA46" s="99"/>
      <c r="DB46" s="99"/>
      <c r="DC46" s="99"/>
    </row>
    <row r="47" spans="104:107">
      <c r="CZ47" s="99"/>
      <c r="DA47" s="99"/>
      <c r="DB47" s="99"/>
      <c r="DC47" s="99"/>
    </row>
    <row r="48" spans="104:107">
      <c r="CZ48" s="99"/>
      <c r="DA48" s="99"/>
      <c r="DB48" s="99"/>
      <c r="DC48" s="99"/>
    </row>
    <row r="49" spans="104:107">
      <c r="CZ49" s="99"/>
      <c r="DA49" s="99"/>
      <c r="DB49" s="99"/>
      <c r="DC49" s="99"/>
    </row>
    <row r="50" spans="104:107">
      <c r="CZ50" s="99"/>
      <c r="DA50" s="99"/>
      <c r="DB50" s="99"/>
      <c r="DC50" s="99"/>
    </row>
    <row r="51" spans="104:107">
      <c r="CZ51" s="99"/>
      <c r="DA51" s="99"/>
      <c r="DB51" s="99"/>
      <c r="DC51" s="99"/>
    </row>
    <row r="52" spans="104:107">
      <c r="CZ52" s="99"/>
      <c r="DA52" s="99"/>
      <c r="DB52" s="99"/>
      <c r="DC52" s="99"/>
    </row>
    <row r="53" spans="104:107">
      <c r="CZ53" s="99"/>
      <c r="DA53" s="99"/>
      <c r="DB53" s="99"/>
      <c r="DC53" s="99"/>
    </row>
    <row r="54" spans="104:107">
      <c r="CZ54" s="99"/>
      <c r="DA54" s="99"/>
      <c r="DB54" s="99"/>
      <c r="DC54" s="99"/>
    </row>
    <row r="55" spans="104:107">
      <c r="CZ55" s="99"/>
      <c r="DA55" s="99"/>
      <c r="DB55" s="99"/>
      <c r="DC55" s="99"/>
    </row>
    <row r="56" spans="104:107">
      <c r="CZ56" s="99"/>
      <c r="DA56" s="99"/>
      <c r="DB56" s="99"/>
      <c r="DC56" s="99"/>
    </row>
    <row r="57" spans="104:107">
      <c r="CZ57" s="99"/>
      <c r="DA57" s="99"/>
      <c r="DB57" s="99"/>
      <c r="DC57" s="99"/>
    </row>
    <row r="58" spans="104:107">
      <c r="CZ58" s="99"/>
      <c r="DA58" s="99"/>
      <c r="DB58" s="99"/>
      <c r="DC58" s="99"/>
    </row>
    <row r="59" spans="104:107">
      <c r="CZ59" s="99"/>
      <c r="DA59" s="99"/>
      <c r="DB59" s="99"/>
      <c r="DC59" s="99"/>
    </row>
    <row r="60" spans="104:107">
      <c r="CZ60" s="99"/>
      <c r="DA60" s="99"/>
      <c r="DB60" s="99"/>
      <c r="DC60" s="99"/>
    </row>
    <row r="61" spans="104:107">
      <c r="CZ61" s="99"/>
      <c r="DA61" s="99"/>
      <c r="DB61" s="99"/>
      <c r="DC61" s="99"/>
    </row>
    <row r="62" spans="104:107">
      <c r="CZ62" s="99"/>
      <c r="DA62" s="99"/>
      <c r="DB62" s="99"/>
      <c r="DC62" s="99"/>
    </row>
    <row r="63" spans="104:107">
      <c r="CZ63" s="99"/>
      <c r="DA63" s="99"/>
      <c r="DB63" s="99"/>
      <c r="DC63" s="99"/>
    </row>
    <row r="64" spans="104:107">
      <c r="CZ64" s="99"/>
      <c r="DA64" s="99"/>
      <c r="DB64" s="99"/>
      <c r="DC64" s="99"/>
    </row>
    <row r="65" spans="104:107">
      <c r="CZ65" s="99"/>
      <c r="DA65" s="99"/>
      <c r="DB65" s="99"/>
      <c r="DC65" s="99"/>
    </row>
    <row r="66" spans="104:107">
      <c r="CZ66" s="99"/>
      <c r="DA66" s="99"/>
      <c r="DB66" s="99"/>
      <c r="DC66" s="99"/>
    </row>
    <row r="67" spans="104:107">
      <c r="CZ67" s="99"/>
      <c r="DA67" s="99"/>
      <c r="DB67" s="99"/>
      <c r="DC67" s="99"/>
    </row>
    <row r="68" spans="104:107">
      <c r="CZ68" s="99"/>
      <c r="DA68" s="99"/>
      <c r="DB68" s="99"/>
      <c r="DC68" s="99"/>
    </row>
    <row r="69" spans="104:107">
      <c r="CZ69" s="99"/>
      <c r="DA69" s="99"/>
      <c r="DB69" s="99"/>
      <c r="DC69" s="99"/>
    </row>
    <row r="70" spans="104:107">
      <c r="CZ70" s="99"/>
      <c r="DA70" s="99"/>
      <c r="DB70" s="99"/>
      <c r="DC70" s="99"/>
    </row>
    <row r="71" spans="104:107">
      <c r="CZ71" s="99"/>
      <c r="DA71" s="99"/>
      <c r="DB71" s="99"/>
      <c r="DC71" s="99"/>
    </row>
    <row r="72" spans="104:107">
      <c r="CZ72" s="99"/>
      <c r="DA72" s="99"/>
      <c r="DB72" s="99"/>
      <c r="DC72" s="99"/>
    </row>
  </sheetData>
  <hyperlinks>
    <hyperlink ref="B3" r:id="rId1" display="www.bingomania.com"/>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Dashboard</vt:lpstr>
      <vt:lpstr>Shee1</vt:lpstr>
      <vt:lpstr>Lookup</vt:lpstr>
      <vt:lpstr>Background Sheet</vt:lpstr>
      <vt:lpstr>'Background Sheet'!ExternalData_57</vt:lpstr>
      <vt:lpstr>'Background Sheet'!ExternalData_58</vt:lpstr>
      <vt:lpstr>'Background Sheet'!ExternalData_59</vt:lpstr>
      <vt:lpstr>'Background Sheet'!ExternalData_60</vt:lpstr>
      <vt:lpstr>'Background Sheet'!ExternalData_61</vt:lpstr>
      <vt:lpstr>'Background Sheet'!ExternalData_62</vt:lpstr>
      <vt:lpstr>'Background Sheet'!ExternalData_63</vt:lpstr>
      <vt:lpstr>'Background Sheet'!ExternalData_64</vt:lpstr>
      <vt:lpstr>'Background Sheet'!ExternalData_65</vt:lpstr>
      <vt:lpstr>'Background Sheet'!ExternalData_66</vt:lpstr>
      <vt:lpstr>'Background Sheet'!ExternalData_67</vt:lpstr>
      <vt:lpstr>'Background Sheet'!ExternalData_68</vt:lpstr>
      <vt:lpstr>'Background Sheet'!ExternalData_69</vt:lpstr>
      <vt:lpstr>'Background Sheet'!ExternalData_70</vt:lpstr>
      <vt:lpstr>'Background Sheet'!ExternalData_71</vt:lpstr>
      <vt:lpstr>Dashboard!Print_Area</vt:lpstr>
      <vt:lpstr>RefData</vt:lpstr>
      <vt:lpstr>RefDate</vt:lpstr>
      <vt:lpstr>RefSite</vt:lpstr>
    </vt:vector>
  </TitlesOfParts>
  <Company>immeria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Dashboard template</dc:title>
  <dc:creator>shamel@immeria.net;ravipathak1@gmail.com</dc:creator>
  <cp:keywords>web analytics, google analytics, dashbaord, KPI, example</cp:keywords>
  <dc:description>Spreadsheet designed by Stéphane Hamel as part of the Online Analytics Maturity Model_x000d_
For additional information, please visit http://immeria.net/wamm_x000d_
Copyright © 2010 Stéphane Hamel_x000d_
DO NOT PUBLISH WITHOUT PERMISSION _x000d_
mailto://shamel@immeria.net_x000d_
_x000d_
This work is licensed under the Creative Commons Attribution-Noncommercial-Share Alike 2.5 Canada License. To view a copy of this license, visit http://creativecommons.org/licenses/by-nc-sa/2.5/ca/ or send a letter to Creative Commons, 171 Second Street, Suite 300, San Francisco, California, 94105, USA.</dc:description>
  <cp:lastModifiedBy>turing</cp:lastModifiedBy>
  <cp:lastPrinted>2008-08-11T14:30:29Z</cp:lastPrinted>
  <dcterms:created xsi:type="dcterms:W3CDTF">2008-05-12T17:54:36Z</dcterms:created>
  <dcterms:modified xsi:type="dcterms:W3CDTF">2011-10-26T02:46:23Z</dcterms:modified>
  <cp:contentStatus>v2.1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erence">
    <vt:lpwstr>http://immeria.net</vt:lpwstr>
  </property>
</Properties>
</file>