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9550" windowHeight="3110" tabRatio="686" activeTab="1"/>
  </bookViews>
  <sheets>
    <sheet name="Yanvar" sheetId="4" r:id="rId1"/>
    <sheet name="Fevral" sheetId="5" r:id="rId2"/>
    <sheet name="Mart" sheetId="17" r:id="rId3"/>
    <sheet name="Aprel" sheetId="18" r:id="rId4"/>
    <sheet name="May" sheetId="19" r:id="rId5"/>
    <sheet name="İyun" sheetId="20" r:id="rId6"/>
    <sheet name="İyul" sheetId="21" r:id="rId7"/>
    <sheet name="Avqust" sheetId="22" r:id="rId8"/>
    <sheet name="Sentyabr" sheetId="23" r:id="rId9"/>
    <sheet name="Oktyabr" sheetId="24" r:id="rId10"/>
    <sheet name="Noyabr" sheetId="25" r:id="rId11"/>
    <sheet name="Dekabr" sheetId="15" r:id="rId12"/>
    <sheet name="Çalışan Adları" sheetId="16" r:id="rId13"/>
    <sheet name="Sheet1" sheetId="26" r:id="rId14"/>
  </sheets>
  <definedNames>
    <definedName name="AnahtarHasta">Yanvar!$L$2</definedName>
    <definedName name="AnahtarHastaEtiketi">Yanvar!$M$2</definedName>
    <definedName name="AnahtarKişisel">Yanvar!$H$2</definedName>
    <definedName name="AnahtarKişiselEtiketi">Yanvar!$I$2</definedName>
    <definedName name="AnahtarÖzel1">Yanvar!$O$2</definedName>
    <definedName name="AnahtarÖzel1Etiketi">Yanvar!$P$2</definedName>
    <definedName name="AnahtarÖzel2">Yanvar!$S$2</definedName>
    <definedName name="AnahtarÖzel2Etiketi">Yanvar!$T$2</definedName>
    <definedName name="AnahtarTatil">Yanvar!$D$2</definedName>
    <definedName name="AnahtarTatilEtiketi">Yanvar!$E$2</definedName>
    <definedName name="AyAdı" localSheetId="3">Aprel!$C$4</definedName>
    <definedName name="AyAdı" localSheetId="7">Avqust!$C$4</definedName>
    <definedName name="AyAdı" localSheetId="11">Dekabr!$C$4</definedName>
    <definedName name="AyAdı" localSheetId="1">Fevral!$C$4</definedName>
    <definedName name="AyAdı" localSheetId="6">İyul!$C$4</definedName>
    <definedName name="AyAdı" localSheetId="5">İyun!$C$4</definedName>
    <definedName name="AyAdı" localSheetId="2">Mart!$C$4</definedName>
    <definedName name="AyAdı" localSheetId="4">May!$C$4</definedName>
    <definedName name="AyAdı" localSheetId="10">Noyabr!$C$4</definedName>
    <definedName name="AyAdı" localSheetId="9">Oktyabr!$C$4</definedName>
    <definedName name="AyAdı" localSheetId="8">Sentyabr!$C$4</definedName>
    <definedName name="AyAdı" localSheetId="0">Yanvar!$C$4</definedName>
    <definedName name="Başlık1">Ocak[[#Headers],[Çalışan Adı]]</definedName>
    <definedName name="Başlık10">Ekim[[#Headers],[Çalışan Adı]]</definedName>
    <definedName name="Başlık11">Kasım[[#Headers],[Çalışan Adı]]</definedName>
    <definedName name="Başlık12">Aralık[[#Headers],[Çalışan Adı]]</definedName>
    <definedName name="Başlık2">Şubat[[#Headers],[Çalışan Adı]]</definedName>
    <definedName name="Başlık3">Mart[[#Headers],[Çalışan Adı]]</definedName>
    <definedName name="Başlık4">Nisan[[#Headers],[Çalışan Adı]]</definedName>
    <definedName name="Başlık5">Mayıs[[#Headers],[Çalışan Adı]]</definedName>
    <definedName name="Başlık6">Haziran[[#Headers],[Çalışan Adı]]</definedName>
    <definedName name="Başlık7">Temmuz[[#Headers],[Çalışan Adı]]</definedName>
    <definedName name="Başlık8">Ağustos[[#Headers],[Çalışan Adı]]</definedName>
    <definedName name="Başlık9">Eylül[[#Headers],[Çalışan Adı]]</definedName>
    <definedName name="Employee_Absence_Title">Yanvar!$C$1</definedName>
    <definedName name="Key_name">Yanvar!$C$2</definedName>
    <definedName name="SütunBaşlığı13">ÇalışanAdı[[#Headers],[Çalışan Adları]]</definedName>
    <definedName name="TakvimYılı">Yanvar!$AI$4</definedName>
    <definedName name="_xlnm.Print_Titles" localSheetId="3">Aprel!$4:$6</definedName>
    <definedName name="_xlnm.Print_Titles" localSheetId="7">Avqust!$4:$6</definedName>
    <definedName name="_xlnm.Print_Titles" localSheetId="11">Dekabr!$4:$6</definedName>
    <definedName name="_xlnm.Print_Titles" localSheetId="1">Fevral!$4:$6</definedName>
    <definedName name="_xlnm.Print_Titles" localSheetId="6">İyul!$4:$6</definedName>
    <definedName name="_xlnm.Print_Titles" localSheetId="5">İyun!$4:$6</definedName>
    <definedName name="_xlnm.Print_Titles" localSheetId="2">Mart!$4:$6</definedName>
    <definedName name="_xlnm.Print_Titles" localSheetId="4">May!$4:$6</definedName>
    <definedName name="_xlnm.Print_Titles" localSheetId="10">Noyabr!$4:$6</definedName>
    <definedName name="_xlnm.Print_Titles" localSheetId="9">Oktyabr!$4:$6</definedName>
    <definedName name="_xlnm.Print_Titles" localSheetId="8">Sentyabr!$4:$6</definedName>
    <definedName name="_xlnm.Print_Titles" localSheetId="0">Yanvar!$4:$6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5" l="1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B7" i="4" l="1"/>
  <c r="B8" i="4"/>
  <c r="B9" i="4"/>
  <c r="B9" i="17" s="1"/>
  <c r="B9" i="18" s="1"/>
  <c r="B9" i="19" s="1"/>
  <c r="B9" i="20" s="1"/>
  <c r="B9" i="21" s="1"/>
  <c r="B9" i="22" s="1"/>
  <c r="B9" i="23" s="1"/>
  <c r="B9" i="24" s="1"/>
  <c r="B9" i="25" s="1"/>
  <c r="B9" i="15" s="1"/>
  <c r="B10" i="4"/>
  <c r="B10" i="17" s="1"/>
  <c r="B10" i="18" s="1"/>
  <c r="B10" i="19" s="1"/>
  <c r="B10" i="20" s="1"/>
  <c r="B10" i="21" s="1"/>
  <c r="B10" i="22" s="1"/>
  <c r="B10" i="23" s="1"/>
  <c r="B10" i="24" s="1"/>
  <c r="B10" i="25" s="1"/>
  <c r="B10" i="15" s="1"/>
  <c r="B11" i="4"/>
  <c r="B12" i="4"/>
  <c r="B12" i="17" s="1"/>
  <c r="B12" i="18" s="1"/>
  <c r="B12" i="19" s="1"/>
  <c r="B12" i="20" s="1"/>
  <c r="B12" i="21" s="1"/>
  <c r="B12" i="22" s="1"/>
  <c r="B12" i="23" s="1"/>
  <c r="B12" i="24" s="1"/>
  <c r="B12" i="25" s="1"/>
  <c r="B12" i="15" s="1"/>
  <c r="B13" i="4"/>
  <c r="B13" i="17" s="1"/>
  <c r="B13" i="18" s="1"/>
  <c r="B13" i="19" s="1"/>
  <c r="B13" i="20" s="1"/>
  <c r="B13" i="21" s="1"/>
  <c r="B13" i="22" s="1"/>
  <c r="B13" i="23" s="1"/>
  <c r="B13" i="24" s="1"/>
  <c r="B13" i="25" s="1"/>
  <c r="B13" i="15" s="1"/>
  <c r="B14" i="4"/>
  <c r="B14" i="5" s="1"/>
  <c r="B15" i="4"/>
  <c r="B15" i="17" s="1"/>
  <c r="B15" i="18" s="1"/>
  <c r="B15" i="19" s="1"/>
  <c r="B15" i="20" s="1"/>
  <c r="B15" i="21" s="1"/>
  <c r="B15" i="22" s="1"/>
  <c r="B15" i="23" s="1"/>
  <c r="B15" i="24" s="1"/>
  <c r="B15" i="25" s="1"/>
  <c r="B15" i="15" s="1"/>
  <c r="B16" i="4"/>
  <c r="B16" i="17" s="1"/>
  <c r="B16" i="18" s="1"/>
  <c r="B16" i="19" s="1"/>
  <c r="B16" i="20" s="1"/>
  <c r="B16" i="21" s="1"/>
  <c r="B16" i="22" s="1"/>
  <c r="B16" i="23" s="1"/>
  <c r="B16" i="24" s="1"/>
  <c r="B16" i="25" s="1"/>
  <c r="B16" i="15" s="1"/>
  <c r="B17" i="4"/>
  <c r="B18" i="4"/>
  <c r="B19" i="4"/>
  <c r="B20" i="4"/>
  <c r="B21" i="4"/>
  <c r="B22" i="4"/>
  <c r="B22" i="17" s="1"/>
  <c r="B22" i="18" s="1"/>
  <c r="B22" i="19" s="1"/>
  <c r="B22" i="20" s="1"/>
  <c r="B22" i="21" s="1"/>
  <c r="B22" i="22" s="1"/>
  <c r="B22" i="23" s="1"/>
  <c r="B22" i="24" s="1"/>
  <c r="B22" i="25" s="1"/>
  <c r="B22" i="15" s="1"/>
  <c r="B23" i="4"/>
  <c r="B24" i="4"/>
  <c r="B25" i="4"/>
  <c r="B26" i="4"/>
  <c r="B27" i="4"/>
  <c r="B28" i="4"/>
  <c r="B29" i="4"/>
  <c r="B30" i="4"/>
  <c r="B30" i="17" s="1"/>
  <c r="B30" i="18" s="1"/>
  <c r="B30" i="19" s="1"/>
  <c r="B30" i="20" s="1"/>
  <c r="B30" i="21" s="1"/>
  <c r="B30" i="22" s="1"/>
  <c r="B30" i="23" s="1"/>
  <c r="B30" i="24" s="1"/>
  <c r="B30" i="25" s="1"/>
  <c r="B30" i="15" s="1"/>
  <c r="B31" i="4"/>
  <c r="B32" i="4"/>
  <c r="B33" i="4"/>
  <c r="B34" i="4"/>
  <c r="B34" i="17" s="1"/>
  <c r="B34" i="18" s="1"/>
  <c r="B34" i="19" s="1"/>
  <c r="B34" i="20" s="1"/>
  <c r="B34" i="21" s="1"/>
  <c r="B34" i="22" s="1"/>
  <c r="B34" i="23" s="1"/>
  <c r="B34" i="24" s="1"/>
  <c r="B34" i="25" s="1"/>
  <c r="B34" i="15" s="1"/>
  <c r="B35" i="4"/>
  <c r="B36" i="4"/>
  <c r="B37" i="4"/>
  <c r="B38" i="4"/>
  <c r="B38" i="17" s="1"/>
  <c r="B38" i="18" s="1"/>
  <c r="B38" i="19" s="1"/>
  <c r="B38" i="20" s="1"/>
  <c r="B38" i="21" s="1"/>
  <c r="B38" i="22" s="1"/>
  <c r="B38" i="23" s="1"/>
  <c r="B38" i="24" s="1"/>
  <c r="B38" i="25" s="1"/>
  <c r="B38" i="15" s="1"/>
  <c r="B39" i="4"/>
  <c r="B40" i="4"/>
  <c r="B41" i="4"/>
  <c r="B42" i="4"/>
  <c r="B42" i="5" s="1"/>
  <c r="B43" i="4"/>
  <c r="B44" i="4"/>
  <c r="B45" i="4"/>
  <c r="B45" i="5" s="1"/>
  <c r="B46" i="4"/>
  <c r="B46" i="5" s="1"/>
  <c r="B47" i="4"/>
  <c r="B48" i="4"/>
  <c r="B49" i="4"/>
  <c r="B49" i="5" s="1"/>
  <c r="B50" i="4"/>
  <c r="B50" i="5" s="1"/>
  <c r="B51" i="4"/>
  <c r="B52" i="4"/>
  <c r="B53" i="4"/>
  <c r="B53" i="17" s="1"/>
  <c r="B53" i="18" s="1"/>
  <c r="B53" i="19" s="1"/>
  <c r="B53" i="20" s="1"/>
  <c r="B53" i="21" s="1"/>
  <c r="B53" i="22" s="1"/>
  <c r="B53" i="23" s="1"/>
  <c r="B53" i="24" s="1"/>
  <c r="B53" i="25" s="1"/>
  <c r="B53" i="15" s="1"/>
  <c r="B54" i="4"/>
  <c r="B54" i="5" s="1"/>
  <c r="B55" i="4"/>
  <c r="B55" i="17" s="1"/>
  <c r="B55" i="18" s="1"/>
  <c r="B55" i="19" s="1"/>
  <c r="B55" i="20" s="1"/>
  <c r="B55" i="21" s="1"/>
  <c r="B55" i="22" s="1"/>
  <c r="B55" i="23" s="1"/>
  <c r="B55" i="24" s="1"/>
  <c r="B55" i="25" s="1"/>
  <c r="B55" i="15" s="1"/>
  <c r="B56" i="4"/>
  <c r="B57" i="4"/>
  <c r="B58" i="4"/>
  <c r="B59" i="4"/>
  <c r="B60" i="4"/>
  <c r="B61" i="4"/>
  <c r="B61" i="17" s="1"/>
  <c r="B61" i="18" s="1"/>
  <c r="B61" i="19" s="1"/>
  <c r="B61" i="20" s="1"/>
  <c r="B61" i="21" s="1"/>
  <c r="B61" i="22" s="1"/>
  <c r="B61" i="23" s="1"/>
  <c r="B61" i="24" s="1"/>
  <c r="B61" i="25" s="1"/>
  <c r="B61" i="15" s="1"/>
  <c r="B52" i="17"/>
  <c r="B52" i="18" s="1"/>
  <c r="B52" i="19" s="1"/>
  <c r="B52" i="20" s="1"/>
  <c r="B52" i="21" s="1"/>
  <c r="B52" i="22" s="1"/>
  <c r="B52" i="23" s="1"/>
  <c r="B52" i="24" s="1"/>
  <c r="B52" i="25" s="1"/>
  <c r="B52" i="15" s="1"/>
  <c r="B51" i="17"/>
  <c r="B51" i="18" s="1"/>
  <c r="B51" i="19" s="1"/>
  <c r="B51" i="20" s="1"/>
  <c r="B51" i="21" s="1"/>
  <c r="B51" i="22" s="1"/>
  <c r="B51" i="23" s="1"/>
  <c r="B51" i="24" s="1"/>
  <c r="B51" i="25" s="1"/>
  <c r="B51" i="15" s="1"/>
  <c r="B48" i="17"/>
  <c r="B48" i="18" s="1"/>
  <c r="B48" i="19" s="1"/>
  <c r="B48" i="20" s="1"/>
  <c r="B48" i="21" s="1"/>
  <c r="B48" i="22" s="1"/>
  <c r="B48" i="23" s="1"/>
  <c r="B48" i="24" s="1"/>
  <c r="B48" i="25" s="1"/>
  <c r="B48" i="15" s="1"/>
  <c r="B47" i="17"/>
  <c r="B47" i="18" s="1"/>
  <c r="B47" i="19" s="1"/>
  <c r="B47" i="20" s="1"/>
  <c r="B47" i="21" s="1"/>
  <c r="B47" i="22" s="1"/>
  <c r="B47" i="23" s="1"/>
  <c r="B47" i="24" s="1"/>
  <c r="B47" i="25" s="1"/>
  <c r="B47" i="15" s="1"/>
  <c r="B44" i="17"/>
  <c r="B44" i="18" s="1"/>
  <c r="B44" i="19" s="1"/>
  <c r="B44" i="20" s="1"/>
  <c r="B44" i="21" s="1"/>
  <c r="B44" i="22" s="1"/>
  <c r="B44" i="23" s="1"/>
  <c r="B44" i="24" s="1"/>
  <c r="B44" i="25" s="1"/>
  <c r="B44" i="15" s="1"/>
  <c r="B43" i="17"/>
  <c r="B43" i="18" s="1"/>
  <c r="B43" i="19" s="1"/>
  <c r="B43" i="20" s="1"/>
  <c r="B43" i="21" s="1"/>
  <c r="B43" i="22" s="1"/>
  <c r="B43" i="23" s="1"/>
  <c r="B43" i="24" s="1"/>
  <c r="B43" i="25" s="1"/>
  <c r="B43" i="15" s="1"/>
  <c r="B39" i="17"/>
  <c r="B39" i="18" s="1"/>
  <c r="B39" i="19" s="1"/>
  <c r="B39" i="20" s="1"/>
  <c r="B39" i="21" s="1"/>
  <c r="B39" i="22" s="1"/>
  <c r="B39" i="23" s="1"/>
  <c r="B39" i="24" s="1"/>
  <c r="B39" i="25" s="1"/>
  <c r="B39" i="15" s="1"/>
  <c r="B37" i="5"/>
  <c r="B36" i="5"/>
  <c r="B35" i="17"/>
  <c r="B35" i="18" s="1"/>
  <c r="B35" i="19" s="1"/>
  <c r="B35" i="20" s="1"/>
  <c r="B35" i="21" s="1"/>
  <c r="B35" i="22" s="1"/>
  <c r="B35" i="23" s="1"/>
  <c r="B35" i="24" s="1"/>
  <c r="B35" i="25" s="1"/>
  <c r="B35" i="15" s="1"/>
  <c r="B32" i="17"/>
  <c r="B32" i="18" s="1"/>
  <c r="B32" i="19" s="1"/>
  <c r="B32" i="20" s="1"/>
  <c r="B32" i="21" s="1"/>
  <c r="B32" i="22" s="1"/>
  <c r="B32" i="23" s="1"/>
  <c r="B32" i="24" s="1"/>
  <c r="B32" i="25" s="1"/>
  <c r="B32" i="15" s="1"/>
  <c r="B31" i="5"/>
  <c r="B29" i="5"/>
  <c r="B28" i="17"/>
  <c r="B28" i="18" s="1"/>
  <c r="B28" i="19" s="1"/>
  <c r="B28" i="20" s="1"/>
  <c r="B28" i="21" s="1"/>
  <c r="B28" i="22" s="1"/>
  <c r="B28" i="23" s="1"/>
  <c r="B28" i="24" s="1"/>
  <c r="B28" i="25" s="1"/>
  <c r="B28" i="15" s="1"/>
  <c r="B27" i="5"/>
  <c r="B26" i="17"/>
  <c r="B26" i="18" s="1"/>
  <c r="B26" i="19" s="1"/>
  <c r="B26" i="20" s="1"/>
  <c r="B26" i="21" s="1"/>
  <c r="B26" i="22" s="1"/>
  <c r="B26" i="23" s="1"/>
  <c r="B26" i="24" s="1"/>
  <c r="B26" i="25" s="1"/>
  <c r="B26" i="15" s="1"/>
  <c r="B25" i="17"/>
  <c r="B25" i="18" s="1"/>
  <c r="B25" i="19" s="1"/>
  <c r="B25" i="20" s="1"/>
  <c r="B25" i="21" s="1"/>
  <c r="B25" i="22" s="1"/>
  <c r="B25" i="23" s="1"/>
  <c r="B25" i="24" s="1"/>
  <c r="B25" i="25" s="1"/>
  <c r="B25" i="15" s="1"/>
  <c r="B24" i="5"/>
  <c r="B23" i="5"/>
  <c r="B21" i="17"/>
  <c r="B21" i="18" s="1"/>
  <c r="B21" i="19" s="1"/>
  <c r="B21" i="20" s="1"/>
  <c r="B21" i="21" s="1"/>
  <c r="B21" i="22" s="1"/>
  <c r="B21" i="23" s="1"/>
  <c r="B21" i="24" s="1"/>
  <c r="B21" i="25" s="1"/>
  <c r="B21" i="15" s="1"/>
  <c r="B20" i="17"/>
  <c r="B20" i="18" s="1"/>
  <c r="B20" i="19" s="1"/>
  <c r="B20" i="20" s="1"/>
  <c r="B20" i="21" s="1"/>
  <c r="B20" i="22" s="1"/>
  <c r="B20" i="23" s="1"/>
  <c r="B20" i="24" s="1"/>
  <c r="B20" i="25" s="1"/>
  <c r="B20" i="15" s="1"/>
  <c r="B18" i="17"/>
  <c r="B18" i="18" s="1"/>
  <c r="B18" i="19" s="1"/>
  <c r="B18" i="20" s="1"/>
  <c r="B18" i="21" s="1"/>
  <c r="B18" i="22" s="1"/>
  <c r="B18" i="23" s="1"/>
  <c r="B18" i="24" s="1"/>
  <c r="B18" i="25" s="1"/>
  <c r="B18" i="15" s="1"/>
  <c r="B17" i="17"/>
  <c r="B17" i="18" s="1"/>
  <c r="B17" i="19" s="1"/>
  <c r="B17" i="20" s="1"/>
  <c r="B17" i="21" s="1"/>
  <c r="B17" i="22" s="1"/>
  <c r="B17" i="23" s="1"/>
  <c r="B17" i="24" s="1"/>
  <c r="B17" i="25" s="1"/>
  <c r="B17" i="15" s="1"/>
  <c r="B19" i="5"/>
  <c r="B59" i="5"/>
  <c r="B56" i="17"/>
  <c r="B56" i="18" s="1"/>
  <c r="B56" i="19" s="1"/>
  <c r="B56" i="20" s="1"/>
  <c r="B56" i="21" s="1"/>
  <c r="B56" i="22" s="1"/>
  <c r="B56" i="23" s="1"/>
  <c r="B56" i="24" s="1"/>
  <c r="B56" i="25" s="1"/>
  <c r="B56" i="15" s="1"/>
  <c r="B60" i="5"/>
  <c r="B11" i="17"/>
  <c r="B11" i="18" s="1"/>
  <c r="B11" i="19" s="1"/>
  <c r="B11" i="20" s="1"/>
  <c r="B11" i="21" s="1"/>
  <c r="B11" i="22" s="1"/>
  <c r="B11" i="23" s="1"/>
  <c r="B11" i="24" s="1"/>
  <c r="B11" i="25" s="1"/>
  <c r="B11" i="15" s="1"/>
  <c r="B57" i="17"/>
  <c r="B57" i="18" s="1"/>
  <c r="B57" i="19" s="1"/>
  <c r="B57" i="20" s="1"/>
  <c r="B57" i="21" s="1"/>
  <c r="B57" i="22" s="1"/>
  <c r="B57" i="23" s="1"/>
  <c r="B57" i="24" s="1"/>
  <c r="B57" i="25" s="1"/>
  <c r="B57" i="15" s="1"/>
  <c r="C7" i="5"/>
  <c r="C7" i="17" s="1"/>
  <c r="C7" i="18" s="1"/>
  <c r="C7" i="19" s="1"/>
  <c r="C7" i="20" s="1"/>
  <c r="C7" i="21" s="1"/>
  <c r="C7" i="22" s="1"/>
  <c r="C7" i="23" s="1"/>
  <c r="C7" i="24" s="1"/>
  <c r="C7" i="25" s="1"/>
  <c r="C7" i="15" s="1"/>
  <c r="C8" i="5"/>
  <c r="C8" i="17" s="1"/>
  <c r="B18" i="5"/>
  <c r="B56" i="5"/>
  <c r="B57" i="5"/>
  <c r="B61" i="5"/>
  <c r="B32" i="5"/>
  <c r="B33" i="5"/>
  <c r="B40" i="17"/>
  <c r="B40" i="18" s="1"/>
  <c r="B40" i="19" s="1"/>
  <c r="B40" i="20" s="1"/>
  <c r="B40" i="21" s="1"/>
  <c r="B40" i="22" s="1"/>
  <c r="B40" i="23" s="1"/>
  <c r="B40" i="24" s="1"/>
  <c r="B40" i="25" s="1"/>
  <c r="B40" i="15" s="1"/>
  <c r="B41" i="5"/>
  <c r="B58" i="5"/>
  <c r="C1" i="17"/>
  <c r="C32" i="17"/>
  <c r="C40" i="17"/>
  <c r="C41" i="17"/>
  <c r="C44" i="17"/>
  <c r="C50" i="17"/>
  <c r="C56" i="17"/>
  <c r="C57" i="17"/>
  <c r="C59" i="17"/>
  <c r="C60" i="17"/>
  <c r="C61" i="17"/>
  <c r="C62" i="17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6" i="25"/>
  <c r="AI57" i="25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20" i="24"/>
  <c r="AI21" i="24"/>
  <c r="AI22" i="24"/>
  <c r="AI23" i="24"/>
  <c r="AI24" i="24"/>
  <c r="AI25" i="24"/>
  <c r="AI26" i="24"/>
  <c r="AI27" i="24"/>
  <c r="AI28" i="24"/>
  <c r="AI29" i="24"/>
  <c r="AI30" i="24"/>
  <c r="AI31" i="24"/>
  <c r="AI32" i="24"/>
  <c r="AI33" i="24"/>
  <c r="AI34" i="24"/>
  <c r="AI35" i="24"/>
  <c r="AI36" i="24"/>
  <c r="AI37" i="24"/>
  <c r="AI38" i="24"/>
  <c r="AI39" i="24"/>
  <c r="AI40" i="24"/>
  <c r="AI41" i="24"/>
  <c r="AI42" i="24"/>
  <c r="AI43" i="24"/>
  <c r="AI44" i="24"/>
  <c r="AI45" i="24"/>
  <c r="AI46" i="24"/>
  <c r="AI47" i="24"/>
  <c r="AI48" i="24"/>
  <c r="AI49" i="24"/>
  <c r="AI50" i="24"/>
  <c r="AI51" i="24"/>
  <c r="AI52" i="24"/>
  <c r="AI53" i="24"/>
  <c r="AI54" i="24"/>
  <c r="AI55" i="24"/>
  <c r="AI56" i="24"/>
  <c r="AI57" i="24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20" i="23"/>
  <c r="AI21" i="23"/>
  <c r="AI22" i="23"/>
  <c r="AI23" i="23"/>
  <c r="AI24" i="23"/>
  <c r="AI25" i="23"/>
  <c r="AI26" i="23"/>
  <c r="AI27" i="23"/>
  <c r="AI28" i="23"/>
  <c r="AI29" i="23"/>
  <c r="AI30" i="23"/>
  <c r="AI31" i="23"/>
  <c r="AI32" i="23"/>
  <c r="AI33" i="23"/>
  <c r="AI34" i="23"/>
  <c r="AI35" i="23"/>
  <c r="AI36" i="23"/>
  <c r="AI37" i="23"/>
  <c r="AI38" i="23"/>
  <c r="AI39" i="23"/>
  <c r="AI40" i="23"/>
  <c r="AI41" i="23"/>
  <c r="AI42" i="23"/>
  <c r="AI43" i="23"/>
  <c r="AI44" i="23"/>
  <c r="AI45" i="23"/>
  <c r="AI46" i="23"/>
  <c r="AI47" i="23"/>
  <c r="AI48" i="23"/>
  <c r="AI49" i="23"/>
  <c r="AI50" i="23"/>
  <c r="AI51" i="23"/>
  <c r="AI52" i="23"/>
  <c r="AI53" i="23"/>
  <c r="AI54" i="23"/>
  <c r="AI55" i="23"/>
  <c r="AI56" i="23"/>
  <c r="AI57" i="23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20" i="22"/>
  <c r="AI21" i="22"/>
  <c r="AI22" i="22"/>
  <c r="AI23" i="22"/>
  <c r="AI24" i="22"/>
  <c r="AI25" i="22"/>
  <c r="AI26" i="22"/>
  <c r="AI27" i="22"/>
  <c r="AI28" i="22"/>
  <c r="AI29" i="22"/>
  <c r="AI30" i="22"/>
  <c r="AI31" i="22"/>
  <c r="AI32" i="22"/>
  <c r="AI33" i="22"/>
  <c r="AI34" i="22"/>
  <c r="AI35" i="22"/>
  <c r="AI36" i="22"/>
  <c r="AI37" i="22"/>
  <c r="AI38" i="22"/>
  <c r="AI39" i="22"/>
  <c r="AI40" i="22"/>
  <c r="AI41" i="22"/>
  <c r="AI42" i="22"/>
  <c r="AI43" i="22"/>
  <c r="AI44" i="22"/>
  <c r="AI45" i="22"/>
  <c r="AI46" i="22"/>
  <c r="AI47" i="22"/>
  <c r="AI48" i="22"/>
  <c r="AI49" i="22"/>
  <c r="AI50" i="22"/>
  <c r="AI51" i="22"/>
  <c r="AI52" i="22"/>
  <c r="AI53" i="22"/>
  <c r="AI54" i="22"/>
  <c r="AI55" i="22"/>
  <c r="AI56" i="22"/>
  <c r="AI57" i="22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I28" i="21"/>
  <c r="AI29" i="21"/>
  <c r="AI30" i="21"/>
  <c r="AI31" i="21"/>
  <c r="AI32" i="21"/>
  <c r="AI33" i="21"/>
  <c r="AI34" i="21"/>
  <c r="AI35" i="21"/>
  <c r="AI36" i="21"/>
  <c r="AI37" i="21"/>
  <c r="AI38" i="21"/>
  <c r="AI39" i="21"/>
  <c r="AI40" i="21"/>
  <c r="AI41" i="21"/>
  <c r="AI42" i="21"/>
  <c r="AI43" i="21"/>
  <c r="AI44" i="21"/>
  <c r="AI45" i="21"/>
  <c r="AI46" i="21"/>
  <c r="AI47" i="21"/>
  <c r="AI48" i="21"/>
  <c r="AI49" i="21"/>
  <c r="AI50" i="21"/>
  <c r="AI51" i="21"/>
  <c r="AI52" i="21"/>
  <c r="AI53" i="21"/>
  <c r="AI54" i="21"/>
  <c r="AI55" i="21"/>
  <c r="AI56" i="21"/>
  <c r="AI57" i="21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3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21" i="19"/>
  <c r="AI22" i="19"/>
  <c r="AI23" i="19"/>
  <c r="AI24" i="19"/>
  <c r="AI25" i="19"/>
  <c r="AI26" i="19"/>
  <c r="AI27" i="19"/>
  <c r="AI28" i="19"/>
  <c r="AI29" i="19"/>
  <c r="AI30" i="19"/>
  <c r="AI31" i="19"/>
  <c r="AI32" i="19"/>
  <c r="AI33" i="19"/>
  <c r="AI34" i="19"/>
  <c r="AI35" i="19"/>
  <c r="AI36" i="19"/>
  <c r="AI37" i="19"/>
  <c r="AI38" i="19"/>
  <c r="AI39" i="19"/>
  <c r="AI40" i="19"/>
  <c r="AI41" i="19"/>
  <c r="AI42" i="19"/>
  <c r="AI43" i="19"/>
  <c r="AI44" i="19"/>
  <c r="AI45" i="19"/>
  <c r="AI46" i="19"/>
  <c r="AI47" i="19"/>
  <c r="AI48" i="19"/>
  <c r="AI49" i="19"/>
  <c r="AI50" i="19"/>
  <c r="AI51" i="19"/>
  <c r="AI52" i="19"/>
  <c r="AI53" i="19"/>
  <c r="AI54" i="19"/>
  <c r="AI55" i="19"/>
  <c r="AI56" i="19"/>
  <c r="AI57" i="19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8" i="18"/>
  <c r="AI9" i="18"/>
  <c r="AI10" i="18"/>
  <c r="AI11" i="18"/>
  <c r="AI12" i="18"/>
  <c r="AI13" i="18"/>
  <c r="AI14" i="18"/>
  <c r="AI15" i="18"/>
  <c r="AI55" i="18"/>
  <c r="AI56" i="18"/>
  <c r="AI57" i="18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AG62" i="17"/>
  <c r="AH62" i="17"/>
  <c r="C60" i="5"/>
  <c r="AI60" i="5"/>
  <c r="C9" i="5"/>
  <c r="C9" i="17" s="1"/>
  <c r="C10" i="5"/>
  <c r="C11" i="5"/>
  <c r="C12" i="5"/>
  <c r="C12" i="17" s="1"/>
  <c r="C13" i="5"/>
  <c r="C13" i="17" s="1"/>
  <c r="C14" i="5"/>
  <c r="C14" i="17" s="1"/>
  <c r="C15" i="5"/>
  <c r="C16" i="5"/>
  <c r="C16" i="17" s="1"/>
  <c r="C17" i="5"/>
  <c r="C17" i="17" s="1"/>
  <c r="C18" i="5"/>
  <c r="C19" i="5"/>
  <c r="C20" i="5"/>
  <c r="C21" i="5"/>
  <c r="C21" i="17" s="1"/>
  <c r="C22" i="5"/>
  <c r="C22" i="17" s="1"/>
  <c r="C23" i="5"/>
  <c r="C24" i="5"/>
  <c r="C24" i="17" s="1"/>
  <c r="C25" i="5"/>
  <c r="C25" i="17" s="1"/>
  <c r="C26" i="5"/>
  <c r="C27" i="5"/>
  <c r="C27" i="17" s="1"/>
  <c r="C28" i="5"/>
  <c r="C29" i="5"/>
  <c r="C29" i="17" s="1"/>
  <c r="C30" i="5"/>
  <c r="C30" i="17" s="1"/>
  <c r="C31" i="5"/>
  <c r="C32" i="5"/>
  <c r="C33" i="5"/>
  <c r="C33" i="17" s="1"/>
  <c r="C34" i="5"/>
  <c r="C35" i="5"/>
  <c r="C36" i="5"/>
  <c r="C36" i="17" s="1"/>
  <c r="C37" i="5"/>
  <c r="C37" i="17" s="1"/>
  <c r="C38" i="5"/>
  <c r="C39" i="5"/>
  <c r="C39" i="17" s="1"/>
  <c r="C40" i="5"/>
  <c r="C41" i="5"/>
  <c r="C42" i="5"/>
  <c r="C42" i="17" s="1"/>
  <c r="C43" i="5"/>
  <c r="C44" i="5"/>
  <c r="C45" i="5"/>
  <c r="C45" i="17" s="1"/>
  <c r="C46" i="5"/>
  <c r="C46" i="17" s="1"/>
  <c r="C47" i="5"/>
  <c r="C48" i="5"/>
  <c r="C48" i="17" s="1"/>
  <c r="C49" i="5"/>
  <c r="C49" i="17" s="1"/>
  <c r="C50" i="5"/>
  <c r="C51" i="5"/>
  <c r="C51" i="17" s="1"/>
  <c r="C52" i="5"/>
  <c r="C53" i="5"/>
  <c r="C53" i="17" s="1"/>
  <c r="C54" i="5"/>
  <c r="C54" i="17" s="1"/>
  <c r="C55" i="5"/>
  <c r="C55" i="17" s="1"/>
  <c r="C56" i="5"/>
  <c r="C57" i="5"/>
  <c r="C58" i="5"/>
  <c r="C58" i="17" s="1"/>
  <c r="C59" i="5"/>
  <c r="C61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51" i="4"/>
  <c r="AI52" i="4"/>
  <c r="AI53" i="4"/>
  <c r="AI54" i="4"/>
  <c r="AI55" i="4"/>
  <c r="AI56" i="4"/>
  <c r="AI57" i="4"/>
  <c r="AI58" i="4"/>
  <c r="AI59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60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D4" i="15"/>
  <c r="D4" i="25"/>
  <c r="D4" i="24"/>
  <c r="D4" i="23"/>
  <c r="D4" i="22"/>
  <c r="D4" i="21"/>
  <c r="D4" i="20"/>
  <c r="D4" i="19"/>
  <c r="D4" i="18"/>
  <c r="D4" i="17"/>
  <c r="D4" i="5"/>
  <c r="D4" i="4"/>
  <c r="C1" i="5"/>
  <c r="AI11" i="4"/>
  <c r="AI12" i="4"/>
  <c r="C62" i="15"/>
  <c r="C62" i="24"/>
  <c r="C62" i="23"/>
  <c r="C62" i="22"/>
  <c r="C62" i="21"/>
  <c r="C62" i="20"/>
  <c r="C62" i="19"/>
  <c r="C62" i="18"/>
  <c r="C62" i="5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AH5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62" i="4"/>
  <c r="C62" i="25"/>
  <c r="B55" i="5" l="1"/>
  <c r="B54" i="17"/>
  <c r="B54" i="18" s="1"/>
  <c r="B54" i="19" s="1"/>
  <c r="B54" i="20" s="1"/>
  <c r="B54" i="21" s="1"/>
  <c r="B54" i="22" s="1"/>
  <c r="B54" i="23" s="1"/>
  <c r="B54" i="24" s="1"/>
  <c r="B54" i="25" s="1"/>
  <c r="B54" i="15" s="1"/>
  <c r="B42" i="17"/>
  <c r="B42" i="18" s="1"/>
  <c r="B42" i="19" s="1"/>
  <c r="B42" i="20" s="1"/>
  <c r="B42" i="21" s="1"/>
  <c r="B42" i="22" s="1"/>
  <c r="B42" i="23" s="1"/>
  <c r="B42" i="24" s="1"/>
  <c r="B42" i="25" s="1"/>
  <c r="B42" i="15" s="1"/>
  <c r="B28" i="5"/>
  <c r="B8" i="17"/>
  <c r="B8" i="18" s="1"/>
  <c r="B8" i="19" s="1"/>
  <c r="B8" i="20" s="1"/>
  <c r="B8" i="21" s="1"/>
  <c r="B8" i="22" s="1"/>
  <c r="B8" i="23" s="1"/>
  <c r="B8" i="24" s="1"/>
  <c r="B8" i="25" s="1"/>
  <c r="B8" i="15" s="1"/>
  <c r="B7" i="5"/>
  <c r="B60" i="17"/>
  <c r="B60" i="18" s="1"/>
  <c r="B60" i="19" s="1"/>
  <c r="B60" i="20" s="1"/>
  <c r="B60" i="21" s="1"/>
  <c r="B60" i="22" s="1"/>
  <c r="B60" i="23" s="1"/>
  <c r="B60" i="24" s="1"/>
  <c r="B60" i="25" s="1"/>
  <c r="B60" i="15" s="1"/>
  <c r="B59" i="17"/>
  <c r="B59" i="18" s="1"/>
  <c r="B59" i="19" s="1"/>
  <c r="B59" i="20" s="1"/>
  <c r="B59" i="21" s="1"/>
  <c r="B59" i="22" s="1"/>
  <c r="B59" i="23" s="1"/>
  <c r="B59" i="24" s="1"/>
  <c r="B59" i="25" s="1"/>
  <c r="B59" i="15" s="1"/>
  <c r="B58" i="17"/>
  <c r="B58" i="18" s="1"/>
  <c r="B58" i="19" s="1"/>
  <c r="B58" i="20" s="1"/>
  <c r="B58" i="21" s="1"/>
  <c r="B58" i="22" s="1"/>
  <c r="B58" i="23" s="1"/>
  <c r="B58" i="24" s="1"/>
  <c r="B58" i="25" s="1"/>
  <c r="B58" i="15" s="1"/>
  <c r="B53" i="5"/>
  <c r="B52" i="5"/>
  <c r="C52" i="17"/>
  <c r="B51" i="5"/>
  <c r="B50" i="17"/>
  <c r="B50" i="18" s="1"/>
  <c r="B50" i="19" s="1"/>
  <c r="B50" i="20" s="1"/>
  <c r="B50" i="21" s="1"/>
  <c r="B50" i="22" s="1"/>
  <c r="B50" i="23" s="1"/>
  <c r="B50" i="24" s="1"/>
  <c r="B50" i="25" s="1"/>
  <c r="B50" i="15" s="1"/>
  <c r="B49" i="17"/>
  <c r="B49" i="18" s="1"/>
  <c r="B49" i="19" s="1"/>
  <c r="B49" i="20" s="1"/>
  <c r="B49" i="21" s="1"/>
  <c r="B49" i="22" s="1"/>
  <c r="B49" i="23" s="1"/>
  <c r="B49" i="24" s="1"/>
  <c r="B49" i="25" s="1"/>
  <c r="B49" i="15" s="1"/>
  <c r="B48" i="5"/>
  <c r="B47" i="5"/>
  <c r="C47" i="17"/>
  <c r="B46" i="17"/>
  <c r="B46" i="18" s="1"/>
  <c r="B46" i="19" s="1"/>
  <c r="B46" i="20" s="1"/>
  <c r="B46" i="21" s="1"/>
  <c r="B46" i="22" s="1"/>
  <c r="B46" i="23" s="1"/>
  <c r="B46" i="24" s="1"/>
  <c r="B46" i="25" s="1"/>
  <c r="B46" i="15" s="1"/>
  <c r="B45" i="17"/>
  <c r="B45" i="18" s="1"/>
  <c r="B45" i="19" s="1"/>
  <c r="B45" i="20" s="1"/>
  <c r="B45" i="21" s="1"/>
  <c r="B45" i="22" s="1"/>
  <c r="B45" i="23" s="1"/>
  <c r="B45" i="24" s="1"/>
  <c r="B45" i="25" s="1"/>
  <c r="B45" i="15" s="1"/>
  <c r="B44" i="5"/>
  <c r="B43" i="5"/>
  <c r="C43" i="17"/>
  <c r="B41" i="17"/>
  <c r="B41" i="18" s="1"/>
  <c r="B41" i="19" s="1"/>
  <c r="B41" i="20" s="1"/>
  <c r="B41" i="21" s="1"/>
  <c r="B41" i="22" s="1"/>
  <c r="B41" i="23" s="1"/>
  <c r="B41" i="24" s="1"/>
  <c r="B41" i="25" s="1"/>
  <c r="B41" i="15" s="1"/>
  <c r="B40" i="5"/>
  <c r="B39" i="5"/>
  <c r="B38" i="5"/>
  <c r="C38" i="17"/>
  <c r="B37" i="17"/>
  <c r="B37" i="18" s="1"/>
  <c r="B37" i="19" s="1"/>
  <c r="B37" i="20" s="1"/>
  <c r="B37" i="21" s="1"/>
  <c r="B37" i="22" s="1"/>
  <c r="B37" i="23" s="1"/>
  <c r="B37" i="24" s="1"/>
  <c r="B37" i="25" s="1"/>
  <c r="B37" i="15" s="1"/>
  <c r="B36" i="17"/>
  <c r="B36" i="18" s="1"/>
  <c r="B36" i="19" s="1"/>
  <c r="B36" i="20" s="1"/>
  <c r="B36" i="21" s="1"/>
  <c r="B36" i="22" s="1"/>
  <c r="B36" i="23" s="1"/>
  <c r="B36" i="24" s="1"/>
  <c r="B36" i="25" s="1"/>
  <c r="B36" i="15" s="1"/>
  <c r="B35" i="5"/>
  <c r="C35" i="17"/>
  <c r="B34" i="5"/>
  <c r="C34" i="17"/>
  <c r="B33" i="17"/>
  <c r="B33" i="18" s="1"/>
  <c r="B33" i="19" s="1"/>
  <c r="B33" i="20" s="1"/>
  <c r="B33" i="21" s="1"/>
  <c r="B33" i="22" s="1"/>
  <c r="B33" i="23" s="1"/>
  <c r="B33" i="24" s="1"/>
  <c r="B33" i="25" s="1"/>
  <c r="B33" i="15" s="1"/>
  <c r="B31" i="17"/>
  <c r="B31" i="18" s="1"/>
  <c r="B31" i="19" s="1"/>
  <c r="B31" i="20" s="1"/>
  <c r="B31" i="21" s="1"/>
  <c r="B31" i="22" s="1"/>
  <c r="B31" i="23" s="1"/>
  <c r="B31" i="24" s="1"/>
  <c r="B31" i="25" s="1"/>
  <c r="B31" i="15" s="1"/>
  <c r="C31" i="17"/>
  <c r="B30" i="5"/>
  <c r="B29" i="17"/>
  <c r="B29" i="18" s="1"/>
  <c r="B29" i="19" s="1"/>
  <c r="B29" i="20" s="1"/>
  <c r="B29" i="21" s="1"/>
  <c r="B29" i="22" s="1"/>
  <c r="B29" i="23" s="1"/>
  <c r="B29" i="24" s="1"/>
  <c r="B29" i="25" s="1"/>
  <c r="B29" i="15" s="1"/>
  <c r="C28" i="17"/>
  <c r="B27" i="17"/>
  <c r="B27" i="18" s="1"/>
  <c r="B27" i="19" s="1"/>
  <c r="B27" i="20" s="1"/>
  <c r="B27" i="21" s="1"/>
  <c r="B27" i="22" s="1"/>
  <c r="B27" i="23" s="1"/>
  <c r="B27" i="24" s="1"/>
  <c r="B27" i="25" s="1"/>
  <c r="B27" i="15" s="1"/>
  <c r="B26" i="5"/>
  <c r="C26" i="17"/>
  <c r="B25" i="5"/>
  <c r="B24" i="17"/>
  <c r="B24" i="18" s="1"/>
  <c r="B24" i="19" s="1"/>
  <c r="B24" i="20" s="1"/>
  <c r="B24" i="21" s="1"/>
  <c r="B24" i="22" s="1"/>
  <c r="B24" i="23" s="1"/>
  <c r="B24" i="24" s="1"/>
  <c r="B24" i="25" s="1"/>
  <c r="B24" i="15" s="1"/>
  <c r="B23" i="17"/>
  <c r="B23" i="18" s="1"/>
  <c r="B23" i="19" s="1"/>
  <c r="B23" i="20" s="1"/>
  <c r="B23" i="21" s="1"/>
  <c r="B23" i="22" s="1"/>
  <c r="B23" i="23" s="1"/>
  <c r="B23" i="24" s="1"/>
  <c r="B23" i="25" s="1"/>
  <c r="B23" i="15" s="1"/>
  <c r="C23" i="17"/>
  <c r="B22" i="5"/>
  <c r="B21" i="5"/>
  <c r="B20" i="5"/>
  <c r="C20" i="17"/>
  <c r="B19" i="17"/>
  <c r="B19" i="18" s="1"/>
  <c r="B19" i="19" s="1"/>
  <c r="B19" i="20" s="1"/>
  <c r="B19" i="21" s="1"/>
  <c r="B19" i="22" s="1"/>
  <c r="B19" i="23" s="1"/>
  <c r="B19" i="24" s="1"/>
  <c r="B19" i="25" s="1"/>
  <c r="B19" i="15" s="1"/>
  <c r="C19" i="17"/>
  <c r="C18" i="17"/>
  <c r="B17" i="5"/>
  <c r="B16" i="5"/>
  <c r="B15" i="5"/>
  <c r="C15" i="17"/>
  <c r="B14" i="17"/>
  <c r="B14" i="18" s="1"/>
  <c r="B14" i="19" s="1"/>
  <c r="B14" i="20" s="1"/>
  <c r="B14" i="21" s="1"/>
  <c r="B14" i="22" s="1"/>
  <c r="B14" i="23" s="1"/>
  <c r="B14" i="24" s="1"/>
  <c r="B14" i="25" s="1"/>
  <c r="B14" i="15" s="1"/>
  <c r="B13" i="5"/>
  <c r="B12" i="5"/>
  <c r="B11" i="5"/>
  <c r="C11" i="17"/>
  <c r="B10" i="5"/>
  <c r="B9" i="5"/>
  <c r="B8" i="5"/>
  <c r="B7" i="17"/>
  <c r="B7" i="18" s="1"/>
  <c r="B7" i="19" s="1"/>
  <c r="B7" i="20" s="1"/>
  <c r="B7" i="21" s="1"/>
  <c r="B7" i="22" s="1"/>
  <c r="B7" i="23" s="1"/>
  <c r="B7" i="24" s="1"/>
  <c r="B7" i="25" s="1"/>
  <c r="B7" i="15" s="1"/>
  <c r="C10" i="17"/>
  <c r="AI7" i="25"/>
  <c r="AI58" i="25"/>
  <c r="AI59" i="25"/>
  <c r="AI60" i="25"/>
  <c r="AI61" i="25"/>
  <c r="AI7" i="23"/>
  <c r="AI58" i="23"/>
  <c r="AI59" i="23"/>
  <c r="AI60" i="23"/>
  <c r="AI61" i="23"/>
  <c r="AI7" i="20"/>
  <c r="AI58" i="20"/>
  <c r="AI59" i="20"/>
  <c r="AI60" i="20"/>
  <c r="AI61" i="20"/>
  <c r="AI7" i="18"/>
  <c r="AI58" i="18"/>
  <c r="AI59" i="18"/>
  <c r="AI60" i="18"/>
  <c r="AI61" i="18"/>
  <c r="AE62" i="15"/>
  <c r="AF62" i="15"/>
  <c r="AG62" i="15"/>
  <c r="AH62" i="15"/>
  <c r="AF62" i="25"/>
  <c r="AG62" i="25"/>
  <c r="AH62" i="25"/>
  <c r="AF62" i="24"/>
  <c r="AG62" i="24"/>
  <c r="AH62" i="24"/>
  <c r="AF62" i="23"/>
  <c r="AG62" i="23"/>
  <c r="AH62" i="23"/>
  <c r="AG62" i="22"/>
  <c r="AH62" i="22"/>
  <c r="AG62" i="21"/>
  <c r="AH62" i="21"/>
  <c r="AG62" i="20"/>
  <c r="AH62" i="20"/>
  <c r="AG62" i="19"/>
  <c r="AH62" i="19"/>
  <c r="AH62" i="18"/>
  <c r="AG62" i="18"/>
  <c r="AI9" i="4" l="1"/>
  <c r="AI10" i="4"/>
  <c r="AE62" i="25" l="1"/>
  <c r="AD62" i="25"/>
  <c r="AC62" i="25"/>
  <c r="AB62" i="25"/>
  <c r="AA62" i="25"/>
  <c r="Z62" i="25"/>
  <c r="Y62" i="25"/>
  <c r="X62" i="25"/>
  <c r="W62" i="25"/>
  <c r="V62" i="25"/>
  <c r="U62" i="25"/>
  <c r="T62" i="25"/>
  <c r="S62" i="25"/>
  <c r="R62" i="25"/>
  <c r="Q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AI4" i="25"/>
  <c r="C1" i="25"/>
  <c r="AE62" i="24"/>
  <c r="AD62" i="24"/>
  <c r="AC62" i="24"/>
  <c r="AB62" i="24"/>
  <c r="AA62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AI61" i="24"/>
  <c r="AI60" i="24"/>
  <c r="AI59" i="24"/>
  <c r="AI58" i="24"/>
  <c r="AI7" i="24"/>
  <c r="AI4" i="24"/>
  <c r="C1" i="24"/>
  <c r="AE62" i="23"/>
  <c r="AD62" i="23"/>
  <c r="AC62" i="23"/>
  <c r="AB62" i="23"/>
  <c r="AA62" i="23"/>
  <c r="Z62" i="23"/>
  <c r="Y62" i="23"/>
  <c r="X62" i="23"/>
  <c r="W62" i="23"/>
  <c r="V62" i="23"/>
  <c r="U62" i="23"/>
  <c r="T62" i="23"/>
  <c r="S62" i="23"/>
  <c r="R62" i="23"/>
  <c r="Q62" i="23"/>
  <c r="P62" i="23"/>
  <c r="O62" i="23"/>
  <c r="N62" i="23"/>
  <c r="M62" i="23"/>
  <c r="L62" i="23"/>
  <c r="K62" i="23"/>
  <c r="J62" i="23"/>
  <c r="I62" i="23"/>
  <c r="H62" i="23"/>
  <c r="G62" i="23"/>
  <c r="F62" i="23"/>
  <c r="E62" i="23"/>
  <c r="D62" i="23"/>
  <c r="AI62" i="23"/>
  <c r="AI4" i="23"/>
  <c r="C1" i="23"/>
  <c r="AF62" i="22"/>
  <c r="AE62" i="22"/>
  <c r="AD62" i="22"/>
  <c r="AC62" i="22"/>
  <c r="AB62" i="22"/>
  <c r="AA62" i="22"/>
  <c r="Z62" i="22"/>
  <c r="Y62" i="22"/>
  <c r="X62" i="22"/>
  <c r="W62" i="22"/>
  <c r="V62" i="22"/>
  <c r="U62" i="22"/>
  <c r="T62" i="22"/>
  <c r="S62" i="22"/>
  <c r="R62" i="22"/>
  <c r="Q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AI61" i="22"/>
  <c r="AI60" i="22"/>
  <c r="AI59" i="22"/>
  <c r="AI58" i="22"/>
  <c r="AI7" i="22"/>
  <c r="AI4" i="22"/>
  <c r="C1" i="22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AI61" i="21"/>
  <c r="AI60" i="21"/>
  <c r="AI59" i="21"/>
  <c r="AI58" i="21"/>
  <c r="AI7" i="21"/>
  <c r="AI4" i="21"/>
  <c r="C1" i="21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AI4" i="20"/>
  <c r="C1" i="20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AI61" i="19"/>
  <c r="AI60" i="19"/>
  <c r="AI59" i="19"/>
  <c r="AI58" i="19"/>
  <c r="AI7" i="19"/>
  <c r="AI4" i="19"/>
  <c r="C1" i="19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AI62" i="18"/>
  <c r="AI4" i="18"/>
  <c r="C1" i="18"/>
  <c r="AI61" i="17"/>
  <c r="AI60" i="17"/>
  <c r="AI59" i="17"/>
  <c r="AI58" i="17"/>
  <c r="AI7" i="17"/>
  <c r="AI4" i="17"/>
  <c r="C1" i="15"/>
  <c r="AI62" i="17" l="1"/>
  <c r="AI62" i="21"/>
  <c r="AI62" i="22"/>
  <c r="AI62" i="25"/>
  <c r="AI62" i="20"/>
  <c r="AI62" i="19"/>
  <c r="AI62" i="24"/>
  <c r="AI4" i="5" l="1"/>
  <c r="AI4" i="15" l="1"/>
  <c r="D62" i="4" l="1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7" i="15" l="1"/>
  <c r="AI58" i="15"/>
  <c r="AI59" i="15"/>
  <c r="AI60" i="15"/>
  <c r="AI61" i="15"/>
  <c r="AI62" i="15" l="1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I61" i="5" l="1"/>
  <c r="AI10" i="5"/>
  <c r="AI9" i="5"/>
  <c r="AI61" i="4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I8" i="5"/>
  <c r="AI7" i="5"/>
  <c r="AI62" i="5" l="1"/>
  <c r="AI7" i="4"/>
  <c r="AI8" i="4"/>
  <c r="AI62" i="4" l="1"/>
</calcChain>
</file>

<file path=xl/sharedStrings.xml><?xml version="1.0" encoding="utf-8"?>
<sst xmlns="http://schemas.openxmlformats.org/spreadsheetml/2006/main" count="719" uniqueCount="116">
  <si>
    <t>Çalışan Adı</t>
  </si>
  <si>
    <t>T</t>
  </si>
  <si>
    <t>1</t>
  </si>
  <si>
    <t>2</t>
  </si>
  <si>
    <t>3</t>
  </si>
  <si>
    <t>K</t>
  </si>
  <si>
    <t>4</t>
  </si>
  <si>
    <t>H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</si>
  <si>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</si>
  <si>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</si>
  <si>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</si>
  <si>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</si>
  <si>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</si>
  <si>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</si>
  <si>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</si>
  <si>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</si>
  <si>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</si>
  <si>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</si>
  <si>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</si>
  <si>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</si>
  <si>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Özel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</si>
  <si>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</si>
  <si>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</si>
  <si>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</si>
  <si>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</si>
  <si>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</si>
  <si>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</si>
  <si>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</si>
  <si>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</si>
  <si>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</si>
  <si>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</si>
  <si>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</si>
  <si>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</si>
  <si>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</si>
  <si>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</si>
  <si>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</si>
  <si>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Toplam Gün</t>
  </si>
  <si>
    <t xml:space="preserve"> </t>
  </si>
  <si>
    <t xml:space="preserve">  </t>
  </si>
  <si>
    <t>Mart</t>
  </si>
  <si>
    <t>May</t>
  </si>
  <si>
    <t>Çalışan Adları</t>
  </si>
  <si>
    <t>Yanvar</t>
  </si>
  <si>
    <t>Xəstəlik</t>
  </si>
  <si>
    <t>Tətil</t>
  </si>
  <si>
    <t>Ezam</t>
  </si>
  <si>
    <t>Davamiyət qısa yollar</t>
  </si>
  <si>
    <t>İstirahət</t>
  </si>
  <si>
    <t>İ</t>
  </si>
  <si>
    <t>İli yazın:</t>
  </si>
  <si>
    <t>Fevral</t>
  </si>
  <si>
    <t>Aprel</t>
  </si>
  <si>
    <t>İyun</t>
  </si>
  <si>
    <t>İyul</t>
  </si>
  <si>
    <t>Avqust</t>
  </si>
  <si>
    <t>Sentyabr</t>
  </si>
  <si>
    <t>Oktyabr</t>
  </si>
  <si>
    <t>Noyabr</t>
  </si>
  <si>
    <t>Dekabr</t>
  </si>
  <si>
    <t>İşçilərin davamiyyət cədvəli</t>
  </si>
  <si>
    <t>E</t>
  </si>
  <si>
    <t>Abbasov Rahib Ziyad</t>
  </si>
  <si>
    <t>Abbasov Sücayət Hüseyn</t>
  </si>
  <si>
    <t>Ağayev Əkrəm Zülfi</t>
  </si>
  <si>
    <t>Babayev Fərid Vaqif</t>
  </si>
  <si>
    <t>Bayramov Asim İsaq</t>
  </si>
  <si>
    <t>Cəfərov Qubad Südeyf</t>
  </si>
  <si>
    <t>Dostəlizadə Mahir Valeh</t>
  </si>
  <si>
    <t>Əhədov Seymur Atakişi</t>
  </si>
  <si>
    <t>Əhmədov Elməddin Əhməd</t>
  </si>
  <si>
    <t>Əhmədov Nurlan Faxrəddin</t>
  </si>
  <si>
    <t>Ələkbərov Bagman Ərəstun</t>
  </si>
  <si>
    <t>Ələkbərov Fərman Qabil</t>
  </si>
  <si>
    <t>Ələsgərov Elməddin Rauf</t>
  </si>
  <si>
    <t>Əliyev Həsən Mais</t>
  </si>
  <si>
    <t>Əliyev Sərdar Əliağa</t>
  </si>
  <si>
    <t>Əliyev Xalıq Xanağa</t>
  </si>
  <si>
    <t>Əsədov Elçin Güloğlan</t>
  </si>
  <si>
    <t>Əşrəfzadə Sərxan Elman</t>
  </si>
  <si>
    <t>Feyzullayev Firudin Ramiz</t>
  </si>
  <si>
    <t>Haşımov Asif Hacı</t>
  </si>
  <si>
    <t>Hüseynov Davud İsa</t>
  </si>
  <si>
    <t>Hüseynov Ədail İsa</t>
  </si>
  <si>
    <t>Hüseynov Səfaddin Əbülfəz</t>
  </si>
  <si>
    <t>Hüseynov Şəmistan Qabil</t>
  </si>
  <si>
    <t>Hüseynov Sərdar İsa</t>
  </si>
  <si>
    <t>Hüseynov Siruz Qabil</t>
  </si>
  <si>
    <t>Hüseynov Taleh Daşqın</t>
  </si>
  <si>
    <t>Hüseynov Tərlan Yadulla</t>
  </si>
  <si>
    <t>İbayev Zahid Mahir</t>
  </si>
  <si>
    <t>İbayev Zahir Mahir</t>
  </si>
  <si>
    <t>Məcidzadə Əli Valeh</t>
  </si>
  <si>
    <t xml:space="preserve">Məmmədli Bəhruz İlham </t>
  </si>
  <si>
    <t>Məmmədli İsa Nazim</t>
  </si>
  <si>
    <t>Məmmədov İlqar Teyyub</t>
  </si>
  <si>
    <t xml:space="preserve">Məmmədov Sahil Ağaxan </t>
  </si>
  <si>
    <t>Məmmədov Yaqub Zahir</t>
  </si>
  <si>
    <t>Məmmədzadə Qərib Fəxrəddin</t>
  </si>
  <si>
    <t xml:space="preserve">Musayev Minbir Oqtay </t>
  </si>
  <si>
    <t>Nəcəfov Fizuli Böyükağa</t>
  </si>
  <si>
    <t>Rəsulov Nurlan Yaşar</t>
  </si>
  <si>
    <t>Rzayev İbrahim Mais</t>
  </si>
  <si>
    <t>Səttarov Ağaəli Ərəstun</t>
  </si>
  <si>
    <t>Tahirov Rəşad Elman</t>
  </si>
  <si>
    <t>Xangəldiyev Asəf Əsabəli</t>
  </si>
  <si>
    <t>Yusubov İsmayıl Sübhan</t>
  </si>
  <si>
    <t>Yusubov İsməddin Sübhan</t>
  </si>
  <si>
    <t>Zeynalov Anar Kamal</t>
  </si>
  <si>
    <t>Zeynalov Şahab Əlizaman</t>
  </si>
  <si>
    <t>s</t>
  </si>
  <si>
    <t>Vəzifəsi</t>
  </si>
  <si>
    <t>Bağban</t>
  </si>
  <si>
    <t>Ofis meneceri</t>
  </si>
  <si>
    <t>Nəzarətçi</t>
  </si>
  <si>
    <t>Rzakov Ramiz</t>
  </si>
  <si>
    <t>Menecer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</si>
</sst>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-* #,##0\ &quot;₺&quot;_-;\-* #,##0\ &quot;₺&quot;_-;_-* &quot;-&quot;\ &quot;₺&quot;_-;_-@_-"/>
    <numFmt numFmtId="167" formatCode="_-* #,##0.00\ &quot;₺&quot;_-;\-* #,##0.00\ &quot;₺&quot;_-;_-* &quot;-&quot;??\ &quot;₺&quot;_-;_-@_-"/>
    <numFmt numFmtId="168" formatCode="0;0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1F2E8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52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0" fillId="0" borderId="0"/>
    <xf numFmtId="0" fontId="21" fillId="0" borderId="0"/>
  </cellStyleXfs>
  <cellXfs count="43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8" fontId="2" fillId="9" borderId="0" xfId="8" applyNumberFormat="1" applyFont="1" applyAlignment="1" applyProtection="1">
      <alignment horizontal="center" vertical="center"/>
    </xf>
    <xf numFmtId="168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8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9" xfId="26" applyFill="1" applyBorder="1" applyProtection="1">
      <alignment horizontal="left" vertical="center" wrapText="1" indent="2"/>
    </xf>
    <xf numFmtId="0" fontId="0" fillId="0" borderId="10" xfId="0" applyBorder="1" applyAlignment="1" applyProtection="1">
      <alignment horizontal="center" vertical="center"/>
    </xf>
    <xf numFmtId="0" fontId="0" fillId="34" borderId="0" xfId="0" applyFill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horizontal="left" vertical="center"/>
    </xf>
    <xf numFmtId="0" fontId="22" fillId="0" borderId="7" xfId="26" applyFont="1" applyBorder="1" applyAlignment="1">
      <alignment horizontal="center" vertical="center" wrapText="1"/>
    </xf>
    <xf numFmtId="0" fontId="23" fillId="0" borderId="7" xfId="50" applyFont="1" applyBorder="1" applyAlignment="1">
      <alignment horizontal="center" vertical="center"/>
    </xf>
    <xf numFmtId="0" fontId="23" fillId="0" borderId="7" xfId="49" applyFont="1" applyBorder="1" applyAlignment="1">
      <alignment horizontal="center" vertical="center"/>
    </xf>
    <xf numFmtId="0" fontId="22" fillId="33" borderId="7" xfId="26" applyFont="1" applyFill="1" applyBorder="1" applyAlignment="1">
      <alignment horizontal="center" vertical="center" wrapText="1"/>
    </xf>
    <xf numFmtId="0" fontId="22" fillId="0" borderId="6" xfId="26" applyFont="1" applyBorder="1" applyAlignment="1">
      <alignment horizontal="center" vertical="center" wrapText="1"/>
    </xf>
    <xf numFmtId="0" fontId="6" fillId="0" borderId="0" xfId="1" applyAlignment="1">
      <alignment horizontal="center" vertical="center"/>
    </xf>
    <xf numFmtId="0" fontId="22" fillId="0" borderId="7" xfId="49" applyFont="1" applyBorder="1" applyAlignment="1">
      <alignment horizontal="center" vertical="center"/>
    </xf>
    <xf numFmtId="0" fontId="22" fillId="0" borderId="7" xfId="51" applyFont="1" applyBorder="1" applyAlignment="1">
      <alignment horizontal="center" vertical="center"/>
    </xf>
    <xf numFmtId="0" fontId="22" fillId="0" borderId="8" xfId="26" applyFont="1" applyBorder="1" applyAlignment="1">
      <alignment horizontal="center" vertical="center" wrapText="1"/>
    </xf>
    <xf numFmtId="0" fontId="22" fillId="0" borderId="8" xfId="51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  <xf numFmtId="0" fontId="24" fillId="0" borderId="0" xfId="0" applyFont="1" applyFill="1" applyBorder="1" applyAlignment="1" applyProtection="1">
      <alignment horizontal="left" vertical="center" indent="1"/>
    </xf>
    <xf numFmtId="168" fontId="24" fillId="0" borderId="0" xfId="0" applyNumberFormat="1" applyFont="1" applyFill="1" applyBorder="1" applyAlignment="1" applyProtection="1">
      <alignment horizontal="center" vertical="center"/>
    </xf>
  </cellXfs>
  <cellStyles count="52">
    <cellStyle name="%20 - Vurgu1" xfId="15" builtinId="30" customBuiltin="1"/>
    <cellStyle name="%20 - Vurgu2" xfId="44" builtinId="34" customBuiltin="1"/>
    <cellStyle name="%20 - Vurgu3" xfId="21" builtinId="38" customBuiltin="1"/>
    <cellStyle name="%20 - Vurgu4" xfId="7" builtinId="42" customBuiltin="1"/>
    <cellStyle name="%20 - Vurgu5" xfId="47" builtinId="46" customBuiltin="1"/>
    <cellStyle name="%20 - Vurgu6" xfId="11" builtinId="50" customBuiltin="1"/>
    <cellStyle name="%40 - Vurgu1" xfId="16" builtinId="31" customBuiltin="1"/>
    <cellStyle name="%40 - Vurgu2" xfId="19" builtinId="35" customBuiltin="1"/>
    <cellStyle name="%40 - Vurgu3" xfId="22" builtinId="39" customBuiltin="1"/>
    <cellStyle name="%40 - Vurgu4" xfId="8" builtinId="43" customBuiltin="1"/>
    <cellStyle name="%40 - Vurgu5" xfId="24" builtinId="47" customBuiltin="1"/>
    <cellStyle name="%40 - Vurgu6" xfId="12" builtinId="51" customBuiltin="1"/>
    <cellStyle name="%60 - Vurgu1" xfId="17" builtinId="32" customBuiltin="1"/>
    <cellStyle name="%60 - Vurgu2" xfId="45" builtinId="36" customBuiltin="1"/>
    <cellStyle name="%60 - Vurgu3" xfId="23" builtinId="40" customBuiltin="1"/>
    <cellStyle name="%60 - Vurgu4" xfId="9" builtinId="44" customBuiltin="1"/>
    <cellStyle name="%60 - Vurgu5" xfId="48" builtinId="48" customBuiltin="1"/>
    <cellStyle name="%60 - Vurgu6" xfId="13" builtinId="52" customBuiltin="1"/>
    <cellStyle name="Açıklama Metni" xfId="43" builtinId="53" customBuiltin="1"/>
    <cellStyle name="Ana Başlık" xfId="1" builtinId="15" customBuiltin="1"/>
    <cellStyle name="Bağlı Hücre" xfId="39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Binlik Ayracı [0]" xfId="29" builtinId="6" customBuiltin="1"/>
    <cellStyle name="Çalışan" xfId="26"/>
    <cellStyle name="Çıkış" xfId="37" builtinId="21" customBuiltin="1"/>
    <cellStyle name="Etiket" xfId="27"/>
    <cellStyle name="Giriş" xfId="36" builtinId="20" customBuiltin="1"/>
    <cellStyle name="Hesaplama" xfId="38" builtinId="22" customBuiltin="1"/>
    <cellStyle name="İşaretli Hücre" xfId="40" builtinId="23" customBuiltin="1"/>
    <cellStyle name="İyi" xfId="33" builtinId="26" customBuiltin="1"/>
    <cellStyle name="Kötü" xfId="34" builtinId="27" customBuiltin="1"/>
    <cellStyle name="Normal" xfId="0" builtinId="0" customBuiltin="1"/>
    <cellStyle name="Normal 2" xfId="49"/>
    <cellStyle name="Not" xfId="42" builtinId="10" customBuiltin="1"/>
    <cellStyle name="Nötr" xfId="35" builtinId="28" customBuiltin="1"/>
    <cellStyle name="ParaBirimi" xfId="30" builtinId="4" customBuiltin="1"/>
    <cellStyle name="ParaBirimi [0]" xfId="31" builtinId="7" customBuiltin="1"/>
    <cellStyle name="Toplam" xfId="25" builtinId="25" customBuiltin="1"/>
    <cellStyle name="Uyarı Metni" xfId="41" builtinId="11" customBuiltin="1"/>
    <cellStyle name="Virgül" xfId="28" builtinId="3" customBuiltin="1"/>
    <cellStyle name="Vurgu1" xfId="14" builtinId="29" customBuiltin="1"/>
    <cellStyle name="Vurgu2" xfId="18" builtinId="33" customBuiltin="1"/>
    <cellStyle name="Vurgu3" xfId="20" builtinId="37" customBuiltin="1"/>
    <cellStyle name="Vurgu4" xfId="6" builtinId="41" customBuiltin="1"/>
    <cellStyle name="Vurgu5" xfId="46" builtinId="45" customBuiltin="1"/>
    <cellStyle name="Vurgu6" xfId="10" builtinId="49" customBuiltin="1"/>
    <cellStyle name="Yüzde" xfId="32" builtinId="5" customBuiltin="1"/>
    <cellStyle name="Обычный 3 2" xfId="50"/>
    <cellStyle name="Обычный 4" xfId="51"/>
  </cellStyles>
  <dxfs count="9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aj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aj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aj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numFmt numFmtId="1" formatCode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numFmt numFmtId="1" formatCode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numFmt numFmtId="1" formatCode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numFmt numFmtId="1" formatCode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Çalışan Devamsızlık Tablosu" pivot="0" count="13">
      <tableStyleElement type="wholeTable" dxfId="905"/>
      <tableStyleElement type="headerRow" dxfId="904"/>
      <tableStyleElement type="totalRow" dxfId="903"/>
      <tableStyleElement type="firstColumn" dxfId="902"/>
      <tableStyleElement type="lastColumn" dxfId="901"/>
      <tableStyleElement type="firstRowStripe" dxfId="900"/>
      <tableStyleElement type="secondRowStripe" dxfId="899"/>
      <tableStyleElement type="firstColumnStripe" dxfId="898"/>
      <tableStyleElement type="secondColumnStripe" dxfId="897"/>
      <tableStyleElement type="firstHeaderCell" dxfId="896"/>
      <tableStyleElement type="lastHeaderCell" dxfId="895"/>
      <tableStyleElement type="firstTotalCell" dxfId="894"/>
      <tableStyleElement type="lastTotalCell" dxfId="893"/>
    </tableStyle>
  </tableStyles>
  <colors>
    <mruColors>
      <color rgb="FFF1F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118534</xdr:colOff>
      <xdr:row>0</xdr:row>
      <xdr:rowOff>25400</xdr:rowOff>
    </xdr:from>
    <xdr:to>
      <xdr:col>1</xdr:col>
      <xdr:colOff>1286933</xdr:colOff>
      <xdr:row>4</xdr:row>
      <xdr:rowOff>93133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E425CF3-66DD-4401-A4CB-52E11565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1" y="25400"/>
          <a:ext cx="1168399" cy="147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68580</xdr:rowOff>
    </xdr:from>
    <xdr:to>
      <xdr:col>1</xdr:col>
      <xdr:colOff>1267459</xdr:colOff>
      <xdr:row>4</xdr:row>
      <xdr:rowOff>147320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704916-F7F4-4E3B-9383-D06350997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" y="68580"/>
          <a:ext cx="1168399" cy="1473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91440</xdr:rowOff>
    </xdr:from>
    <xdr:to>
      <xdr:col>1</xdr:col>
      <xdr:colOff>1282699</xdr:colOff>
      <xdr:row>4</xdr:row>
      <xdr:rowOff>170180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182E7E-4135-43FA-BF56-51B0B70E4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" y="91440"/>
          <a:ext cx="1168399" cy="1473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83820</xdr:rowOff>
    </xdr:from>
    <xdr:to>
      <xdr:col>1</xdr:col>
      <xdr:colOff>1313179</xdr:colOff>
      <xdr:row>4</xdr:row>
      <xdr:rowOff>162560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8EAD20-ED75-4F1D-BF78-B9FAB2656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" y="83820"/>
          <a:ext cx="1168399" cy="147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0</xdr:row>
      <xdr:rowOff>60960</xdr:rowOff>
    </xdr:from>
    <xdr:to>
      <xdr:col>1</xdr:col>
      <xdr:colOff>1275079</xdr:colOff>
      <xdr:row>4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61A246-80DB-490C-B927-9C4DB8762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60960"/>
          <a:ext cx="1168399" cy="1473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76200</xdr:rowOff>
    </xdr:from>
    <xdr:to>
      <xdr:col>1</xdr:col>
      <xdr:colOff>1267459</xdr:colOff>
      <xdr:row>4</xdr:row>
      <xdr:rowOff>154940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C6DD2B-55AB-4EFE-BA47-328317ED3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" y="76200"/>
          <a:ext cx="1168399" cy="147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60960</xdr:rowOff>
    </xdr:from>
    <xdr:to>
      <xdr:col>1</xdr:col>
      <xdr:colOff>1282699</xdr:colOff>
      <xdr:row>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E14AF-69BD-4B9E-8D82-C1DC8488A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" y="60960"/>
          <a:ext cx="1168399" cy="1473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0</xdr:row>
      <xdr:rowOff>53340</xdr:rowOff>
    </xdr:from>
    <xdr:to>
      <xdr:col>1</xdr:col>
      <xdr:colOff>1275079</xdr:colOff>
      <xdr:row>4</xdr:row>
      <xdr:rowOff>132080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F97211-9E5A-4FF8-816A-B5CAC22C5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53340"/>
          <a:ext cx="1168399" cy="1473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83820</xdr:rowOff>
    </xdr:from>
    <xdr:to>
      <xdr:col>1</xdr:col>
      <xdr:colOff>1313179</xdr:colOff>
      <xdr:row>4</xdr:row>
      <xdr:rowOff>162560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978E2C-B603-41E2-9EB6-A69B50504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" y="83820"/>
          <a:ext cx="1168399" cy="1473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0</xdr:row>
      <xdr:rowOff>68580</xdr:rowOff>
    </xdr:from>
    <xdr:to>
      <xdr:col>1</xdr:col>
      <xdr:colOff>1328419</xdr:colOff>
      <xdr:row>4</xdr:row>
      <xdr:rowOff>147320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C0AB7-A7F5-4F70-8089-2ECC2877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68580"/>
          <a:ext cx="1168399" cy="1473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</xdr:colOff>
      <xdr:row>0</xdr:row>
      <xdr:rowOff>83820</xdr:rowOff>
    </xdr:from>
    <xdr:to>
      <xdr:col>1</xdr:col>
      <xdr:colOff>1290319</xdr:colOff>
      <xdr:row>4</xdr:row>
      <xdr:rowOff>162560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F7B62A-AE21-4515-973F-11C51B042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83820"/>
          <a:ext cx="1168399" cy="1473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76200</xdr:rowOff>
    </xdr:from>
    <xdr:to>
      <xdr:col>1</xdr:col>
      <xdr:colOff>1305559</xdr:colOff>
      <xdr:row>4</xdr:row>
      <xdr:rowOff>154940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73DDF-7C34-4C4A-B827-059A1F7BA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" y="76200"/>
          <a:ext cx="1168399" cy="1473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Ocak" displayName="Ocak" ref="C6:AI62" totalsRowCount="1" headerRowDxfId="887" dataDxfId="886" totalsRowDxfId="885">
  <autoFilter ref="C6:AI6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Çalışan Adı" totalsRowFunction="custom" dataDxfId="884" totalsRowDxfId="32" dataCellStyle="Çalışan">
      <totalsRowFormula>AyAdı&amp;" Toplamı"</totalsRowFormula>
    </tableColumn>
    <tableColumn id="2" name="1" totalsRowFunction="custom" dataDxfId="883" totalsRowDxfId="31">
      <totalsRowFormula>SUBTOTAL(103,Yanvar!$D$7:$D$61)</totalsRowFormula>
    </tableColumn>
    <tableColumn id="3" name="2" totalsRowFunction="custom" dataDxfId="882" totalsRowDxfId="30">
      <totalsRowFormula>SUBTOTAL(103,Yanvar!$E$7:$E$61)</totalsRowFormula>
    </tableColumn>
    <tableColumn id="4" name="3" totalsRowFunction="custom" dataDxfId="881" totalsRowDxfId="29">
      <totalsRowFormula>SUBTOTAL(103,Yanvar!$F$7:$F$61)</totalsRowFormula>
    </tableColumn>
    <tableColumn id="5" name="4" totalsRowFunction="custom" dataDxfId="880" totalsRowDxfId="28">
      <totalsRowFormula>SUBTOTAL(103,Yanvar!$G$7:$G$61)</totalsRowFormula>
    </tableColumn>
    <tableColumn id="6" name="5" totalsRowFunction="custom" totalsRowDxfId="27">
      <totalsRowFormula>SUBTOTAL(103,Yanvar!$H$7:$H$61)</totalsRowFormula>
    </tableColumn>
    <tableColumn id="7" name="6" totalsRowFunction="custom" dataDxfId="879" totalsRowDxfId="26">
      <totalsRowFormula>SUBTOTAL(103,Yanvar!$I$7:$I$61)</totalsRowFormula>
    </tableColumn>
    <tableColumn id="8" name="7" totalsRowFunction="custom" dataDxfId="878" totalsRowDxfId="25">
      <totalsRowFormula>SUBTOTAL(103,Yanvar!$J$7:$J$61)</totalsRowFormula>
    </tableColumn>
    <tableColumn id="9" name="8" totalsRowFunction="custom" dataDxfId="877" totalsRowDxfId="24">
      <totalsRowFormula>SUBTOTAL(103,Yanvar!$K$7:$K$61)</totalsRowFormula>
    </tableColumn>
    <tableColumn id="10" name="9" totalsRowFunction="custom" dataDxfId="876" totalsRowDxfId="23">
      <totalsRowFormula>SUBTOTAL(103,Yanvar!$L$7:$L$61)</totalsRowFormula>
    </tableColumn>
    <tableColumn id="11" name="10" totalsRowFunction="custom" dataDxfId="875" totalsRowDxfId="22">
      <totalsRowFormula>SUBTOTAL(103,Yanvar!$M$7:$M$61)</totalsRowFormula>
    </tableColumn>
    <tableColumn id="12" name="11" totalsRowFunction="custom" dataDxfId="874" totalsRowDxfId="21">
      <totalsRowFormula>SUBTOTAL(103,Yanvar!$N$7:$N$61)</totalsRowFormula>
    </tableColumn>
    <tableColumn id="13" name="12" totalsRowFunction="custom" dataDxfId="873" totalsRowDxfId="20">
      <totalsRowFormula>SUBTOTAL(103,Yanvar!$O$7:$O$61)</totalsRowFormula>
    </tableColumn>
    <tableColumn id="14" name="13" totalsRowFunction="custom" dataDxfId="872" totalsRowDxfId="19">
      <totalsRowFormula>SUBTOTAL(103,Yanvar!$P$7:$P$61)</totalsRowFormula>
    </tableColumn>
    <tableColumn id="15" name="14" totalsRowFunction="custom" dataDxfId="871" totalsRowDxfId="18">
      <totalsRowFormula>SUBTOTAL(103,Yanvar!$Q$7:$Q$61)</totalsRowFormula>
    </tableColumn>
    <tableColumn id="16" name="15" totalsRowFunction="custom" dataDxfId="870" totalsRowDxfId="17">
      <totalsRowFormula>SUBTOTAL(103,Yanvar!$R$7:$R$61)</totalsRowFormula>
    </tableColumn>
    <tableColumn id="17" name="16" totalsRowFunction="custom" dataDxfId="869" totalsRowDxfId="16">
      <totalsRowFormula>SUBTOTAL(103,Yanvar!$S$7:$S$61)</totalsRowFormula>
    </tableColumn>
    <tableColumn id="18" name="17" totalsRowFunction="custom" dataDxfId="868" totalsRowDxfId="15">
      <totalsRowFormula>SUBTOTAL(103,Yanvar!$T$7:$T$61)</totalsRowFormula>
    </tableColumn>
    <tableColumn id="19" name="18" totalsRowFunction="custom" dataDxfId="867" totalsRowDxfId="14">
      <totalsRowFormula>SUBTOTAL(103,Yanvar!$U$7:$U$61)</totalsRowFormula>
    </tableColumn>
    <tableColumn id="20" name="19" totalsRowFunction="custom" dataDxfId="866" totalsRowDxfId="13">
      <totalsRowFormula>SUBTOTAL(103,Yanvar!$V$7:$V$61)</totalsRowFormula>
    </tableColumn>
    <tableColumn id="21" name="20" totalsRowFunction="custom" dataDxfId="865" totalsRowDxfId="12">
      <totalsRowFormula>SUBTOTAL(103,Yanvar!$W$7:$W$61)</totalsRowFormula>
    </tableColumn>
    <tableColumn id="22" name="21" totalsRowFunction="custom" dataDxfId="864" totalsRowDxfId="11">
      <totalsRowFormula>SUBTOTAL(103,Yanvar!$X$7:$X$61)</totalsRowFormula>
    </tableColumn>
    <tableColumn id="23" name="22" totalsRowFunction="custom" dataDxfId="863" totalsRowDxfId="10">
      <totalsRowFormula>SUBTOTAL(103,Yanvar!$Y$7:$Y$61)</totalsRowFormula>
    </tableColumn>
    <tableColumn id="24" name="23" totalsRowFunction="custom" dataDxfId="862" totalsRowDxfId="9">
      <totalsRowFormula>SUBTOTAL(103,Yanvar!$Z$7:$Z$61)</totalsRowFormula>
    </tableColumn>
    <tableColumn id="25" name="24" totalsRowFunction="custom" dataDxfId="861" totalsRowDxfId="8">
      <totalsRowFormula>SUBTOTAL(103,Yanvar!$AA$7:$AA$61)</totalsRowFormula>
    </tableColumn>
    <tableColumn id="26" name="25" totalsRowFunction="custom" dataDxfId="860" totalsRowDxfId="7">
      <totalsRowFormula>SUBTOTAL(103,Yanvar!$AB$7:$AB$61)</totalsRowFormula>
    </tableColumn>
    <tableColumn id="27" name="26" totalsRowFunction="custom" dataDxfId="859" totalsRowDxfId="6">
      <totalsRowFormula>SUBTOTAL(103,Yanvar!$AC$7:$AC$61)</totalsRowFormula>
    </tableColumn>
    <tableColumn id="28" name="27" totalsRowFunction="custom" dataDxfId="858" totalsRowDxfId="5">
      <totalsRowFormula>SUBTOTAL(103,Yanvar!$AD$7:$AD$61)</totalsRowFormula>
    </tableColumn>
    <tableColumn id="29" name="28" totalsRowFunction="custom" dataDxfId="857" totalsRowDxfId="4">
      <totalsRowFormula>SUBTOTAL(103,Yanvar!$AE$7:$AE$61)</totalsRowFormula>
    </tableColumn>
    <tableColumn id="30" name="29" totalsRowFunction="custom" dataDxfId="856" totalsRowDxfId="3">
      <totalsRowFormula>SUBTOTAL(103,Yanvar!$AF$7:$AF$61)</totalsRowFormula>
    </tableColumn>
    <tableColumn id="31" name="30" totalsRowFunction="custom" dataDxfId="855" totalsRowDxfId="2">
      <totalsRowFormula>SUBTOTAL(103,Yanvar!$AG$7:$AG$61)</totalsRowFormula>
    </tableColumn>
    <tableColumn id="32" name="31" totalsRowFunction="custom" dataDxfId="854" totalsRowDxfId="1">
      <totalsRowFormula>SUBTOTAL(103,Yanvar!$AH$7:$AH$61)</totalsRowFormula>
    </tableColumn>
    <tableColumn id="33" name="Toplam Gün" totalsRowFunction="sum" dataDxfId="853" totalsRowDxfId="0">
      <calculatedColumnFormula>COUNTA(Yanvar!$D7:$AH7)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 adlarını ve devamsızlık tarihlerini girin. Anahtara göre ifade edilen devamsızlık türünü 12. satırda kaydedin: T=Tatil, H=Hastalık, K=Kişisel ve özel girdiler için iki yer tutucu"/>
    </ext>
  </extLst>
</table>
</file>

<file path=xl/tables/table10.xml><?xml version="1.0" encoding="utf-8"?>
<table xmlns="http://schemas.openxmlformats.org/spreadsheetml/2006/main" id="21" name="Ekim" displayName="Ekim" ref="C6:AI62" totalsRowCount="1" headerRowDxfId="451" dataDxfId="450" totalsRowDxfId="449">
  <tableColumns count="33">
    <tableColumn id="1" name="Çalışan Adı" totalsRowFunction="custom" dataDxfId="448" totalsRowDxfId="131" dataCellStyle="Çalışan">
      <calculatedColumnFormula>Sentyabr!C7</calculatedColumnFormula>
      <totalsRowFormula>AyAdı&amp;" Toplamı"</totalsRowFormula>
    </tableColumn>
    <tableColumn id="2" name="1" totalsRowFunction="count" dataDxfId="447" totalsRowDxfId="130"/>
    <tableColumn id="3" name="2" totalsRowFunction="count" dataDxfId="446" totalsRowDxfId="129"/>
    <tableColumn id="4" name="3" totalsRowFunction="count" dataDxfId="445" totalsRowDxfId="128"/>
    <tableColumn id="5" name="4" totalsRowFunction="count" dataDxfId="444" totalsRowDxfId="127"/>
    <tableColumn id="6" name="5" totalsRowFunction="count" dataDxfId="443" totalsRowDxfId="126"/>
    <tableColumn id="7" name="6" totalsRowFunction="count" dataDxfId="442" totalsRowDxfId="125"/>
    <tableColumn id="8" name="7" totalsRowFunction="count" dataDxfId="441" totalsRowDxfId="124"/>
    <tableColumn id="9" name="8" totalsRowFunction="count" dataDxfId="440" totalsRowDxfId="123"/>
    <tableColumn id="10" name="9" totalsRowFunction="count" dataDxfId="439" totalsRowDxfId="122"/>
    <tableColumn id="11" name="10" totalsRowFunction="count" dataDxfId="438" totalsRowDxfId="121"/>
    <tableColumn id="12" name="11" totalsRowFunction="count" dataDxfId="437" totalsRowDxfId="120"/>
    <tableColumn id="13" name="12" totalsRowFunction="count" dataDxfId="436" totalsRowDxfId="119"/>
    <tableColumn id="14" name="13" totalsRowFunction="count" dataDxfId="435" totalsRowDxfId="118"/>
    <tableColumn id="15" name="14" totalsRowFunction="count" dataDxfId="434" totalsRowDxfId="117"/>
    <tableColumn id="16" name="15" totalsRowFunction="count" dataDxfId="433" totalsRowDxfId="116"/>
    <tableColumn id="17" name="16" totalsRowFunction="count" dataDxfId="432" totalsRowDxfId="115"/>
    <tableColumn id="18" name="17" totalsRowFunction="count" dataDxfId="431" totalsRowDxfId="114"/>
    <tableColumn id="19" name="18" totalsRowFunction="count" dataDxfId="430" totalsRowDxfId="113"/>
    <tableColumn id="20" name="19" totalsRowFunction="count" dataDxfId="429" totalsRowDxfId="112"/>
    <tableColumn id="21" name="20" totalsRowFunction="count" dataDxfId="428" totalsRowDxfId="111"/>
    <tableColumn id="22" name="21" totalsRowFunction="count" dataDxfId="427" totalsRowDxfId="110"/>
    <tableColumn id="23" name="22" totalsRowFunction="count" dataDxfId="426" totalsRowDxfId="109"/>
    <tableColumn id="24" name="23" totalsRowFunction="count" dataDxfId="425" totalsRowDxfId="108"/>
    <tableColumn id="25" name="24" totalsRowFunction="count" dataDxfId="424" totalsRowDxfId="107"/>
    <tableColumn id="26" name="25" totalsRowFunction="count" dataDxfId="423" totalsRowDxfId="106"/>
    <tableColumn id="27" name="26" totalsRowFunction="count" dataDxfId="422" totalsRowDxfId="105"/>
    <tableColumn id="28" name="27" totalsRowFunction="count" dataDxfId="421" totalsRowDxfId="104"/>
    <tableColumn id="29" name="28" totalsRowFunction="count" dataDxfId="420" totalsRowDxfId="103"/>
    <tableColumn id="30" name="29" totalsRowFunction="count" dataDxfId="419" totalsRowDxfId="102"/>
    <tableColumn id="31" name="30" totalsRowFunction="count" dataDxfId="418" totalsRowDxfId="101"/>
    <tableColumn id="32" name="31" totalsRowFunction="count" dataDxfId="417" totalsRowDxfId="100"/>
    <tableColumn id="33" name="Toplam Gün" totalsRowFunction="sum" dataDxfId="416" totalsRowDxfId="99">
      <calculatedColumnFormula>COUNTA(Ekim[[#This Row],[1]:[31]])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 adlarını ve devamsızlık tarihlerini girin. Anahtara göre ifade edilen devamsızlık türünü 12. satırda kaydedin: T=Tatil, H=Hastalık, K=Kişisel ve özel girdiler için iki yer tutucu"/>
    </ext>
  </extLst>
</table>
</file>

<file path=xl/tables/table11.xml><?xml version="1.0" encoding="utf-8"?>
<table xmlns="http://schemas.openxmlformats.org/spreadsheetml/2006/main" id="22" name="Kasım" displayName="Kasım" ref="C6:AI62" totalsRowCount="1" headerRowDxfId="410" dataDxfId="409" totalsRowDxfId="408">
  <tableColumns count="33">
    <tableColumn id="1" name="Çalışan Adı" totalsRowFunction="custom" dataDxfId="407" totalsRowDxfId="98" dataCellStyle="Çalışan">
      <calculatedColumnFormula>Oktyabr!C7</calculatedColumnFormula>
      <totalsRowFormula>AyAdı&amp;" Toplamı"</totalsRowFormula>
    </tableColumn>
    <tableColumn id="2" name="1" totalsRowFunction="count" dataDxfId="406" totalsRowDxfId="97"/>
    <tableColumn id="3" name="2" totalsRowFunction="count" dataDxfId="405" totalsRowDxfId="96"/>
    <tableColumn id="4" name="3" totalsRowFunction="count" dataDxfId="404" totalsRowDxfId="95"/>
    <tableColumn id="5" name="4" totalsRowFunction="count" dataDxfId="403" totalsRowDxfId="94"/>
    <tableColumn id="6" name="5" totalsRowFunction="count" dataDxfId="402" totalsRowDxfId="93"/>
    <tableColumn id="7" name="6" totalsRowFunction="count" dataDxfId="401" totalsRowDxfId="92"/>
    <tableColumn id="8" name="7" totalsRowFunction="count" dataDxfId="400" totalsRowDxfId="91"/>
    <tableColumn id="9" name="8" totalsRowFunction="count" dataDxfId="399" totalsRowDxfId="90"/>
    <tableColumn id="10" name="9" totalsRowFunction="count" dataDxfId="398" totalsRowDxfId="89"/>
    <tableColumn id="11" name="10" totalsRowFunction="count" dataDxfId="397" totalsRowDxfId="88"/>
    <tableColumn id="12" name="11" totalsRowFunction="count" dataDxfId="396" totalsRowDxfId="87"/>
    <tableColumn id="13" name="12" totalsRowFunction="count" dataDxfId="395" totalsRowDxfId="86"/>
    <tableColumn id="14" name="13" totalsRowFunction="count" dataDxfId="394" totalsRowDxfId="85"/>
    <tableColumn id="15" name="14" totalsRowFunction="count" dataDxfId="393" totalsRowDxfId="84"/>
    <tableColumn id="16" name="15" totalsRowFunction="count" dataDxfId="392" totalsRowDxfId="83"/>
    <tableColumn id="17" name="16" totalsRowFunction="count" dataDxfId="391" totalsRowDxfId="82"/>
    <tableColumn id="18" name="17" totalsRowFunction="count" dataDxfId="390" totalsRowDxfId="81"/>
    <tableColumn id="19" name="18" totalsRowFunction="count" dataDxfId="389" totalsRowDxfId="80"/>
    <tableColumn id="20" name="19" totalsRowFunction="count" dataDxfId="388" totalsRowDxfId="79"/>
    <tableColumn id="21" name="20" totalsRowFunction="count" dataDxfId="387" totalsRowDxfId="78"/>
    <tableColumn id="22" name="21" totalsRowFunction="count" dataDxfId="386" totalsRowDxfId="77"/>
    <tableColumn id="23" name="22" totalsRowFunction="count" dataDxfId="385" totalsRowDxfId="76"/>
    <tableColumn id="24" name="23" totalsRowFunction="count" dataDxfId="384" totalsRowDxfId="75"/>
    <tableColumn id="25" name="24" totalsRowFunction="count" dataDxfId="383" totalsRowDxfId="74"/>
    <tableColumn id="26" name="25" totalsRowFunction="count" dataDxfId="382" totalsRowDxfId="73"/>
    <tableColumn id="27" name="26" totalsRowFunction="count" dataDxfId="381" totalsRowDxfId="72"/>
    <tableColumn id="28" name="27" totalsRowFunction="count" dataDxfId="380" totalsRowDxfId="71"/>
    <tableColumn id="29" name="28" totalsRowFunction="count" dataDxfId="379" totalsRowDxfId="70"/>
    <tableColumn id="30" name="29" totalsRowFunction="count" dataDxfId="378" totalsRowDxfId="69"/>
    <tableColumn id="31" name="30" totalsRowFunction="count" dataDxfId="377" totalsRowDxfId="68"/>
    <tableColumn id="32" name=" " totalsRowFunction="count" dataDxfId="376" totalsRowDxfId="67"/>
    <tableColumn id="33" name="Toplam Gün" totalsRowFunction="sum" dataDxfId="375" totalsRowDxfId="66">
      <calculatedColumnFormula>COUNTA(Kasım[[#This Row],[1]:[30]])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 adlarını ve devamsızlık tarihlerini girin. Anahtara göre ifade edilen devamsızlık türünü 12. satırda kaydedin: T=Tatil, H=Hastalık, K=Kişisel ve özel girdiler için iki yer tutucu"/>
    </ext>
  </extLst>
</table>
</file>

<file path=xl/tables/table12.xml><?xml version="1.0" encoding="utf-8"?>
<table xmlns="http://schemas.openxmlformats.org/spreadsheetml/2006/main" id="12" name="Aralık" displayName="Aralık" ref="C6:AI62" totalsRowCount="1" headerRowDxfId="369" dataDxfId="368" totalsRowDxfId="367">
  <tableColumns count="33">
    <tableColumn id="1" name="Çalışan Adı" totalsRowFunction="custom" dataDxfId="366" totalsRowDxfId="65" dataCellStyle="Çalışan">
      <calculatedColumnFormula>Noyabr!C7</calculatedColumnFormula>
      <totalsRowFormula>AyAdı&amp;" Toplamı"</totalsRowFormula>
    </tableColumn>
    <tableColumn id="2" name="1" totalsRowFunction="count" dataDxfId="365" totalsRowDxfId="64"/>
    <tableColumn id="3" name="2" totalsRowFunction="count" dataDxfId="364" totalsRowDxfId="63"/>
    <tableColumn id="4" name="3" totalsRowFunction="count" dataDxfId="363" totalsRowDxfId="62"/>
    <tableColumn id="5" name="4" totalsRowFunction="count" dataDxfId="362" totalsRowDxfId="61"/>
    <tableColumn id="6" name="5" totalsRowFunction="count" dataDxfId="361" totalsRowDxfId="60"/>
    <tableColumn id="7" name="6" totalsRowFunction="count" dataDxfId="360" totalsRowDxfId="59"/>
    <tableColumn id="8" name="7" totalsRowFunction="count" dataDxfId="359" totalsRowDxfId="58"/>
    <tableColumn id="9" name="8" totalsRowFunction="count" dataDxfId="358" totalsRowDxfId="57"/>
    <tableColumn id="10" name="9" totalsRowFunction="count" dataDxfId="357" totalsRowDxfId="56"/>
    <tableColumn id="11" name="10" totalsRowFunction="count" dataDxfId="356" totalsRowDxfId="55"/>
    <tableColumn id="12" name="11" totalsRowFunction="count" dataDxfId="355" totalsRowDxfId="54"/>
    <tableColumn id="13" name="12" totalsRowFunction="count" dataDxfId="354" totalsRowDxfId="53"/>
    <tableColumn id="14" name="13" totalsRowFunction="count" dataDxfId="353" totalsRowDxfId="52"/>
    <tableColumn id="15" name="14" totalsRowFunction="count" dataDxfId="352" totalsRowDxfId="51"/>
    <tableColumn id="16" name="15" totalsRowFunction="count" dataDxfId="351" totalsRowDxfId="50"/>
    <tableColumn id="17" name="16" totalsRowFunction="count" dataDxfId="350" totalsRowDxfId="49"/>
    <tableColumn id="18" name="17" totalsRowFunction="count" dataDxfId="349" totalsRowDxfId="48"/>
    <tableColumn id="19" name="18" totalsRowFunction="count" dataDxfId="348" totalsRowDxfId="47"/>
    <tableColumn id="20" name="19" totalsRowFunction="count" dataDxfId="347" totalsRowDxfId="46"/>
    <tableColumn id="21" name="20" totalsRowFunction="count" dataDxfId="346" totalsRowDxfId="45"/>
    <tableColumn id="22" name="21" totalsRowFunction="count" dataDxfId="345" totalsRowDxfId="44"/>
    <tableColumn id="23" name="22" totalsRowFunction="count" dataDxfId="344" totalsRowDxfId="43"/>
    <tableColumn id="24" name="23" totalsRowFunction="count" dataDxfId="343" totalsRowDxfId="42"/>
    <tableColumn id="25" name="24" totalsRowFunction="count" dataDxfId="342" totalsRowDxfId="41"/>
    <tableColumn id="26" name="25" totalsRowFunction="count" dataDxfId="341" totalsRowDxfId="40"/>
    <tableColumn id="27" name="26" totalsRowFunction="count" dataDxfId="340" totalsRowDxfId="39"/>
    <tableColumn id="28" name="27" totalsRowFunction="count" dataDxfId="339" totalsRowDxfId="38"/>
    <tableColumn id="29" name="28" totalsRowFunction="count" dataDxfId="338" totalsRowDxfId="37"/>
    <tableColumn id="30" name="29" totalsRowFunction="count" dataDxfId="337" totalsRowDxfId="36"/>
    <tableColumn id="31" name="30" totalsRowFunction="count" dataDxfId="336" totalsRowDxfId="35"/>
    <tableColumn id="32" name="31" totalsRowFunction="count" dataDxfId="335" totalsRowDxfId="34"/>
    <tableColumn id="33" name="Toplam Gün" totalsRowFunction="sum" dataDxfId="334" totalsRowDxfId="33">
      <calculatedColumnFormula>COUNTA(Aralık[[#This Row],[1]:[31]])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ların devamsızlık durumunu ve tam devamsızlık nedenini (V=Tatil, S=Hastalık, P=Kişisel ve özel girdiler için iki yer tutucu) izlemek için bir ad ve tarih listesi sağlar."/>
    </ext>
  </extLst>
</table>
</file>

<file path=xl/tables/table13.xml><?xml version="1.0" encoding="utf-8"?>
<table xmlns="http://schemas.openxmlformats.org/spreadsheetml/2006/main" id="13" name="ÇalışanAdı" displayName="ÇalışanAdı" ref="B3:C52" totalsRowShown="0" headerRowDxfId="333" dataDxfId="332">
  <autoFilter ref="B3:C52"/>
  <sortState ref="B4:C52">
    <sortCondition descending="1" ref="C3:C52"/>
  </sortState>
  <tableColumns count="2">
    <tableColumn id="1" name="Çalışan Adları" dataDxfId="331" dataCellStyle="Çalışan"/>
    <tableColumn id="2" name="Vəzifəsi" dataDxfId="330" dataCellStyle="Çalışan"/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Bu tabloya çalışan adlarını girin. Bu adlar, her ayın devamsızlık zaman çizelgesinde B sütunundaki seçenekler olarak kullanılır"/>
    </ext>
  </extLst>
</table>
</file>

<file path=xl/tables/table2.xml><?xml version="1.0" encoding="utf-8"?>
<table xmlns="http://schemas.openxmlformats.org/spreadsheetml/2006/main" id="2" name="Şubat" displayName="Şubat" ref="C6:AI62" totalsRowCount="1" headerRowDxfId="845" dataDxfId="844" totalsRowDxfId="843">
  <tableColumns count="33">
    <tableColumn id="1" name="Çalışan Adı" totalsRowFunction="custom" dataDxfId="842" totalsRowDxfId="841" dataCellStyle="Çalışan">
      <calculatedColumnFormula>Yanvar!C7</calculatedColumnFormula>
      <totalsRowFormula>AyAdı&amp;" Toplamı"</totalsRowFormula>
    </tableColumn>
    <tableColumn id="2" name="1" totalsRowFunction="count" dataDxfId="840" totalsRowDxfId="839"/>
    <tableColumn id="3" name="2" totalsRowFunction="count" dataDxfId="838" totalsRowDxfId="837"/>
    <tableColumn id="4" name="3" totalsRowFunction="count" dataDxfId="836" totalsRowDxfId="835"/>
    <tableColumn id="5" name="4" totalsRowFunction="count" dataDxfId="834" totalsRowDxfId="833"/>
    <tableColumn id="6" name="5" totalsRowFunction="count" dataDxfId="832" totalsRowDxfId="831"/>
    <tableColumn id="7" name="6" totalsRowFunction="count" dataDxfId="830" totalsRowDxfId="829"/>
    <tableColumn id="8" name="7" totalsRowFunction="count" dataDxfId="828" totalsRowDxfId="827"/>
    <tableColumn id="9" name="8" totalsRowFunction="count" dataDxfId="826" totalsRowDxfId="825"/>
    <tableColumn id="10" name="9" totalsRowFunction="count" dataDxfId="824" totalsRowDxfId="823"/>
    <tableColumn id="11" name="10" totalsRowFunction="count" dataDxfId="822" totalsRowDxfId="821"/>
    <tableColumn id="12" name="11" totalsRowFunction="count" dataDxfId="820" totalsRowDxfId="819"/>
    <tableColumn id="13" name="12" totalsRowFunction="count" dataDxfId="818" totalsRowDxfId="817"/>
    <tableColumn id="14" name="13" totalsRowFunction="count" dataDxfId="816" totalsRowDxfId="815"/>
    <tableColumn id="15" name="14" totalsRowFunction="count" dataDxfId="814" totalsRowDxfId="813"/>
    <tableColumn id="16" name="15" totalsRowFunction="count" dataDxfId="812" totalsRowDxfId="811"/>
    <tableColumn id="17" name="16" totalsRowFunction="count" dataDxfId="810" totalsRowDxfId="809"/>
    <tableColumn id="18" name="17" totalsRowFunction="count" dataDxfId="808" totalsRowDxfId="807"/>
    <tableColumn id="19" name="18" totalsRowFunction="count" dataDxfId="806" totalsRowDxfId="805"/>
    <tableColumn id="20" name="19" totalsRowFunction="count" dataDxfId="804" totalsRowDxfId="803"/>
    <tableColumn id="21" name="20" totalsRowFunction="count" dataDxfId="802" totalsRowDxfId="801"/>
    <tableColumn id="22" name="21" totalsRowFunction="count" dataDxfId="800" totalsRowDxfId="799"/>
    <tableColumn id="23" name="22" totalsRowFunction="count" dataDxfId="798" totalsRowDxfId="797"/>
    <tableColumn id="24" name="23" totalsRowFunction="count" dataDxfId="796" totalsRowDxfId="795"/>
    <tableColumn id="25" name="24" totalsRowFunction="count" dataDxfId="794" totalsRowDxfId="793"/>
    <tableColumn id="26" name="25" totalsRowFunction="count" dataDxfId="792" totalsRowDxfId="791"/>
    <tableColumn id="27" name="26" totalsRowFunction="count" dataDxfId="790" totalsRowDxfId="789"/>
    <tableColumn id="28" name="27" totalsRowFunction="count" dataDxfId="788" totalsRowDxfId="787"/>
    <tableColumn id="29" name="28" totalsRowFunction="count" dataDxfId="786" totalsRowDxfId="785"/>
    <tableColumn id="30" name="29" totalsRowFunction="count" dataDxfId="784" totalsRowDxfId="783"/>
    <tableColumn id="31" name=" " dataDxfId="782" totalsRowDxfId="781"/>
    <tableColumn id="32" name="  " dataDxfId="780" totalsRowDxfId="779"/>
    <tableColumn id="33" name="Toplam Gün" totalsRowFunction="sum" dataDxfId="778" totalsRowDxfId="777">
      <calculatedColumnFormula>COUNTA(Şubat[[#This Row],[1]:[29]])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 adlarını ve devamsızlık tarihlerini girin. Anahtara göre ifade edilen devamsızlık türünü 12. satırda kaydedin: T=Tatil, H=Hastalık, K=Kişisel ve özel girdiler için iki yer tutucu"/>
    </ext>
  </extLst>
</table>
</file>

<file path=xl/tables/table3.xml><?xml version="1.0" encoding="utf-8"?>
<table xmlns="http://schemas.openxmlformats.org/spreadsheetml/2006/main" id="14" name="Mart" displayName="Mart" ref="C6:AI62" totalsRowCount="1" headerRowDxfId="771" dataDxfId="770" totalsRowDxfId="769">
  <tableColumns count="33">
    <tableColumn id="1" name="Çalışan Adı" totalsRowFunction="custom" dataDxfId="768" totalsRowDxfId="767" dataCellStyle="Çalışan">
      <calculatedColumnFormula>Fevral!C7</calculatedColumnFormula>
      <totalsRowFormula>AyAdı&amp;" Toplamı"</totalsRowFormula>
    </tableColumn>
    <tableColumn id="2" name="1" totalsRowFunction="count" dataDxfId="766" totalsRowDxfId="765"/>
    <tableColumn id="3" name="2" totalsRowFunction="count" dataDxfId="764" totalsRowDxfId="763"/>
    <tableColumn id="4" name="3" totalsRowFunction="count" dataDxfId="762" totalsRowDxfId="761"/>
    <tableColumn id="5" name="4" totalsRowFunction="count" dataDxfId="760" totalsRowDxfId="759"/>
    <tableColumn id="6" name="5" totalsRowFunction="count" dataDxfId="758" totalsRowDxfId="757"/>
    <tableColumn id="7" name="6" totalsRowFunction="count" dataDxfId="756" totalsRowDxfId="755"/>
    <tableColumn id="8" name="7" totalsRowFunction="count" dataDxfId="754" totalsRowDxfId="753"/>
    <tableColumn id="9" name="8" totalsRowFunction="count" dataDxfId="752" totalsRowDxfId="751"/>
    <tableColumn id="10" name="9" totalsRowFunction="count" dataDxfId="750" totalsRowDxfId="749"/>
    <tableColumn id="11" name="10" totalsRowFunction="count" dataDxfId="748" totalsRowDxfId="747"/>
    <tableColumn id="12" name="11" totalsRowFunction="count" dataDxfId="746" totalsRowDxfId="745"/>
    <tableColumn id="13" name="12" totalsRowFunction="count" dataDxfId="744" totalsRowDxfId="743"/>
    <tableColumn id="14" name="13" totalsRowFunction="count" dataDxfId="742" totalsRowDxfId="741"/>
    <tableColumn id="15" name="14" totalsRowFunction="count" dataDxfId="740" totalsRowDxfId="739"/>
    <tableColumn id="16" name="15" totalsRowFunction="count" dataDxfId="738" totalsRowDxfId="737"/>
    <tableColumn id="17" name="16" totalsRowFunction="count" dataDxfId="736" totalsRowDxfId="735"/>
    <tableColumn id="18" name="17" totalsRowFunction="count" dataDxfId="734" totalsRowDxfId="733"/>
    <tableColumn id="19" name="18" totalsRowFunction="count" dataDxfId="732" totalsRowDxfId="731"/>
    <tableColumn id="20" name="19" totalsRowFunction="count" dataDxfId="730" totalsRowDxfId="729"/>
    <tableColumn id="21" name="20" totalsRowFunction="count" dataDxfId="728" totalsRowDxfId="727"/>
    <tableColumn id="22" name="21" totalsRowFunction="count" dataDxfId="726" totalsRowDxfId="725"/>
    <tableColumn id="23" name="22" totalsRowFunction="count" dataDxfId="724" totalsRowDxfId="723"/>
    <tableColumn id="24" name="23" totalsRowFunction="count" dataDxfId="722" totalsRowDxfId="721"/>
    <tableColumn id="25" name="24" totalsRowFunction="count" dataDxfId="720" totalsRowDxfId="719"/>
    <tableColumn id="26" name="25" totalsRowFunction="count" dataDxfId="718" totalsRowDxfId="717"/>
    <tableColumn id="27" name="26" totalsRowFunction="count" dataDxfId="716" totalsRowDxfId="715"/>
    <tableColumn id="28" name="27" totalsRowFunction="count" dataDxfId="714" totalsRowDxfId="713"/>
    <tableColumn id="29" name="28" totalsRowFunction="count" dataDxfId="712" totalsRowDxfId="711"/>
    <tableColumn id="30" name="29" totalsRowFunction="count" dataDxfId="710" totalsRowDxfId="709"/>
    <tableColumn id="31" name="30" totalsRowFunction="count" dataDxfId="708" totalsRowDxfId="707"/>
    <tableColumn id="32" name="31" totalsRowFunction="count" dataDxfId="706" totalsRowDxfId="705"/>
    <tableColumn id="33" name="Toplam Gün" totalsRowFunction="sum" dataDxfId="704" totalsRowDxfId="703">
      <calculatedColumnFormula>COUNTA(Mart[[#This Row],[1]:[31]])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 adlarını ve devamsızlık tarihlerini girin. Anahtara göre ifade edilen devamsızlık türünü 12. satırda kaydedin: T=Tatil, H=Hastalık, K=Kişisel ve özel girdiler için iki yer tutucu"/>
    </ext>
  </extLst>
</table>
</file>

<file path=xl/tables/table4.xml><?xml version="1.0" encoding="utf-8"?>
<table xmlns="http://schemas.openxmlformats.org/spreadsheetml/2006/main" id="15" name="Nisan" displayName="Nisan" ref="C6:AI62" totalsRowCount="1" headerRowDxfId="697" dataDxfId="696" totalsRowDxfId="695">
  <tableColumns count="33">
    <tableColumn id="1" name="Çalışan Adı" totalsRowFunction="custom" dataDxfId="694" totalsRowDxfId="329" dataCellStyle="Çalışan">
      <calculatedColumnFormula>Mart!C7</calculatedColumnFormula>
      <totalsRowFormula>AyAdı&amp;" Toplamı"</totalsRowFormula>
    </tableColumn>
    <tableColumn id="2" name="1" totalsRowFunction="count" dataDxfId="693" totalsRowDxfId="328"/>
    <tableColumn id="3" name="2" totalsRowFunction="count" dataDxfId="692" totalsRowDxfId="327"/>
    <tableColumn id="4" name="3" totalsRowFunction="count" dataDxfId="691" totalsRowDxfId="326"/>
    <tableColumn id="5" name="4" totalsRowFunction="count" dataDxfId="690" totalsRowDxfId="325"/>
    <tableColumn id="6" name="5" totalsRowFunction="count" dataDxfId="689" totalsRowDxfId="324"/>
    <tableColumn id="7" name="6" totalsRowFunction="count" dataDxfId="688" totalsRowDxfId="323"/>
    <tableColumn id="8" name="7" totalsRowFunction="count" dataDxfId="687" totalsRowDxfId="322"/>
    <tableColumn id="9" name="8" totalsRowFunction="count" dataDxfId="686" totalsRowDxfId="321"/>
    <tableColumn id="10" name="9" totalsRowFunction="count" dataDxfId="685" totalsRowDxfId="320"/>
    <tableColumn id="11" name="10" totalsRowFunction="count" dataDxfId="684" totalsRowDxfId="319"/>
    <tableColumn id="12" name="11" totalsRowFunction="count" dataDxfId="683" totalsRowDxfId="318"/>
    <tableColumn id="13" name="12" totalsRowFunction="count" dataDxfId="682" totalsRowDxfId="317"/>
    <tableColumn id="14" name="13" totalsRowFunction="count" dataDxfId="681" totalsRowDxfId="316"/>
    <tableColumn id="15" name="14" totalsRowFunction="count" dataDxfId="680" totalsRowDxfId="315"/>
    <tableColumn id="16" name="15" totalsRowFunction="count" dataDxfId="679" totalsRowDxfId="314"/>
    <tableColumn id="17" name="16" totalsRowFunction="count" dataDxfId="678" totalsRowDxfId="313"/>
    <tableColumn id="18" name="17" totalsRowFunction="count" dataDxfId="677" totalsRowDxfId="312"/>
    <tableColumn id="19" name="18" totalsRowFunction="count" dataDxfId="676" totalsRowDxfId="311"/>
    <tableColumn id="20" name="19" totalsRowFunction="count" dataDxfId="675" totalsRowDxfId="310"/>
    <tableColumn id="21" name="20" totalsRowFunction="count" dataDxfId="674" totalsRowDxfId="309"/>
    <tableColumn id="22" name="21" totalsRowFunction="count" dataDxfId="673" totalsRowDxfId="308"/>
    <tableColumn id="23" name="22" totalsRowFunction="count" dataDxfId="672" totalsRowDxfId="307"/>
    <tableColumn id="24" name="23" totalsRowFunction="count" dataDxfId="671" totalsRowDxfId="306"/>
    <tableColumn id="25" name="24" totalsRowFunction="count" dataDxfId="670" totalsRowDxfId="305"/>
    <tableColumn id="26" name="25" totalsRowFunction="count" dataDxfId="669" totalsRowDxfId="304"/>
    <tableColumn id="27" name="26" totalsRowFunction="count" dataDxfId="668" totalsRowDxfId="303"/>
    <tableColumn id="28" name="27" totalsRowFunction="count" dataDxfId="667" totalsRowDxfId="302"/>
    <tableColumn id="29" name="28" totalsRowFunction="count" dataDxfId="666" totalsRowDxfId="301"/>
    <tableColumn id="30" name="29" totalsRowFunction="count" dataDxfId="665" totalsRowDxfId="300"/>
    <tableColumn id="31" name="30" totalsRowFunction="count" dataDxfId="664" totalsRowDxfId="299"/>
    <tableColumn id="32" name=" " totalsRowFunction="custom" dataDxfId="663" totalsRowDxfId="298">
      <totalsRowFormula>SUBTOTAL(103,Nisan[30])</totalsRowFormula>
    </tableColumn>
    <tableColumn id="33" name="Toplam Gün" totalsRowFunction="sum" dataDxfId="662" totalsRowDxfId="297">
      <calculatedColumnFormula>COUNTA(Nisan[[#This Row],[1]:[30]])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 adlarını ve devamsızlık tarihlerini girin. Anahtara göre ifade edilen devamsızlık türünü 12. satırda kaydedin: T=Tatil, H=Hastalık, K=Kişisel ve özel girdiler için iki yer tutucu"/>
    </ext>
  </extLst>
</table>
</file>

<file path=xl/tables/table5.xml><?xml version="1.0" encoding="utf-8"?>
<table xmlns="http://schemas.openxmlformats.org/spreadsheetml/2006/main" id="16" name="Mayıs" displayName="Mayıs" ref="C6:AI62" totalsRowCount="1" headerRowDxfId="656" dataDxfId="655" totalsRowDxfId="654">
  <tableColumns count="33">
    <tableColumn id="1" name="Çalışan Adı" totalsRowFunction="custom" dataDxfId="653" totalsRowDxfId="296" dataCellStyle="Çalışan">
      <calculatedColumnFormula>Aprel!C7</calculatedColumnFormula>
      <totalsRowFormula>AyAdı&amp;" Toplamı"</totalsRowFormula>
    </tableColumn>
    <tableColumn id="2" name="1" totalsRowFunction="count" dataDxfId="652" totalsRowDxfId="295"/>
    <tableColumn id="3" name="2" totalsRowFunction="count" dataDxfId="651" totalsRowDxfId="294"/>
    <tableColumn id="4" name="3" totalsRowFunction="count" dataDxfId="650" totalsRowDxfId="293"/>
    <tableColumn id="5" name="4" totalsRowFunction="count" dataDxfId="649" totalsRowDxfId="292"/>
    <tableColumn id="6" name="5" totalsRowFunction="count" dataDxfId="648" totalsRowDxfId="291"/>
    <tableColumn id="7" name="6" totalsRowFunction="count" dataDxfId="647" totalsRowDxfId="290"/>
    <tableColumn id="8" name="7" totalsRowFunction="count" dataDxfId="646" totalsRowDxfId="289"/>
    <tableColumn id="9" name="8" totalsRowFunction="count" dataDxfId="645" totalsRowDxfId="288"/>
    <tableColumn id="10" name="9" totalsRowFunction="count" dataDxfId="644" totalsRowDxfId="287"/>
    <tableColumn id="11" name="10" totalsRowFunction="count" dataDxfId="643" totalsRowDxfId="286"/>
    <tableColumn id="12" name="11" totalsRowFunction="count" dataDxfId="642" totalsRowDxfId="285"/>
    <tableColumn id="13" name="12" totalsRowFunction="count" dataDxfId="641" totalsRowDxfId="284"/>
    <tableColumn id="14" name="13" totalsRowFunction="count" dataDxfId="640" totalsRowDxfId="283"/>
    <tableColumn id="15" name="14" totalsRowFunction="count" dataDxfId="639" totalsRowDxfId="282"/>
    <tableColumn id="16" name="15" totalsRowFunction="count" dataDxfId="638" totalsRowDxfId="281"/>
    <tableColumn id="17" name="16" totalsRowFunction="count" dataDxfId="637" totalsRowDxfId="280"/>
    <tableColumn id="18" name="17" totalsRowFunction="count" dataDxfId="636" totalsRowDxfId="279"/>
    <tableColumn id="19" name="18" totalsRowFunction="count" dataDxfId="635" totalsRowDxfId="278"/>
    <tableColumn id="20" name="19" totalsRowFunction="count" dataDxfId="634" totalsRowDxfId="277"/>
    <tableColumn id="21" name="20" totalsRowFunction="count" dataDxfId="633" totalsRowDxfId="276"/>
    <tableColumn id="22" name="21" totalsRowFunction="count" dataDxfId="632" totalsRowDxfId="275"/>
    <tableColumn id="23" name="22" totalsRowFunction="count" dataDxfId="631" totalsRowDxfId="274"/>
    <tableColumn id="24" name="23" totalsRowFunction="count" dataDxfId="630" totalsRowDxfId="273"/>
    <tableColumn id="25" name="24" totalsRowFunction="count" dataDxfId="629" totalsRowDxfId="272"/>
    <tableColumn id="26" name="25" totalsRowFunction="count" dataDxfId="628" totalsRowDxfId="271"/>
    <tableColumn id="27" name="26" totalsRowFunction="count" dataDxfId="627" totalsRowDxfId="270"/>
    <tableColumn id="28" name="27" totalsRowFunction="count" dataDxfId="626" totalsRowDxfId="269"/>
    <tableColumn id="29" name="28" totalsRowFunction="count" dataDxfId="625" totalsRowDxfId="268"/>
    <tableColumn id="30" name="29" totalsRowFunction="count" dataDxfId="624" totalsRowDxfId="267"/>
    <tableColumn id="31" name="30" totalsRowFunction="count" dataDxfId="623" totalsRowDxfId="266"/>
    <tableColumn id="32" name="31" totalsRowFunction="count" dataDxfId="622" totalsRowDxfId="265"/>
    <tableColumn id="33" name="Toplam Gün" totalsRowFunction="sum" dataDxfId="621" totalsRowDxfId="264">
      <calculatedColumnFormula>COUNTA(Mayıs[[#This Row],[1]:[31]])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 adlarını ve devamsızlık tarihlerini girin. Anahtara göre ifade edilen devamsızlık türünü 12. satırda kaydedin: T=Tatil, H=Hastalık, K=Kişisel ve özel girdiler için iki yer tutucu"/>
    </ext>
  </extLst>
</table>
</file>

<file path=xl/tables/table6.xml><?xml version="1.0" encoding="utf-8"?>
<table xmlns="http://schemas.openxmlformats.org/spreadsheetml/2006/main" id="17" name="Haziran" displayName="Haziran" ref="C6:AI62" totalsRowCount="1" headerRowDxfId="615" dataDxfId="614" totalsRowDxfId="613">
  <tableColumns count="33">
    <tableColumn id="1" name="Çalışan Adı" totalsRowFunction="custom" dataDxfId="612" totalsRowDxfId="263" dataCellStyle="Çalışan">
      <calculatedColumnFormula>May!C7</calculatedColumnFormula>
      <totalsRowFormula>AyAdı&amp;" Toplamı"</totalsRowFormula>
    </tableColumn>
    <tableColumn id="2" name="1" totalsRowFunction="count" dataDxfId="611" totalsRowDxfId="262"/>
    <tableColumn id="3" name="2" totalsRowFunction="count" dataDxfId="610" totalsRowDxfId="261"/>
    <tableColumn id="4" name="3" totalsRowFunction="count" dataDxfId="609" totalsRowDxfId="260"/>
    <tableColumn id="5" name="4" totalsRowFunction="count" dataDxfId="608" totalsRowDxfId="259"/>
    <tableColumn id="6" name="5" totalsRowFunction="count" dataDxfId="607" totalsRowDxfId="258"/>
    <tableColumn id="7" name="6" totalsRowFunction="count" dataDxfId="606" totalsRowDxfId="257"/>
    <tableColumn id="8" name="7" totalsRowFunction="count" dataDxfId="605" totalsRowDxfId="256"/>
    <tableColumn id="9" name="8" totalsRowFunction="count" dataDxfId="604" totalsRowDxfId="255"/>
    <tableColumn id="10" name="9" totalsRowFunction="count" dataDxfId="603" totalsRowDxfId="254"/>
    <tableColumn id="11" name="10" totalsRowFunction="count" dataDxfId="602" totalsRowDxfId="253"/>
    <tableColumn id="12" name="11" totalsRowFunction="count" dataDxfId="601" totalsRowDxfId="252"/>
    <tableColumn id="13" name="12" totalsRowFunction="count" dataDxfId="600" totalsRowDxfId="251"/>
    <tableColumn id="14" name="13" totalsRowFunction="count" dataDxfId="599" totalsRowDxfId="250"/>
    <tableColumn id="15" name="14" totalsRowFunction="count" dataDxfId="598" totalsRowDxfId="249"/>
    <tableColumn id="16" name="15" totalsRowFunction="count" dataDxfId="597" totalsRowDxfId="248"/>
    <tableColumn id="17" name="16" totalsRowFunction="count" dataDxfId="596" totalsRowDxfId="247"/>
    <tableColumn id="18" name="17" totalsRowFunction="count" dataDxfId="595" totalsRowDxfId="246"/>
    <tableColumn id="19" name="18" totalsRowFunction="count" dataDxfId="594" totalsRowDxfId="245"/>
    <tableColumn id="20" name="19" totalsRowFunction="count" dataDxfId="593" totalsRowDxfId="244"/>
    <tableColumn id="21" name="20" totalsRowFunction="count" dataDxfId="592" totalsRowDxfId="243"/>
    <tableColumn id="22" name="21" totalsRowFunction="count" dataDxfId="591" totalsRowDxfId="242"/>
    <tableColumn id="23" name="22" totalsRowFunction="count" dataDxfId="590" totalsRowDxfId="241"/>
    <tableColumn id="24" name="23" totalsRowFunction="count" dataDxfId="589" totalsRowDxfId="240"/>
    <tableColumn id="25" name="24" totalsRowFunction="count" dataDxfId="588" totalsRowDxfId="239"/>
    <tableColumn id="26" name="25" totalsRowFunction="count" dataDxfId="587" totalsRowDxfId="238"/>
    <tableColumn id="27" name="26" totalsRowFunction="count" dataDxfId="586" totalsRowDxfId="237"/>
    <tableColumn id="28" name="27" totalsRowFunction="count" dataDxfId="585" totalsRowDxfId="236"/>
    <tableColumn id="29" name="28" totalsRowFunction="count" dataDxfId="584" totalsRowDxfId="235"/>
    <tableColumn id="30" name="29" totalsRowFunction="count" dataDxfId="583" totalsRowDxfId="234"/>
    <tableColumn id="31" name="30" totalsRowFunction="count" dataDxfId="582" totalsRowDxfId="233"/>
    <tableColumn id="32" name=" " totalsRowFunction="count" dataDxfId="581" totalsRowDxfId="232"/>
    <tableColumn id="33" name="Toplam Gün" totalsRowFunction="sum" dataDxfId="580" totalsRowDxfId="231">
      <calculatedColumnFormula>COUNTA(Haziran[[#This Row],[1]:[30]])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 adlarını ve devamsızlık tarihlerini girin. Anahtara göre ifade edilen devamsızlık türünü 12. satırda kaydedin: T=Tatil, H=Hastalık, K=Kişisel ve özel girdiler için iki yer tutucu"/>
    </ext>
  </extLst>
</table>
</file>

<file path=xl/tables/table7.xml><?xml version="1.0" encoding="utf-8"?>
<table xmlns="http://schemas.openxmlformats.org/spreadsheetml/2006/main" id="18" name="Temmuz" displayName="Temmuz" ref="C6:AI62" totalsRowCount="1" headerRowDxfId="574" dataDxfId="573" totalsRowDxfId="572">
  <tableColumns count="33">
    <tableColumn id="1" name="Çalışan Adı" totalsRowFunction="custom" dataDxfId="571" totalsRowDxfId="230" dataCellStyle="Çalışan">
      <calculatedColumnFormula>İyun!C7</calculatedColumnFormula>
      <totalsRowFormula>AyAdı&amp;" Toplamı"</totalsRowFormula>
    </tableColumn>
    <tableColumn id="2" name="1" totalsRowFunction="count" dataDxfId="570" totalsRowDxfId="229"/>
    <tableColumn id="3" name="2" totalsRowFunction="count" dataDxfId="569" totalsRowDxfId="228"/>
    <tableColumn id="4" name="3" totalsRowFunction="count" dataDxfId="568" totalsRowDxfId="227"/>
    <tableColumn id="5" name="4" totalsRowFunction="count" dataDxfId="567" totalsRowDxfId="226"/>
    <tableColumn id="6" name="5" totalsRowFunction="count" dataDxfId="566" totalsRowDxfId="225"/>
    <tableColumn id="7" name="6" totalsRowFunction="count" dataDxfId="565" totalsRowDxfId="224"/>
    <tableColumn id="8" name="7" totalsRowFunction="count" dataDxfId="564" totalsRowDxfId="223"/>
    <tableColumn id="9" name="8" totalsRowFunction="count" dataDxfId="563" totalsRowDxfId="222"/>
    <tableColumn id="10" name="9" totalsRowFunction="count" dataDxfId="562" totalsRowDxfId="221"/>
    <tableColumn id="11" name="10" totalsRowFunction="count" dataDxfId="561" totalsRowDxfId="220"/>
    <tableColumn id="12" name="11" totalsRowFunction="count" dataDxfId="560" totalsRowDxfId="219"/>
    <tableColumn id="13" name="12" totalsRowFunction="count" dataDxfId="559" totalsRowDxfId="218"/>
    <tableColumn id="14" name="13" totalsRowFunction="count" dataDxfId="558" totalsRowDxfId="217"/>
    <tableColumn id="15" name="14" totalsRowFunction="count" dataDxfId="557" totalsRowDxfId="216"/>
    <tableColumn id="16" name="15" totalsRowFunction="count" dataDxfId="556" totalsRowDxfId="215"/>
    <tableColumn id="17" name="16" totalsRowFunction="count" dataDxfId="555" totalsRowDxfId="214"/>
    <tableColumn id="18" name="17" totalsRowFunction="count" dataDxfId="554" totalsRowDxfId="213"/>
    <tableColumn id="19" name="18" totalsRowFunction="count" dataDxfId="553" totalsRowDxfId="212"/>
    <tableColumn id="20" name="19" totalsRowFunction="count" dataDxfId="552" totalsRowDxfId="211"/>
    <tableColumn id="21" name="20" totalsRowFunction="count" dataDxfId="551" totalsRowDxfId="210"/>
    <tableColumn id="22" name="21" totalsRowFunction="count" dataDxfId="550" totalsRowDxfId="209"/>
    <tableColumn id="23" name="22" totalsRowFunction="count" dataDxfId="549" totalsRowDxfId="208"/>
    <tableColumn id="24" name="23" totalsRowFunction="count" dataDxfId="548" totalsRowDxfId="207"/>
    <tableColumn id="25" name="24" totalsRowFunction="count" dataDxfId="547" totalsRowDxfId="206"/>
    <tableColumn id="26" name="25" totalsRowFunction="count" dataDxfId="546" totalsRowDxfId="205"/>
    <tableColumn id="27" name="26" totalsRowFunction="count" dataDxfId="545" totalsRowDxfId="204"/>
    <tableColumn id="28" name="27" totalsRowFunction="count" dataDxfId="544" totalsRowDxfId="203"/>
    <tableColumn id="29" name="28" totalsRowFunction="count" dataDxfId="543" totalsRowDxfId="202"/>
    <tableColumn id="30" name="29" totalsRowFunction="count" dataDxfId="542" totalsRowDxfId="201"/>
    <tableColumn id="31" name="30" totalsRowFunction="count" dataDxfId="541" totalsRowDxfId="200"/>
    <tableColumn id="32" name="31" totalsRowFunction="count" dataDxfId="540" totalsRowDxfId="199"/>
    <tableColumn id="33" name="Toplam Gün" totalsRowFunction="sum" dataDxfId="539" totalsRowDxfId="198">
      <calculatedColumnFormula>COUNTA(Temmuz[[#This Row],[1]:[31]])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 adlarını ve devamsızlık tarihlerini girin. Anahtara göre ifade edilen devamsızlık türünü 12. satırda kaydedin: T=Tatil, H=Hastalık, K=Kişisel ve özel girdiler için iki yer tutucu"/>
    </ext>
  </extLst>
</table>
</file>

<file path=xl/tables/table8.xml><?xml version="1.0" encoding="utf-8"?>
<table xmlns="http://schemas.openxmlformats.org/spreadsheetml/2006/main" id="19" name="Ağustos" displayName="Ağustos" ref="C6:AI62" totalsRowCount="1" headerRowDxfId="533" dataDxfId="532" totalsRowDxfId="531">
  <tableColumns count="33">
    <tableColumn id="1" name="Çalışan Adı" totalsRowFunction="custom" dataDxfId="530" totalsRowDxfId="197" dataCellStyle="Çalışan">
      <calculatedColumnFormula>İyul!C7</calculatedColumnFormula>
      <totalsRowFormula>AyAdı&amp;" Toplamı"</totalsRowFormula>
    </tableColumn>
    <tableColumn id="2" name="1" totalsRowFunction="count" dataDxfId="529" totalsRowDxfId="196"/>
    <tableColumn id="3" name="2" totalsRowFunction="count" dataDxfId="528" totalsRowDxfId="195"/>
    <tableColumn id="4" name="3" totalsRowFunction="count" dataDxfId="527" totalsRowDxfId="194"/>
    <tableColumn id="5" name="4" totalsRowFunction="count" dataDxfId="526" totalsRowDxfId="193"/>
    <tableColumn id="6" name="5" totalsRowFunction="count" dataDxfId="525" totalsRowDxfId="192"/>
    <tableColumn id="7" name="6" totalsRowFunction="count" dataDxfId="524" totalsRowDxfId="191"/>
    <tableColumn id="8" name="7" totalsRowFunction="count" dataDxfId="523" totalsRowDxfId="190"/>
    <tableColumn id="9" name="8" totalsRowFunction="count" dataDxfId="522" totalsRowDxfId="189"/>
    <tableColumn id="10" name="9" totalsRowFunction="count" dataDxfId="521" totalsRowDxfId="188"/>
    <tableColumn id="11" name="10" totalsRowFunction="count" dataDxfId="520" totalsRowDxfId="187"/>
    <tableColumn id="12" name="11" totalsRowFunction="count" dataDxfId="519" totalsRowDxfId="186"/>
    <tableColumn id="13" name="12" totalsRowFunction="count" dataDxfId="518" totalsRowDxfId="185"/>
    <tableColumn id="14" name="13" totalsRowFunction="count" dataDxfId="517" totalsRowDxfId="184"/>
    <tableColumn id="15" name="14" totalsRowFunction="count" dataDxfId="516" totalsRowDxfId="183"/>
    <tableColumn id="16" name="15" totalsRowFunction="count" dataDxfId="515" totalsRowDxfId="182"/>
    <tableColumn id="17" name="16" totalsRowFunction="count" dataDxfId="514" totalsRowDxfId="181"/>
    <tableColumn id="18" name="17" totalsRowFunction="count" dataDxfId="513" totalsRowDxfId="180"/>
    <tableColumn id="19" name="18" totalsRowFunction="count" dataDxfId="512" totalsRowDxfId="179"/>
    <tableColumn id="20" name="19" totalsRowFunction="count" dataDxfId="511" totalsRowDxfId="178"/>
    <tableColumn id="21" name="20" totalsRowFunction="count" dataDxfId="510" totalsRowDxfId="177"/>
    <tableColumn id="22" name="21" totalsRowFunction="count" dataDxfId="509" totalsRowDxfId="176"/>
    <tableColumn id="23" name="22" totalsRowFunction="count" dataDxfId="508" totalsRowDxfId="175"/>
    <tableColumn id="24" name="23" totalsRowFunction="count" dataDxfId="507" totalsRowDxfId="174"/>
    <tableColumn id="25" name="24" totalsRowFunction="count" dataDxfId="506" totalsRowDxfId="173"/>
    <tableColumn id="26" name="25" totalsRowFunction="count" dataDxfId="505" totalsRowDxfId="172"/>
    <tableColumn id="27" name="26" totalsRowFunction="count" dataDxfId="504" totalsRowDxfId="171"/>
    <tableColumn id="28" name="27" totalsRowFunction="count" dataDxfId="503" totalsRowDxfId="170"/>
    <tableColumn id="29" name="28" totalsRowFunction="count" dataDxfId="502" totalsRowDxfId="169"/>
    <tableColumn id="30" name="29" totalsRowFunction="count" dataDxfId="501" totalsRowDxfId="168"/>
    <tableColumn id="31" name="30" totalsRowFunction="count" dataDxfId="500" totalsRowDxfId="167"/>
    <tableColumn id="32" name="31" totalsRowFunction="count" dataDxfId="499" totalsRowDxfId="166"/>
    <tableColumn id="33" name="Toplam Gün" totalsRowFunction="sum" dataDxfId="498" totalsRowDxfId="165">
      <calculatedColumnFormula>COUNTA(Ağustos[[#This Row],[1]:[31]])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 adlarını ve devamsızlık tarihlerini girin. Anahtara göre ifade edilen devamsızlık türünü 12. satırda kaydedin: T=Tatil, H=Hastalık, K=Kişisel ve özel girdiler için iki yer tutucu"/>
    </ext>
  </extLst>
</table>
</file>

<file path=xl/tables/table9.xml><?xml version="1.0" encoding="utf-8"?>
<table xmlns="http://schemas.openxmlformats.org/spreadsheetml/2006/main" id="20" name="Eylül" displayName="Eylül" ref="C6:AI62" totalsRowCount="1" headerRowDxfId="492" dataDxfId="491" totalsRowDxfId="490">
  <tableColumns count="33">
    <tableColumn id="1" name="Çalışan Adı" totalsRowFunction="custom" dataDxfId="489" totalsRowDxfId="164" dataCellStyle="Çalışan">
      <calculatedColumnFormula>Avqust!C7</calculatedColumnFormula>
      <totalsRowFormula>AyAdı&amp;" Toplamı"</totalsRowFormula>
    </tableColumn>
    <tableColumn id="2" name="1" totalsRowFunction="count" dataDxfId="488" totalsRowDxfId="163"/>
    <tableColumn id="3" name="2" totalsRowFunction="count" dataDxfId="487" totalsRowDxfId="162"/>
    <tableColumn id="4" name="3" totalsRowFunction="count" dataDxfId="486" totalsRowDxfId="161"/>
    <tableColumn id="5" name="4" totalsRowFunction="count" dataDxfId="485" totalsRowDxfId="160"/>
    <tableColumn id="6" name="5" totalsRowFunction="count" dataDxfId="484" totalsRowDxfId="159"/>
    <tableColumn id="7" name="6" totalsRowFunction="count" dataDxfId="483" totalsRowDxfId="158"/>
    <tableColumn id="8" name="7" totalsRowFunction="count" dataDxfId="482" totalsRowDxfId="157"/>
    <tableColumn id="9" name="8" totalsRowFunction="count" dataDxfId="481" totalsRowDxfId="156"/>
    <tableColumn id="10" name="9" totalsRowFunction="count" dataDxfId="480" totalsRowDxfId="155"/>
    <tableColumn id="11" name="10" totalsRowFunction="count" dataDxfId="479" totalsRowDxfId="154"/>
    <tableColumn id="12" name="11" totalsRowFunction="count" dataDxfId="478" totalsRowDxfId="153"/>
    <tableColumn id="13" name="12" totalsRowFunction="count" dataDxfId="477" totalsRowDxfId="152"/>
    <tableColumn id="14" name="13" totalsRowFunction="count" dataDxfId="476" totalsRowDxfId="151"/>
    <tableColumn id="15" name="14" totalsRowFunction="count" dataDxfId="475" totalsRowDxfId="150"/>
    <tableColumn id="16" name="15" totalsRowFunction="count" dataDxfId="474" totalsRowDxfId="149"/>
    <tableColumn id="17" name="16" totalsRowFunction="count" dataDxfId="473" totalsRowDxfId="148"/>
    <tableColumn id="18" name="17" totalsRowFunction="count" dataDxfId="472" totalsRowDxfId="147"/>
    <tableColumn id="19" name="18" totalsRowFunction="count" dataDxfId="471" totalsRowDxfId="146"/>
    <tableColumn id="20" name="19" totalsRowFunction="count" dataDxfId="470" totalsRowDxfId="145"/>
    <tableColumn id="21" name="20" totalsRowFunction="count" dataDxfId="469" totalsRowDxfId="144"/>
    <tableColumn id="22" name="21" totalsRowFunction="count" dataDxfId="468" totalsRowDxfId="143"/>
    <tableColumn id="23" name="22" totalsRowFunction="count" dataDxfId="467" totalsRowDxfId="142"/>
    <tableColumn id="24" name="23" totalsRowFunction="count" dataDxfId="466" totalsRowDxfId="141"/>
    <tableColumn id="25" name="24" totalsRowFunction="count" dataDxfId="465" totalsRowDxfId="140"/>
    <tableColumn id="26" name="25" totalsRowFunction="count" dataDxfId="464" totalsRowDxfId="139"/>
    <tableColumn id="27" name="26" totalsRowFunction="count" dataDxfId="463" totalsRowDxfId="138"/>
    <tableColumn id="28" name="27" totalsRowFunction="count" dataDxfId="462" totalsRowDxfId="137"/>
    <tableColumn id="29" name="28" totalsRowFunction="count" dataDxfId="461" totalsRowDxfId="136"/>
    <tableColumn id="30" name="29" totalsRowFunction="count" dataDxfId="460" totalsRowDxfId="135"/>
    <tableColumn id="31" name="30" totalsRowFunction="count" dataDxfId="459" totalsRowDxfId="134"/>
    <tableColumn id="32" name=" " totalsRowFunction="count" dataDxfId="458" totalsRowDxfId="133"/>
    <tableColumn id="33" name="Toplam Gün" totalsRowFunction="sum" dataDxfId="457" totalsRowDxfId="132">
      <calculatedColumnFormula>COUNTA(Eylül[[#This Row],[1]:[30]])</calculatedColumnFormula>
    </tableColumn>
  </tableColumns>
  <tableStyleInfo name="Çalışan Devamsızlık Tablosu" showFirstColumn="1" showLastColumn="1" showRowStripes="1" showColumnStripes="0"/>
  <extLst>
    <ext xmlns:x14="http://schemas.microsoft.com/office/spreadsheetml/2009/9/main" uri="{504A1905-F514-4f6f-8877-14C23A59335A}">
      <x14:table altTextSummary="Çalışan adlarını ve devamsızlık tarihlerini girin. Anahtara göre ifade edilen devamsızlık türünü 12. satırda kaydedin: T=Tatil, H=Hastalık, K=Kişisel ve özel girdiler için iki yer tutucu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I62"/>
  <sheetViews>
    <sheetView showGridLines="0" zoomScale="70" zoomScaleNormal="70" workbookViewId="0">
      <selection activeCell="P9" sqref="P9"/>
    </sheetView>
  </sheetViews>
  <sheetFormatPr defaultRowHeight="30" customHeight="1" x14ac:dyDescent="0.35"/>
  <cols>
    <col min="1" max="1" width="3.81640625" style="1" customWidth="1"/>
    <col min="2" max="2" width="23.54296875" style="1" customWidth="1"/>
    <col min="3" max="3" width="25.816406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A1" s="38"/>
      <c r="B1" s="38"/>
      <c r="C1" s="13" t="s">
        <v>59</v>
      </c>
    </row>
    <row r="2" spans="1:35" ht="15" customHeight="1" x14ac:dyDescent="0.35">
      <c r="A2" s="38"/>
      <c r="B2" s="38"/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/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 t="s">
        <v>60</v>
      </c>
      <c r="T2" s="40" t="s">
        <v>45</v>
      </c>
      <c r="U2" s="40"/>
      <c r="V2" s="40"/>
    </row>
    <row r="3" spans="1:35" ht="15" customHeight="1" x14ac:dyDescent="0.35">
      <c r="A3" s="38"/>
      <c r="B3" s="38"/>
      <c r="AI3" s="18" t="s">
        <v>49</v>
      </c>
    </row>
    <row r="4" spans="1:35" ht="30" customHeight="1" x14ac:dyDescent="0.35">
      <c r="A4" s="38"/>
      <c r="B4" s="38"/>
      <c r="C4" s="11" t="s">
        <v>42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v>2022</v>
      </c>
    </row>
    <row r="5" spans="1:35" ht="15" customHeight="1" x14ac:dyDescent="0.35">
      <c r="A5" s="38"/>
      <c r="B5" s="38"/>
      <c r="C5" s="11"/>
      <c r="D5" s="1" t="str">
        <f>TEXT(WEEKDAY(DATE(TakvimYılı,1,1),1),"ggg")</f>
        <v/>
      </c>
      <c r="E5" s="1" t="str">
        <f>TEXT(WEEKDAY(DATE(TakvimYılı,1,2),1),"ggg")</f>
        <v/>
      </c>
      <c r="F5" s="1" t="str">
        <f>TEXT(WEEKDAY(DATE(TakvimYılı,1,3),1),"ggg")</f>
        <v/>
      </c>
      <c r="G5" s="1" t="str">
        <f>TEXT(WEEKDAY(DATE(TakvimYılı,1,4),1),"ggg")</f>
        <v/>
      </c>
      <c r="H5" s="1" t="str">
        <f>TEXT(WEEKDAY(DATE(TakvimYılı,1,5),1),"ggg")</f>
        <v/>
      </c>
      <c r="I5" s="1" t="str">
        <f>TEXT(WEEKDAY(DATE(TakvimYılı,1,6),1),"ggg")</f>
        <v/>
      </c>
      <c r="J5" s="1" t="str">
        <f>TEXT(WEEKDAY(DATE(TakvimYılı,1,7),1),"ggg")</f>
        <v/>
      </c>
      <c r="K5" s="1" t="str">
        <f>TEXT(WEEKDAY(DATE(TakvimYılı,1,8),1),"ggg")</f>
        <v/>
      </c>
      <c r="L5" s="1" t="str">
        <f>TEXT(WEEKDAY(DATE(TakvimYılı,1,9),1),"ggg")</f>
        <v/>
      </c>
      <c r="M5" s="1" t="str">
        <f>TEXT(WEEKDAY(DATE(TakvimYılı,1,10),1),"ggg")</f>
        <v/>
      </c>
      <c r="N5" s="1" t="str">
        <f>TEXT(WEEKDAY(DATE(TakvimYılı,1,11),1),"ggg")</f>
        <v/>
      </c>
      <c r="O5" s="1" t="str">
        <f>TEXT(WEEKDAY(DATE(TakvimYılı,1,12),1),"ggg")</f>
        <v/>
      </c>
      <c r="P5" s="1" t="str">
        <f>TEXT(WEEKDAY(DATE(TakvimYılı,1,13),1),"ggg")</f>
        <v/>
      </c>
      <c r="Q5" s="1" t="str">
        <f>TEXT(WEEKDAY(DATE(TakvimYılı,1,14),1),"ggg")</f>
        <v/>
      </c>
      <c r="R5" s="1" t="str">
        <f>TEXT(WEEKDAY(DATE(TakvimYılı,1,15),1),"ggg")</f>
        <v/>
      </c>
      <c r="S5" s="1" t="str">
        <f>TEXT(WEEKDAY(DATE(TakvimYılı,1,16),1),"ggg")</f>
        <v/>
      </c>
      <c r="T5" s="1" t="str">
        <f>TEXT(WEEKDAY(DATE(TakvimYılı,1,17),1),"ggg")</f>
        <v/>
      </c>
      <c r="U5" s="1" t="str">
        <f>TEXT(WEEKDAY(DATE(TakvimYılı,1,18),1),"ggg")</f>
        <v/>
      </c>
      <c r="V5" s="1" t="str">
        <f>TEXT(WEEKDAY(DATE(TakvimYılı,1,19),1),"ggg")</f>
        <v/>
      </c>
      <c r="W5" s="1" t="str">
        <f>TEXT(WEEKDAY(DATE(TakvimYılı,1,20),1),"ggg")</f>
        <v/>
      </c>
      <c r="X5" s="1" t="str">
        <f>TEXT(WEEKDAY(DATE(TakvimYılı,1,21),1),"ggg")</f>
        <v/>
      </c>
      <c r="Y5" s="1" t="str">
        <f>TEXT(WEEKDAY(DATE(TakvimYılı,1,22),1),"ggg")</f>
        <v/>
      </c>
      <c r="Z5" s="1" t="str">
        <f>TEXT(WEEKDAY(DATE(TakvimYılı,1,23),1),"ggg")</f>
        <v/>
      </c>
      <c r="AA5" s="1" t="str">
        <f>TEXT(WEEKDAY(DATE(TakvimYılı,1,24),1),"ggg")</f>
        <v/>
      </c>
      <c r="AB5" s="1" t="str">
        <f>TEXT(WEEKDAY(DATE(TakvimYılı,1,25),1),"ggg")</f>
        <v/>
      </c>
      <c r="AC5" s="1" t="str">
        <f>TEXT(WEEKDAY(DATE(TakvimYılı,1,26),1),"ggg")</f>
        <v/>
      </c>
      <c r="AD5" s="1" t="str">
        <f>TEXT(WEEKDAY(DATE(TakvimYılı,1,27),1),"ggg")</f>
        <v/>
      </c>
      <c r="AE5" s="1" t="str">
        <f>TEXT(WEEKDAY(DATE(TakvimYılı,1,28),1),"ggg")</f>
        <v/>
      </c>
      <c r="AF5" s="1" t="str">
        <f>TEXT(WEEKDAY(DATE(TakvimYılı,1,29),1),"ggg")</f>
        <v/>
      </c>
      <c r="AG5" s="1" t="str">
        <f>TEXT(WEEKDAY(DATE(TakvimYılı,1,30),1),"ggg")</f>
        <v/>
      </c>
      <c r="AH5" s="1" t="str">
        <f>TEXT(WEEKDAY(DATE(TakvimYılı,1,31),1),"ggg")</f>
        <v/>
      </c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34</v>
      </c>
      <c r="AH6" s="2" t="s">
        <v>35</v>
      </c>
      <c r="AI6" s="15" t="s">
        <v>36</v>
      </c>
    </row>
    <row r="7" spans="1:35" ht="30" customHeight="1" x14ac:dyDescent="0.35">
      <c r="A7" s="22">
        <v>1</v>
      </c>
      <c r="B7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Menecer</v>
      </c>
      <c r="C7" s="8" t="s">
        <v>114</v>
      </c>
      <c r="D7" s="2" t="s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COUNTA(Yanvar!$D7:$AH7)</f>
        <v>1</v>
      </c>
    </row>
    <row r="8" spans="1:35" ht="30" customHeight="1" x14ac:dyDescent="0.35">
      <c r="A8" s="22">
        <v>2</v>
      </c>
      <c r="B8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Nəzarətçi</v>
      </c>
      <c r="C8" s="8" t="s">
        <v>77</v>
      </c>
      <c r="D8" s="2" t="s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COUNTA(Yanvar!$D8:$AH8)</f>
        <v>1</v>
      </c>
    </row>
    <row r="9" spans="1:35" ht="30" customHeight="1" x14ac:dyDescent="0.35">
      <c r="A9" s="22">
        <v>3</v>
      </c>
      <c r="B9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Nəzarətçi</v>
      </c>
      <c r="C9" s="8" t="s">
        <v>64</v>
      </c>
      <c r="D9" s="2" t="s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COUNTA(Yanvar!$D9:$AH9)</f>
        <v>1</v>
      </c>
    </row>
    <row r="10" spans="1:35" ht="30" customHeight="1" x14ac:dyDescent="0.35">
      <c r="A10" s="22">
        <v>4</v>
      </c>
      <c r="B10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Ofis meneceri</v>
      </c>
      <c r="C10" s="8" t="s">
        <v>61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COUNTA(Yanvar!$D10:$AH10)</f>
        <v>0</v>
      </c>
    </row>
    <row r="11" spans="1:35" ht="30" customHeight="1" x14ac:dyDescent="0.35">
      <c r="A11" s="22">
        <v>5</v>
      </c>
      <c r="B11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Ofis meneceri</v>
      </c>
      <c r="C11" s="8" t="s">
        <v>78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COUNTA(Yanvar!$D11:$AH11)</f>
        <v>0</v>
      </c>
    </row>
    <row r="12" spans="1:35" ht="30" customHeight="1" x14ac:dyDescent="0.35">
      <c r="A12" s="22">
        <v>6</v>
      </c>
      <c r="B12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Ofis meneceri</v>
      </c>
      <c r="C12" s="8" t="s">
        <v>67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COUNTA(Yanvar!$D12:$AH12)</f>
        <v>0</v>
      </c>
    </row>
    <row r="13" spans="1:35" ht="30" customHeight="1" x14ac:dyDescent="0.35">
      <c r="A13" s="22">
        <v>7</v>
      </c>
      <c r="B13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Ofis meneceri</v>
      </c>
      <c r="C13" s="8" t="s">
        <v>100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COUNTA(Yanvar!$D13:$AH13)</f>
        <v>0</v>
      </c>
    </row>
    <row r="14" spans="1:35" ht="30" customHeight="1" x14ac:dyDescent="0.35">
      <c r="A14" s="22">
        <v>8</v>
      </c>
      <c r="B14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14" s="8" t="s">
        <v>62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COUNTA(Yanvar!$D14:$AH14)</f>
        <v>0</v>
      </c>
    </row>
    <row r="15" spans="1:35" ht="30" customHeight="1" x14ac:dyDescent="0.35">
      <c r="A15" s="22">
        <v>9</v>
      </c>
      <c r="B15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15" s="8" t="s">
        <v>63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COUNTA(Yanvar!$D15:$AH15)</f>
        <v>0</v>
      </c>
    </row>
    <row r="16" spans="1:35" ht="30" customHeight="1" x14ac:dyDescent="0.35">
      <c r="A16" s="22">
        <v>10</v>
      </c>
      <c r="B16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16" s="8" t="s">
        <v>65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COUNTA(Yanvar!$D16:$AH16)</f>
        <v>0</v>
      </c>
    </row>
    <row r="17" spans="1:35" ht="30" customHeight="1" x14ac:dyDescent="0.35">
      <c r="A17" s="22">
        <v>11</v>
      </c>
      <c r="B17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17" s="8" t="s">
        <v>68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COUNTA(Yanvar!$D17:$AH17)</f>
        <v>0</v>
      </c>
    </row>
    <row r="18" spans="1:35" ht="30" customHeight="1" x14ac:dyDescent="0.35">
      <c r="A18" s="22">
        <v>12</v>
      </c>
      <c r="B18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18" s="8" t="s">
        <v>69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COUNTA(Yanvar!$D18:$AH18)</f>
        <v>0</v>
      </c>
    </row>
    <row r="19" spans="1:35" ht="30" customHeight="1" x14ac:dyDescent="0.35">
      <c r="A19" s="22">
        <v>13</v>
      </c>
      <c r="B19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19" s="8" t="s">
        <v>71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COUNTA(Yanvar!$D19:$AH19)</f>
        <v>0</v>
      </c>
    </row>
    <row r="20" spans="1:35" ht="30" customHeight="1" x14ac:dyDescent="0.35">
      <c r="A20" s="22">
        <v>14</v>
      </c>
      <c r="B20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20" s="8" t="s">
        <v>72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COUNTA(Yanvar!$D20:$AH20)</f>
        <v>0</v>
      </c>
    </row>
    <row r="21" spans="1:35" ht="30" customHeight="1" x14ac:dyDescent="0.35">
      <c r="A21" s="22">
        <v>15</v>
      </c>
      <c r="B21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21" s="8" t="s">
        <v>73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COUNTA(Yanvar!$D21:$AH21)</f>
        <v>0</v>
      </c>
    </row>
    <row r="22" spans="1:35" ht="30" customHeight="1" x14ac:dyDescent="0.35">
      <c r="A22" s="22">
        <v>16</v>
      </c>
      <c r="B22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22" s="8" t="s">
        <v>74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COUNTA(Yanvar!$D22:$AH22)</f>
        <v>0</v>
      </c>
    </row>
    <row r="23" spans="1:35" ht="30" customHeight="1" x14ac:dyDescent="0.35">
      <c r="A23" s="22">
        <v>17</v>
      </c>
      <c r="B23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23" s="8" t="s">
        <v>75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COUNTA(Yanvar!$D23:$AH23)</f>
        <v>0</v>
      </c>
    </row>
    <row r="24" spans="1:35" ht="30" customHeight="1" x14ac:dyDescent="0.35">
      <c r="A24" s="22">
        <v>18</v>
      </c>
      <c r="B24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24" s="8" t="s">
        <v>76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COUNTA(Yanvar!$D24:$AH24)</f>
        <v>0</v>
      </c>
    </row>
    <row r="25" spans="1:35" ht="30" customHeight="1" x14ac:dyDescent="0.35">
      <c r="A25" s="22">
        <v>19</v>
      </c>
      <c r="B25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25" s="8" t="s">
        <v>79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COUNTA(Yanvar!$D25:$AH25)</f>
        <v>0</v>
      </c>
    </row>
    <row r="26" spans="1:35" ht="30" customHeight="1" x14ac:dyDescent="0.35">
      <c r="A26" s="22">
        <v>20</v>
      </c>
      <c r="B26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26" s="8" t="s">
        <v>80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COUNTA(Yanvar!$D26:$AH26)</f>
        <v>0</v>
      </c>
    </row>
    <row r="27" spans="1:35" ht="30" customHeight="1" x14ac:dyDescent="0.35">
      <c r="A27" s="22">
        <v>21</v>
      </c>
      <c r="B27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27" s="8" t="s">
        <v>81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COUNTA(Yanvar!$D27:$AH27)</f>
        <v>0</v>
      </c>
    </row>
    <row r="28" spans="1:35" ht="30" customHeight="1" x14ac:dyDescent="0.35">
      <c r="A28" s="22">
        <v>22</v>
      </c>
      <c r="B28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28" s="8" t="s">
        <v>82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COUNTA(Yanvar!$D28:$AH28)</f>
        <v>0</v>
      </c>
    </row>
    <row r="29" spans="1:35" ht="30" customHeight="1" x14ac:dyDescent="0.35">
      <c r="A29" s="22">
        <v>23</v>
      </c>
      <c r="B29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29" s="8" t="s">
        <v>83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COUNTA(Yanvar!$D29:$AH29)</f>
        <v>0</v>
      </c>
    </row>
    <row r="30" spans="1:35" ht="30" customHeight="1" x14ac:dyDescent="0.35">
      <c r="A30" s="22">
        <v>24</v>
      </c>
      <c r="B30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30" s="8" t="s">
        <v>84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COUNTA(Yanvar!$D30:$AH30)</f>
        <v>0</v>
      </c>
    </row>
    <row r="31" spans="1:35" ht="30" customHeight="1" x14ac:dyDescent="0.35">
      <c r="A31" s="22">
        <v>25</v>
      </c>
      <c r="B31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31" s="8" t="s">
        <v>85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COUNTA(Yanvar!$D31:$AH31)</f>
        <v>0</v>
      </c>
    </row>
    <row r="32" spans="1:35" ht="30" customHeight="1" x14ac:dyDescent="0.35">
      <c r="A32" s="22">
        <v>26</v>
      </c>
      <c r="B32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32" s="8" t="s">
        <v>86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COUNTA(Yanvar!$D32:$AH32)</f>
        <v>0</v>
      </c>
    </row>
    <row r="33" spans="1:35" ht="30" customHeight="1" x14ac:dyDescent="0.35">
      <c r="A33" s="22">
        <v>27</v>
      </c>
      <c r="B33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33" s="8" t="s">
        <v>87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COUNTA(Yanvar!$D33:$AH33)</f>
        <v>0</v>
      </c>
    </row>
    <row r="34" spans="1:35" ht="30" customHeight="1" x14ac:dyDescent="0.35">
      <c r="A34" s="22">
        <v>28</v>
      </c>
      <c r="B34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34" s="8" t="s">
        <v>88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COUNTA(Yanvar!$D34:$AH34)</f>
        <v>0</v>
      </c>
    </row>
    <row r="35" spans="1:35" ht="30" customHeight="1" x14ac:dyDescent="0.35">
      <c r="A35" s="22">
        <v>29</v>
      </c>
      <c r="B35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35" s="8" t="s">
        <v>89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COUNTA(Yanvar!$D35:$AH35)</f>
        <v>0</v>
      </c>
    </row>
    <row r="36" spans="1:35" ht="30" customHeight="1" x14ac:dyDescent="0.35">
      <c r="A36" s="22">
        <v>30</v>
      </c>
      <c r="B36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36" s="8" t="s">
        <v>90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COUNTA(Yanvar!$D36:$AH36)</f>
        <v>0</v>
      </c>
    </row>
    <row r="37" spans="1:35" ht="30" customHeight="1" x14ac:dyDescent="0.35">
      <c r="A37" s="22">
        <v>31</v>
      </c>
      <c r="B37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37" s="8" t="s">
        <v>91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COUNTA(Yanvar!$D37:$AH37)</f>
        <v>0</v>
      </c>
    </row>
    <row r="38" spans="1:35" ht="30" customHeight="1" x14ac:dyDescent="0.35">
      <c r="A38" s="22">
        <v>32</v>
      </c>
      <c r="B38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38" s="8" t="s">
        <v>92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COUNTA(Yanvar!$D38:$AH38)</f>
        <v>0</v>
      </c>
    </row>
    <row r="39" spans="1:35" ht="30" customHeight="1" x14ac:dyDescent="0.35">
      <c r="A39" s="22">
        <v>33</v>
      </c>
      <c r="B39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39" s="8" t="s">
        <v>93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COUNTA(Yanvar!$D39:$AH39)</f>
        <v>0</v>
      </c>
    </row>
    <row r="40" spans="1:35" ht="30" customHeight="1" x14ac:dyDescent="0.35">
      <c r="A40" s="22">
        <v>34</v>
      </c>
      <c r="B40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40" s="8" t="s">
        <v>94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COUNTA(Yanvar!$D40:$AH40)</f>
        <v>0</v>
      </c>
    </row>
    <row r="41" spans="1:35" ht="30" customHeight="1" x14ac:dyDescent="0.35">
      <c r="A41" s="22">
        <v>35</v>
      </c>
      <c r="B41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41" s="8" t="s">
        <v>95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COUNTA(Yanvar!$D41:$AH41)</f>
        <v>0</v>
      </c>
    </row>
    <row r="42" spans="1:35" ht="30" customHeight="1" x14ac:dyDescent="0.35">
      <c r="A42" s="22">
        <v>36</v>
      </c>
      <c r="B42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42" s="8" t="s">
        <v>96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COUNTA(Yanvar!$D42:$AH42)</f>
        <v>0</v>
      </c>
    </row>
    <row r="43" spans="1:35" ht="30" customHeight="1" x14ac:dyDescent="0.35">
      <c r="A43" s="22">
        <v>37</v>
      </c>
      <c r="B43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43" s="8" t="s">
        <v>97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COUNTA(Yanvar!$D43:$AH43)</f>
        <v>0</v>
      </c>
    </row>
    <row r="44" spans="1:35" ht="30" customHeight="1" x14ac:dyDescent="0.35">
      <c r="A44" s="22">
        <v>38</v>
      </c>
      <c r="B44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44" s="8" t="s">
        <v>98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COUNTA(Yanvar!$D44:$AH44)</f>
        <v>0</v>
      </c>
    </row>
    <row r="45" spans="1:35" ht="30" customHeight="1" x14ac:dyDescent="0.35">
      <c r="A45" s="22">
        <v>39</v>
      </c>
      <c r="B45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45" s="8" t="s">
        <v>99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COUNTA(Yanvar!$D45:$AH45)</f>
        <v>0</v>
      </c>
    </row>
    <row r="46" spans="1:35" ht="30" customHeight="1" x14ac:dyDescent="0.35">
      <c r="A46" s="22">
        <v>40</v>
      </c>
      <c r="B46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Ofis meneceri</v>
      </c>
      <c r="C46" s="8" t="s">
        <v>100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COUNTA(Yanvar!$D46:$AH46)</f>
        <v>0</v>
      </c>
    </row>
    <row r="47" spans="1:35" ht="30" customHeight="1" x14ac:dyDescent="0.35">
      <c r="A47" s="22">
        <v>41</v>
      </c>
      <c r="B47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47" s="8" t="s">
        <v>101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COUNTA(Yanvar!$D47:$AH47)</f>
        <v>0</v>
      </c>
    </row>
    <row r="48" spans="1:35" ht="30" customHeight="1" x14ac:dyDescent="0.35">
      <c r="A48" s="22">
        <v>42</v>
      </c>
      <c r="B48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48" s="8" t="s">
        <v>102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COUNTA(Yanvar!$D48:$AH48)</f>
        <v>0</v>
      </c>
    </row>
    <row r="49" spans="1:35" ht="30" customHeight="1" x14ac:dyDescent="0.35">
      <c r="A49" s="22">
        <v>43</v>
      </c>
      <c r="B49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49" s="8" t="s">
        <v>103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COUNTA(Yanvar!$D49:$AH49)</f>
        <v>0</v>
      </c>
    </row>
    <row r="50" spans="1:35" ht="30" customHeight="1" x14ac:dyDescent="0.35">
      <c r="A50" s="22">
        <v>44</v>
      </c>
      <c r="B50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50" s="8" t="s">
        <v>104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COUNTA(Yanvar!$D50:$AH50)</f>
        <v>0</v>
      </c>
    </row>
    <row r="51" spans="1:35" ht="30" customHeight="1" x14ac:dyDescent="0.35">
      <c r="A51" s="22">
        <v>45</v>
      </c>
      <c r="B51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51" s="8" t="s">
        <v>105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COUNTA(Yanvar!$D51:$AH51)</f>
        <v>0</v>
      </c>
    </row>
    <row r="52" spans="1:35" ht="30" customHeight="1" x14ac:dyDescent="0.35">
      <c r="A52" s="22">
        <v>46</v>
      </c>
      <c r="B52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52" s="8" t="s">
        <v>107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COUNTA(Yanvar!$D52:$AH52)</f>
        <v>0</v>
      </c>
    </row>
    <row r="53" spans="1:35" ht="30" customHeight="1" x14ac:dyDescent="0.35">
      <c r="A53" s="22">
        <v>47</v>
      </c>
      <c r="B53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53" s="8" t="s">
        <v>108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COUNTA(Yanvar!$D53:$AH53)</f>
        <v>0</v>
      </c>
    </row>
    <row r="54" spans="1:35" ht="30" customHeight="1" x14ac:dyDescent="0.35">
      <c r="A54" s="22">
        <v>48</v>
      </c>
      <c r="B54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54" s="8" t="s">
        <v>66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COUNTA(Yanvar!$D54:$AH54)</f>
        <v>0</v>
      </c>
    </row>
    <row r="55" spans="1:35" ht="30" customHeight="1" x14ac:dyDescent="0.35">
      <c r="A55" s="22">
        <v>49</v>
      </c>
      <c r="B55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55" s="8" t="s">
        <v>106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COUNTA(Yanvar!$D55:$AH55)</f>
        <v>0</v>
      </c>
    </row>
    <row r="56" spans="1:35" ht="30" customHeight="1" x14ac:dyDescent="0.35">
      <c r="A56" s="22">
        <v>50</v>
      </c>
      <c r="B56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56" s="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COUNTA(Yanvar!$D56:$AH56)</f>
        <v>0</v>
      </c>
    </row>
    <row r="57" spans="1:35" ht="30" customHeight="1" x14ac:dyDescent="0.35">
      <c r="A57" s="22">
        <v>51</v>
      </c>
      <c r="B57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57" s="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COUNTA(Yanvar!$D57:$AH57)</f>
        <v>0</v>
      </c>
    </row>
    <row r="58" spans="1:35" ht="30" customHeight="1" x14ac:dyDescent="0.35">
      <c r="A58" s="22">
        <v>52</v>
      </c>
      <c r="B58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58" s="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COUNTA(Yanvar!$D58:$AH58)</f>
        <v>0</v>
      </c>
    </row>
    <row r="59" spans="1:35" ht="30" customHeight="1" x14ac:dyDescent="0.35">
      <c r="A59" s="22">
        <v>53</v>
      </c>
      <c r="B59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59" s="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COUNTA(Yanvar!$D59:$AH59)</f>
        <v>0</v>
      </c>
    </row>
    <row r="60" spans="1:35" ht="30" customHeight="1" x14ac:dyDescent="0.35">
      <c r="A60" s="22">
        <v>54</v>
      </c>
      <c r="B60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60" s="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COUNTA(Yanvar!$D60:$AH60)</f>
        <v>0</v>
      </c>
    </row>
    <row r="61" spans="1:35" ht="30" customHeight="1" x14ac:dyDescent="0.35">
      <c r="A61" s="22">
        <v>55</v>
      </c>
      <c r="B61" s="22" t="str">
        <f>IF(OR(Ocak[[#This Row],[Çalışan Adı]]='Çalışan Adları'!$B$4,Ocak[[#This Row],[Çalışan Adı]]='Çalışan Adları'!$B$5,Ocak[[#This Row],[Çalışan Adı]]='Çalışan Adları'!$B$6,Ocak[[#This Row],[Çalışan Adı]]='Çalışan Adları'!$B$7),"Ofis meneceri",IF(OR(Ocak[[#This Row],[Çalışan Adı]]='Çalışan Adları'!$B$8,Ocak[[#This Row],[Çalışan Adı]]='Çalışan Adları'!$B$9),"Nəzarətçi",IF(OR(Ocak[[#This Row],[Çalışan Adı]]='Çalışan Adları'!$B$10),"Menecer","Bağban")))</f>
        <v>Bağban</v>
      </c>
      <c r="C61" s="8"/>
      <c r="D61" s="2"/>
      <c r="E61" s="2"/>
      <c r="F61" s="2"/>
      <c r="G61" s="2" t="s">
        <v>7</v>
      </c>
      <c r="H61" s="2" t="s">
        <v>1</v>
      </c>
      <c r="I61" s="2" t="s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 t="s">
        <v>7</v>
      </c>
      <c r="U61" s="2"/>
      <c r="V61" s="2"/>
      <c r="W61" s="2"/>
      <c r="X61" s="2"/>
      <c r="Y61" s="2"/>
      <c r="Z61" s="2"/>
      <c r="AA61" s="2" t="s">
        <v>7</v>
      </c>
      <c r="AB61" s="2"/>
      <c r="AC61" s="2"/>
      <c r="AD61" s="2"/>
      <c r="AE61" s="2"/>
      <c r="AF61" s="2"/>
      <c r="AG61" s="2"/>
      <c r="AH61" s="2" t="s">
        <v>1</v>
      </c>
      <c r="AI61" s="9">
        <f>COUNTA(Yanvar!$D61:$AH61)</f>
        <v>6</v>
      </c>
    </row>
    <row r="62" spans="1:35" ht="30" customHeight="1" x14ac:dyDescent="0.35">
      <c r="C62" s="19" t="str">
        <f>AyAdı&amp;" Toplamı"</f>
        <v>Yanvar Toplamı</v>
      </c>
      <c r="D62" s="12">
        <f>SUBTOTAL(103,Yanvar!$D$7:$D$61)</f>
        <v>3</v>
      </c>
      <c r="E62" s="12">
        <f>SUBTOTAL(103,Yanvar!$E$7:$E$61)</f>
        <v>0</v>
      </c>
      <c r="F62" s="12">
        <f>SUBTOTAL(103,Yanvar!$F$7:$F$61)</f>
        <v>0</v>
      </c>
      <c r="G62" s="12">
        <f>SUBTOTAL(103,Yanvar!$G$7:$G$61)</f>
        <v>1</v>
      </c>
      <c r="H62" s="12">
        <f>SUBTOTAL(103,Yanvar!$H$7:$H$61)</f>
        <v>1</v>
      </c>
      <c r="I62" s="12">
        <f>SUBTOTAL(103,Yanvar!$I$7:$I$61)</f>
        <v>1</v>
      </c>
      <c r="J62" s="12">
        <f>SUBTOTAL(103,Yanvar!$J$7:$J$61)</f>
        <v>0</v>
      </c>
      <c r="K62" s="12">
        <f>SUBTOTAL(103,Yanvar!$K$7:$K$61)</f>
        <v>0</v>
      </c>
      <c r="L62" s="12">
        <f>SUBTOTAL(103,Yanvar!$L$7:$L$61)</f>
        <v>0</v>
      </c>
      <c r="M62" s="12">
        <f>SUBTOTAL(103,Yanvar!$M$7:$M$61)</f>
        <v>0</v>
      </c>
      <c r="N62" s="12">
        <f>SUBTOTAL(103,Yanvar!$N$7:$N$61)</f>
        <v>0</v>
      </c>
      <c r="O62" s="12">
        <f>SUBTOTAL(103,Yanvar!$O$7:$O$61)</f>
        <v>0</v>
      </c>
      <c r="P62" s="12">
        <f>SUBTOTAL(103,Yanvar!$P$7:$P$61)</f>
        <v>0</v>
      </c>
      <c r="Q62" s="12">
        <f>SUBTOTAL(103,Yanvar!$Q$7:$Q$61)</f>
        <v>0</v>
      </c>
      <c r="R62" s="12">
        <f>SUBTOTAL(103,Yanvar!$R$7:$R$61)</f>
        <v>0</v>
      </c>
      <c r="S62" s="12">
        <f>SUBTOTAL(103,Yanvar!$S$7:$S$61)</f>
        <v>0</v>
      </c>
      <c r="T62" s="12">
        <f>SUBTOTAL(103,Yanvar!$T$7:$T$61)</f>
        <v>1</v>
      </c>
      <c r="U62" s="12">
        <f>SUBTOTAL(103,Yanvar!$U$7:$U$61)</f>
        <v>0</v>
      </c>
      <c r="V62" s="12">
        <f>SUBTOTAL(103,Yanvar!$V$7:$V$61)</f>
        <v>0</v>
      </c>
      <c r="W62" s="12">
        <f>SUBTOTAL(103,Yanvar!$W$7:$W$61)</f>
        <v>0</v>
      </c>
      <c r="X62" s="12">
        <f>SUBTOTAL(103,Yanvar!$X$7:$X$61)</f>
        <v>0</v>
      </c>
      <c r="Y62" s="12">
        <f>SUBTOTAL(103,Yanvar!$Y$7:$Y$61)</f>
        <v>0</v>
      </c>
      <c r="Z62" s="12">
        <f>SUBTOTAL(103,Yanvar!$Z$7:$Z$61)</f>
        <v>0</v>
      </c>
      <c r="AA62" s="12">
        <f>SUBTOTAL(103,Yanvar!$AA$7:$AA$61)</f>
        <v>1</v>
      </c>
      <c r="AB62" s="12">
        <f>SUBTOTAL(103,Yanvar!$AB$7:$AB$61)</f>
        <v>0</v>
      </c>
      <c r="AC62" s="12">
        <f>SUBTOTAL(103,Yanvar!$AC$7:$AC$61)</f>
        <v>0</v>
      </c>
      <c r="AD62" s="12">
        <f>SUBTOTAL(103,Yanvar!$AD$7:$AD$61)</f>
        <v>0</v>
      </c>
      <c r="AE62" s="12">
        <f>SUBTOTAL(103,Yanvar!$AE$7:$AE$61)</f>
        <v>0</v>
      </c>
      <c r="AF62" s="12">
        <f>SUBTOTAL(103,Yanvar!$AF$7:$AF$61)</f>
        <v>0</v>
      </c>
      <c r="AG62" s="12">
        <f>SUBTOTAL(103,Yanvar!$AG$7:$AG$61)</f>
        <v>0</v>
      </c>
      <c r="AH62" s="12">
        <f>SUBTOTAL(103,Yanvar!$AH$7:$AH$61)</f>
        <v>1</v>
      </c>
      <c r="AI62" s="12">
        <f>SUBTOTAL(109,Ocak[Toplam Gün])</f>
        <v>9</v>
      </c>
    </row>
  </sheetData>
  <mergeCells count="7">
    <mergeCell ref="A1:B5"/>
    <mergeCell ref="D4:AH4"/>
    <mergeCell ref="E2:G2"/>
    <mergeCell ref="I2:K2"/>
    <mergeCell ref="M2:N2"/>
    <mergeCell ref="P2:R2"/>
    <mergeCell ref="T2:V2"/>
  </mergeCells>
  <conditionalFormatting sqref="D7:AH61">
    <cfRule type="expression" priority="1" stopIfTrue="1">
      <formula>D7=""</formula>
    </cfRule>
    <cfRule type="expression" dxfId="892" priority="6" stopIfTrue="1">
      <formula>D7=AnahtarÖzel2</formula>
    </cfRule>
    <cfRule type="expression" dxfId="891" priority="7" stopIfTrue="1">
      <formula>D7=AnahtarÖzel1</formula>
    </cfRule>
    <cfRule type="expression" dxfId="890" priority="8" stopIfTrue="1">
      <formula>D7=AnahtarHasta</formula>
    </cfRule>
    <cfRule type="expression" dxfId="889" priority="9" stopIfTrue="1">
      <formula>D7=AnahtarKişisel</formula>
    </cfRule>
    <cfRule type="expression" dxfId="888" priority="10" stopIfTrue="1">
      <formula>D7=AnahtarTatil</formula>
    </cfRule>
  </conditionalFormatting>
  <conditionalFormatting sqref="AI7:AI61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Bu hücreye yılı girin" sqref="AI4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  <dataValidation allowBlank="1" showInputMessage="1" showErrorMessage="1" prompt="Bu satırdaki günler, AH4 hücresine girilen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Bu ay çalışanın toplamda kaç gün devamsızlık yaptığını otomatik olarak hesaplar" sqref="AI6"/>
    <dataValidation allowBlank="1" showInputMessage="1" showErrorMessage="1" prompt="Çalışma sayfasının başlığı bu hücrededir. Başlığı güncelleştirdiğinizde, her çalışma sayfası bu değişikliği otomatik olarak devralır" sqref="C1"/>
    <dataValidation allowBlank="1" showInputMessage="1" showErrorMessage="1" prompt="Bu devamsızlık zaman çizelgesinin ait olduğu ay. AH4 hücresinde yılı güncelleştirin. Tablonun son hücresinde aya göre toplam değerleri izleyin. Tablonun B sütununa çalışan adlarını girin" sqref="C4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&quot;T&quot; harfi tatil nedeniyle devamsızlığı gösterir" sqref="D2"/>
    <dataValidation allowBlank="1" showInputMessage="1" showErrorMessage="1" prompt="&quot;K&quot; harfi kişisel nedenlerden dolayı devamsızlığı gösterir" sqref="H2"/>
    <dataValidation allowBlank="1" showInputMessage="1" showErrorMessage="1" prompt="&quot;H&quot; harfi hastalık nedeniyle devamsızlığı gösterir" sqref="L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Soldaki özel anahtarı açıklamak için bir etiket girin" sqref="P2:R2 T2:V2"/>
    <dataValidation allowBlank="1" showInputMessage="1" showErrorMessage="1" prompt="Aşağıdaki hücreye yılı girin" sqref="AI3"/>
    <dataValidation allowBlank="1" showInputMessage="1" showErrorMessage="1" prompt="Bu çalışma sayfasında Şubat devamsızlığını izleyin" sqref="A1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'Çalışan Adları'!$B$4:$B$61</xm:f>
          </x14:formula1>
          <xm:sqref>C8:C61</xm:sqref>
        </x14:dataValidation>
        <x14:dataValidation type="list" allowBlank="1" showInputMessage="1" showErrorMessage="1">
          <x14:formula1>
            <xm:f>'Çalışan Adları'!$B$4:$B$60</xm:f>
          </x14:formula1>
          <xm:sqref>C7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I62"/>
  <sheetViews>
    <sheetView showGridLines="0" topLeftCell="A53" zoomScaleNormal="100" workbookViewId="0">
      <selection activeCell="C7" sqref="C7:C61"/>
    </sheetView>
  </sheetViews>
  <sheetFormatPr defaultRowHeight="30" customHeight="1" x14ac:dyDescent="0.35"/>
  <cols>
    <col min="1" max="1" width="3.81640625" style="1" customWidth="1"/>
    <col min="2" max="2" width="23.54296875" style="1" customWidth="1"/>
    <col min="3" max="3" width="25.63281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C1" s="13" t="str">
        <f>Employee_Absence_Title</f>
        <v>İşçilərin davamiyyət cədvəli</v>
      </c>
    </row>
    <row r="2" spans="1:35" ht="15" customHeight="1" x14ac:dyDescent="0.35"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 t="s">
        <v>45</v>
      </c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/>
      <c r="T2" s="40" t="s">
        <v>20</v>
      </c>
      <c r="U2" s="40"/>
      <c r="V2" s="40"/>
    </row>
    <row r="3" spans="1:35" ht="15" customHeight="1" x14ac:dyDescent="0.35">
      <c r="C3" s="13"/>
    </row>
    <row r="4" spans="1:35" ht="30" customHeight="1" x14ac:dyDescent="0.35">
      <c r="C4" s="11" t="s">
        <v>56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f>TakvimYılı</f>
        <v>2022</v>
      </c>
    </row>
    <row r="5" spans="1:35" ht="15" customHeight="1" x14ac:dyDescent="0.35">
      <c r="C5" s="11"/>
      <c r="D5" s="1" t="str">
        <f>TEXT(WEEKDAY(DATE(TakvimYılı,10,1),1),"ggg")</f>
        <v/>
      </c>
      <c r="E5" s="1" t="str">
        <f>TEXT(WEEKDAY(DATE(TakvimYılı,10,2),1),"ggg")</f>
        <v/>
      </c>
      <c r="F5" s="1" t="str">
        <f>TEXT(WEEKDAY(DATE(TakvimYılı,10,3),1),"ggg")</f>
        <v/>
      </c>
      <c r="G5" s="1" t="str">
        <f>TEXT(WEEKDAY(DATE(TakvimYılı,10,4),1),"ggg")</f>
        <v/>
      </c>
      <c r="H5" s="1" t="str">
        <f>TEXT(WEEKDAY(DATE(TakvimYılı,10,5),1),"ggg")</f>
        <v/>
      </c>
      <c r="I5" s="1" t="str">
        <f>TEXT(WEEKDAY(DATE(TakvimYılı,10,6),1),"ggg")</f>
        <v/>
      </c>
      <c r="J5" s="1" t="str">
        <f>TEXT(WEEKDAY(DATE(TakvimYılı,10,7),1),"ggg")</f>
        <v/>
      </c>
      <c r="K5" s="1" t="str">
        <f>TEXT(WEEKDAY(DATE(TakvimYılı,10,8),1),"ggg")</f>
        <v/>
      </c>
      <c r="L5" s="1" t="str">
        <f>TEXT(WEEKDAY(DATE(TakvimYılı,10,9),1),"ggg")</f>
        <v/>
      </c>
      <c r="M5" s="1" t="str">
        <f>TEXT(WEEKDAY(DATE(TakvimYılı,10,10),1),"ggg")</f>
        <v/>
      </c>
      <c r="N5" s="1" t="str">
        <f>TEXT(WEEKDAY(DATE(TakvimYılı,10,11),1),"ggg")</f>
        <v/>
      </c>
      <c r="O5" s="1" t="str">
        <f>TEXT(WEEKDAY(DATE(TakvimYılı,10,12),1),"ggg")</f>
        <v/>
      </c>
      <c r="P5" s="1" t="str">
        <f>TEXT(WEEKDAY(DATE(TakvimYılı,10,13),1),"ggg")</f>
        <v/>
      </c>
      <c r="Q5" s="1" t="str">
        <f>TEXT(WEEKDAY(DATE(TakvimYılı,10,14),1),"ggg")</f>
        <v/>
      </c>
      <c r="R5" s="1" t="str">
        <f>TEXT(WEEKDAY(DATE(TakvimYılı,10,15),1),"ggg")</f>
        <v/>
      </c>
      <c r="S5" s="1" t="str">
        <f>TEXT(WEEKDAY(DATE(TakvimYılı,10,16),1),"ggg")</f>
        <v/>
      </c>
      <c r="T5" s="1" t="str">
        <f>TEXT(WEEKDAY(DATE(TakvimYılı,10,17),1),"ggg")</f>
        <v/>
      </c>
      <c r="U5" s="1" t="str">
        <f>TEXT(WEEKDAY(DATE(TakvimYılı,10,18),1),"ggg")</f>
        <v/>
      </c>
      <c r="V5" s="1" t="str">
        <f>TEXT(WEEKDAY(DATE(TakvimYılı,10,19),1),"ggg")</f>
        <v/>
      </c>
      <c r="W5" s="1" t="str">
        <f>TEXT(WEEKDAY(DATE(TakvimYılı,10,20),1),"ggg")</f>
        <v/>
      </c>
      <c r="X5" s="1" t="str">
        <f>TEXT(WEEKDAY(DATE(TakvimYılı,10,21),1),"ggg")</f>
        <v/>
      </c>
      <c r="Y5" s="1" t="str">
        <f>TEXT(WEEKDAY(DATE(TakvimYılı,10,22),1),"ggg")</f>
        <v/>
      </c>
      <c r="Z5" s="1" t="str">
        <f>TEXT(WEEKDAY(DATE(TakvimYılı,10,23),1),"ggg")</f>
        <v/>
      </c>
      <c r="AA5" s="1" t="str">
        <f>TEXT(WEEKDAY(DATE(TakvimYılı,10,24),1),"ggg")</f>
        <v/>
      </c>
      <c r="AB5" s="1" t="str">
        <f>TEXT(WEEKDAY(DATE(TakvimYılı,10,25),1),"ggg")</f>
        <v/>
      </c>
      <c r="AC5" s="1" t="str">
        <f>TEXT(WEEKDAY(DATE(TakvimYılı,10,26),1),"ggg")</f>
        <v/>
      </c>
      <c r="AD5" s="1" t="str">
        <f>TEXT(WEEKDAY(DATE(TakvimYılı,10,27),1),"ggg")</f>
        <v/>
      </c>
      <c r="AE5" s="1" t="str">
        <f>TEXT(WEEKDAY(DATE(TakvimYılı,10,28),1),"ggg")</f>
        <v/>
      </c>
      <c r="AF5" s="1" t="str">
        <f>TEXT(WEEKDAY(DATE(TakvimYılı,10,29),1),"ggg")</f>
        <v/>
      </c>
      <c r="AG5" s="1" t="str">
        <f>TEXT(WEEKDAY(DATE(TakvimYılı,10,30),1),"ggg")</f>
        <v/>
      </c>
      <c r="AH5" s="1" t="str">
        <f>TEXT(WEEKDAY(DATE(TakvimYılı,10,31),1),"ggg")</f>
        <v/>
      </c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34</v>
      </c>
      <c r="AH6" s="2" t="s">
        <v>35</v>
      </c>
      <c r="AI6" s="15" t="s">
        <v>36</v>
      </c>
    </row>
    <row r="7" spans="1:35" ht="30" customHeight="1" x14ac:dyDescent="0.35">
      <c r="A7" s="22">
        <v>1</v>
      </c>
      <c r="B7" s="16" t="str">
        <f>Sentyabr!B7</f>
        <v>Menecer</v>
      </c>
      <c r="C7" s="16" t="str">
        <f>Sentyabr!C7</f>
        <v>Rzakov Ramiz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COUNTA(Ekim[[#This Row],[1]:[31]])</f>
        <v>0</v>
      </c>
    </row>
    <row r="8" spans="1:35" ht="30" customHeight="1" x14ac:dyDescent="0.35">
      <c r="A8" s="22">
        <v>2</v>
      </c>
      <c r="B8" s="16" t="str">
        <f>Sentyabr!B8</f>
        <v>Nəzarətçi</v>
      </c>
      <c r="C8" s="16" t="str">
        <f>Sentyabr!C8</f>
        <v>Əsədov Elçin Güloğlan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COUNTA(Ekim[[#This Row],[1]:[31]])</f>
        <v>0</v>
      </c>
    </row>
    <row r="9" spans="1:35" ht="30" customHeight="1" x14ac:dyDescent="0.35">
      <c r="A9" s="22">
        <v>3</v>
      </c>
      <c r="B9" s="16" t="str">
        <f>Sentyabr!B9</f>
        <v>Nəzarətçi</v>
      </c>
      <c r="C9" s="16" t="str">
        <f>Sentyabr!C9</f>
        <v>Babayev Fərid Vaqif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COUNTA(Ekim[[#This Row],[1]:[31]])</f>
        <v>0</v>
      </c>
    </row>
    <row r="10" spans="1:35" ht="30" customHeight="1" x14ac:dyDescent="0.35">
      <c r="A10" s="22">
        <v>4</v>
      </c>
      <c r="B10" s="16" t="str">
        <f>Sentyabr!B10</f>
        <v>Ofis meneceri</v>
      </c>
      <c r="C10" s="16" t="str">
        <f>Sentyabr!C10</f>
        <v>Abbasov Rahib Ziyad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COUNTA(Ekim[[#This Row],[1]:[31]])</f>
        <v>0</v>
      </c>
    </row>
    <row r="11" spans="1:35" ht="30" customHeight="1" x14ac:dyDescent="0.35">
      <c r="A11" s="22">
        <v>5</v>
      </c>
      <c r="B11" s="16" t="str">
        <f>Sentyabr!B11</f>
        <v>Ofis meneceri</v>
      </c>
      <c r="C11" s="16" t="str">
        <f>Sentyabr!C11</f>
        <v>Əşrəfzadə Sərxan Elman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COUNTA(Ekim[[#This Row],[1]:[31]])</f>
        <v>0</v>
      </c>
    </row>
    <row r="12" spans="1:35" ht="30" customHeight="1" x14ac:dyDescent="0.35">
      <c r="A12" s="22">
        <v>6</v>
      </c>
      <c r="B12" s="16" t="str">
        <f>Sentyabr!B12</f>
        <v>Ofis meneceri</v>
      </c>
      <c r="C12" s="16" t="str">
        <f>Sentyabr!C12</f>
        <v>Dostəlizadə Mahir Valeh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COUNTA(Ekim[[#This Row],[1]:[31]])</f>
        <v>0</v>
      </c>
    </row>
    <row r="13" spans="1:35" ht="30" customHeight="1" x14ac:dyDescent="0.35">
      <c r="A13" s="22">
        <v>7</v>
      </c>
      <c r="B13" s="16" t="str">
        <f>Sentyabr!B13</f>
        <v>Ofis meneceri</v>
      </c>
      <c r="C13" s="16" t="str">
        <f>Sentyabr!C13</f>
        <v>Rəsulov Nurlan Yaşar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COUNTA(Ekim[[#This Row],[1]:[31]])</f>
        <v>0</v>
      </c>
    </row>
    <row r="14" spans="1:35" ht="30" customHeight="1" x14ac:dyDescent="0.35">
      <c r="A14" s="22">
        <v>8</v>
      </c>
      <c r="B14" s="16" t="str">
        <f>Sentyabr!B14</f>
        <v>Bağban</v>
      </c>
      <c r="C14" s="16" t="str">
        <f>Sentyabr!C14</f>
        <v>Abbasov Sücayət Hüseyn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COUNTA(Ekim[[#This Row],[1]:[31]])</f>
        <v>0</v>
      </c>
    </row>
    <row r="15" spans="1:35" ht="30" customHeight="1" x14ac:dyDescent="0.35">
      <c r="A15" s="22">
        <v>9</v>
      </c>
      <c r="B15" s="16" t="str">
        <f>Sentyabr!B15</f>
        <v>Bağban</v>
      </c>
      <c r="C15" s="16" t="str">
        <f>Sentyabr!C15</f>
        <v>Ağayev Əkrəm Zülfi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COUNTA(Ekim[[#This Row],[1]:[31]])</f>
        <v>0</v>
      </c>
    </row>
    <row r="16" spans="1:35" ht="30" customHeight="1" x14ac:dyDescent="0.35">
      <c r="A16" s="22">
        <v>10</v>
      </c>
      <c r="B16" s="16" t="str">
        <f>Sentyabr!B16</f>
        <v>Bağban</v>
      </c>
      <c r="C16" s="16" t="str">
        <f>Sentyabr!C16</f>
        <v>Bayramov Asim İsaq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COUNTA(Ekim[[#This Row],[1]:[31]])</f>
        <v>0</v>
      </c>
    </row>
    <row r="17" spans="1:35" ht="30" customHeight="1" x14ac:dyDescent="0.35">
      <c r="A17" s="22">
        <v>11</v>
      </c>
      <c r="B17" s="16" t="str">
        <f>Sentyabr!B17</f>
        <v>Bağban</v>
      </c>
      <c r="C17" s="16" t="str">
        <f>Sentyabr!C17</f>
        <v>Əhədov Seymur Atakişi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COUNTA(Ekim[[#This Row],[1]:[31]])</f>
        <v>0</v>
      </c>
    </row>
    <row r="18" spans="1:35" ht="30" customHeight="1" x14ac:dyDescent="0.35">
      <c r="A18" s="22">
        <v>12</v>
      </c>
      <c r="B18" s="16" t="str">
        <f>Sentyabr!B18</f>
        <v>Bağban</v>
      </c>
      <c r="C18" s="16" t="str">
        <f>Sentyabr!C18</f>
        <v>Əhmədov Elməddin Əhməd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COUNTA(Ekim[[#This Row],[1]:[31]])</f>
        <v>0</v>
      </c>
    </row>
    <row r="19" spans="1:35" ht="30" customHeight="1" x14ac:dyDescent="0.35">
      <c r="A19" s="22">
        <v>13</v>
      </c>
      <c r="B19" s="16" t="str">
        <f>Sentyabr!B19</f>
        <v>Bağban</v>
      </c>
      <c r="C19" s="16" t="str">
        <f>Sentyabr!C19</f>
        <v>Ələkbərov Bagman Ərəstun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COUNTA(Ekim[[#This Row],[1]:[31]])</f>
        <v>0</v>
      </c>
    </row>
    <row r="20" spans="1:35" ht="30" customHeight="1" x14ac:dyDescent="0.35">
      <c r="A20" s="22">
        <v>14</v>
      </c>
      <c r="B20" s="16" t="str">
        <f>Sentyabr!B20</f>
        <v>Bağban</v>
      </c>
      <c r="C20" s="16" t="str">
        <f>Sentyabr!C20</f>
        <v>Ələkbərov Fərman Qabil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COUNTA(Ekim[[#This Row],[1]:[31]])</f>
        <v>0</v>
      </c>
    </row>
    <row r="21" spans="1:35" ht="30" customHeight="1" x14ac:dyDescent="0.35">
      <c r="A21" s="22">
        <v>15</v>
      </c>
      <c r="B21" s="16" t="str">
        <f>Sentyabr!B21</f>
        <v>Bağban</v>
      </c>
      <c r="C21" s="16" t="str">
        <f>Sentyabr!C21</f>
        <v>Ələsgərov Elməddin Rauf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COUNTA(Ekim[[#This Row],[1]:[31]])</f>
        <v>0</v>
      </c>
    </row>
    <row r="22" spans="1:35" ht="30" customHeight="1" x14ac:dyDescent="0.35">
      <c r="A22" s="22">
        <v>16</v>
      </c>
      <c r="B22" s="16" t="str">
        <f>Sentyabr!B22</f>
        <v>Bağban</v>
      </c>
      <c r="C22" s="16" t="str">
        <f>Sentyabr!C22</f>
        <v>Əliyev Həsən Mais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COUNTA(Ekim[[#This Row],[1]:[31]])</f>
        <v>0</v>
      </c>
    </row>
    <row r="23" spans="1:35" ht="30" customHeight="1" x14ac:dyDescent="0.35">
      <c r="A23" s="22">
        <v>17</v>
      </c>
      <c r="B23" s="16" t="str">
        <f>Sentyabr!B23</f>
        <v>Bağban</v>
      </c>
      <c r="C23" s="16" t="str">
        <f>Sentyabr!C23</f>
        <v>Əliyev Sərdar Əliağa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COUNTA(Ekim[[#This Row],[1]:[31]])</f>
        <v>0</v>
      </c>
    </row>
    <row r="24" spans="1:35" ht="30" customHeight="1" x14ac:dyDescent="0.35">
      <c r="A24" s="22">
        <v>18</v>
      </c>
      <c r="B24" s="16" t="str">
        <f>Sentyabr!B24</f>
        <v>Bağban</v>
      </c>
      <c r="C24" s="16" t="str">
        <f>Sentyabr!C24</f>
        <v>Əliyev Xalıq Xanağa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COUNTA(Ekim[[#This Row],[1]:[31]])</f>
        <v>0</v>
      </c>
    </row>
    <row r="25" spans="1:35" ht="30" customHeight="1" x14ac:dyDescent="0.35">
      <c r="A25" s="22">
        <v>19</v>
      </c>
      <c r="B25" s="16" t="str">
        <f>Sentyabr!B25</f>
        <v>Bağban</v>
      </c>
      <c r="C25" s="16" t="str">
        <f>Sentyabr!C25</f>
        <v>Feyzullayev Firudin Ramiz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COUNTA(Ekim[[#This Row],[1]:[31]])</f>
        <v>0</v>
      </c>
    </row>
    <row r="26" spans="1:35" ht="30" customHeight="1" x14ac:dyDescent="0.35">
      <c r="A26" s="22">
        <v>20</v>
      </c>
      <c r="B26" s="16" t="str">
        <f>Sentyabr!B26</f>
        <v>Bağban</v>
      </c>
      <c r="C26" s="16" t="str">
        <f>Sentyabr!C26</f>
        <v>Haşımov Asif Hacı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COUNTA(Ekim[[#This Row],[1]:[31]])</f>
        <v>0</v>
      </c>
    </row>
    <row r="27" spans="1:35" ht="30" customHeight="1" x14ac:dyDescent="0.35">
      <c r="A27" s="22">
        <v>21</v>
      </c>
      <c r="B27" s="16" t="str">
        <f>Sentyabr!B27</f>
        <v>Bağban</v>
      </c>
      <c r="C27" s="16" t="str">
        <f>Sentyabr!C27</f>
        <v>Hüseynov Davud İsa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COUNTA(Ekim[[#This Row],[1]:[31]])</f>
        <v>0</v>
      </c>
    </row>
    <row r="28" spans="1:35" ht="30" customHeight="1" x14ac:dyDescent="0.35">
      <c r="A28" s="22">
        <v>22</v>
      </c>
      <c r="B28" s="16" t="str">
        <f>Sentyabr!B28</f>
        <v>Bağban</v>
      </c>
      <c r="C28" s="16" t="str">
        <f>Sentyabr!C28</f>
        <v>Hüseynov Ədail İsa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COUNTA(Ekim[[#This Row],[1]:[31]])</f>
        <v>0</v>
      </c>
    </row>
    <row r="29" spans="1:35" ht="30" customHeight="1" x14ac:dyDescent="0.35">
      <c r="A29" s="22">
        <v>23</v>
      </c>
      <c r="B29" s="16" t="str">
        <f>Sentyabr!B29</f>
        <v>Bağban</v>
      </c>
      <c r="C29" s="16" t="str">
        <f>Sentyabr!C29</f>
        <v>Hüseynov Səfaddin Əbülfəz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COUNTA(Ekim[[#This Row],[1]:[31]])</f>
        <v>0</v>
      </c>
    </row>
    <row r="30" spans="1:35" ht="30" customHeight="1" x14ac:dyDescent="0.35">
      <c r="A30" s="22">
        <v>24</v>
      </c>
      <c r="B30" s="16" t="str">
        <f>Sentyabr!B30</f>
        <v>Bağban</v>
      </c>
      <c r="C30" s="16" t="str">
        <f>Sentyabr!C30</f>
        <v>Hüseynov Şəmistan Qabil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COUNTA(Ekim[[#This Row],[1]:[31]])</f>
        <v>0</v>
      </c>
    </row>
    <row r="31" spans="1:35" ht="30" customHeight="1" x14ac:dyDescent="0.35">
      <c r="A31" s="22">
        <v>25</v>
      </c>
      <c r="B31" s="16" t="str">
        <f>Sentyabr!B31</f>
        <v>Bağban</v>
      </c>
      <c r="C31" s="16" t="str">
        <f>Sentyabr!C31</f>
        <v>Hüseynov Sərdar İsa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COUNTA(Ekim[[#This Row],[1]:[31]])</f>
        <v>0</v>
      </c>
    </row>
    <row r="32" spans="1:35" ht="30" customHeight="1" x14ac:dyDescent="0.35">
      <c r="A32" s="22">
        <v>26</v>
      </c>
      <c r="B32" s="16" t="str">
        <f>Sentyabr!B32</f>
        <v>Bağban</v>
      </c>
      <c r="C32" s="16" t="str">
        <f>Sentyabr!C32</f>
        <v>Hüseynov Siruz Qabil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COUNTA(Ekim[[#This Row],[1]:[31]])</f>
        <v>0</v>
      </c>
    </row>
    <row r="33" spans="1:35" ht="30" customHeight="1" x14ac:dyDescent="0.35">
      <c r="A33" s="22">
        <v>27</v>
      </c>
      <c r="B33" s="16" t="str">
        <f>Sentyabr!B33</f>
        <v>Bağban</v>
      </c>
      <c r="C33" s="16" t="str">
        <f>Sentyabr!C33</f>
        <v>Hüseynov Taleh Daşqın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COUNTA(Ekim[[#This Row],[1]:[31]])</f>
        <v>0</v>
      </c>
    </row>
    <row r="34" spans="1:35" ht="30" customHeight="1" x14ac:dyDescent="0.35">
      <c r="A34" s="22">
        <v>28</v>
      </c>
      <c r="B34" s="16" t="str">
        <f>Sentyabr!B34</f>
        <v>Bağban</v>
      </c>
      <c r="C34" s="16" t="str">
        <f>Sentyabr!C34</f>
        <v>Hüseynov Tərlan Yadulla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COUNTA(Ekim[[#This Row],[1]:[31]])</f>
        <v>0</v>
      </c>
    </row>
    <row r="35" spans="1:35" ht="30" customHeight="1" x14ac:dyDescent="0.35">
      <c r="A35" s="22">
        <v>29</v>
      </c>
      <c r="B35" s="16" t="str">
        <f>Sentyabr!B35</f>
        <v>Bağban</v>
      </c>
      <c r="C35" s="16" t="str">
        <f>Sentyabr!C35</f>
        <v>İbayev Zahid Mahir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COUNTA(Ekim[[#This Row],[1]:[31]])</f>
        <v>0</v>
      </c>
    </row>
    <row r="36" spans="1:35" ht="30" customHeight="1" x14ac:dyDescent="0.35">
      <c r="A36" s="22">
        <v>30</v>
      </c>
      <c r="B36" s="16" t="str">
        <f>Sentyabr!B36</f>
        <v>Bağban</v>
      </c>
      <c r="C36" s="16" t="str">
        <f>Sentyabr!C36</f>
        <v>İbayev Zahir Mahir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COUNTA(Ekim[[#This Row],[1]:[31]])</f>
        <v>0</v>
      </c>
    </row>
    <row r="37" spans="1:35" ht="30" customHeight="1" x14ac:dyDescent="0.35">
      <c r="A37" s="22">
        <v>31</v>
      </c>
      <c r="B37" s="16" t="str">
        <f>Sentyabr!B37</f>
        <v>Bağban</v>
      </c>
      <c r="C37" s="16" t="str">
        <f>Sentyabr!C37</f>
        <v>Məcidzadə Əli Valeh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COUNTA(Ekim[[#This Row],[1]:[31]])</f>
        <v>0</v>
      </c>
    </row>
    <row r="38" spans="1:35" ht="30" customHeight="1" x14ac:dyDescent="0.35">
      <c r="A38" s="22">
        <v>32</v>
      </c>
      <c r="B38" s="16" t="str">
        <f>Sentyabr!B38</f>
        <v>Bağban</v>
      </c>
      <c r="C38" s="16" t="str">
        <f>Sentyabr!C38</f>
        <v xml:space="preserve">Məmmədli Bəhruz İlham 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COUNTA(Ekim[[#This Row],[1]:[31]])</f>
        <v>0</v>
      </c>
    </row>
    <row r="39" spans="1:35" ht="30" customHeight="1" x14ac:dyDescent="0.35">
      <c r="A39" s="22">
        <v>33</v>
      </c>
      <c r="B39" s="16" t="str">
        <f>Sentyabr!B39</f>
        <v>Bağban</v>
      </c>
      <c r="C39" s="16" t="str">
        <f>Sentyabr!C39</f>
        <v>Məmmədli İsa Nazim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COUNTA(Ekim[[#This Row],[1]:[31]])</f>
        <v>0</v>
      </c>
    </row>
    <row r="40" spans="1:35" ht="30" customHeight="1" x14ac:dyDescent="0.35">
      <c r="A40" s="22">
        <v>34</v>
      </c>
      <c r="B40" s="16" t="str">
        <f>Sentyabr!B40</f>
        <v>Bağban</v>
      </c>
      <c r="C40" s="16" t="str">
        <f>Sentyabr!C40</f>
        <v>Məmmədov İlqar Teyyub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COUNTA(Ekim[[#This Row],[1]:[31]])</f>
        <v>0</v>
      </c>
    </row>
    <row r="41" spans="1:35" ht="30" customHeight="1" x14ac:dyDescent="0.35">
      <c r="A41" s="22">
        <v>35</v>
      </c>
      <c r="B41" s="16" t="str">
        <f>Sentyabr!B41</f>
        <v>Bağban</v>
      </c>
      <c r="C41" s="16" t="str">
        <f>Sentyabr!C41</f>
        <v xml:space="preserve">Məmmədov Sahil Ağaxan 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COUNTA(Ekim[[#This Row],[1]:[31]])</f>
        <v>0</v>
      </c>
    </row>
    <row r="42" spans="1:35" ht="30" customHeight="1" x14ac:dyDescent="0.35">
      <c r="A42" s="22">
        <v>36</v>
      </c>
      <c r="B42" s="16" t="str">
        <f>Sentyabr!B42</f>
        <v>Bağban</v>
      </c>
      <c r="C42" s="16" t="str">
        <f>Sentyabr!C42</f>
        <v>Məmmədov Yaqub Zahir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COUNTA(Ekim[[#This Row],[1]:[31]])</f>
        <v>0</v>
      </c>
    </row>
    <row r="43" spans="1:35" ht="30" customHeight="1" x14ac:dyDescent="0.35">
      <c r="A43" s="22">
        <v>37</v>
      </c>
      <c r="B43" s="16" t="str">
        <f>Sentyabr!B43</f>
        <v>Bağban</v>
      </c>
      <c r="C43" s="16" t="str">
        <f>Sentyabr!C43</f>
        <v>Məmmədzadə Qərib Fəxrəddin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COUNTA(Ekim[[#This Row],[1]:[31]])</f>
        <v>0</v>
      </c>
    </row>
    <row r="44" spans="1:35" ht="30" customHeight="1" x14ac:dyDescent="0.35">
      <c r="A44" s="22">
        <v>38</v>
      </c>
      <c r="B44" s="16" t="str">
        <f>Sentyabr!B44</f>
        <v>Bağban</v>
      </c>
      <c r="C44" s="16" t="str">
        <f>Sentyabr!C44</f>
        <v xml:space="preserve">Musayev Minbir Oqtay 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COUNTA(Ekim[[#This Row],[1]:[31]])</f>
        <v>0</v>
      </c>
    </row>
    <row r="45" spans="1:35" ht="30" customHeight="1" x14ac:dyDescent="0.35">
      <c r="A45" s="22">
        <v>39</v>
      </c>
      <c r="B45" s="16" t="str">
        <f>Sentyabr!B45</f>
        <v>Bağban</v>
      </c>
      <c r="C45" s="16" t="str">
        <f>Sentyabr!C45</f>
        <v>Nəcəfov Fizuli Böyükağa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COUNTA(Ekim[[#This Row],[1]:[31]])</f>
        <v>0</v>
      </c>
    </row>
    <row r="46" spans="1:35" ht="30" customHeight="1" x14ac:dyDescent="0.35">
      <c r="A46" s="22">
        <v>40</v>
      </c>
      <c r="B46" s="16" t="str">
        <f>Sentyabr!B46</f>
        <v>Ofis meneceri</v>
      </c>
      <c r="C46" s="16" t="str">
        <f>Sentyabr!C46</f>
        <v>Rəsulov Nurlan Yaşar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COUNTA(Ekim[[#This Row],[1]:[31]])</f>
        <v>0</v>
      </c>
    </row>
    <row r="47" spans="1:35" ht="30" customHeight="1" x14ac:dyDescent="0.35">
      <c r="A47" s="22">
        <v>41</v>
      </c>
      <c r="B47" s="16" t="str">
        <f>Sentyabr!B47</f>
        <v>Bağban</v>
      </c>
      <c r="C47" s="16" t="str">
        <f>Sentyabr!C47</f>
        <v>Rzayev İbrahim Mais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COUNTA(Ekim[[#This Row],[1]:[31]])</f>
        <v>0</v>
      </c>
    </row>
    <row r="48" spans="1:35" ht="30" customHeight="1" x14ac:dyDescent="0.35">
      <c r="A48" s="22">
        <v>42</v>
      </c>
      <c r="B48" s="16" t="str">
        <f>Sentyabr!B48</f>
        <v>Bağban</v>
      </c>
      <c r="C48" s="16" t="str">
        <f>Sentyabr!C48</f>
        <v>Səttarov Ağaəli Ərəstun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COUNTA(Ekim[[#This Row],[1]:[31]])</f>
        <v>0</v>
      </c>
    </row>
    <row r="49" spans="1:35" ht="30" customHeight="1" x14ac:dyDescent="0.35">
      <c r="A49" s="22">
        <v>43</v>
      </c>
      <c r="B49" s="16" t="str">
        <f>Sentyabr!B49</f>
        <v>Bağban</v>
      </c>
      <c r="C49" s="16" t="str">
        <f>Sentyabr!C49</f>
        <v>Tahirov Rəşad Elman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COUNTA(Ekim[[#This Row],[1]:[31]])</f>
        <v>0</v>
      </c>
    </row>
    <row r="50" spans="1:35" ht="30" customHeight="1" x14ac:dyDescent="0.35">
      <c r="A50" s="22">
        <v>44</v>
      </c>
      <c r="B50" s="16" t="str">
        <f>Sentyabr!B50</f>
        <v>Bağban</v>
      </c>
      <c r="C50" s="16" t="str">
        <f>Sentyabr!C50</f>
        <v>Xangəldiyev Asəf Əsabəli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COUNTA(Ekim[[#This Row],[1]:[31]])</f>
        <v>0</v>
      </c>
    </row>
    <row r="51" spans="1:35" ht="30" customHeight="1" x14ac:dyDescent="0.35">
      <c r="A51" s="22">
        <v>45</v>
      </c>
      <c r="B51" s="16" t="str">
        <f>Sentyabr!B51</f>
        <v>Bağban</v>
      </c>
      <c r="C51" s="16" t="str">
        <f>Sentyabr!C51</f>
        <v>Yusubov İsmayıl Sübhan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COUNTA(Ekim[[#This Row],[1]:[31]])</f>
        <v>0</v>
      </c>
    </row>
    <row r="52" spans="1:35" ht="30" customHeight="1" x14ac:dyDescent="0.35">
      <c r="A52" s="22">
        <v>46</v>
      </c>
      <c r="B52" s="16" t="str">
        <f>Sentyabr!B52</f>
        <v>Bağban</v>
      </c>
      <c r="C52" s="16" t="str">
        <f>Sentyabr!C52</f>
        <v>Zeynalov Anar Kamal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COUNTA(Ekim[[#This Row],[1]:[31]])</f>
        <v>0</v>
      </c>
    </row>
    <row r="53" spans="1:35" ht="30" customHeight="1" x14ac:dyDescent="0.35">
      <c r="A53" s="22">
        <v>47</v>
      </c>
      <c r="B53" s="16" t="str">
        <f>Sentyabr!B53</f>
        <v>Bağban</v>
      </c>
      <c r="C53" s="16" t="str">
        <f>Sentyabr!C53</f>
        <v>Zeynalov Şahab Əlizaman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COUNTA(Ekim[[#This Row],[1]:[31]])</f>
        <v>0</v>
      </c>
    </row>
    <row r="54" spans="1:35" ht="30" customHeight="1" x14ac:dyDescent="0.35">
      <c r="A54" s="22">
        <v>48</v>
      </c>
      <c r="B54" s="16" t="str">
        <f>Sentyabr!B54</f>
        <v>Bağban</v>
      </c>
      <c r="C54" s="16" t="str">
        <f>Sentyabr!C54</f>
        <v>Cəfərov Qubad Südeyf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COUNTA(Ekim[[#This Row],[1]:[31]])</f>
        <v>0</v>
      </c>
    </row>
    <row r="55" spans="1:35" ht="30" customHeight="1" x14ac:dyDescent="0.35">
      <c r="A55" s="22">
        <v>49</v>
      </c>
      <c r="B55" s="16" t="str">
        <f>Sentyabr!B55</f>
        <v>Bağban</v>
      </c>
      <c r="C55" s="16" t="str">
        <f>Sentyabr!C55</f>
        <v>Yusubov İsməddin Sübhan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COUNTA(Ekim[[#This Row],[1]:[31]])</f>
        <v>0</v>
      </c>
    </row>
    <row r="56" spans="1:35" ht="30" customHeight="1" x14ac:dyDescent="0.35">
      <c r="A56" s="22">
        <v>50</v>
      </c>
      <c r="B56" s="16" t="str">
        <f>Sentyabr!B56</f>
        <v>Bağban</v>
      </c>
      <c r="C56" s="16">
        <f>Sentyabr!C56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COUNTA(Ekim[[#This Row],[1]:[31]])</f>
        <v>0</v>
      </c>
    </row>
    <row r="57" spans="1:35" ht="30" customHeight="1" x14ac:dyDescent="0.35">
      <c r="A57" s="22">
        <v>51</v>
      </c>
      <c r="B57" s="16" t="str">
        <f>Sentyabr!B57</f>
        <v>Bağban</v>
      </c>
      <c r="C57" s="16">
        <f>Sentyabr!C57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COUNTA(Ekim[[#This Row],[1]:[31]])</f>
        <v>0</v>
      </c>
    </row>
    <row r="58" spans="1:35" ht="30" customHeight="1" x14ac:dyDescent="0.35">
      <c r="A58" s="22">
        <v>52</v>
      </c>
      <c r="B58" s="16" t="str">
        <f>Sentyabr!B58</f>
        <v>Bağban</v>
      </c>
      <c r="C58" s="16">
        <f>Sentyabr!C58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COUNTA(Ekim[[#This Row],[1]:[31]])</f>
        <v>0</v>
      </c>
    </row>
    <row r="59" spans="1:35" ht="30" customHeight="1" x14ac:dyDescent="0.35">
      <c r="A59" s="22">
        <v>53</v>
      </c>
      <c r="B59" s="16" t="str">
        <f>Sentyabr!B59</f>
        <v>Bağban</v>
      </c>
      <c r="C59" s="16">
        <f>Sentyabr!C59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COUNTA(Ekim[[#This Row],[1]:[31]])</f>
        <v>0</v>
      </c>
    </row>
    <row r="60" spans="1:35" ht="30" customHeight="1" x14ac:dyDescent="0.35">
      <c r="A60" s="22">
        <v>54</v>
      </c>
      <c r="B60" s="16" t="str">
        <f>Sentyabr!B60</f>
        <v>Bağban</v>
      </c>
      <c r="C60" s="16">
        <f>Sentyabr!C60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COUNTA(Ekim[[#This Row],[1]:[31]])</f>
        <v>0</v>
      </c>
    </row>
    <row r="61" spans="1:35" ht="30" customHeight="1" x14ac:dyDescent="0.35">
      <c r="A61" s="22">
        <v>55</v>
      </c>
      <c r="B61" s="16" t="str">
        <f>Sentyabr!B61</f>
        <v>Bağban</v>
      </c>
      <c r="C61" s="16">
        <f>Sentyabr!C61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9">
        <f>COUNTA(Ekim[[#This Row],[1]:[31]])</f>
        <v>0</v>
      </c>
    </row>
    <row r="62" spans="1:35" ht="30" customHeight="1" x14ac:dyDescent="0.35">
      <c r="C62" s="41" t="str">
        <f>AyAdı&amp;" Toplamı"</f>
        <v>Oktyabr Toplamı</v>
      </c>
      <c r="D62" s="42">
        <f>SUBTOTAL(103,Ekim[1])</f>
        <v>0</v>
      </c>
      <c r="E62" s="42">
        <f>SUBTOTAL(103,Ekim[2])</f>
        <v>0</v>
      </c>
      <c r="F62" s="42">
        <f>SUBTOTAL(103,Ekim[3])</f>
        <v>0</v>
      </c>
      <c r="G62" s="42">
        <f>SUBTOTAL(103,Ekim[4])</f>
        <v>0</v>
      </c>
      <c r="H62" s="42">
        <f>SUBTOTAL(103,Ekim[5])</f>
        <v>0</v>
      </c>
      <c r="I62" s="42">
        <f>SUBTOTAL(103,Ekim[6])</f>
        <v>0</v>
      </c>
      <c r="J62" s="42">
        <f>SUBTOTAL(103,Ekim[7])</f>
        <v>0</v>
      </c>
      <c r="K62" s="42">
        <f>SUBTOTAL(103,Ekim[8])</f>
        <v>0</v>
      </c>
      <c r="L62" s="42">
        <f>SUBTOTAL(103,Ekim[9])</f>
        <v>0</v>
      </c>
      <c r="M62" s="42">
        <f>SUBTOTAL(103,Ekim[10])</f>
        <v>0</v>
      </c>
      <c r="N62" s="42">
        <f>SUBTOTAL(103,Ekim[11])</f>
        <v>0</v>
      </c>
      <c r="O62" s="42">
        <f>SUBTOTAL(103,Ekim[12])</f>
        <v>0</v>
      </c>
      <c r="P62" s="42">
        <f>SUBTOTAL(103,Ekim[13])</f>
        <v>0</v>
      </c>
      <c r="Q62" s="42">
        <f>SUBTOTAL(103,Ekim[14])</f>
        <v>0</v>
      </c>
      <c r="R62" s="42">
        <f>SUBTOTAL(103,Ekim[15])</f>
        <v>0</v>
      </c>
      <c r="S62" s="42">
        <f>SUBTOTAL(103,Ekim[16])</f>
        <v>0</v>
      </c>
      <c r="T62" s="42">
        <f>SUBTOTAL(103,Ekim[17])</f>
        <v>0</v>
      </c>
      <c r="U62" s="42">
        <f>SUBTOTAL(103,Ekim[18])</f>
        <v>0</v>
      </c>
      <c r="V62" s="42">
        <f>SUBTOTAL(103,Ekim[19])</f>
        <v>0</v>
      </c>
      <c r="W62" s="42">
        <f>SUBTOTAL(103,Ekim[20])</f>
        <v>0</v>
      </c>
      <c r="X62" s="42">
        <f>SUBTOTAL(103,Ekim[21])</f>
        <v>0</v>
      </c>
      <c r="Y62" s="42">
        <f>SUBTOTAL(103,Ekim[22])</f>
        <v>0</v>
      </c>
      <c r="Z62" s="42">
        <f>SUBTOTAL(103,Ekim[23])</f>
        <v>0</v>
      </c>
      <c r="AA62" s="42">
        <f>SUBTOTAL(103,Ekim[24])</f>
        <v>0</v>
      </c>
      <c r="AB62" s="42">
        <f>SUBTOTAL(103,Ekim[25])</f>
        <v>0</v>
      </c>
      <c r="AC62" s="42">
        <f>SUBTOTAL(103,Ekim[26])</f>
        <v>0</v>
      </c>
      <c r="AD62" s="42">
        <f>SUBTOTAL(103,Ekim[27])</f>
        <v>0</v>
      </c>
      <c r="AE62" s="42">
        <f>SUBTOTAL(103,Ekim[28])</f>
        <v>0</v>
      </c>
      <c r="AF62" s="42">
        <f>SUBTOTAL(103,Ekim[29])</f>
        <v>0</v>
      </c>
      <c r="AG62" s="42">
        <f>SUBTOTAL(103,Ekim[30])</f>
        <v>0</v>
      </c>
      <c r="AH62" s="42">
        <f>SUBTOTAL(103,Ekim[31])</f>
        <v>0</v>
      </c>
      <c r="AI62" s="42">
        <f>SUBTOTAL(109,Ekim[Toplam Gün])</f>
        <v>0</v>
      </c>
    </row>
  </sheetData>
  <mergeCells count="6">
    <mergeCell ref="D4:AH4"/>
    <mergeCell ref="E2:G2"/>
    <mergeCell ref="I2:K2"/>
    <mergeCell ref="M2:N2"/>
    <mergeCell ref="P2:R2"/>
    <mergeCell ref="T2:V2"/>
  </mergeCells>
  <conditionalFormatting sqref="D7:AH61">
    <cfRule type="expression" priority="1" stopIfTrue="1">
      <formula>D7=""</formula>
    </cfRule>
  </conditionalFormatting>
  <conditionalFormatting sqref="D7:AH61">
    <cfRule type="expression" dxfId="456" priority="2" stopIfTrue="1">
      <formula>D7=AnahtarÖzel2</formula>
    </cfRule>
    <cfRule type="expression" dxfId="455" priority="3" stopIfTrue="1">
      <formula>D7=AnahtarÖzel1</formula>
    </cfRule>
    <cfRule type="expression" dxfId="454" priority="4" stopIfTrue="1">
      <formula>D7=AnahtarHasta</formula>
    </cfRule>
    <cfRule type="expression" dxfId="453" priority="5" stopIfTrue="1">
      <formula>D7=AnahtarKişisel</formula>
    </cfRule>
    <cfRule type="expression" dxfId="452" priority="6" stopIfTrue="1">
      <formula>D7=AnahtarTatil</formula>
    </cfRule>
  </conditionalFormatting>
  <conditionalFormatting sqref="AI7:AI61">
    <cfRule type="dataBar" priority="7">
      <dataBar>
        <cfvo type="min"/>
        <cfvo type="formula" val="DATEDIF(DATE(TakvimYılı,2,1),DATE(TakvimYılı,3,1),&quot;d&quot;)"/>
        <color theme="2" tint="-0.249977111117893"/>
      </dataBar>
      <extLst>
        <ext xmlns:x14="http://schemas.microsoft.com/office/spreadsheetml/2009/9/main" uri="{B025F937-C7B1-47D3-B67F-A62EFF666E3E}">
          <x14:id>{F32A08EA-50E8-4B5F-AB1F-5A7739FBC16C}</x14:id>
        </ext>
      </extLst>
    </cfRule>
  </conditionalFormatting>
  <dataValidations count="14">
    <dataValidation allowBlank="1" showInputMessage="1" showErrorMessage="1" prompt="Bu satırdaki günler, AH4 hücresindeki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Ocak çalışma sayfasında girilen yıla göre otomatik olarak güncelleştirilen yıl" sqref="AI4"/>
    <dataValidation allowBlank="1" showInputMessage="1" showErrorMessage="1" prompt="Bu ay bir çalışanın toplamda kaç gün devamsızlık yaptığını, bu sütunda otomatik olarak hesaplar" sqref="AI6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Otomatik olarak güncelleştirilen başlık bu hücrededir. Başlığı değiştirmek için Ocak çalışma sayfasındaki B1 hücresini güncelleştirin" sqref="C1"/>
    <dataValidation allowBlank="1" showInputMessage="1" showErrorMessage="1" prompt="&quot;T&quot; harfi tatil nedeniyle devamsızlığı gösterir" sqref="D2"/>
    <dataValidation allowBlank="1" showInputMessage="1" showErrorMessage="1" prompt="&quot;K&quot; harfi kişisel nedenlerden dolayı devamsızlığı gösterir" sqref="H2"/>
    <dataValidation allowBlank="1" showInputMessage="1" showErrorMessage="1" prompt="&quot;H&quot; harfi hastalık nedeniyle devamsızlığı gösterir" sqref="L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Soldaki özel anahtarı açıklamak için bir etiket girin" sqref="P2:R2 T2:V2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Bu devamsızlık zaman çizelgesinin ay adı bu hücrededir. Bu aya ait toplam devamsızlık miktarı, tablonun son hücresindedir. Tablonun B sütunundan çalışan adlarını seçin" sqref="C4"/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  <dataValidation allowBlank="1" showInputMessage="1" showErrorMessage="1" prompt="Bu çalışma sayfasında Şubat devamsızlığını izleyin" sqref="A1:B1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2A08EA-50E8-4B5F-AB1F-5A7739FBC16C}">
            <x14:dataBar minLength="0" maxLength="100">
              <x14:cfvo type="autoMin"/>
              <x14:cfvo type="formula">
                <xm:f>DATEDIF(DATE(TakvimYılı,2,1),DATE(TakvimYılı,3,1),"d")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'Çalışan Adları'!$B$4:$B$8</xm:f>
          </x14:formula1>
          <xm:sqref>B7:B61</xm:sqref>
        </x14:dataValidation>
        <x14:dataValidation type="list" allowBlank="1" showInputMessage="1" showErrorMessage="1">
          <x14:formula1>
            <xm:f>'Çalışan Adları'!$B$4:$B$60</xm:f>
          </x14:formula1>
          <xm:sqref>C7:C61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I62"/>
  <sheetViews>
    <sheetView showGridLines="0" topLeftCell="A54" zoomScaleNormal="100" workbookViewId="0">
      <selection activeCell="C7" sqref="C7:C61"/>
    </sheetView>
  </sheetViews>
  <sheetFormatPr defaultRowHeight="30" customHeight="1" x14ac:dyDescent="0.35"/>
  <cols>
    <col min="1" max="1" width="3.81640625" style="1" customWidth="1"/>
    <col min="2" max="2" width="23.54296875" style="1" customWidth="1"/>
    <col min="3" max="3" width="25.63281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C1" s="13" t="str">
        <f>Employee_Absence_Title</f>
        <v>İşçilərin davamiyyət cədvəli</v>
      </c>
    </row>
    <row r="2" spans="1:35" ht="15" customHeight="1" x14ac:dyDescent="0.35"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 t="s">
        <v>45</v>
      </c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/>
      <c r="T2" s="40" t="s">
        <v>20</v>
      </c>
      <c r="U2" s="40"/>
      <c r="V2" s="40"/>
    </row>
    <row r="3" spans="1:35" ht="15" customHeight="1" x14ac:dyDescent="0.35">
      <c r="C3" s="13"/>
    </row>
    <row r="4" spans="1:35" ht="30" customHeight="1" x14ac:dyDescent="0.35">
      <c r="C4" s="11" t="s">
        <v>57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f>TakvimYılı</f>
        <v>2022</v>
      </c>
    </row>
    <row r="5" spans="1:35" ht="15" customHeight="1" x14ac:dyDescent="0.35">
      <c r="C5" s="11"/>
      <c r="D5" s="1" t="str">
        <f>TEXT(WEEKDAY(DATE(TakvimYılı,11,1),1),"ggg")</f>
        <v/>
      </c>
      <c r="E5" s="1" t="str">
        <f>TEXT(WEEKDAY(DATE(TakvimYılı,11,2),1),"ggg")</f>
        <v/>
      </c>
      <c r="F5" s="1" t="str">
        <f>TEXT(WEEKDAY(DATE(TakvimYılı,11,3),1),"ggg")</f>
        <v/>
      </c>
      <c r="G5" s="1" t="str">
        <f>TEXT(WEEKDAY(DATE(TakvimYılı,11,4),1),"ggg")</f>
        <v/>
      </c>
      <c r="H5" s="1" t="str">
        <f>TEXT(WEEKDAY(DATE(TakvimYılı,11,5),1),"ggg")</f>
        <v/>
      </c>
      <c r="I5" s="1" t="str">
        <f>TEXT(WEEKDAY(DATE(TakvimYılı,11,6),1),"ggg")</f>
        <v/>
      </c>
      <c r="J5" s="1" t="str">
        <f>TEXT(WEEKDAY(DATE(TakvimYılı,11,7),1),"ggg")</f>
        <v/>
      </c>
      <c r="K5" s="1" t="str">
        <f>TEXT(WEEKDAY(DATE(TakvimYılı,11,8),1),"ggg")</f>
        <v/>
      </c>
      <c r="L5" s="1" t="str">
        <f>TEXT(WEEKDAY(DATE(TakvimYılı,11,9),1),"ggg")</f>
        <v/>
      </c>
      <c r="M5" s="1" t="str">
        <f>TEXT(WEEKDAY(DATE(TakvimYılı,11,10),1),"ggg")</f>
        <v/>
      </c>
      <c r="N5" s="1" t="str">
        <f>TEXT(WEEKDAY(DATE(TakvimYılı,11,11),1),"ggg")</f>
        <v/>
      </c>
      <c r="O5" s="1" t="str">
        <f>TEXT(WEEKDAY(DATE(TakvimYılı,11,12),1),"ggg")</f>
        <v/>
      </c>
      <c r="P5" s="1" t="str">
        <f>TEXT(WEEKDAY(DATE(TakvimYılı,11,13),1),"ggg")</f>
        <v/>
      </c>
      <c r="Q5" s="1" t="str">
        <f>TEXT(WEEKDAY(DATE(TakvimYılı,11,14),1),"ggg")</f>
        <v/>
      </c>
      <c r="R5" s="1" t="str">
        <f>TEXT(WEEKDAY(DATE(TakvimYılı,11,15),1),"ggg")</f>
        <v/>
      </c>
      <c r="S5" s="1" t="str">
        <f>TEXT(WEEKDAY(DATE(TakvimYılı,11,16),1),"ggg")</f>
        <v/>
      </c>
      <c r="T5" s="1" t="str">
        <f>TEXT(WEEKDAY(DATE(TakvimYılı,11,17),1),"ggg")</f>
        <v/>
      </c>
      <c r="U5" s="1" t="str">
        <f>TEXT(WEEKDAY(DATE(TakvimYılı,11,18),1),"ggg")</f>
        <v/>
      </c>
      <c r="V5" s="1" t="str">
        <f>TEXT(WEEKDAY(DATE(TakvimYılı,11,19),1),"ggg")</f>
        <v/>
      </c>
      <c r="W5" s="1" t="str">
        <f>TEXT(WEEKDAY(DATE(TakvimYılı,11,20),1),"ggg")</f>
        <v/>
      </c>
      <c r="X5" s="1" t="str">
        <f>TEXT(WEEKDAY(DATE(TakvimYılı,11,21),1),"ggg")</f>
        <v/>
      </c>
      <c r="Y5" s="1" t="str">
        <f>TEXT(WEEKDAY(DATE(TakvimYılı,11,22),1),"ggg")</f>
        <v/>
      </c>
      <c r="Z5" s="1" t="str">
        <f>TEXT(WEEKDAY(DATE(TakvimYılı,11,23),1),"ggg")</f>
        <v/>
      </c>
      <c r="AA5" s="1" t="str">
        <f>TEXT(WEEKDAY(DATE(TakvimYılı,11,24),1),"ggg")</f>
        <v/>
      </c>
      <c r="AB5" s="1" t="str">
        <f>TEXT(WEEKDAY(DATE(TakvimYılı,11,25),1),"ggg")</f>
        <v/>
      </c>
      <c r="AC5" s="1" t="str">
        <f>TEXT(WEEKDAY(DATE(TakvimYılı,11,26),1),"ggg")</f>
        <v/>
      </c>
      <c r="AD5" s="1" t="str">
        <f>TEXT(WEEKDAY(DATE(TakvimYılı,11,27),1),"ggg")</f>
        <v/>
      </c>
      <c r="AE5" s="1" t="str">
        <f>TEXT(WEEKDAY(DATE(TakvimYılı,11,28),1),"ggg")</f>
        <v/>
      </c>
      <c r="AF5" s="1" t="str">
        <f>TEXT(WEEKDAY(DATE(TakvimYılı,11,29),1),"ggg")</f>
        <v/>
      </c>
      <c r="AG5" s="1" t="str">
        <f>TEXT(WEEKDAY(DATE(TakvimYılı,11,30),1),"ggg")</f>
        <v/>
      </c>
      <c r="AH5" s="1"/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34</v>
      </c>
      <c r="AH6" s="2" t="s">
        <v>37</v>
      </c>
      <c r="AI6" s="15" t="s">
        <v>36</v>
      </c>
    </row>
    <row r="7" spans="1:35" ht="30" customHeight="1" x14ac:dyDescent="0.35">
      <c r="A7" s="22">
        <v>1</v>
      </c>
      <c r="B7" s="16" t="str">
        <f>Oktyabr!B7</f>
        <v>Menecer</v>
      </c>
      <c r="C7" s="16" t="str">
        <f>Oktyabr!C7</f>
        <v>Rzakov Ramiz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COUNTA(Kasım[[#This Row],[1]:[30]])</f>
        <v>0</v>
      </c>
    </row>
    <row r="8" spans="1:35" ht="30" customHeight="1" x14ac:dyDescent="0.35">
      <c r="A8" s="22">
        <v>2</v>
      </c>
      <c r="B8" s="16" t="str">
        <f>Oktyabr!B8</f>
        <v>Nəzarətçi</v>
      </c>
      <c r="C8" s="16" t="str">
        <f>Oktyabr!C8</f>
        <v>Əsədov Elçin Güloğlan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COUNTA(Kasım[[#This Row],[1]:[30]])</f>
        <v>0</v>
      </c>
    </row>
    <row r="9" spans="1:35" ht="30" customHeight="1" x14ac:dyDescent="0.35">
      <c r="A9" s="22">
        <v>3</v>
      </c>
      <c r="B9" s="16" t="str">
        <f>Oktyabr!B9</f>
        <v>Nəzarətçi</v>
      </c>
      <c r="C9" s="16" t="str">
        <f>Oktyabr!C9</f>
        <v>Babayev Fərid Vaqif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COUNTA(Kasım[[#This Row],[1]:[30]])</f>
        <v>0</v>
      </c>
    </row>
    <row r="10" spans="1:35" ht="30" customHeight="1" x14ac:dyDescent="0.35">
      <c r="A10" s="22">
        <v>4</v>
      </c>
      <c r="B10" s="16" t="str">
        <f>Oktyabr!B10</f>
        <v>Ofis meneceri</v>
      </c>
      <c r="C10" s="16" t="str">
        <f>Oktyabr!C10</f>
        <v>Abbasov Rahib Ziyad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COUNTA(Kasım[[#This Row],[1]:[30]])</f>
        <v>0</v>
      </c>
    </row>
    <row r="11" spans="1:35" ht="30" customHeight="1" x14ac:dyDescent="0.35">
      <c r="A11" s="22">
        <v>5</v>
      </c>
      <c r="B11" s="16" t="str">
        <f>Oktyabr!B11</f>
        <v>Ofis meneceri</v>
      </c>
      <c r="C11" s="16" t="str">
        <f>Oktyabr!C11</f>
        <v>Əşrəfzadə Sərxan Elman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COUNTA(Kasım[[#This Row],[1]:[30]])</f>
        <v>0</v>
      </c>
    </row>
    <row r="12" spans="1:35" ht="30" customHeight="1" x14ac:dyDescent="0.35">
      <c r="A12" s="22">
        <v>6</v>
      </c>
      <c r="B12" s="16" t="str">
        <f>Oktyabr!B12</f>
        <v>Ofis meneceri</v>
      </c>
      <c r="C12" s="16" t="str">
        <f>Oktyabr!C12</f>
        <v>Dostəlizadə Mahir Valeh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COUNTA(Kasım[[#This Row],[1]:[30]])</f>
        <v>0</v>
      </c>
    </row>
    <row r="13" spans="1:35" ht="30" customHeight="1" x14ac:dyDescent="0.35">
      <c r="A13" s="22">
        <v>7</v>
      </c>
      <c r="B13" s="16" t="str">
        <f>Oktyabr!B13</f>
        <v>Ofis meneceri</v>
      </c>
      <c r="C13" s="16" t="str">
        <f>Oktyabr!C13</f>
        <v>Rəsulov Nurlan Yaşar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COUNTA(Kasım[[#This Row],[1]:[30]])</f>
        <v>0</v>
      </c>
    </row>
    <row r="14" spans="1:35" ht="30" customHeight="1" x14ac:dyDescent="0.35">
      <c r="A14" s="22">
        <v>8</v>
      </c>
      <c r="B14" s="16" t="str">
        <f>Oktyabr!B14</f>
        <v>Bağban</v>
      </c>
      <c r="C14" s="16" t="str">
        <f>Oktyabr!C14</f>
        <v>Abbasov Sücayət Hüseyn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COUNTA(Kasım[[#This Row],[1]:[30]])</f>
        <v>0</v>
      </c>
    </row>
    <row r="15" spans="1:35" ht="30" customHeight="1" x14ac:dyDescent="0.35">
      <c r="A15" s="22">
        <v>9</v>
      </c>
      <c r="B15" s="16" t="str">
        <f>Oktyabr!B15</f>
        <v>Bağban</v>
      </c>
      <c r="C15" s="16" t="str">
        <f>Oktyabr!C15</f>
        <v>Ağayev Əkrəm Zülfi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COUNTA(Kasım[[#This Row],[1]:[30]])</f>
        <v>0</v>
      </c>
    </row>
    <row r="16" spans="1:35" ht="30" customHeight="1" x14ac:dyDescent="0.35">
      <c r="A16" s="22">
        <v>10</v>
      </c>
      <c r="B16" s="16" t="str">
        <f>Oktyabr!B16</f>
        <v>Bağban</v>
      </c>
      <c r="C16" s="16" t="str">
        <f>Oktyabr!C16</f>
        <v>Bayramov Asim İsaq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COUNTA(Kasım[[#This Row],[1]:[30]])</f>
        <v>0</v>
      </c>
    </row>
    <row r="17" spans="1:35" ht="30" customHeight="1" x14ac:dyDescent="0.35">
      <c r="A17" s="22">
        <v>11</v>
      </c>
      <c r="B17" s="16" t="str">
        <f>Oktyabr!B17</f>
        <v>Bağban</v>
      </c>
      <c r="C17" s="16" t="str">
        <f>Oktyabr!C17</f>
        <v>Əhədov Seymur Atakişi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COUNTA(Kasım[[#This Row],[1]:[30]])</f>
        <v>0</v>
      </c>
    </row>
    <row r="18" spans="1:35" ht="30" customHeight="1" x14ac:dyDescent="0.35">
      <c r="A18" s="22">
        <v>12</v>
      </c>
      <c r="B18" s="16" t="str">
        <f>Oktyabr!B18</f>
        <v>Bağban</v>
      </c>
      <c r="C18" s="16" t="str">
        <f>Oktyabr!C18</f>
        <v>Əhmədov Elməddin Əhməd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COUNTA(Kasım[[#This Row],[1]:[30]])</f>
        <v>0</v>
      </c>
    </row>
    <row r="19" spans="1:35" ht="30" customHeight="1" x14ac:dyDescent="0.35">
      <c r="A19" s="22">
        <v>13</v>
      </c>
      <c r="B19" s="16" t="str">
        <f>Oktyabr!B19</f>
        <v>Bağban</v>
      </c>
      <c r="C19" s="16" t="str">
        <f>Oktyabr!C19</f>
        <v>Ələkbərov Bagman Ərəstun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COUNTA(Kasım[[#This Row],[1]:[30]])</f>
        <v>0</v>
      </c>
    </row>
    <row r="20" spans="1:35" ht="30" customHeight="1" x14ac:dyDescent="0.35">
      <c r="A20" s="22">
        <v>14</v>
      </c>
      <c r="B20" s="16" t="str">
        <f>Oktyabr!B20</f>
        <v>Bağban</v>
      </c>
      <c r="C20" s="16" t="str">
        <f>Oktyabr!C20</f>
        <v>Ələkbərov Fərman Qabil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COUNTA(Kasım[[#This Row],[1]:[30]])</f>
        <v>0</v>
      </c>
    </row>
    <row r="21" spans="1:35" ht="30" customHeight="1" x14ac:dyDescent="0.35">
      <c r="A21" s="22">
        <v>15</v>
      </c>
      <c r="B21" s="16" t="str">
        <f>Oktyabr!B21</f>
        <v>Bağban</v>
      </c>
      <c r="C21" s="16" t="str">
        <f>Oktyabr!C21</f>
        <v>Ələsgərov Elməddin Rauf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COUNTA(Kasım[[#This Row],[1]:[30]])</f>
        <v>0</v>
      </c>
    </row>
    <row r="22" spans="1:35" ht="30" customHeight="1" x14ac:dyDescent="0.35">
      <c r="A22" s="22">
        <v>16</v>
      </c>
      <c r="B22" s="16" t="str">
        <f>Oktyabr!B22</f>
        <v>Bağban</v>
      </c>
      <c r="C22" s="16" t="str">
        <f>Oktyabr!C22</f>
        <v>Əliyev Həsən Mais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COUNTA(Kasım[[#This Row],[1]:[30]])</f>
        <v>0</v>
      </c>
    </row>
    <row r="23" spans="1:35" ht="30" customHeight="1" x14ac:dyDescent="0.35">
      <c r="A23" s="22">
        <v>17</v>
      </c>
      <c r="B23" s="16" t="str">
        <f>Oktyabr!B23</f>
        <v>Bağban</v>
      </c>
      <c r="C23" s="16" t="str">
        <f>Oktyabr!C23</f>
        <v>Əliyev Sərdar Əliağa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COUNTA(Kasım[[#This Row],[1]:[30]])</f>
        <v>0</v>
      </c>
    </row>
    <row r="24" spans="1:35" ht="30" customHeight="1" x14ac:dyDescent="0.35">
      <c r="A24" s="22">
        <v>18</v>
      </c>
      <c r="B24" s="16" t="str">
        <f>Oktyabr!B24</f>
        <v>Bağban</v>
      </c>
      <c r="C24" s="16" t="str">
        <f>Oktyabr!C24</f>
        <v>Əliyev Xalıq Xanağa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COUNTA(Kasım[[#This Row],[1]:[30]])</f>
        <v>0</v>
      </c>
    </row>
    <row r="25" spans="1:35" ht="30" customHeight="1" x14ac:dyDescent="0.35">
      <c r="A25" s="22">
        <v>19</v>
      </c>
      <c r="B25" s="16" t="str">
        <f>Oktyabr!B25</f>
        <v>Bağban</v>
      </c>
      <c r="C25" s="16" t="str">
        <f>Oktyabr!C25</f>
        <v>Feyzullayev Firudin Ramiz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COUNTA(Kasım[[#This Row],[1]:[30]])</f>
        <v>0</v>
      </c>
    </row>
    <row r="26" spans="1:35" ht="30" customHeight="1" x14ac:dyDescent="0.35">
      <c r="A26" s="22">
        <v>20</v>
      </c>
      <c r="B26" s="16" t="str">
        <f>Oktyabr!B26</f>
        <v>Bağban</v>
      </c>
      <c r="C26" s="16" t="str">
        <f>Oktyabr!C26</f>
        <v>Haşımov Asif Hacı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COUNTA(Kasım[[#This Row],[1]:[30]])</f>
        <v>0</v>
      </c>
    </row>
    <row r="27" spans="1:35" ht="30" customHeight="1" x14ac:dyDescent="0.35">
      <c r="A27" s="22">
        <v>21</v>
      </c>
      <c r="B27" s="16" t="str">
        <f>Oktyabr!B27</f>
        <v>Bağban</v>
      </c>
      <c r="C27" s="16" t="str">
        <f>Oktyabr!C27</f>
        <v>Hüseynov Davud İsa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COUNTA(Kasım[[#This Row],[1]:[30]])</f>
        <v>0</v>
      </c>
    </row>
    <row r="28" spans="1:35" ht="30" customHeight="1" x14ac:dyDescent="0.35">
      <c r="A28" s="22">
        <v>22</v>
      </c>
      <c r="B28" s="16" t="str">
        <f>Oktyabr!B28</f>
        <v>Bağban</v>
      </c>
      <c r="C28" s="16" t="str">
        <f>Oktyabr!C28</f>
        <v>Hüseynov Ədail İsa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COUNTA(Kasım[[#This Row],[1]:[30]])</f>
        <v>0</v>
      </c>
    </row>
    <row r="29" spans="1:35" ht="30" customHeight="1" x14ac:dyDescent="0.35">
      <c r="A29" s="22">
        <v>23</v>
      </c>
      <c r="B29" s="16" t="str">
        <f>Oktyabr!B29</f>
        <v>Bağban</v>
      </c>
      <c r="C29" s="16" t="str">
        <f>Oktyabr!C29</f>
        <v>Hüseynov Səfaddin Əbülfəz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COUNTA(Kasım[[#This Row],[1]:[30]])</f>
        <v>0</v>
      </c>
    </row>
    <row r="30" spans="1:35" ht="30" customHeight="1" x14ac:dyDescent="0.35">
      <c r="A30" s="22">
        <v>24</v>
      </c>
      <c r="B30" s="16" t="str">
        <f>Oktyabr!B30</f>
        <v>Bağban</v>
      </c>
      <c r="C30" s="16" t="str">
        <f>Oktyabr!C30</f>
        <v>Hüseynov Şəmistan Qabil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COUNTA(Kasım[[#This Row],[1]:[30]])</f>
        <v>0</v>
      </c>
    </row>
    <row r="31" spans="1:35" ht="30" customHeight="1" x14ac:dyDescent="0.35">
      <c r="A31" s="22">
        <v>25</v>
      </c>
      <c r="B31" s="16" t="str">
        <f>Oktyabr!B31</f>
        <v>Bağban</v>
      </c>
      <c r="C31" s="16" t="str">
        <f>Oktyabr!C31</f>
        <v>Hüseynov Sərdar İsa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COUNTA(Kasım[[#This Row],[1]:[30]])</f>
        <v>0</v>
      </c>
    </row>
    <row r="32" spans="1:35" ht="30" customHeight="1" x14ac:dyDescent="0.35">
      <c r="A32" s="22">
        <v>26</v>
      </c>
      <c r="B32" s="16" t="str">
        <f>Oktyabr!B32</f>
        <v>Bağban</v>
      </c>
      <c r="C32" s="16" t="str">
        <f>Oktyabr!C32</f>
        <v>Hüseynov Siruz Qabil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COUNTA(Kasım[[#This Row],[1]:[30]])</f>
        <v>0</v>
      </c>
    </row>
    <row r="33" spans="1:35" ht="30" customHeight="1" x14ac:dyDescent="0.35">
      <c r="A33" s="22">
        <v>27</v>
      </c>
      <c r="B33" s="16" t="str">
        <f>Oktyabr!B33</f>
        <v>Bağban</v>
      </c>
      <c r="C33" s="16" t="str">
        <f>Oktyabr!C33</f>
        <v>Hüseynov Taleh Daşqın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COUNTA(Kasım[[#This Row],[1]:[30]])</f>
        <v>0</v>
      </c>
    </row>
    <row r="34" spans="1:35" ht="30" customHeight="1" x14ac:dyDescent="0.35">
      <c r="A34" s="22">
        <v>28</v>
      </c>
      <c r="B34" s="16" t="str">
        <f>Oktyabr!B34</f>
        <v>Bağban</v>
      </c>
      <c r="C34" s="16" t="str">
        <f>Oktyabr!C34</f>
        <v>Hüseynov Tərlan Yadulla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COUNTA(Kasım[[#This Row],[1]:[30]])</f>
        <v>0</v>
      </c>
    </row>
    <row r="35" spans="1:35" ht="30" customHeight="1" x14ac:dyDescent="0.35">
      <c r="A35" s="22">
        <v>29</v>
      </c>
      <c r="B35" s="16" t="str">
        <f>Oktyabr!B35</f>
        <v>Bağban</v>
      </c>
      <c r="C35" s="16" t="str">
        <f>Oktyabr!C35</f>
        <v>İbayev Zahid Mahir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COUNTA(Kasım[[#This Row],[1]:[30]])</f>
        <v>0</v>
      </c>
    </row>
    <row r="36" spans="1:35" ht="30" customHeight="1" x14ac:dyDescent="0.35">
      <c r="A36" s="22">
        <v>30</v>
      </c>
      <c r="B36" s="16" t="str">
        <f>Oktyabr!B36</f>
        <v>Bağban</v>
      </c>
      <c r="C36" s="16" t="str">
        <f>Oktyabr!C36</f>
        <v>İbayev Zahir Mahir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COUNTA(Kasım[[#This Row],[1]:[30]])</f>
        <v>0</v>
      </c>
    </row>
    <row r="37" spans="1:35" ht="30" customHeight="1" x14ac:dyDescent="0.35">
      <c r="A37" s="22">
        <v>31</v>
      </c>
      <c r="B37" s="16" t="str">
        <f>Oktyabr!B37</f>
        <v>Bağban</v>
      </c>
      <c r="C37" s="16" t="str">
        <f>Oktyabr!C37</f>
        <v>Məcidzadə Əli Valeh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COUNTA(Kasım[[#This Row],[1]:[30]])</f>
        <v>0</v>
      </c>
    </row>
    <row r="38" spans="1:35" ht="30" customHeight="1" x14ac:dyDescent="0.35">
      <c r="A38" s="22">
        <v>32</v>
      </c>
      <c r="B38" s="16" t="str">
        <f>Oktyabr!B38</f>
        <v>Bağban</v>
      </c>
      <c r="C38" s="16" t="str">
        <f>Oktyabr!C38</f>
        <v xml:space="preserve">Məmmədli Bəhruz İlham 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COUNTA(Kasım[[#This Row],[1]:[30]])</f>
        <v>0</v>
      </c>
    </row>
    <row r="39" spans="1:35" ht="30" customHeight="1" x14ac:dyDescent="0.35">
      <c r="A39" s="22">
        <v>33</v>
      </c>
      <c r="B39" s="16" t="str">
        <f>Oktyabr!B39</f>
        <v>Bağban</v>
      </c>
      <c r="C39" s="16" t="str">
        <f>Oktyabr!C39</f>
        <v>Məmmədli İsa Nazim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COUNTA(Kasım[[#This Row],[1]:[30]])</f>
        <v>0</v>
      </c>
    </row>
    <row r="40" spans="1:35" ht="30" customHeight="1" x14ac:dyDescent="0.35">
      <c r="A40" s="22">
        <v>34</v>
      </c>
      <c r="B40" s="16" t="str">
        <f>Oktyabr!B40</f>
        <v>Bağban</v>
      </c>
      <c r="C40" s="16" t="str">
        <f>Oktyabr!C40</f>
        <v>Məmmədov İlqar Teyyub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COUNTA(Kasım[[#This Row],[1]:[30]])</f>
        <v>0</v>
      </c>
    </row>
    <row r="41" spans="1:35" ht="30" customHeight="1" x14ac:dyDescent="0.35">
      <c r="A41" s="22">
        <v>35</v>
      </c>
      <c r="B41" s="16" t="str">
        <f>Oktyabr!B41</f>
        <v>Bağban</v>
      </c>
      <c r="C41" s="16" t="str">
        <f>Oktyabr!C41</f>
        <v xml:space="preserve">Məmmədov Sahil Ağaxan 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COUNTA(Kasım[[#This Row],[1]:[30]])</f>
        <v>0</v>
      </c>
    </row>
    <row r="42" spans="1:35" ht="30" customHeight="1" x14ac:dyDescent="0.35">
      <c r="A42" s="22">
        <v>36</v>
      </c>
      <c r="B42" s="16" t="str">
        <f>Oktyabr!B42</f>
        <v>Bağban</v>
      </c>
      <c r="C42" s="16" t="str">
        <f>Oktyabr!C42</f>
        <v>Məmmədov Yaqub Zahir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COUNTA(Kasım[[#This Row],[1]:[30]])</f>
        <v>0</v>
      </c>
    </row>
    <row r="43" spans="1:35" ht="30" customHeight="1" x14ac:dyDescent="0.35">
      <c r="A43" s="22">
        <v>37</v>
      </c>
      <c r="B43" s="16" t="str">
        <f>Oktyabr!B43</f>
        <v>Bağban</v>
      </c>
      <c r="C43" s="16" t="str">
        <f>Oktyabr!C43</f>
        <v>Məmmədzadə Qərib Fəxrəddin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COUNTA(Kasım[[#This Row],[1]:[30]])</f>
        <v>0</v>
      </c>
    </row>
    <row r="44" spans="1:35" ht="30" customHeight="1" x14ac:dyDescent="0.35">
      <c r="A44" s="22">
        <v>38</v>
      </c>
      <c r="B44" s="16" t="str">
        <f>Oktyabr!B44</f>
        <v>Bağban</v>
      </c>
      <c r="C44" s="16" t="str">
        <f>Oktyabr!C44</f>
        <v xml:space="preserve">Musayev Minbir Oqtay 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COUNTA(Kasım[[#This Row],[1]:[30]])</f>
        <v>0</v>
      </c>
    </row>
    <row r="45" spans="1:35" ht="30" customHeight="1" x14ac:dyDescent="0.35">
      <c r="A45" s="22">
        <v>39</v>
      </c>
      <c r="B45" s="16" t="str">
        <f>Oktyabr!B45</f>
        <v>Bağban</v>
      </c>
      <c r="C45" s="16" t="str">
        <f>Oktyabr!C45</f>
        <v>Nəcəfov Fizuli Böyükağa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COUNTA(Kasım[[#This Row],[1]:[30]])</f>
        <v>0</v>
      </c>
    </row>
    <row r="46" spans="1:35" ht="30" customHeight="1" x14ac:dyDescent="0.35">
      <c r="A46" s="22">
        <v>40</v>
      </c>
      <c r="B46" s="16" t="str">
        <f>Oktyabr!B46</f>
        <v>Ofis meneceri</v>
      </c>
      <c r="C46" s="16" t="str">
        <f>Oktyabr!C46</f>
        <v>Rəsulov Nurlan Yaşar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COUNTA(Kasım[[#This Row],[1]:[30]])</f>
        <v>0</v>
      </c>
    </row>
    <row r="47" spans="1:35" ht="30" customHeight="1" x14ac:dyDescent="0.35">
      <c r="A47" s="22">
        <v>41</v>
      </c>
      <c r="B47" s="16" t="str">
        <f>Oktyabr!B47</f>
        <v>Bağban</v>
      </c>
      <c r="C47" s="16" t="str">
        <f>Oktyabr!C47</f>
        <v>Rzayev İbrahim Mais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COUNTA(Kasım[[#This Row],[1]:[30]])</f>
        <v>0</v>
      </c>
    </row>
    <row r="48" spans="1:35" ht="30" customHeight="1" x14ac:dyDescent="0.35">
      <c r="A48" s="22">
        <v>42</v>
      </c>
      <c r="B48" s="16" t="str">
        <f>Oktyabr!B48</f>
        <v>Bağban</v>
      </c>
      <c r="C48" s="16" t="str">
        <f>Oktyabr!C48</f>
        <v>Səttarov Ağaəli Ərəstun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COUNTA(Kasım[[#This Row],[1]:[30]])</f>
        <v>0</v>
      </c>
    </row>
    <row r="49" spans="1:35" ht="30" customHeight="1" x14ac:dyDescent="0.35">
      <c r="A49" s="22">
        <v>43</v>
      </c>
      <c r="B49" s="16" t="str">
        <f>Oktyabr!B49</f>
        <v>Bağban</v>
      </c>
      <c r="C49" s="16" t="str">
        <f>Oktyabr!C49</f>
        <v>Tahirov Rəşad Elman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COUNTA(Kasım[[#This Row],[1]:[30]])</f>
        <v>0</v>
      </c>
    </row>
    <row r="50" spans="1:35" ht="30" customHeight="1" x14ac:dyDescent="0.35">
      <c r="A50" s="22">
        <v>44</v>
      </c>
      <c r="B50" s="16" t="str">
        <f>Oktyabr!B50</f>
        <v>Bağban</v>
      </c>
      <c r="C50" s="16" t="str">
        <f>Oktyabr!C50</f>
        <v>Xangəldiyev Asəf Əsabəli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COUNTA(Kasım[[#This Row],[1]:[30]])</f>
        <v>0</v>
      </c>
    </row>
    <row r="51" spans="1:35" ht="30" customHeight="1" x14ac:dyDescent="0.35">
      <c r="A51" s="22">
        <v>45</v>
      </c>
      <c r="B51" s="16" t="str">
        <f>Oktyabr!B51</f>
        <v>Bağban</v>
      </c>
      <c r="C51" s="16" t="str">
        <f>Oktyabr!C51</f>
        <v>Yusubov İsmayıl Sübhan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COUNTA(Kasım[[#This Row],[1]:[30]])</f>
        <v>0</v>
      </c>
    </row>
    <row r="52" spans="1:35" ht="30" customHeight="1" x14ac:dyDescent="0.35">
      <c r="A52" s="22">
        <v>46</v>
      </c>
      <c r="B52" s="16" t="str">
        <f>Oktyabr!B52</f>
        <v>Bağban</v>
      </c>
      <c r="C52" s="16" t="str">
        <f>Oktyabr!C52</f>
        <v>Zeynalov Anar Kamal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COUNTA(Kasım[[#This Row],[1]:[30]])</f>
        <v>0</v>
      </c>
    </row>
    <row r="53" spans="1:35" ht="30" customHeight="1" x14ac:dyDescent="0.35">
      <c r="A53" s="22">
        <v>47</v>
      </c>
      <c r="B53" s="16" t="str">
        <f>Oktyabr!B53</f>
        <v>Bağban</v>
      </c>
      <c r="C53" s="16" t="str">
        <f>Oktyabr!C53</f>
        <v>Zeynalov Şahab Əlizaman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COUNTA(Kasım[[#This Row],[1]:[30]])</f>
        <v>0</v>
      </c>
    </row>
    <row r="54" spans="1:35" ht="30" customHeight="1" x14ac:dyDescent="0.35">
      <c r="A54" s="22">
        <v>48</v>
      </c>
      <c r="B54" s="16" t="str">
        <f>Oktyabr!B54</f>
        <v>Bağban</v>
      </c>
      <c r="C54" s="16" t="str">
        <f>Oktyabr!C54</f>
        <v>Cəfərov Qubad Südeyf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COUNTA(Kasım[[#This Row],[1]:[30]])</f>
        <v>0</v>
      </c>
    </row>
    <row r="55" spans="1:35" ht="30" customHeight="1" x14ac:dyDescent="0.35">
      <c r="A55" s="22">
        <v>49</v>
      </c>
      <c r="B55" s="16" t="str">
        <f>Oktyabr!B55</f>
        <v>Bağban</v>
      </c>
      <c r="C55" s="16" t="str">
        <f>Oktyabr!C55</f>
        <v>Yusubov İsməddin Sübhan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COUNTA(Kasım[[#This Row],[1]:[30]])</f>
        <v>0</v>
      </c>
    </row>
    <row r="56" spans="1:35" ht="30" customHeight="1" x14ac:dyDescent="0.35">
      <c r="A56" s="22">
        <v>50</v>
      </c>
      <c r="B56" s="16" t="str">
        <f>Oktyabr!B56</f>
        <v>Bağban</v>
      </c>
      <c r="C56" s="16">
        <f>Oktyabr!C56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COUNTA(Kasım[[#This Row],[1]:[30]])</f>
        <v>0</v>
      </c>
    </row>
    <row r="57" spans="1:35" ht="30" customHeight="1" x14ac:dyDescent="0.35">
      <c r="A57" s="22">
        <v>51</v>
      </c>
      <c r="B57" s="16" t="str">
        <f>Oktyabr!B57</f>
        <v>Bağban</v>
      </c>
      <c r="C57" s="16">
        <f>Oktyabr!C57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COUNTA(Kasım[[#This Row],[1]:[30]])</f>
        <v>0</v>
      </c>
    </row>
    <row r="58" spans="1:35" ht="30" customHeight="1" x14ac:dyDescent="0.35">
      <c r="A58" s="22">
        <v>52</v>
      </c>
      <c r="B58" s="16" t="str">
        <f>Oktyabr!B58</f>
        <v>Bağban</v>
      </c>
      <c r="C58" s="16">
        <f>Oktyabr!C58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COUNTA(Kasım[[#This Row],[1]:[30]])</f>
        <v>0</v>
      </c>
    </row>
    <row r="59" spans="1:35" ht="30" customHeight="1" x14ac:dyDescent="0.35">
      <c r="A59" s="22">
        <v>53</v>
      </c>
      <c r="B59" s="16" t="str">
        <f>Oktyabr!B59</f>
        <v>Bağban</v>
      </c>
      <c r="C59" s="16">
        <f>Oktyabr!C59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COUNTA(Kasım[[#This Row],[1]:[30]])</f>
        <v>0</v>
      </c>
    </row>
    <row r="60" spans="1:35" ht="30" customHeight="1" x14ac:dyDescent="0.35">
      <c r="A60" s="22">
        <v>54</v>
      </c>
      <c r="B60" s="16" t="str">
        <f>Oktyabr!B60</f>
        <v>Bağban</v>
      </c>
      <c r="C60" s="16">
        <f>Oktyabr!C60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COUNTA(Kasım[[#This Row],[1]:[30]])</f>
        <v>0</v>
      </c>
    </row>
    <row r="61" spans="1:35" ht="30" customHeight="1" x14ac:dyDescent="0.35">
      <c r="A61" s="22">
        <v>55</v>
      </c>
      <c r="B61" s="16" t="str">
        <f>Oktyabr!B61</f>
        <v>Bağban</v>
      </c>
      <c r="C61" s="16">
        <f>Oktyabr!C61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9">
        <f>COUNTA(Kasım[[#This Row],[1]:[30]])</f>
        <v>0</v>
      </c>
    </row>
    <row r="62" spans="1:35" ht="30" customHeight="1" x14ac:dyDescent="0.35">
      <c r="C62" s="41" t="str">
        <f>AyAdı&amp;" Toplamı"</f>
        <v>Noyabr Toplamı</v>
      </c>
      <c r="D62" s="42">
        <f>SUBTOTAL(103,Kasım[1])</f>
        <v>0</v>
      </c>
      <c r="E62" s="42">
        <f>SUBTOTAL(103,Kasım[2])</f>
        <v>0</v>
      </c>
      <c r="F62" s="42">
        <f>SUBTOTAL(103,Kasım[3])</f>
        <v>0</v>
      </c>
      <c r="G62" s="42">
        <f>SUBTOTAL(103,Kasım[4])</f>
        <v>0</v>
      </c>
      <c r="H62" s="42">
        <f>SUBTOTAL(103,Kasım[5])</f>
        <v>0</v>
      </c>
      <c r="I62" s="42">
        <f>SUBTOTAL(103,Kasım[6])</f>
        <v>0</v>
      </c>
      <c r="J62" s="42">
        <f>SUBTOTAL(103,Kasım[7])</f>
        <v>0</v>
      </c>
      <c r="K62" s="42">
        <f>SUBTOTAL(103,Kasım[8])</f>
        <v>0</v>
      </c>
      <c r="L62" s="42">
        <f>SUBTOTAL(103,Kasım[9])</f>
        <v>0</v>
      </c>
      <c r="M62" s="42">
        <f>SUBTOTAL(103,Kasım[10])</f>
        <v>0</v>
      </c>
      <c r="N62" s="42">
        <f>SUBTOTAL(103,Kasım[11])</f>
        <v>0</v>
      </c>
      <c r="O62" s="42">
        <f>SUBTOTAL(103,Kasım[12])</f>
        <v>0</v>
      </c>
      <c r="P62" s="42">
        <f>SUBTOTAL(103,Kasım[13])</f>
        <v>0</v>
      </c>
      <c r="Q62" s="42">
        <f>SUBTOTAL(103,Kasım[14])</f>
        <v>0</v>
      </c>
      <c r="R62" s="42">
        <f>SUBTOTAL(103,Kasım[15])</f>
        <v>0</v>
      </c>
      <c r="S62" s="42">
        <f>SUBTOTAL(103,Kasım[16])</f>
        <v>0</v>
      </c>
      <c r="T62" s="42">
        <f>SUBTOTAL(103,Kasım[17])</f>
        <v>0</v>
      </c>
      <c r="U62" s="42">
        <f>SUBTOTAL(103,Kasım[18])</f>
        <v>0</v>
      </c>
      <c r="V62" s="42">
        <f>SUBTOTAL(103,Kasım[19])</f>
        <v>0</v>
      </c>
      <c r="W62" s="42">
        <f>SUBTOTAL(103,Kasım[20])</f>
        <v>0</v>
      </c>
      <c r="X62" s="42">
        <f>SUBTOTAL(103,Kasım[21])</f>
        <v>0</v>
      </c>
      <c r="Y62" s="42">
        <f>SUBTOTAL(103,Kasım[22])</f>
        <v>0</v>
      </c>
      <c r="Z62" s="42">
        <f>SUBTOTAL(103,Kasım[23])</f>
        <v>0</v>
      </c>
      <c r="AA62" s="42">
        <f>SUBTOTAL(103,Kasım[24])</f>
        <v>0</v>
      </c>
      <c r="AB62" s="42">
        <f>SUBTOTAL(103,Kasım[25])</f>
        <v>0</v>
      </c>
      <c r="AC62" s="42">
        <f>SUBTOTAL(103,Kasım[26])</f>
        <v>0</v>
      </c>
      <c r="AD62" s="42">
        <f>SUBTOTAL(103,Kasım[27])</f>
        <v>0</v>
      </c>
      <c r="AE62" s="42">
        <f>SUBTOTAL(103,Kasım[28])</f>
        <v>0</v>
      </c>
      <c r="AF62" s="42">
        <f>SUBTOTAL(103,Kasım[29])</f>
        <v>0</v>
      </c>
      <c r="AG62" s="42">
        <f>SUBTOTAL(103,Kasım[30])</f>
        <v>0</v>
      </c>
      <c r="AH62" s="42">
        <f>SUBTOTAL(103,Kasım[[ ]])</f>
        <v>0</v>
      </c>
      <c r="AI62" s="42">
        <f>SUBTOTAL(109,Kasım[Toplam Gün])</f>
        <v>0</v>
      </c>
    </row>
  </sheetData>
  <mergeCells count="6">
    <mergeCell ref="D4:AH4"/>
    <mergeCell ref="E2:G2"/>
    <mergeCell ref="I2:K2"/>
    <mergeCell ref="M2:N2"/>
    <mergeCell ref="P2:R2"/>
    <mergeCell ref="T2:V2"/>
  </mergeCells>
  <conditionalFormatting sqref="D7:AH61">
    <cfRule type="expression" priority="1" stopIfTrue="1">
      <formula>D7=""</formula>
    </cfRule>
  </conditionalFormatting>
  <conditionalFormatting sqref="D7:AH61">
    <cfRule type="expression" dxfId="415" priority="2" stopIfTrue="1">
      <formula>D7=AnahtarÖzel2</formula>
    </cfRule>
    <cfRule type="expression" dxfId="414" priority="3" stopIfTrue="1">
      <formula>D7=AnahtarÖzel1</formula>
    </cfRule>
    <cfRule type="expression" dxfId="413" priority="4" stopIfTrue="1">
      <formula>D7=AnahtarHasta</formula>
    </cfRule>
    <cfRule type="expression" dxfId="412" priority="5" stopIfTrue="1">
      <formula>D7=AnahtarKişisel</formula>
    </cfRule>
    <cfRule type="expression" dxfId="411" priority="6" stopIfTrue="1">
      <formula>D7=AnahtarTatil</formula>
    </cfRule>
  </conditionalFormatting>
  <conditionalFormatting sqref="AI7:AI61">
    <cfRule type="dataBar" priority="7">
      <dataBar>
        <cfvo type="min"/>
        <cfvo type="formula" val="DATEDIF(DATE(TakvimYılı,2,1),DATE(TakvimYılı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dataValidations count="14"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  <dataValidation allowBlank="1" showInputMessage="1" showErrorMessage="1" prompt="Bu devamsızlık zaman çizelgesinin ay adı bu hücrededir. Bu aya ait toplam devamsızlık miktarı, tablonun son hücresindedir. Tablonun B sütunundan çalışan adlarını seçin" sqref="C4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Soldaki özel anahtarı açıklamak için bir etiket girin" sqref="P2:R2 T2:V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&quot;H&quot; harfi hastalık nedeniyle devamsızlığı gösterir" sqref="L2"/>
    <dataValidation allowBlank="1" showInputMessage="1" showErrorMessage="1" prompt="&quot;K&quot; harfi kişisel nedenlerden dolayı devamsızlığı gösterir" sqref="H2"/>
    <dataValidation allowBlank="1" showInputMessage="1" showErrorMessage="1" prompt="&quot;T&quot; harfi tatil nedeniyle devamsızlığı gösterir" sqref="D2"/>
    <dataValidation allowBlank="1" showInputMessage="1" showErrorMessage="1" prompt="Otomatik olarak güncelleştirilen başlık bu hücrededir. Başlığı değiştirmek için Ocak çalışma sayfasındaki B1 hücresini güncelleştirin" sqref="C1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Bu ay bir çalışanın toplamda kaç gün devamsızlık yaptığını, bu sütunda otomatik olarak hesaplar" sqref="AI6"/>
    <dataValidation allowBlank="1" showInputMessage="1" showErrorMessage="1" prompt="Ocak çalışma sayfasında girilen yıla göre otomatik olarak güncelleştirilen yıl" sqref="AI4"/>
    <dataValidation allowBlank="1" showInputMessage="1" showErrorMessage="1" prompt="Bu satırdaki günler, AH4 hücresindeki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Bu çalışma sayfasında Şubat devamsızlığını izleyin" sqref="A1:B1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DATEDIF(DATE(TakvimYılı,2,1),DATE(TakvimYılı,3,1),"d")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'Çalışan Adları'!$B$4:$B$8</xm:f>
          </x14:formula1>
          <xm:sqref>B7:B61</xm:sqref>
        </x14:dataValidation>
        <x14:dataValidation type="list" allowBlank="1" showInputMessage="1" showErrorMessage="1">
          <x14:formula1>
            <xm:f>'Çalışan Adları'!$B$4:$B$60</xm:f>
          </x14:formula1>
          <xm:sqref>C7:C61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I62"/>
  <sheetViews>
    <sheetView showGridLines="0" zoomScale="69" zoomScaleNormal="69" workbookViewId="0">
      <selection activeCell="I2" sqref="I2:K2"/>
    </sheetView>
  </sheetViews>
  <sheetFormatPr defaultRowHeight="30" customHeight="1" x14ac:dyDescent="0.35"/>
  <cols>
    <col min="1" max="1" width="3.81640625" style="1" customWidth="1"/>
    <col min="2" max="2" width="23.54296875" style="1" customWidth="1"/>
    <col min="3" max="3" width="25.63281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C1" s="13" t="str">
        <f>Employee_Absence_Title</f>
        <v>İşçilərin davamiyyət cədvəli</v>
      </c>
    </row>
    <row r="2" spans="1:35" ht="15" customHeight="1" x14ac:dyDescent="0.35"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 t="s">
        <v>45</v>
      </c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/>
      <c r="T2" s="40" t="s">
        <v>20</v>
      </c>
      <c r="U2" s="40"/>
      <c r="V2" s="40"/>
    </row>
    <row r="3" spans="1:35" ht="15" customHeight="1" x14ac:dyDescent="0.35">
      <c r="C3" s="13"/>
    </row>
    <row r="4" spans="1:35" ht="30" customHeight="1" x14ac:dyDescent="0.35">
      <c r="C4" s="11" t="s">
        <v>58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f>TakvimYılı</f>
        <v>2022</v>
      </c>
    </row>
    <row r="5" spans="1:35" ht="15" customHeight="1" x14ac:dyDescent="0.35">
      <c r="C5" s="11"/>
      <c r="D5" s="1" t="str">
        <f>TEXT(WEEKDAY(DATE(TakvimYılı,12,1),1),"ggg")</f>
        <v/>
      </c>
      <c r="E5" s="1" t="str">
        <f>TEXT(WEEKDAY(DATE(TakvimYılı,12,2),1),"ggg")</f>
        <v/>
      </c>
      <c r="F5" s="1" t="str">
        <f>TEXT(WEEKDAY(DATE(TakvimYılı,12,3),1),"ggg")</f>
        <v/>
      </c>
      <c r="G5" s="1" t="str">
        <f>TEXT(WEEKDAY(DATE(TakvimYılı,12,4),1),"ggg")</f>
        <v/>
      </c>
      <c r="H5" s="1" t="str">
        <f>TEXT(WEEKDAY(DATE(TakvimYılı,12,5),1),"ggg")</f>
        <v/>
      </c>
      <c r="I5" s="1" t="str">
        <f>TEXT(WEEKDAY(DATE(TakvimYılı,12,6),1),"ggg")</f>
        <v/>
      </c>
      <c r="J5" s="1" t="str">
        <f>TEXT(WEEKDAY(DATE(TakvimYılı,12,7),1),"ggg")</f>
        <v/>
      </c>
      <c r="K5" s="1" t="str">
        <f>TEXT(WEEKDAY(DATE(TakvimYılı,12,8),1),"ggg")</f>
        <v/>
      </c>
      <c r="L5" s="1" t="str">
        <f>TEXT(WEEKDAY(DATE(TakvimYılı,12,9),1),"ggg")</f>
        <v/>
      </c>
      <c r="M5" s="1" t="str">
        <f>TEXT(WEEKDAY(DATE(TakvimYılı,12,10),1),"ggg")</f>
        <v/>
      </c>
      <c r="N5" s="1" t="str">
        <f>TEXT(WEEKDAY(DATE(TakvimYılı,12,11),1),"ggg")</f>
        <v/>
      </c>
      <c r="O5" s="1" t="str">
        <f>TEXT(WEEKDAY(DATE(TakvimYılı,12,12),1),"ggg")</f>
        <v/>
      </c>
      <c r="P5" s="1" t="str">
        <f>TEXT(WEEKDAY(DATE(TakvimYılı,12,13),1),"ggg")</f>
        <v/>
      </c>
      <c r="Q5" s="1" t="str">
        <f>TEXT(WEEKDAY(DATE(TakvimYılı,12,14),1),"ggg")</f>
        <v/>
      </c>
      <c r="R5" s="1" t="str">
        <f>TEXT(WEEKDAY(DATE(TakvimYılı,12,15),1),"ggg")</f>
        <v/>
      </c>
      <c r="S5" s="1" t="str">
        <f>TEXT(WEEKDAY(DATE(TakvimYılı,12,16),1),"ggg")</f>
        <v/>
      </c>
      <c r="T5" s="1" t="str">
        <f>TEXT(WEEKDAY(DATE(TakvimYılı,12,17),1),"ggg")</f>
        <v/>
      </c>
      <c r="U5" s="1" t="str">
        <f>TEXT(WEEKDAY(DATE(TakvimYılı,12,18),1),"ggg")</f>
        <v/>
      </c>
      <c r="V5" s="1" t="str">
        <f>TEXT(WEEKDAY(DATE(TakvimYılı,12,19),1),"ggg")</f>
        <v/>
      </c>
      <c r="W5" s="1" t="str">
        <f>TEXT(WEEKDAY(DATE(TakvimYılı,12,20),1),"ggg")</f>
        <v/>
      </c>
      <c r="X5" s="1" t="str">
        <f>TEXT(WEEKDAY(DATE(TakvimYılı,12,21),1),"ggg")</f>
        <v/>
      </c>
      <c r="Y5" s="1" t="str">
        <f>TEXT(WEEKDAY(DATE(TakvimYılı,12,22),1),"ggg")</f>
        <v/>
      </c>
      <c r="Z5" s="1" t="str">
        <f>TEXT(WEEKDAY(DATE(TakvimYılı,12,23),1),"ggg")</f>
        <v/>
      </c>
      <c r="AA5" s="1" t="str">
        <f>TEXT(WEEKDAY(DATE(TakvimYılı,12,24),1),"ggg")</f>
        <v/>
      </c>
      <c r="AB5" s="1" t="str">
        <f>TEXT(WEEKDAY(DATE(TakvimYılı,12,25),1),"ggg")</f>
        <v/>
      </c>
      <c r="AC5" s="1" t="str">
        <f>TEXT(WEEKDAY(DATE(TakvimYılı,12,26),1),"ggg")</f>
        <v/>
      </c>
      <c r="AD5" s="1" t="str">
        <f>TEXT(WEEKDAY(DATE(TakvimYılı,12,27),1),"ggg")</f>
        <v/>
      </c>
      <c r="AE5" s="1" t="str">
        <f>TEXT(WEEKDAY(DATE(TakvimYılı,12,28),1),"ggg")</f>
        <v/>
      </c>
      <c r="AF5" s="1" t="str">
        <f>TEXT(WEEKDAY(DATE(TakvimYılı,12,29),1),"ggg")</f>
        <v/>
      </c>
      <c r="AG5" s="1" t="str">
        <f>TEXT(WEEKDAY(DATE(TakvimYılı,12,30),1),"ggg")</f>
        <v/>
      </c>
      <c r="AH5" s="1" t="str">
        <f>TEXT(WEEKDAY(DATE(TakvimYılı,12,31),1),"ggg")</f>
        <v/>
      </c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34</v>
      </c>
      <c r="AH6" s="2" t="s">
        <v>35</v>
      </c>
      <c r="AI6" s="15" t="s">
        <v>36</v>
      </c>
    </row>
    <row r="7" spans="1:35" ht="30" customHeight="1" x14ac:dyDescent="0.35">
      <c r="A7" s="22">
        <v>1</v>
      </c>
      <c r="B7" s="16" t="str">
        <f>Noyabr!B7</f>
        <v>Menecer</v>
      </c>
      <c r="C7" s="16" t="str">
        <f>Noyabr!C7</f>
        <v>Rzakov Ramiz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COUNTA(Aralık[[#This Row],[1]:[31]])</f>
        <v>0</v>
      </c>
    </row>
    <row r="8" spans="1:35" ht="30" customHeight="1" x14ac:dyDescent="0.35">
      <c r="A8" s="22">
        <v>2</v>
      </c>
      <c r="B8" s="16" t="str">
        <f>Noyabr!B8</f>
        <v>Nəzarətçi</v>
      </c>
      <c r="C8" s="16" t="str">
        <f>Noyabr!C8</f>
        <v>Əsədov Elçin Güloğlan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COUNTA(Aralık[[#This Row],[1]:[31]])</f>
        <v>0</v>
      </c>
    </row>
    <row r="9" spans="1:35" ht="30" customHeight="1" x14ac:dyDescent="0.35">
      <c r="A9" s="22">
        <v>3</v>
      </c>
      <c r="B9" s="16" t="str">
        <f>Noyabr!B9</f>
        <v>Nəzarətçi</v>
      </c>
      <c r="C9" s="16" t="str">
        <f>Noyabr!C9</f>
        <v>Babayev Fərid Vaqif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COUNTA(Aralık[[#This Row],[1]:[31]])</f>
        <v>0</v>
      </c>
    </row>
    <row r="10" spans="1:35" ht="30" customHeight="1" x14ac:dyDescent="0.35">
      <c r="A10" s="22">
        <v>4</v>
      </c>
      <c r="B10" s="16" t="str">
        <f>Noyabr!B10</f>
        <v>Ofis meneceri</v>
      </c>
      <c r="C10" s="16" t="str">
        <f>Noyabr!C10</f>
        <v>Abbasov Rahib Ziyad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COUNTA(Aralık[[#This Row],[1]:[31]])</f>
        <v>0</v>
      </c>
    </row>
    <row r="11" spans="1:35" ht="30" customHeight="1" x14ac:dyDescent="0.35">
      <c r="A11" s="22">
        <v>5</v>
      </c>
      <c r="B11" s="16" t="str">
        <f>Noyabr!B11</f>
        <v>Ofis meneceri</v>
      </c>
      <c r="C11" s="16" t="str">
        <f>Noyabr!C11</f>
        <v>Əşrəfzadə Sərxan Elman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COUNTA(Aralık[[#This Row],[1]:[31]])</f>
        <v>0</v>
      </c>
    </row>
    <row r="12" spans="1:35" ht="30" customHeight="1" x14ac:dyDescent="0.35">
      <c r="A12" s="22">
        <v>6</v>
      </c>
      <c r="B12" s="16" t="str">
        <f>Noyabr!B12</f>
        <v>Ofis meneceri</v>
      </c>
      <c r="C12" s="16" t="str">
        <f>Noyabr!C12</f>
        <v>Dostəlizadə Mahir Valeh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COUNTA(Aralık[[#This Row],[1]:[31]])</f>
        <v>0</v>
      </c>
    </row>
    <row r="13" spans="1:35" ht="30" customHeight="1" x14ac:dyDescent="0.35">
      <c r="A13" s="22">
        <v>7</v>
      </c>
      <c r="B13" s="16" t="str">
        <f>Noyabr!B13</f>
        <v>Ofis meneceri</v>
      </c>
      <c r="C13" s="16" t="str">
        <f>Noyabr!C13</f>
        <v>Rəsulov Nurlan Yaşar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COUNTA(Aralık[[#This Row],[1]:[31]])</f>
        <v>0</v>
      </c>
    </row>
    <row r="14" spans="1:35" ht="30" customHeight="1" x14ac:dyDescent="0.35">
      <c r="A14" s="22">
        <v>8</v>
      </c>
      <c r="B14" s="16" t="str">
        <f>Noyabr!B14</f>
        <v>Bağban</v>
      </c>
      <c r="C14" s="16" t="str">
        <f>Noyabr!C14</f>
        <v>Abbasov Sücayət Hüseyn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COUNTA(Aralık[[#This Row],[1]:[31]])</f>
        <v>0</v>
      </c>
    </row>
    <row r="15" spans="1:35" ht="30" customHeight="1" x14ac:dyDescent="0.35">
      <c r="A15" s="22">
        <v>9</v>
      </c>
      <c r="B15" s="16" t="str">
        <f>Noyabr!B15</f>
        <v>Bağban</v>
      </c>
      <c r="C15" s="16" t="str">
        <f>Noyabr!C15</f>
        <v>Ağayev Əkrəm Zülfi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COUNTA(Aralık[[#This Row],[1]:[31]])</f>
        <v>0</v>
      </c>
    </row>
    <row r="16" spans="1:35" ht="30" customHeight="1" x14ac:dyDescent="0.35">
      <c r="A16" s="22">
        <v>10</v>
      </c>
      <c r="B16" s="16" t="str">
        <f>Noyabr!B16</f>
        <v>Bağban</v>
      </c>
      <c r="C16" s="16" t="str">
        <f>Noyabr!C16</f>
        <v>Bayramov Asim İsaq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COUNTA(Aralık[[#This Row],[1]:[31]])</f>
        <v>0</v>
      </c>
    </row>
    <row r="17" spans="1:35" ht="30" customHeight="1" x14ac:dyDescent="0.35">
      <c r="A17" s="22">
        <v>11</v>
      </c>
      <c r="B17" s="16" t="str">
        <f>Noyabr!B17</f>
        <v>Bağban</v>
      </c>
      <c r="C17" s="16" t="str">
        <f>Noyabr!C17</f>
        <v>Əhədov Seymur Atakişi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COUNTA(Aralık[[#This Row],[1]:[31]])</f>
        <v>0</v>
      </c>
    </row>
    <row r="18" spans="1:35" ht="30" customHeight="1" x14ac:dyDescent="0.35">
      <c r="A18" s="22">
        <v>12</v>
      </c>
      <c r="B18" s="16" t="str">
        <f>Noyabr!B18</f>
        <v>Bağban</v>
      </c>
      <c r="C18" s="16" t="str">
        <f>Noyabr!C18</f>
        <v>Əhmədov Elməddin Əhməd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COUNTA(Aralık[[#This Row],[1]:[31]])</f>
        <v>0</v>
      </c>
    </row>
    <row r="19" spans="1:35" ht="30" customHeight="1" x14ac:dyDescent="0.35">
      <c r="A19" s="22">
        <v>13</v>
      </c>
      <c r="B19" s="16" t="str">
        <f>Noyabr!B19</f>
        <v>Bağban</v>
      </c>
      <c r="C19" s="16" t="str">
        <f>Noyabr!C19</f>
        <v>Ələkbərov Bagman Ərəstun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COUNTA(Aralık[[#This Row],[1]:[31]])</f>
        <v>0</v>
      </c>
    </row>
    <row r="20" spans="1:35" ht="30" customHeight="1" x14ac:dyDescent="0.35">
      <c r="A20" s="22">
        <v>14</v>
      </c>
      <c r="B20" s="16" t="str">
        <f>Noyabr!B20</f>
        <v>Bağban</v>
      </c>
      <c r="C20" s="16" t="str">
        <f>Noyabr!C20</f>
        <v>Ələkbərov Fərman Qabil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COUNTA(Aralık[[#This Row],[1]:[31]])</f>
        <v>0</v>
      </c>
    </row>
    <row r="21" spans="1:35" ht="30" customHeight="1" x14ac:dyDescent="0.35">
      <c r="A21" s="22">
        <v>15</v>
      </c>
      <c r="B21" s="16" t="str">
        <f>Noyabr!B21</f>
        <v>Bağban</v>
      </c>
      <c r="C21" s="16" t="str">
        <f>Noyabr!C21</f>
        <v>Ələsgərov Elməddin Rauf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COUNTA(Aralık[[#This Row],[1]:[31]])</f>
        <v>0</v>
      </c>
    </row>
    <row r="22" spans="1:35" ht="30" customHeight="1" x14ac:dyDescent="0.35">
      <c r="A22" s="22">
        <v>16</v>
      </c>
      <c r="B22" s="16" t="str">
        <f>Noyabr!B22</f>
        <v>Bağban</v>
      </c>
      <c r="C22" s="16" t="str">
        <f>Noyabr!C22</f>
        <v>Əliyev Həsən Mais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COUNTA(Aralık[[#This Row],[1]:[31]])</f>
        <v>0</v>
      </c>
    </row>
    <row r="23" spans="1:35" ht="30" customHeight="1" x14ac:dyDescent="0.35">
      <c r="A23" s="22">
        <v>17</v>
      </c>
      <c r="B23" s="16" t="str">
        <f>Noyabr!B23</f>
        <v>Bağban</v>
      </c>
      <c r="C23" s="16" t="str">
        <f>Noyabr!C23</f>
        <v>Əliyev Sərdar Əliağa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COUNTA(Aralık[[#This Row],[1]:[31]])</f>
        <v>0</v>
      </c>
    </row>
    <row r="24" spans="1:35" ht="30" customHeight="1" x14ac:dyDescent="0.35">
      <c r="A24" s="22">
        <v>18</v>
      </c>
      <c r="B24" s="16" t="str">
        <f>Noyabr!B24</f>
        <v>Bağban</v>
      </c>
      <c r="C24" s="16" t="str">
        <f>Noyabr!C24</f>
        <v>Əliyev Xalıq Xanağa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COUNTA(Aralık[[#This Row],[1]:[31]])</f>
        <v>0</v>
      </c>
    </row>
    <row r="25" spans="1:35" ht="30" customHeight="1" x14ac:dyDescent="0.35">
      <c r="A25" s="22">
        <v>19</v>
      </c>
      <c r="B25" s="16" t="str">
        <f>Noyabr!B25</f>
        <v>Bağban</v>
      </c>
      <c r="C25" s="16" t="str">
        <f>Noyabr!C25</f>
        <v>Feyzullayev Firudin Ramiz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COUNTA(Aralık[[#This Row],[1]:[31]])</f>
        <v>0</v>
      </c>
    </row>
    <row r="26" spans="1:35" ht="30" customHeight="1" x14ac:dyDescent="0.35">
      <c r="A26" s="22">
        <v>20</v>
      </c>
      <c r="B26" s="16" t="str">
        <f>Noyabr!B26</f>
        <v>Bağban</v>
      </c>
      <c r="C26" s="16" t="str">
        <f>Noyabr!C26</f>
        <v>Haşımov Asif Hacı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COUNTA(Aralık[[#This Row],[1]:[31]])</f>
        <v>0</v>
      </c>
    </row>
    <row r="27" spans="1:35" ht="30" customHeight="1" x14ac:dyDescent="0.35">
      <c r="A27" s="22">
        <v>21</v>
      </c>
      <c r="B27" s="16" t="str">
        <f>Noyabr!B27</f>
        <v>Bağban</v>
      </c>
      <c r="C27" s="16" t="str">
        <f>Noyabr!C27</f>
        <v>Hüseynov Davud İsa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COUNTA(Aralık[[#This Row],[1]:[31]])</f>
        <v>0</v>
      </c>
    </row>
    <row r="28" spans="1:35" ht="30" customHeight="1" x14ac:dyDescent="0.35">
      <c r="A28" s="22">
        <v>22</v>
      </c>
      <c r="B28" s="16" t="str">
        <f>Noyabr!B28</f>
        <v>Bağban</v>
      </c>
      <c r="C28" s="16" t="str">
        <f>Noyabr!C28</f>
        <v>Hüseynov Ədail İsa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COUNTA(Aralık[[#This Row],[1]:[31]])</f>
        <v>0</v>
      </c>
    </row>
    <row r="29" spans="1:35" ht="30" customHeight="1" x14ac:dyDescent="0.35">
      <c r="A29" s="22">
        <v>23</v>
      </c>
      <c r="B29" s="16" t="str">
        <f>Noyabr!B29</f>
        <v>Bağban</v>
      </c>
      <c r="C29" s="16" t="str">
        <f>Noyabr!C29</f>
        <v>Hüseynov Səfaddin Əbülfəz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COUNTA(Aralık[[#This Row],[1]:[31]])</f>
        <v>0</v>
      </c>
    </row>
    <row r="30" spans="1:35" ht="30" customHeight="1" x14ac:dyDescent="0.35">
      <c r="A30" s="22">
        <v>24</v>
      </c>
      <c r="B30" s="16" t="str">
        <f>Noyabr!B30</f>
        <v>Bağban</v>
      </c>
      <c r="C30" s="16" t="str">
        <f>Noyabr!C30</f>
        <v>Hüseynov Şəmistan Qabil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COUNTA(Aralık[[#This Row],[1]:[31]])</f>
        <v>0</v>
      </c>
    </row>
    <row r="31" spans="1:35" ht="30" customHeight="1" x14ac:dyDescent="0.35">
      <c r="A31" s="22">
        <v>25</v>
      </c>
      <c r="B31" s="16" t="str">
        <f>Noyabr!B31</f>
        <v>Bağban</v>
      </c>
      <c r="C31" s="16" t="str">
        <f>Noyabr!C31</f>
        <v>Hüseynov Sərdar İsa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COUNTA(Aralık[[#This Row],[1]:[31]])</f>
        <v>0</v>
      </c>
    </row>
    <row r="32" spans="1:35" ht="30" customHeight="1" x14ac:dyDescent="0.35">
      <c r="A32" s="22">
        <v>26</v>
      </c>
      <c r="B32" s="16" t="str">
        <f>Noyabr!B32</f>
        <v>Bağban</v>
      </c>
      <c r="C32" s="16" t="str">
        <f>Noyabr!C32</f>
        <v>Hüseynov Siruz Qabil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COUNTA(Aralık[[#This Row],[1]:[31]])</f>
        <v>0</v>
      </c>
    </row>
    <row r="33" spans="1:35" ht="30" customHeight="1" x14ac:dyDescent="0.35">
      <c r="A33" s="22">
        <v>27</v>
      </c>
      <c r="B33" s="16" t="str">
        <f>Noyabr!B33</f>
        <v>Bağban</v>
      </c>
      <c r="C33" s="16" t="str">
        <f>Noyabr!C33</f>
        <v>Hüseynov Taleh Daşqın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COUNTA(Aralık[[#This Row],[1]:[31]])</f>
        <v>0</v>
      </c>
    </row>
    <row r="34" spans="1:35" ht="30" customHeight="1" x14ac:dyDescent="0.35">
      <c r="A34" s="22">
        <v>28</v>
      </c>
      <c r="B34" s="16" t="str">
        <f>Noyabr!B34</f>
        <v>Bağban</v>
      </c>
      <c r="C34" s="16" t="str">
        <f>Noyabr!C34</f>
        <v>Hüseynov Tərlan Yadulla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COUNTA(Aralık[[#This Row],[1]:[31]])</f>
        <v>0</v>
      </c>
    </row>
    <row r="35" spans="1:35" ht="30" customHeight="1" x14ac:dyDescent="0.35">
      <c r="A35" s="22">
        <v>29</v>
      </c>
      <c r="B35" s="16" t="str">
        <f>Noyabr!B35</f>
        <v>Bağban</v>
      </c>
      <c r="C35" s="16" t="str">
        <f>Noyabr!C35</f>
        <v>İbayev Zahid Mahir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COUNTA(Aralık[[#This Row],[1]:[31]])</f>
        <v>0</v>
      </c>
    </row>
    <row r="36" spans="1:35" ht="30" customHeight="1" x14ac:dyDescent="0.35">
      <c r="A36" s="22">
        <v>30</v>
      </c>
      <c r="B36" s="16" t="str">
        <f>Noyabr!B36</f>
        <v>Bağban</v>
      </c>
      <c r="C36" s="16" t="str">
        <f>Noyabr!C36</f>
        <v>İbayev Zahir Mahir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COUNTA(Aralık[[#This Row],[1]:[31]])</f>
        <v>0</v>
      </c>
    </row>
    <row r="37" spans="1:35" ht="30" customHeight="1" x14ac:dyDescent="0.35">
      <c r="A37" s="22">
        <v>31</v>
      </c>
      <c r="B37" s="16" t="str">
        <f>Noyabr!B37</f>
        <v>Bağban</v>
      </c>
      <c r="C37" s="16" t="str">
        <f>Noyabr!C37</f>
        <v>Məcidzadə Əli Valeh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COUNTA(Aralık[[#This Row],[1]:[31]])</f>
        <v>0</v>
      </c>
    </row>
    <row r="38" spans="1:35" ht="30" customHeight="1" x14ac:dyDescent="0.35">
      <c r="A38" s="22">
        <v>32</v>
      </c>
      <c r="B38" s="16" t="str">
        <f>Noyabr!B38</f>
        <v>Bağban</v>
      </c>
      <c r="C38" s="16" t="str">
        <f>Noyabr!C38</f>
        <v xml:space="preserve">Məmmədli Bəhruz İlham 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COUNTA(Aralık[[#This Row],[1]:[31]])</f>
        <v>0</v>
      </c>
    </row>
    <row r="39" spans="1:35" ht="30" customHeight="1" x14ac:dyDescent="0.35">
      <c r="A39" s="22">
        <v>33</v>
      </c>
      <c r="B39" s="16" t="str">
        <f>Noyabr!B39</f>
        <v>Bağban</v>
      </c>
      <c r="C39" s="16" t="str">
        <f>Noyabr!C39</f>
        <v>Məmmədli İsa Nazim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COUNTA(Aralık[[#This Row],[1]:[31]])</f>
        <v>0</v>
      </c>
    </row>
    <row r="40" spans="1:35" ht="30" customHeight="1" x14ac:dyDescent="0.35">
      <c r="A40" s="22">
        <v>34</v>
      </c>
      <c r="B40" s="16" t="str">
        <f>Noyabr!B40</f>
        <v>Bağban</v>
      </c>
      <c r="C40" s="16" t="str">
        <f>Noyabr!C40</f>
        <v>Məmmədov İlqar Teyyub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COUNTA(Aralık[[#This Row],[1]:[31]])</f>
        <v>0</v>
      </c>
    </row>
    <row r="41" spans="1:35" ht="30" customHeight="1" x14ac:dyDescent="0.35">
      <c r="A41" s="22">
        <v>35</v>
      </c>
      <c r="B41" s="16" t="str">
        <f>Noyabr!B41</f>
        <v>Bağban</v>
      </c>
      <c r="C41" s="16" t="str">
        <f>Noyabr!C41</f>
        <v xml:space="preserve">Məmmədov Sahil Ağaxan 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COUNTA(Aralık[[#This Row],[1]:[31]])</f>
        <v>0</v>
      </c>
    </row>
    <row r="42" spans="1:35" ht="30" customHeight="1" x14ac:dyDescent="0.35">
      <c r="A42" s="22">
        <v>36</v>
      </c>
      <c r="B42" s="16" t="str">
        <f>Noyabr!B42</f>
        <v>Bağban</v>
      </c>
      <c r="C42" s="16" t="str">
        <f>Noyabr!C42</f>
        <v>Məmmədov Yaqub Zahir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COUNTA(Aralık[[#This Row],[1]:[31]])</f>
        <v>0</v>
      </c>
    </row>
    <row r="43" spans="1:35" ht="30" customHeight="1" x14ac:dyDescent="0.35">
      <c r="A43" s="22">
        <v>37</v>
      </c>
      <c r="B43" s="16" t="str">
        <f>Noyabr!B43</f>
        <v>Bağban</v>
      </c>
      <c r="C43" s="16" t="str">
        <f>Noyabr!C43</f>
        <v>Məmmədzadə Qərib Fəxrəddin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COUNTA(Aralık[[#This Row],[1]:[31]])</f>
        <v>0</v>
      </c>
    </row>
    <row r="44" spans="1:35" ht="30" customHeight="1" x14ac:dyDescent="0.35">
      <c r="A44" s="22">
        <v>38</v>
      </c>
      <c r="B44" s="16" t="str">
        <f>Noyabr!B44</f>
        <v>Bağban</v>
      </c>
      <c r="C44" s="16" t="str">
        <f>Noyabr!C44</f>
        <v xml:space="preserve">Musayev Minbir Oqtay 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COUNTA(Aralık[[#This Row],[1]:[31]])</f>
        <v>0</v>
      </c>
    </row>
    <row r="45" spans="1:35" ht="30" customHeight="1" x14ac:dyDescent="0.35">
      <c r="A45" s="22">
        <v>39</v>
      </c>
      <c r="B45" s="16" t="str">
        <f>Noyabr!B45</f>
        <v>Bağban</v>
      </c>
      <c r="C45" s="16" t="str">
        <f>Noyabr!C45</f>
        <v>Nəcəfov Fizuli Böyükağa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COUNTA(Aralık[[#This Row],[1]:[31]])</f>
        <v>0</v>
      </c>
    </row>
    <row r="46" spans="1:35" ht="30" customHeight="1" x14ac:dyDescent="0.35">
      <c r="A46" s="22">
        <v>40</v>
      </c>
      <c r="B46" s="16" t="str">
        <f>Noyabr!B46</f>
        <v>Ofis meneceri</v>
      </c>
      <c r="C46" s="16" t="str">
        <f>Noyabr!C46</f>
        <v>Rəsulov Nurlan Yaşar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COUNTA(Aralık[[#This Row],[1]:[31]])</f>
        <v>0</v>
      </c>
    </row>
    <row r="47" spans="1:35" ht="30" customHeight="1" x14ac:dyDescent="0.35">
      <c r="A47" s="22">
        <v>41</v>
      </c>
      <c r="B47" s="16" t="str">
        <f>Noyabr!B47</f>
        <v>Bağban</v>
      </c>
      <c r="C47" s="16" t="str">
        <f>Noyabr!C47</f>
        <v>Rzayev İbrahim Mais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COUNTA(Aralık[[#This Row],[1]:[31]])</f>
        <v>0</v>
      </c>
    </row>
    <row r="48" spans="1:35" ht="30" customHeight="1" x14ac:dyDescent="0.35">
      <c r="A48" s="22">
        <v>42</v>
      </c>
      <c r="B48" s="16" t="str">
        <f>Noyabr!B48</f>
        <v>Bağban</v>
      </c>
      <c r="C48" s="16" t="str">
        <f>Noyabr!C48</f>
        <v>Səttarov Ağaəli Ərəstun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COUNTA(Aralık[[#This Row],[1]:[31]])</f>
        <v>0</v>
      </c>
    </row>
    <row r="49" spans="1:35" ht="30" customHeight="1" x14ac:dyDescent="0.35">
      <c r="A49" s="22">
        <v>43</v>
      </c>
      <c r="B49" s="16" t="str">
        <f>Noyabr!B49</f>
        <v>Bağban</v>
      </c>
      <c r="C49" s="16" t="str">
        <f>Noyabr!C49</f>
        <v>Tahirov Rəşad Elman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COUNTA(Aralık[[#This Row],[1]:[31]])</f>
        <v>0</v>
      </c>
    </row>
    <row r="50" spans="1:35" ht="30" customHeight="1" x14ac:dyDescent="0.35">
      <c r="A50" s="22">
        <v>44</v>
      </c>
      <c r="B50" s="16" t="str">
        <f>Noyabr!B50</f>
        <v>Bağban</v>
      </c>
      <c r="C50" s="16" t="str">
        <f>Noyabr!C50</f>
        <v>Xangəldiyev Asəf Əsabəli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COUNTA(Aralık[[#This Row],[1]:[31]])</f>
        <v>0</v>
      </c>
    </row>
    <row r="51" spans="1:35" ht="30" customHeight="1" x14ac:dyDescent="0.35">
      <c r="A51" s="22">
        <v>45</v>
      </c>
      <c r="B51" s="16" t="str">
        <f>Noyabr!B51</f>
        <v>Bağban</v>
      </c>
      <c r="C51" s="16" t="str">
        <f>Noyabr!C51</f>
        <v>Yusubov İsmayıl Sübhan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COUNTA(Aralık[[#This Row],[1]:[31]])</f>
        <v>0</v>
      </c>
    </row>
    <row r="52" spans="1:35" ht="30" customHeight="1" x14ac:dyDescent="0.35">
      <c r="A52" s="22">
        <v>46</v>
      </c>
      <c r="B52" s="16" t="str">
        <f>Noyabr!B52</f>
        <v>Bağban</v>
      </c>
      <c r="C52" s="16" t="str">
        <f>Noyabr!C52</f>
        <v>Zeynalov Anar Kamal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COUNTA(Aralık[[#This Row],[1]:[31]])</f>
        <v>0</v>
      </c>
    </row>
    <row r="53" spans="1:35" ht="30" customHeight="1" x14ac:dyDescent="0.35">
      <c r="A53" s="22">
        <v>47</v>
      </c>
      <c r="B53" s="16" t="str">
        <f>Noyabr!B53</f>
        <v>Bağban</v>
      </c>
      <c r="C53" s="16" t="str">
        <f>Noyabr!C53</f>
        <v>Zeynalov Şahab Əlizaman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COUNTA(Aralık[[#This Row],[1]:[31]])</f>
        <v>0</v>
      </c>
    </row>
    <row r="54" spans="1:35" ht="30" customHeight="1" x14ac:dyDescent="0.35">
      <c r="A54" s="22">
        <v>48</v>
      </c>
      <c r="B54" s="16" t="str">
        <f>Noyabr!B54</f>
        <v>Bağban</v>
      </c>
      <c r="C54" s="16" t="str">
        <f>Noyabr!C54</f>
        <v>Cəfərov Qubad Südeyf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COUNTA(Aralık[[#This Row],[1]:[31]])</f>
        <v>0</v>
      </c>
    </row>
    <row r="55" spans="1:35" ht="30" customHeight="1" x14ac:dyDescent="0.35">
      <c r="A55" s="22">
        <v>49</v>
      </c>
      <c r="B55" s="16" t="str">
        <f>Noyabr!B55</f>
        <v>Bağban</v>
      </c>
      <c r="C55" s="16" t="str">
        <f>Noyabr!C55</f>
        <v>Yusubov İsməddin Sübhan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COUNTA(Aralık[[#This Row],[1]:[31]])</f>
        <v>0</v>
      </c>
    </row>
    <row r="56" spans="1:35" ht="30" customHeight="1" x14ac:dyDescent="0.35">
      <c r="A56" s="22">
        <v>50</v>
      </c>
      <c r="B56" s="16" t="str">
        <f>Noyabr!B56</f>
        <v>Bağban</v>
      </c>
      <c r="C56" s="16">
        <f>Noyabr!C56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COUNTA(Aralık[[#This Row],[1]:[31]])</f>
        <v>0</v>
      </c>
    </row>
    <row r="57" spans="1:35" ht="30" customHeight="1" x14ac:dyDescent="0.35">
      <c r="A57" s="22">
        <v>51</v>
      </c>
      <c r="B57" s="16" t="str">
        <f>Noyabr!B57</f>
        <v>Bağban</v>
      </c>
      <c r="C57" s="16">
        <f>Noyabr!C57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COUNTA(Aralık[[#This Row],[1]:[31]])</f>
        <v>0</v>
      </c>
    </row>
    <row r="58" spans="1:35" ht="30" customHeight="1" x14ac:dyDescent="0.35">
      <c r="A58" s="22">
        <v>52</v>
      </c>
      <c r="B58" s="16" t="str">
        <f>Noyabr!B58</f>
        <v>Bağban</v>
      </c>
      <c r="C58" s="16">
        <f>Noyabr!C58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COUNTA(Aralık[[#This Row],[1]:[31]])</f>
        <v>0</v>
      </c>
    </row>
    <row r="59" spans="1:35" ht="30" customHeight="1" x14ac:dyDescent="0.35">
      <c r="A59" s="22">
        <v>53</v>
      </c>
      <c r="B59" s="16" t="str">
        <f>Noyabr!B59</f>
        <v>Bağban</v>
      </c>
      <c r="C59" s="16">
        <f>Noyabr!C59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COUNTA(Aralık[[#This Row],[1]:[31]])</f>
        <v>0</v>
      </c>
    </row>
    <row r="60" spans="1:35" ht="30" customHeight="1" x14ac:dyDescent="0.35">
      <c r="A60" s="22">
        <v>54</v>
      </c>
      <c r="B60" s="16" t="str">
        <f>Noyabr!B60</f>
        <v>Bağban</v>
      </c>
      <c r="C60" s="16">
        <f>Noyabr!C60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COUNTA(Aralık[[#This Row],[1]:[31]])</f>
        <v>0</v>
      </c>
    </row>
    <row r="61" spans="1:35" ht="30" customHeight="1" x14ac:dyDescent="0.35">
      <c r="A61" s="22">
        <v>55</v>
      </c>
      <c r="B61" s="16" t="str">
        <f>Noyabr!B61</f>
        <v>Bağban</v>
      </c>
      <c r="C61" s="16">
        <f>Noyabr!C61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9">
        <f>COUNTA(Aralık[[#This Row],[1]:[31]])</f>
        <v>0</v>
      </c>
    </row>
    <row r="62" spans="1:35" ht="30" customHeight="1" x14ac:dyDescent="0.35">
      <c r="C62" s="41" t="str">
        <f>AyAdı&amp;" Toplamı"</f>
        <v>Dekabr Toplamı</v>
      </c>
      <c r="D62" s="42">
        <f>SUBTOTAL(103,Aralık[1])</f>
        <v>0</v>
      </c>
      <c r="E62" s="42">
        <f>SUBTOTAL(103,Aralık[2])</f>
        <v>0</v>
      </c>
      <c r="F62" s="42">
        <f>SUBTOTAL(103,Aralık[3])</f>
        <v>0</v>
      </c>
      <c r="G62" s="42">
        <f>SUBTOTAL(103,Aralık[4])</f>
        <v>0</v>
      </c>
      <c r="H62" s="42">
        <f>SUBTOTAL(103,Aralık[5])</f>
        <v>0</v>
      </c>
      <c r="I62" s="42">
        <f>SUBTOTAL(103,Aralık[6])</f>
        <v>0</v>
      </c>
      <c r="J62" s="42">
        <f>SUBTOTAL(103,Aralık[7])</f>
        <v>0</v>
      </c>
      <c r="K62" s="42">
        <f>SUBTOTAL(103,Aralık[8])</f>
        <v>0</v>
      </c>
      <c r="L62" s="42">
        <f>SUBTOTAL(103,Aralık[9])</f>
        <v>0</v>
      </c>
      <c r="M62" s="42">
        <f>SUBTOTAL(103,Aralık[10])</f>
        <v>0</v>
      </c>
      <c r="N62" s="42">
        <f>SUBTOTAL(103,Aralık[11])</f>
        <v>0</v>
      </c>
      <c r="O62" s="42">
        <f>SUBTOTAL(103,Aralık[12])</f>
        <v>0</v>
      </c>
      <c r="P62" s="42">
        <f>SUBTOTAL(103,Aralık[13])</f>
        <v>0</v>
      </c>
      <c r="Q62" s="42">
        <f>SUBTOTAL(103,Aralık[14])</f>
        <v>0</v>
      </c>
      <c r="R62" s="42">
        <f>SUBTOTAL(103,Aralık[15])</f>
        <v>0</v>
      </c>
      <c r="S62" s="42">
        <f>SUBTOTAL(103,Aralık[16])</f>
        <v>0</v>
      </c>
      <c r="T62" s="42">
        <f>SUBTOTAL(103,Aralık[17])</f>
        <v>0</v>
      </c>
      <c r="U62" s="42">
        <f>SUBTOTAL(103,Aralık[18])</f>
        <v>0</v>
      </c>
      <c r="V62" s="42">
        <f>SUBTOTAL(103,Aralık[19])</f>
        <v>0</v>
      </c>
      <c r="W62" s="42">
        <f>SUBTOTAL(103,Aralık[20])</f>
        <v>0</v>
      </c>
      <c r="X62" s="42">
        <f>SUBTOTAL(103,Aralık[21])</f>
        <v>0</v>
      </c>
      <c r="Y62" s="42">
        <f>SUBTOTAL(103,Aralık[22])</f>
        <v>0</v>
      </c>
      <c r="Z62" s="42">
        <f>SUBTOTAL(103,Aralık[23])</f>
        <v>0</v>
      </c>
      <c r="AA62" s="42">
        <f>SUBTOTAL(103,Aralık[24])</f>
        <v>0</v>
      </c>
      <c r="AB62" s="42">
        <f>SUBTOTAL(103,Aralık[25])</f>
        <v>0</v>
      </c>
      <c r="AC62" s="42">
        <f>SUBTOTAL(103,Aralık[26])</f>
        <v>0</v>
      </c>
      <c r="AD62" s="42">
        <f>SUBTOTAL(103,Aralık[27])</f>
        <v>0</v>
      </c>
      <c r="AE62" s="42">
        <f>SUBTOTAL(103,Aralık[28])</f>
        <v>0</v>
      </c>
      <c r="AF62" s="42">
        <f>SUBTOTAL(103,Aralık[29])</f>
        <v>0</v>
      </c>
      <c r="AG62" s="42">
        <f>SUBTOTAL(103,Aralık[30])</f>
        <v>0</v>
      </c>
      <c r="AH62" s="42">
        <f>SUBTOTAL(103,Aralık[31])</f>
        <v>0</v>
      </c>
      <c r="AI62" s="42">
        <f>SUBTOTAL(109,Aralık[Toplam Gün])</f>
        <v>0</v>
      </c>
    </row>
  </sheetData>
  <mergeCells count="6">
    <mergeCell ref="D4:AH4"/>
    <mergeCell ref="E2:G2"/>
    <mergeCell ref="I2:K2"/>
    <mergeCell ref="M2:N2"/>
    <mergeCell ref="P2:R2"/>
    <mergeCell ref="T2:V2"/>
  </mergeCells>
  <conditionalFormatting sqref="D7:AH61">
    <cfRule type="expression" priority="1" stopIfTrue="1">
      <formula>D7=""</formula>
    </cfRule>
  </conditionalFormatting>
  <conditionalFormatting sqref="D7:AH61">
    <cfRule type="expression" dxfId="374" priority="2" stopIfTrue="1">
      <formula>D7=AnahtarÖzel2</formula>
    </cfRule>
    <cfRule type="expression" dxfId="373" priority="3" stopIfTrue="1">
      <formula>D7=AnahtarÖzel1</formula>
    </cfRule>
    <cfRule type="expression" dxfId="372" priority="4" stopIfTrue="1">
      <formula>D7=AnahtarHasta</formula>
    </cfRule>
    <cfRule type="expression" dxfId="371" priority="5" stopIfTrue="1">
      <formula>D7=AnahtarKişisel</formula>
    </cfRule>
    <cfRule type="expression" dxfId="370" priority="6" stopIfTrue="1">
      <formula>D7=AnahtarTatil</formula>
    </cfRule>
  </conditionalFormatting>
  <conditionalFormatting sqref="AI7:AI61">
    <cfRule type="dataBar" priority="30">
      <dataBar>
        <cfvo type="min"/>
        <cfvo type="formula" val="DATEDIF(DATE(TakvimYılı,2,1),DATE(TakvimYılı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Ocak çalışma sayfasında girilen yıla göre otomatik olarak güncelleştirilen yıl" sqref="AI4"/>
    <dataValidation allowBlank="1" showInputMessage="1" showErrorMessage="1" prompt="Bu ay bir çalışanın toplamda kaç gün devamsızlık yaptığını, bu sütunda otomatik olarak hesaplar" sqref="AI6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Otomatik olarak güncelleştirilen başlık bu hücrededir. Başlığı değiştirmek için Ocak çalışma sayfasındaki B1 hücresini güncelleştirin" sqref="C1"/>
    <dataValidation allowBlank="1" showInputMessage="1" showErrorMessage="1" prompt="&quot;T&quot; harfi tatil nedeniyle devamsızlığı gösterir" sqref="D2"/>
    <dataValidation allowBlank="1" showInputMessage="1" showErrorMessage="1" prompt="&quot;K&quot; harfi kişisel nedenlerden dolayı devamsızlığı gösterir" sqref="H2"/>
    <dataValidation allowBlank="1" showInputMessage="1" showErrorMessage="1" prompt="&quot;H&quot; harfi hastalık nedeniyle devamsızlığı gösterir" sqref="L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Soldaki özel anahtarı açıklamak için bir etiket girin" sqref="P2:R2 T2:V2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Bu devamsızlık zaman çizelgesinin ay adı bu hücrededir. Bu aya ait toplam devamsızlık miktarı, tablonun son hücresindedir. Tablonun B sütunundan çalışan adlarını seçin" sqref="C4"/>
    <dataValidation allowBlank="1" showInputMessage="1" showErrorMessage="1" prompt="Bu satırdaki günler, AH4 hücresindeki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  <dataValidation allowBlank="1" showInputMessage="1" showErrorMessage="1" prompt="Bu çalışma sayfasında Şubat devamsızlığını izleyin" sqref="A1:B1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DATEDIF(DATE(TakvimYılı,2,1),DATE(TakvimYılı,3,1),"d")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'Çalışan Adları'!$B$4:$B$8</xm:f>
          </x14:formula1>
          <xm:sqref>B7:B61</xm:sqref>
        </x14:dataValidation>
        <x14:dataValidation type="list" allowBlank="1" showInputMessage="1" showErrorMessage="1">
          <x14:formula1>
            <xm:f>'Çalışan Adları'!$B$4:$B$60</xm:f>
          </x14:formula1>
          <xm:sqref>C7:C61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C52"/>
  <sheetViews>
    <sheetView showGridLines="0" topLeftCell="A4" workbookViewId="0">
      <selection activeCell="B4" sqref="B4:B52"/>
    </sheetView>
  </sheetViews>
  <sheetFormatPr defaultRowHeight="30" customHeight="1" x14ac:dyDescent="0.35"/>
  <cols>
    <col min="1" max="1" width="2.6328125" customWidth="1"/>
    <col min="2" max="2" width="30.6328125" customWidth="1"/>
    <col min="3" max="3" width="24.08984375" style="27" customWidth="1"/>
  </cols>
  <sheetData>
    <row r="1" spans="2:3" ht="50.15" customHeight="1" x14ac:dyDescent="0.35">
      <c r="B1" s="33" t="s">
        <v>41</v>
      </c>
      <c r="C1" s="24"/>
    </row>
    <row r="2" spans="2:3" ht="15" customHeight="1" x14ac:dyDescent="0.35">
      <c r="B2" s="26"/>
      <c r="C2" s="24"/>
    </row>
    <row r="3" spans="2:3" ht="30" customHeight="1" x14ac:dyDescent="0.35">
      <c r="B3" s="26" t="s">
        <v>41</v>
      </c>
      <c r="C3" s="25" t="s">
        <v>110</v>
      </c>
    </row>
    <row r="4" spans="2:3" ht="30" customHeight="1" x14ac:dyDescent="0.35">
      <c r="B4" s="34" t="s">
        <v>61</v>
      </c>
      <c r="C4" s="28" t="s">
        <v>112</v>
      </c>
    </row>
    <row r="5" spans="2:3" ht="30" customHeight="1" x14ac:dyDescent="0.35">
      <c r="B5" s="34" t="s">
        <v>67</v>
      </c>
      <c r="C5" s="28" t="s">
        <v>112</v>
      </c>
    </row>
    <row r="6" spans="2:3" ht="30" customHeight="1" x14ac:dyDescent="0.35">
      <c r="B6" s="28" t="s">
        <v>100</v>
      </c>
      <c r="C6" s="28" t="s">
        <v>112</v>
      </c>
    </row>
    <row r="7" spans="2:3" ht="30" customHeight="1" x14ac:dyDescent="0.35">
      <c r="B7" s="28" t="s">
        <v>78</v>
      </c>
      <c r="C7" s="28" t="s">
        <v>112</v>
      </c>
    </row>
    <row r="8" spans="2:3" ht="30" customHeight="1" x14ac:dyDescent="0.35">
      <c r="B8" s="29" t="s">
        <v>64</v>
      </c>
      <c r="C8" s="28" t="s">
        <v>113</v>
      </c>
    </row>
    <row r="9" spans="2:3" ht="30" customHeight="1" x14ac:dyDescent="0.35">
      <c r="B9" s="28" t="s">
        <v>77</v>
      </c>
      <c r="C9" s="28" t="s">
        <v>113</v>
      </c>
    </row>
    <row r="10" spans="2:3" ht="30" customHeight="1" x14ac:dyDescent="0.35">
      <c r="B10" s="36" t="s">
        <v>114</v>
      </c>
      <c r="C10" s="28" t="s">
        <v>115</v>
      </c>
    </row>
    <row r="11" spans="2:3" ht="30" customHeight="1" x14ac:dyDescent="0.35">
      <c r="B11" s="37" t="s">
        <v>62</v>
      </c>
      <c r="C11" s="28" t="s">
        <v>111</v>
      </c>
    </row>
    <row r="12" spans="2:3" ht="30" customHeight="1" x14ac:dyDescent="0.35">
      <c r="B12" s="34" t="s">
        <v>63</v>
      </c>
      <c r="C12" s="28" t="s">
        <v>111</v>
      </c>
    </row>
    <row r="13" spans="2:3" ht="30" customHeight="1" x14ac:dyDescent="0.35">
      <c r="B13" s="30" t="s">
        <v>65</v>
      </c>
      <c r="C13" s="28" t="s">
        <v>111</v>
      </c>
    </row>
    <row r="14" spans="2:3" ht="30" customHeight="1" x14ac:dyDescent="0.35">
      <c r="B14" s="29" t="s">
        <v>66</v>
      </c>
      <c r="C14" s="28" t="s">
        <v>111</v>
      </c>
    </row>
    <row r="15" spans="2:3" ht="30" customHeight="1" x14ac:dyDescent="0.35">
      <c r="B15" s="35" t="s">
        <v>68</v>
      </c>
      <c r="C15" s="28" t="s">
        <v>111</v>
      </c>
    </row>
    <row r="16" spans="2:3" ht="30" customHeight="1" x14ac:dyDescent="0.35">
      <c r="B16" s="34" t="s">
        <v>69</v>
      </c>
      <c r="C16" s="28" t="s">
        <v>111</v>
      </c>
    </row>
    <row r="17" spans="2:3" ht="30" customHeight="1" x14ac:dyDescent="0.35">
      <c r="B17" s="28" t="s">
        <v>71</v>
      </c>
      <c r="C17" s="28" t="s">
        <v>111</v>
      </c>
    </row>
    <row r="18" spans="2:3" ht="30" customHeight="1" x14ac:dyDescent="0.35">
      <c r="B18" s="28" t="s">
        <v>72</v>
      </c>
      <c r="C18" s="28" t="s">
        <v>111</v>
      </c>
    </row>
    <row r="19" spans="2:3" ht="30" customHeight="1" x14ac:dyDescent="0.35">
      <c r="B19" s="28" t="s">
        <v>73</v>
      </c>
      <c r="C19" s="28" t="s">
        <v>111</v>
      </c>
    </row>
    <row r="20" spans="2:3" ht="30" customHeight="1" x14ac:dyDescent="0.35">
      <c r="B20" s="28" t="s">
        <v>74</v>
      </c>
      <c r="C20" s="28" t="s">
        <v>111</v>
      </c>
    </row>
    <row r="21" spans="2:3" ht="30" customHeight="1" x14ac:dyDescent="0.35">
      <c r="B21" s="28" t="s">
        <v>75</v>
      </c>
      <c r="C21" s="28" t="s">
        <v>111</v>
      </c>
    </row>
    <row r="22" spans="2:3" ht="30" customHeight="1" x14ac:dyDescent="0.35">
      <c r="B22" s="28" t="s">
        <v>76</v>
      </c>
      <c r="C22" s="28" t="s">
        <v>111</v>
      </c>
    </row>
    <row r="23" spans="2:3" ht="30" customHeight="1" x14ac:dyDescent="0.35">
      <c r="B23" s="28" t="s">
        <v>79</v>
      </c>
      <c r="C23" s="28" t="s">
        <v>111</v>
      </c>
    </row>
    <row r="24" spans="2:3" ht="30" customHeight="1" x14ac:dyDescent="0.35">
      <c r="B24" s="28" t="s">
        <v>80</v>
      </c>
      <c r="C24" s="28" t="s">
        <v>111</v>
      </c>
    </row>
    <row r="25" spans="2:3" ht="30" customHeight="1" x14ac:dyDescent="0.35">
      <c r="B25" s="28" t="s">
        <v>81</v>
      </c>
      <c r="C25" s="28" t="s">
        <v>111</v>
      </c>
    </row>
    <row r="26" spans="2:3" ht="30" customHeight="1" x14ac:dyDescent="0.35">
      <c r="B26" s="28" t="s">
        <v>82</v>
      </c>
      <c r="C26" s="28" t="s">
        <v>111</v>
      </c>
    </row>
    <row r="27" spans="2:3" ht="30" customHeight="1" x14ac:dyDescent="0.35">
      <c r="B27" s="28" t="s">
        <v>83</v>
      </c>
      <c r="C27" s="28" t="s">
        <v>111</v>
      </c>
    </row>
    <row r="28" spans="2:3" ht="30" customHeight="1" x14ac:dyDescent="0.35">
      <c r="B28" s="28" t="s">
        <v>84</v>
      </c>
      <c r="C28" s="28" t="s">
        <v>111</v>
      </c>
    </row>
    <row r="29" spans="2:3" ht="30" customHeight="1" x14ac:dyDescent="0.35">
      <c r="B29" s="28" t="s">
        <v>85</v>
      </c>
      <c r="C29" s="28" t="s">
        <v>111</v>
      </c>
    </row>
    <row r="30" spans="2:3" ht="30" customHeight="1" x14ac:dyDescent="0.35">
      <c r="B30" s="28" t="s">
        <v>86</v>
      </c>
      <c r="C30" s="28" t="s">
        <v>111</v>
      </c>
    </row>
    <row r="31" spans="2:3" ht="30" customHeight="1" x14ac:dyDescent="0.35">
      <c r="B31" s="28" t="s">
        <v>87</v>
      </c>
      <c r="C31" s="28" t="s">
        <v>111</v>
      </c>
    </row>
    <row r="32" spans="2:3" ht="30" customHeight="1" x14ac:dyDescent="0.35">
      <c r="B32" s="28" t="s">
        <v>88</v>
      </c>
      <c r="C32" s="28" t="s">
        <v>111</v>
      </c>
    </row>
    <row r="33" spans="2:3" ht="30" customHeight="1" x14ac:dyDescent="0.35">
      <c r="B33" s="28" t="s">
        <v>89</v>
      </c>
      <c r="C33" s="28" t="s">
        <v>111</v>
      </c>
    </row>
    <row r="34" spans="2:3" ht="30" customHeight="1" x14ac:dyDescent="0.35">
      <c r="B34" s="28" t="s">
        <v>90</v>
      </c>
      <c r="C34" s="28" t="s">
        <v>111</v>
      </c>
    </row>
    <row r="35" spans="2:3" ht="30" customHeight="1" x14ac:dyDescent="0.35">
      <c r="B35" s="28" t="s">
        <v>91</v>
      </c>
      <c r="C35" s="28" t="s">
        <v>111</v>
      </c>
    </row>
    <row r="36" spans="2:3" ht="30" customHeight="1" x14ac:dyDescent="0.35">
      <c r="B36" s="28" t="s">
        <v>92</v>
      </c>
      <c r="C36" s="28" t="s">
        <v>111</v>
      </c>
    </row>
    <row r="37" spans="2:3" ht="30" customHeight="1" x14ac:dyDescent="0.35">
      <c r="B37" s="28" t="s">
        <v>93</v>
      </c>
      <c r="C37" s="28" t="s">
        <v>111</v>
      </c>
    </row>
    <row r="38" spans="2:3" ht="30" customHeight="1" x14ac:dyDescent="0.35">
      <c r="B38" s="28" t="s">
        <v>94</v>
      </c>
      <c r="C38" s="28" t="s">
        <v>111</v>
      </c>
    </row>
    <row r="39" spans="2:3" ht="30" customHeight="1" x14ac:dyDescent="0.35">
      <c r="B39" s="31" t="s">
        <v>95</v>
      </c>
      <c r="C39" s="28" t="s">
        <v>111</v>
      </c>
    </row>
    <row r="40" spans="2:3" ht="30" customHeight="1" x14ac:dyDescent="0.35">
      <c r="B40" s="28" t="s">
        <v>96</v>
      </c>
      <c r="C40" s="28" t="s">
        <v>111</v>
      </c>
    </row>
    <row r="41" spans="2:3" ht="30" customHeight="1" x14ac:dyDescent="0.35">
      <c r="B41" s="28" t="s">
        <v>97</v>
      </c>
      <c r="C41" s="28" t="s">
        <v>111</v>
      </c>
    </row>
    <row r="42" spans="2:3" ht="30" customHeight="1" x14ac:dyDescent="0.35">
      <c r="B42" s="31" t="s">
        <v>98</v>
      </c>
      <c r="C42" s="28" t="s">
        <v>111</v>
      </c>
    </row>
    <row r="43" spans="2:3" ht="30" customHeight="1" x14ac:dyDescent="0.35">
      <c r="B43" s="28" t="s">
        <v>99</v>
      </c>
      <c r="C43" s="28" t="s">
        <v>111</v>
      </c>
    </row>
    <row r="44" spans="2:3" ht="30" customHeight="1" x14ac:dyDescent="0.35">
      <c r="B44" s="28" t="s">
        <v>70</v>
      </c>
      <c r="C44" s="28" t="s">
        <v>111</v>
      </c>
    </row>
    <row r="45" spans="2:3" ht="30" customHeight="1" x14ac:dyDescent="0.35">
      <c r="B45" s="28" t="s">
        <v>101</v>
      </c>
      <c r="C45" s="28" t="s">
        <v>111</v>
      </c>
    </row>
    <row r="46" spans="2:3" ht="30" customHeight="1" x14ac:dyDescent="0.35">
      <c r="B46" s="28" t="s">
        <v>102</v>
      </c>
      <c r="C46" s="28" t="s">
        <v>111</v>
      </c>
    </row>
    <row r="47" spans="2:3" ht="30" customHeight="1" x14ac:dyDescent="0.35">
      <c r="B47" s="28" t="s">
        <v>103</v>
      </c>
      <c r="C47" s="28" t="s">
        <v>111</v>
      </c>
    </row>
    <row r="48" spans="2:3" ht="30" customHeight="1" x14ac:dyDescent="0.35">
      <c r="B48" s="28" t="s">
        <v>104</v>
      </c>
      <c r="C48" s="28" t="s">
        <v>111</v>
      </c>
    </row>
    <row r="49" spans="2:3" ht="30" customHeight="1" x14ac:dyDescent="0.35">
      <c r="B49" s="28" t="s">
        <v>105</v>
      </c>
      <c r="C49" s="28" t="s">
        <v>111</v>
      </c>
    </row>
    <row r="50" spans="2:3" ht="30" customHeight="1" x14ac:dyDescent="0.35">
      <c r="B50" s="28" t="s">
        <v>106</v>
      </c>
      <c r="C50" s="28" t="s">
        <v>111</v>
      </c>
    </row>
    <row r="51" spans="2:3" ht="30" customHeight="1" x14ac:dyDescent="0.35">
      <c r="B51" s="28" t="s">
        <v>107</v>
      </c>
      <c r="C51" s="28" t="s">
        <v>111</v>
      </c>
    </row>
    <row r="52" spans="2:3" ht="30" customHeight="1" thickBot="1" x14ac:dyDescent="0.4">
      <c r="B52" s="32" t="s">
        <v>108</v>
      </c>
      <c r="C52" s="28" t="s">
        <v>111</v>
      </c>
    </row>
  </sheetData>
  <dataValidations count="3">
    <dataValidation allowBlank="1" showInputMessage="1" showErrorMessage="1" prompt="Çalışan adları başlığı" sqref="B1"/>
    <dataValidation allowBlank="1" showInputMessage="1" showErrorMessage="1" prompt="Bu çalışma sayfasındaki çalışan adı tablosuna çalışan adlarını girin. Bu adlar, her ayın devamsızlık tablosunda yer alan B Sütunundaki seçenekler olarak kullanılır" sqref="A1"/>
    <dataValidation allowBlank="1" showInputMessage="1" showErrorMessage="1" prompt="Bu sütuna çalışan adlarını girin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"/>
  <sheetViews>
    <sheetView topLeftCell="A16" workbookViewId="0">
      <selection activeCell="A19" sqref="A19"/>
    </sheetView>
  </sheetViews>
  <sheetFormatPr defaultRowHeight="14.5" x14ac:dyDescent="0.35"/>
  <cols>
    <col min="1" max="1" width="17.90625" customWidth="1"/>
    <col min="2" max="2" width="13" customWidth="1"/>
  </cols>
  <sheetData>
    <row r="16" spans="1:1" x14ac:dyDescent="0.35">
      <c r="A16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I64"/>
  <sheetViews>
    <sheetView showGridLines="0" tabSelected="1" zoomScale="60" zoomScaleNormal="60" workbookViewId="0">
      <selection activeCell="B7" sqref="B7"/>
    </sheetView>
  </sheetViews>
  <sheetFormatPr defaultColWidth="9.08984375" defaultRowHeight="30" customHeight="1" x14ac:dyDescent="0.35"/>
  <cols>
    <col min="1" max="1" width="3.81640625" style="1" customWidth="1"/>
    <col min="2" max="2" width="23.54296875" style="1" customWidth="1"/>
    <col min="3" max="3" width="25.63281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C1" s="13" t="str">
        <f>Employee_Absence_Title</f>
        <v>İşçilərin davamiyyət cədvəli</v>
      </c>
    </row>
    <row r="2" spans="1:35" ht="15" customHeight="1" x14ac:dyDescent="0.35"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 t="s">
        <v>45</v>
      </c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/>
      <c r="T2" s="40" t="s">
        <v>20</v>
      </c>
      <c r="U2" s="40"/>
      <c r="V2" s="40"/>
    </row>
    <row r="3" spans="1:35" ht="15" customHeight="1" x14ac:dyDescent="0.35">
      <c r="C3"/>
    </row>
    <row r="4" spans="1:35" ht="30" customHeight="1" x14ac:dyDescent="0.35">
      <c r="C4" s="11" t="s">
        <v>50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f>TakvimYılı</f>
        <v>2022</v>
      </c>
    </row>
    <row r="5" spans="1:35" ht="15" customHeight="1" x14ac:dyDescent="0.35">
      <c r="C5" s="11"/>
      <c r="D5" s="1" t="str">
        <f>TEXT(WEEKDAY(DATE(TakvimYılı,2,1),1),"ggg")</f>
        <v/>
      </c>
      <c r="E5" s="1" t="str">
        <f>TEXT(WEEKDAY(DATE(TakvimYılı,2,2),1),"ggg")</f>
        <v/>
      </c>
      <c r="F5" s="1" t="str">
        <f>TEXT(WEEKDAY(DATE(TakvimYılı,2,3),1),"ggg")</f>
        <v/>
      </c>
      <c r="G5" s="1" t="str">
        <f>TEXT(WEEKDAY(DATE(TakvimYılı,2,4),1),"ggg")</f>
        <v/>
      </c>
      <c r="H5" s="1" t="str">
        <f>TEXT(WEEKDAY(DATE(TakvimYılı,2,5),1),"ggg")</f>
        <v/>
      </c>
      <c r="I5" s="1" t="str">
        <f>TEXT(WEEKDAY(DATE(TakvimYılı,2,6),1),"ggg")</f>
        <v/>
      </c>
      <c r="J5" s="1" t="str">
        <f>TEXT(WEEKDAY(DATE(TakvimYılı,2,7),1),"ggg")</f>
        <v/>
      </c>
      <c r="K5" s="1" t="str">
        <f>TEXT(WEEKDAY(DATE(TakvimYılı,2,8),1),"ggg")</f>
        <v/>
      </c>
      <c r="L5" s="1" t="str">
        <f>TEXT(WEEKDAY(DATE(TakvimYılı,2,9),1),"ggg")</f>
        <v/>
      </c>
      <c r="M5" s="1" t="str">
        <f>TEXT(WEEKDAY(DATE(TakvimYılı,2,10),1),"ggg")</f>
        <v/>
      </c>
      <c r="N5" s="1" t="str">
        <f>TEXT(WEEKDAY(DATE(TakvimYılı,2,11),1),"ggg")</f>
        <v/>
      </c>
      <c r="O5" s="1" t="str">
        <f>TEXT(WEEKDAY(DATE(TakvimYılı,2,12),1),"ggg")</f>
        <v/>
      </c>
      <c r="P5" s="1" t="str">
        <f>TEXT(WEEKDAY(DATE(TakvimYılı,2,13),1),"ggg")</f>
        <v/>
      </c>
      <c r="Q5" s="1" t="str">
        <f>TEXT(WEEKDAY(DATE(TakvimYılı,2,14),1),"ggg")</f>
        <v/>
      </c>
      <c r="R5" s="1" t="str">
        <f>TEXT(WEEKDAY(DATE(TakvimYılı,2,15),1),"ggg")</f>
        <v/>
      </c>
      <c r="S5" s="1" t="str">
        <f>TEXT(WEEKDAY(DATE(TakvimYılı,2,16),1),"ggg")</f>
        <v/>
      </c>
      <c r="T5" s="1" t="str">
        <f>TEXT(WEEKDAY(DATE(TakvimYılı,2,17),1),"ggg")</f>
        <v/>
      </c>
      <c r="U5" s="1" t="str">
        <f>TEXT(WEEKDAY(DATE(TakvimYılı,2,18),1),"ggg")</f>
        <v/>
      </c>
      <c r="V5" s="1" t="str">
        <f>TEXT(WEEKDAY(DATE(TakvimYılı,2,19),1),"ggg")</f>
        <v/>
      </c>
      <c r="W5" s="1" t="str">
        <f>TEXT(WEEKDAY(DATE(TakvimYılı,2,20),1),"ggg")</f>
        <v/>
      </c>
      <c r="X5" s="1" t="str">
        <f>TEXT(WEEKDAY(DATE(TakvimYılı,2,21),1),"ggg")</f>
        <v/>
      </c>
      <c r="Y5" s="1" t="str">
        <f>TEXT(WEEKDAY(DATE(TakvimYılı,2,22),1),"ggg")</f>
        <v/>
      </c>
      <c r="Z5" s="1" t="str">
        <f>TEXT(WEEKDAY(DATE(TakvimYılı,2,23),1),"ggg")</f>
        <v/>
      </c>
      <c r="AA5" s="1" t="str">
        <f>TEXT(WEEKDAY(DATE(TakvimYılı,2,24),1),"ggg")</f>
        <v/>
      </c>
      <c r="AB5" s="1" t="str">
        <f>TEXT(WEEKDAY(DATE(TakvimYılı,2,25),1),"ggg")</f>
        <v/>
      </c>
      <c r="AC5" s="1" t="str">
        <f>TEXT(WEEKDAY(DATE(TakvimYılı,2,26),1),"ggg")</f>
        <v/>
      </c>
      <c r="AD5" s="1" t="str">
        <f>TEXT(WEEKDAY(DATE(TakvimYılı,2,27),1),"ggg")</f>
        <v/>
      </c>
      <c r="AE5" s="1" t="str">
        <f>TEXT(WEEKDAY(DATE(TakvimYılı,2,28),1),"ggg")</f>
        <v/>
      </c>
      <c r="AF5" s="1" t="str">
        <f>TEXT(WEEKDAY(DATE(TakvimYılı,2,29),1),"ggg")</f>
        <v/>
      </c>
      <c r="AG5" s="1"/>
      <c r="AH5" s="1"/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37</v>
      </c>
      <c r="AH6" s="2" t="s">
        <v>38</v>
      </c>
      <c r="AI6" s="15" t="s">
        <v>36</v>
      </c>
    </row>
    <row r="7" spans="1:35" ht="30" customHeight="1" x14ac:dyDescent="0.35">
      <c r="A7" s="22">
        <v>1</v>
      </c>
      <c r="B7" s="22" t="str">
        <f>Yanvar!B7</f>
        <v>Menecer</v>
      </c>
      <c r="C7" s="16" t="str">
        <f>Yanvar!C7</f>
        <v>Rzakov Ramiz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COUNTA(Şubat[[#This Row],[1]:[29]])</f>
        <v>0</v>
      </c>
    </row>
    <row r="8" spans="1:35" ht="30" customHeight="1" x14ac:dyDescent="0.35">
      <c r="A8" s="22">
        <v>2</v>
      </c>
      <c r="B8" s="22" t="str">
        <f>Yanvar!B8</f>
        <v>Nəzarətçi</v>
      </c>
      <c r="C8" s="21" t="str">
        <f>Yanvar!C8</f>
        <v>Əsədov Elçin Güloğlan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COUNTA(Şubat[[#This Row],[1]:[29]])</f>
        <v>0</v>
      </c>
    </row>
    <row r="9" spans="1:35" ht="30" customHeight="1" x14ac:dyDescent="0.35">
      <c r="A9" s="22">
        <v>3</v>
      </c>
      <c r="B9" s="22" t="str">
        <f>Yanvar!B9</f>
        <v>Nəzarətçi</v>
      </c>
      <c r="C9" s="16" t="str">
        <f>Yanvar!C9</f>
        <v>Babayev Fərid Vaqif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COUNTA(Şubat[[#This Row],[1]:[29]])</f>
        <v>0</v>
      </c>
    </row>
    <row r="10" spans="1:35" ht="30" customHeight="1" x14ac:dyDescent="0.35">
      <c r="A10" s="22">
        <v>4</v>
      </c>
      <c r="B10" s="22" t="str">
        <f>Yanvar!B10</f>
        <v>Ofis meneceri</v>
      </c>
      <c r="C10" s="16" t="str">
        <f>Yanvar!C10</f>
        <v>Abbasov Rahib Ziyad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COUNTA(Şubat[[#This Row],[1]:[29]])</f>
        <v>0</v>
      </c>
    </row>
    <row r="11" spans="1:35" ht="30" customHeight="1" x14ac:dyDescent="0.35">
      <c r="A11" s="22">
        <v>5</v>
      </c>
      <c r="B11" s="22" t="str">
        <f>Yanvar!B11</f>
        <v>Ofis meneceri</v>
      </c>
      <c r="C11" s="16" t="str">
        <f>Yanvar!C11</f>
        <v>Əşrəfzadə Sərxan Elman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COUNTA(Şubat[[#This Row],[1]:[29]])</f>
        <v>0</v>
      </c>
    </row>
    <row r="12" spans="1:35" ht="30" customHeight="1" x14ac:dyDescent="0.35">
      <c r="A12" s="22">
        <v>6</v>
      </c>
      <c r="B12" s="22" t="str">
        <f>Yanvar!B12</f>
        <v>Ofis meneceri</v>
      </c>
      <c r="C12" s="16" t="str">
        <f>Yanvar!C12</f>
        <v>Dostəlizadə Mahir Valeh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COUNTA(Şubat[[#This Row],[1]:[29]])</f>
        <v>0</v>
      </c>
    </row>
    <row r="13" spans="1:35" ht="30" customHeight="1" x14ac:dyDescent="0.35">
      <c r="A13" s="22">
        <v>7</v>
      </c>
      <c r="B13" s="22" t="str">
        <f>Yanvar!B13</f>
        <v>Ofis meneceri</v>
      </c>
      <c r="C13" s="16" t="str">
        <f>Yanvar!C13</f>
        <v>Rəsulov Nurlan Yaşar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COUNTA(Şubat[[#This Row],[1]:[29]])</f>
        <v>0</v>
      </c>
    </row>
    <row r="14" spans="1:35" ht="30" customHeight="1" x14ac:dyDescent="0.35">
      <c r="A14" s="22">
        <v>8</v>
      </c>
      <c r="B14" s="22" t="str">
        <f>Yanvar!B14</f>
        <v>Bağban</v>
      </c>
      <c r="C14" s="16" t="str">
        <f>Yanvar!C14</f>
        <v>Abbasov Sücayət Hüseyn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COUNTA(Şubat[[#This Row],[1]:[29]])</f>
        <v>0</v>
      </c>
    </row>
    <row r="15" spans="1:35" ht="30" customHeight="1" x14ac:dyDescent="0.35">
      <c r="A15" s="22">
        <v>9</v>
      </c>
      <c r="B15" s="22" t="str">
        <f>Yanvar!B15</f>
        <v>Bağban</v>
      </c>
      <c r="C15" s="16" t="str">
        <f>Yanvar!C15</f>
        <v>Ağayev Əkrəm Zülfi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COUNTA(Şubat[[#This Row],[1]:[29]])</f>
        <v>0</v>
      </c>
    </row>
    <row r="16" spans="1:35" ht="30" customHeight="1" x14ac:dyDescent="0.35">
      <c r="A16" s="22">
        <v>10</v>
      </c>
      <c r="B16" s="22" t="str">
        <f>Yanvar!B16</f>
        <v>Bağban</v>
      </c>
      <c r="C16" s="16" t="str">
        <f>Yanvar!C16</f>
        <v>Bayramov Asim İsaq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COUNTA(Şubat[[#This Row],[1]:[29]])</f>
        <v>0</v>
      </c>
    </row>
    <row r="17" spans="1:35" ht="30" customHeight="1" x14ac:dyDescent="0.35">
      <c r="A17" s="22">
        <v>11</v>
      </c>
      <c r="B17" s="22" t="str">
        <f>Yanvar!B17</f>
        <v>Bağban</v>
      </c>
      <c r="C17" s="16" t="str">
        <f>Yanvar!C17</f>
        <v>Əhədov Seymur Atakişi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COUNTA(Şubat[[#This Row],[1]:[29]])</f>
        <v>0</v>
      </c>
    </row>
    <row r="18" spans="1:35" ht="30" customHeight="1" x14ac:dyDescent="0.35">
      <c r="A18" s="22">
        <v>12</v>
      </c>
      <c r="B18" s="22" t="str">
        <f>Yanvar!B18</f>
        <v>Bağban</v>
      </c>
      <c r="C18" s="16" t="str">
        <f>Yanvar!C18</f>
        <v>Əhmədov Elməddin Əhməd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COUNTA(Şubat[[#This Row],[1]:[29]])</f>
        <v>0</v>
      </c>
    </row>
    <row r="19" spans="1:35" ht="30" customHeight="1" x14ac:dyDescent="0.35">
      <c r="A19" s="22">
        <v>13</v>
      </c>
      <c r="B19" s="22" t="str">
        <f>Yanvar!B19</f>
        <v>Bağban</v>
      </c>
      <c r="C19" s="16" t="str">
        <f>Yanvar!C19</f>
        <v>Ələkbərov Bagman Ərəstun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COUNTA(Şubat[[#This Row],[1]:[29]])</f>
        <v>0</v>
      </c>
    </row>
    <row r="20" spans="1:35" ht="30" customHeight="1" x14ac:dyDescent="0.35">
      <c r="A20" s="22">
        <v>14</v>
      </c>
      <c r="B20" s="22" t="str">
        <f>Yanvar!B20</f>
        <v>Bağban</v>
      </c>
      <c r="C20" s="16" t="str">
        <f>Yanvar!C20</f>
        <v>Ələkbərov Fərman Qabil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COUNTA(Şubat[[#This Row],[1]:[29]])</f>
        <v>0</v>
      </c>
    </row>
    <row r="21" spans="1:35" ht="30" customHeight="1" x14ac:dyDescent="0.35">
      <c r="A21" s="22">
        <v>15</v>
      </c>
      <c r="B21" s="22" t="str">
        <f>Yanvar!B21</f>
        <v>Bağban</v>
      </c>
      <c r="C21" s="16" t="str">
        <f>Yanvar!C21</f>
        <v>Ələsgərov Elməddin Rauf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COUNTA(Şubat[[#This Row],[1]:[29]])</f>
        <v>0</v>
      </c>
    </row>
    <row r="22" spans="1:35" ht="30" customHeight="1" x14ac:dyDescent="0.35">
      <c r="A22" s="22">
        <v>16</v>
      </c>
      <c r="B22" s="22" t="str">
        <f>Yanvar!B22</f>
        <v>Bağban</v>
      </c>
      <c r="C22" s="16" t="str">
        <f>Yanvar!C22</f>
        <v>Əliyev Həsən Mais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COUNTA(Şubat[[#This Row],[1]:[29]])</f>
        <v>0</v>
      </c>
    </row>
    <row r="23" spans="1:35" ht="30" customHeight="1" x14ac:dyDescent="0.35">
      <c r="A23" s="22">
        <v>17</v>
      </c>
      <c r="B23" s="22" t="str">
        <f>Yanvar!B23</f>
        <v>Bağban</v>
      </c>
      <c r="C23" s="16" t="str">
        <f>Yanvar!C23</f>
        <v>Əliyev Sərdar Əliağa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COUNTA(Şubat[[#This Row],[1]:[29]])</f>
        <v>0</v>
      </c>
    </row>
    <row r="24" spans="1:35" ht="30" customHeight="1" x14ac:dyDescent="0.35">
      <c r="A24" s="22">
        <v>18</v>
      </c>
      <c r="B24" s="22" t="str">
        <f>Yanvar!B24</f>
        <v>Bağban</v>
      </c>
      <c r="C24" s="16" t="str">
        <f>Yanvar!C24</f>
        <v>Əliyev Xalıq Xanağa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COUNTA(Şubat[[#This Row],[1]:[29]])</f>
        <v>0</v>
      </c>
    </row>
    <row r="25" spans="1:35" ht="30" customHeight="1" x14ac:dyDescent="0.35">
      <c r="A25" s="22">
        <v>19</v>
      </c>
      <c r="B25" s="22" t="str">
        <f>Yanvar!B25</f>
        <v>Bağban</v>
      </c>
      <c r="C25" s="16" t="str">
        <f>Yanvar!C25</f>
        <v>Feyzullayev Firudin Ramiz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COUNTA(Şubat[[#This Row],[1]:[29]])</f>
        <v>0</v>
      </c>
    </row>
    <row r="26" spans="1:35" ht="30" customHeight="1" x14ac:dyDescent="0.35">
      <c r="A26" s="22">
        <v>20</v>
      </c>
      <c r="B26" s="22" t="str">
        <f>Yanvar!B26</f>
        <v>Bağban</v>
      </c>
      <c r="C26" s="16" t="str">
        <f>Yanvar!C26</f>
        <v>Haşımov Asif Hacı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COUNTA(Şubat[[#This Row],[1]:[29]])</f>
        <v>0</v>
      </c>
    </row>
    <row r="27" spans="1:35" ht="30" customHeight="1" x14ac:dyDescent="0.35">
      <c r="A27" s="22">
        <v>21</v>
      </c>
      <c r="B27" s="22" t="str">
        <f>Yanvar!B27</f>
        <v>Bağban</v>
      </c>
      <c r="C27" s="16" t="str">
        <f>Yanvar!C27</f>
        <v>Hüseynov Davud İsa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COUNTA(Şubat[[#This Row],[1]:[29]])</f>
        <v>0</v>
      </c>
    </row>
    <row r="28" spans="1:35" ht="30" customHeight="1" x14ac:dyDescent="0.35">
      <c r="A28" s="22">
        <v>22</v>
      </c>
      <c r="B28" s="22" t="str">
        <f>Yanvar!B28</f>
        <v>Bağban</v>
      </c>
      <c r="C28" s="16" t="str">
        <f>Yanvar!C28</f>
        <v>Hüseynov Ədail İsa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COUNTA(Şubat[[#This Row],[1]:[29]])</f>
        <v>0</v>
      </c>
    </row>
    <row r="29" spans="1:35" ht="30" customHeight="1" x14ac:dyDescent="0.35">
      <c r="A29" s="22">
        <v>23</v>
      </c>
      <c r="B29" s="22" t="str">
        <f>Yanvar!B29</f>
        <v>Bağban</v>
      </c>
      <c r="C29" s="16" t="str">
        <f>Yanvar!C29</f>
        <v>Hüseynov Səfaddin Əbülfəz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COUNTA(Şubat[[#This Row],[1]:[29]])</f>
        <v>0</v>
      </c>
    </row>
    <row r="30" spans="1:35" ht="30" customHeight="1" x14ac:dyDescent="0.35">
      <c r="A30" s="22">
        <v>24</v>
      </c>
      <c r="B30" s="22" t="str">
        <f>Yanvar!B30</f>
        <v>Bağban</v>
      </c>
      <c r="C30" s="16" t="str">
        <f>Yanvar!C30</f>
        <v>Hüseynov Şəmistan Qabil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COUNTA(Şubat[[#This Row],[1]:[29]])</f>
        <v>0</v>
      </c>
    </row>
    <row r="31" spans="1:35" ht="30" customHeight="1" x14ac:dyDescent="0.35">
      <c r="A31" s="22">
        <v>25</v>
      </c>
      <c r="B31" s="22" t="str">
        <f>Yanvar!B31</f>
        <v>Bağban</v>
      </c>
      <c r="C31" s="16" t="str">
        <f>Yanvar!C31</f>
        <v>Hüseynov Sərdar İsa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COUNTA(Şubat[[#This Row],[1]:[29]])</f>
        <v>0</v>
      </c>
    </row>
    <row r="32" spans="1:35" ht="30" customHeight="1" x14ac:dyDescent="0.35">
      <c r="A32" s="22">
        <v>26</v>
      </c>
      <c r="B32" s="22" t="str">
        <f>Yanvar!B32</f>
        <v>Bağban</v>
      </c>
      <c r="C32" s="16" t="str">
        <f>Yanvar!C32</f>
        <v>Hüseynov Siruz Qabil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COUNTA(Şubat[[#This Row],[1]:[29]])</f>
        <v>0</v>
      </c>
    </row>
    <row r="33" spans="1:35" ht="30" customHeight="1" x14ac:dyDescent="0.35">
      <c r="A33" s="22">
        <v>27</v>
      </c>
      <c r="B33" s="22" t="str">
        <f>Yanvar!B33</f>
        <v>Bağban</v>
      </c>
      <c r="C33" s="16" t="str">
        <f>Yanvar!C33</f>
        <v>Hüseynov Taleh Daşqın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COUNTA(Şubat[[#This Row],[1]:[29]])</f>
        <v>0</v>
      </c>
    </row>
    <row r="34" spans="1:35" ht="30" customHeight="1" x14ac:dyDescent="0.35">
      <c r="A34" s="22">
        <v>28</v>
      </c>
      <c r="B34" s="22" t="str">
        <f>Yanvar!B34</f>
        <v>Bağban</v>
      </c>
      <c r="C34" s="16" t="str">
        <f>Yanvar!C34</f>
        <v>Hüseynov Tərlan Yadulla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COUNTA(Şubat[[#This Row],[1]:[29]])</f>
        <v>0</v>
      </c>
    </row>
    <row r="35" spans="1:35" ht="30" customHeight="1" x14ac:dyDescent="0.35">
      <c r="A35" s="22">
        <v>29</v>
      </c>
      <c r="B35" s="22" t="str">
        <f>Yanvar!B35</f>
        <v>Bağban</v>
      </c>
      <c r="C35" s="16" t="str">
        <f>Yanvar!C35</f>
        <v>İbayev Zahid Mahir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COUNTA(Şubat[[#This Row],[1]:[29]])</f>
        <v>0</v>
      </c>
    </row>
    <row r="36" spans="1:35" ht="30" customHeight="1" x14ac:dyDescent="0.35">
      <c r="A36" s="22">
        <v>30</v>
      </c>
      <c r="B36" s="22" t="str">
        <f>Yanvar!B36</f>
        <v>Bağban</v>
      </c>
      <c r="C36" s="16" t="str">
        <f>Yanvar!C36</f>
        <v>İbayev Zahir Mahir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COUNTA(Şubat[[#This Row],[1]:[29]])</f>
        <v>0</v>
      </c>
    </row>
    <row r="37" spans="1:35" ht="30" customHeight="1" x14ac:dyDescent="0.35">
      <c r="A37" s="22">
        <v>31</v>
      </c>
      <c r="B37" s="22" t="str">
        <f>Yanvar!B37</f>
        <v>Bağban</v>
      </c>
      <c r="C37" s="16" t="str">
        <f>Yanvar!C37</f>
        <v>Məcidzadə Əli Valeh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COUNTA(Şubat[[#This Row],[1]:[29]])</f>
        <v>0</v>
      </c>
    </row>
    <row r="38" spans="1:35" ht="30" customHeight="1" x14ac:dyDescent="0.35">
      <c r="A38" s="22">
        <v>32</v>
      </c>
      <c r="B38" s="22" t="str">
        <f>Yanvar!B38</f>
        <v>Bağban</v>
      </c>
      <c r="C38" s="16" t="str">
        <f>Yanvar!C38</f>
        <v xml:space="preserve">Məmmədli Bəhruz İlham 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COUNTA(Şubat[[#This Row],[1]:[29]])</f>
        <v>0</v>
      </c>
    </row>
    <row r="39" spans="1:35" ht="30" customHeight="1" x14ac:dyDescent="0.35">
      <c r="A39" s="22">
        <v>33</v>
      </c>
      <c r="B39" s="22" t="str">
        <f>Yanvar!B39</f>
        <v>Bağban</v>
      </c>
      <c r="C39" s="16" t="str">
        <f>Yanvar!C39</f>
        <v>Məmmədli İsa Nazim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COUNTA(Şubat[[#This Row],[1]:[29]])</f>
        <v>0</v>
      </c>
    </row>
    <row r="40" spans="1:35" ht="30" customHeight="1" x14ac:dyDescent="0.35">
      <c r="A40" s="22">
        <v>34</v>
      </c>
      <c r="B40" s="22" t="str">
        <f>Yanvar!B40</f>
        <v>Bağban</v>
      </c>
      <c r="C40" s="16" t="str">
        <f>Yanvar!C40</f>
        <v>Məmmədov İlqar Teyyub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COUNTA(Şubat[[#This Row],[1]:[29]])</f>
        <v>0</v>
      </c>
    </row>
    <row r="41" spans="1:35" ht="30" customHeight="1" x14ac:dyDescent="0.35">
      <c r="A41" s="22">
        <v>35</v>
      </c>
      <c r="B41" s="22" t="str">
        <f>Yanvar!B41</f>
        <v>Bağban</v>
      </c>
      <c r="C41" s="16" t="str">
        <f>Yanvar!C41</f>
        <v xml:space="preserve">Məmmədov Sahil Ağaxan 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COUNTA(Şubat[[#This Row],[1]:[29]])</f>
        <v>0</v>
      </c>
    </row>
    <row r="42" spans="1:35" ht="30" customHeight="1" x14ac:dyDescent="0.35">
      <c r="A42" s="22">
        <v>36</v>
      </c>
      <c r="B42" s="22" t="str">
        <f>Yanvar!B42</f>
        <v>Bağban</v>
      </c>
      <c r="C42" s="16" t="str">
        <f>Yanvar!C42</f>
        <v>Məmmədov Yaqub Zahir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COUNTA(Şubat[[#This Row],[1]:[29]])</f>
        <v>0</v>
      </c>
    </row>
    <row r="43" spans="1:35" ht="30" customHeight="1" x14ac:dyDescent="0.35">
      <c r="A43" s="22">
        <v>37</v>
      </c>
      <c r="B43" s="22" t="str">
        <f>Yanvar!B43</f>
        <v>Bağban</v>
      </c>
      <c r="C43" s="16" t="str">
        <f>Yanvar!C43</f>
        <v>Məmmədzadə Qərib Fəxrəddin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COUNTA(Şubat[[#This Row],[1]:[29]])</f>
        <v>0</v>
      </c>
    </row>
    <row r="44" spans="1:35" ht="30" customHeight="1" x14ac:dyDescent="0.35">
      <c r="A44" s="22">
        <v>38</v>
      </c>
      <c r="B44" s="22" t="str">
        <f>Yanvar!B44</f>
        <v>Bağban</v>
      </c>
      <c r="C44" s="16" t="str">
        <f>Yanvar!C44</f>
        <v xml:space="preserve">Musayev Minbir Oqtay 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COUNTA(Şubat[[#This Row],[1]:[29]])</f>
        <v>0</v>
      </c>
    </row>
    <row r="45" spans="1:35" ht="30" customHeight="1" x14ac:dyDescent="0.35">
      <c r="A45" s="22">
        <v>39</v>
      </c>
      <c r="B45" s="22" t="str">
        <f>Yanvar!B45</f>
        <v>Bağban</v>
      </c>
      <c r="C45" s="16" t="str">
        <f>Yanvar!C45</f>
        <v>Nəcəfov Fizuli Böyükağa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COUNTA(Şubat[[#This Row],[1]:[29]])</f>
        <v>0</v>
      </c>
    </row>
    <row r="46" spans="1:35" ht="30" customHeight="1" x14ac:dyDescent="0.35">
      <c r="A46" s="22">
        <v>40</v>
      </c>
      <c r="B46" s="22" t="str">
        <f>Yanvar!B46</f>
        <v>Ofis meneceri</v>
      </c>
      <c r="C46" s="16" t="str">
        <f>Yanvar!C46</f>
        <v>Rəsulov Nurlan Yaşar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COUNTA(Şubat[[#This Row],[1]:[29]])</f>
        <v>0</v>
      </c>
    </row>
    <row r="47" spans="1:35" ht="30" customHeight="1" x14ac:dyDescent="0.35">
      <c r="A47" s="22">
        <v>41</v>
      </c>
      <c r="B47" s="22" t="str">
        <f>Yanvar!B47</f>
        <v>Bağban</v>
      </c>
      <c r="C47" s="16" t="str">
        <f>Yanvar!C47</f>
        <v>Rzayev İbrahim Mais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COUNTA(Şubat[[#This Row],[1]:[29]])</f>
        <v>0</v>
      </c>
    </row>
    <row r="48" spans="1:35" ht="30" customHeight="1" x14ac:dyDescent="0.35">
      <c r="A48" s="22">
        <v>42</v>
      </c>
      <c r="B48" s="22" t="str">
        <f>Yanvar!B48</f>
        <v>Bağban</v>
      </c>
      <c r="C48" s="16" t="str">
        <f>Yanvar!C48</f>
        <v>Səttarov Ağaəli Ərəstun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COUNTA(Şubat[[#This Row],[1]:[29]])</f>
        <v>0</v>
      </c>
    </row>
    <row r="49" spans="1:35" ht="30" customHeight="1" x14ac:dyDescent="0.35">
      <c r="A49" s="22">
        <v>43</v>
      </c>
      <c r="B49" s="22" t="str">
        <f>Yanvar!B49</f>
        <v>Bağban</v>
      </c>
      <c r="C49" s="16" t="str">
        <f>Yanvar!C49</f>
        <v>Tahirov Rəşad Elman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COUNTA(Şubat[[#This Row],[1]:[29]])</f>
        <v>0</v>
      </c>
    </row>
    <row r="50" spans="1:35" ht="30" customHeight="1" x14ac:dyDescent="0.35">
      <c r="A50" s="22">
        <v>44</v>
      </c>
      <c r="B50" s="22" t="str">
        <f>Yanvar!B50</f>
        <v>Bağban</v>
      </c>
      <c r="C50" s="16" t="str">
        <f>Yanvar!C50</f>
        <v>Xangəldiyev Asəf Əsabəli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COUNTA(Şubat[[#This Row],[1]:[29]])</f>
        <v>0</v>
      </c>
    </row>
    <row r="51" spans="1:35" ht="30" customHeight="1" x14ac:dyDescent="0.35">
      <c r="A51" s="22">
        <v>45</v>
      </c>
      <c r="B51" s="22" t="str">
        <f>Yanvar!B51</f>
        <v>Bağban</v>
      </c>
      <c r="C51" s="16" t="str">
        <f>Yanvar!C51</f>
        <v>Yusubov İsmayıl Sübhan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COUNTA(Şubat[[#This Row],[1]:[29]])</f>
        <v>0</v>
      </c>
    </row>
    <row r="52" spans="1:35" ht="30" customHeight="1" x14ac:dyDescent="0.35">
      <c r="A52" s="22">
        <v>46</v>
      </c>
      <c r="B52" s="22" t="str">
        <f>Yanvar!B52</f>
        <v>Bağban</v>
      </c>
      <c r="C52" s="16" t="str">
        <f>Yanvar!C52</f>
        <v>Zeynalov Anar Kamal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COUNTA(Şubat[[#This Row],[1]:[29]])</f>
        <v>0</v>
      </c>
    </row>
    <row r="53" spans="1:35" ht="30" customHeight="1" x14ac:dyDescent="0.35">
      <c r="A53" s="22">
        <v>47</v>
      </c>
      <c r="B53" s="22" t="str">
        <f>Yanvar!B53</f>
        <v>Bağban</v>
      </c>
      <c r="C53" s="16" t="str">
        <f>Yanvar!C53</f>
        <v>Zeynalov Şahab Əlizaman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COUNTA(Şubat[[#This Row],[1]:[29]])</f>
        <v>0</v>
      </c>
    </row>
    <row r="54" spans="1:35" ht="30" customHeight="1" x14ac:dyDescent="0.35">
      <c r="A54" s="22">
        <v>48</v>
      </c>
      <c r="B54" s="22" t="str">
        <f>Yanvar!B54</f>
        <v>Bağban</v>
      </c>
      <c r="C54" s="16" t="str">
        <f>Yanvar!C54</f>
        <v>Cəfərov Qubad Südeyf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COUNTA(Şubat[[#This Row],[1]:[29]])</f>
        <v>0</v>
      </c>
    </row>
    <row r="55" spans="1:35" ht="30" customHeight="1" x14ac:dyDescent="0.35">
      <c r="A55" s="22">
        <v>49</v>
      </c>
      <c r="B55" s="22" t="str">
        <f>Yanvar!B55</f>
        <v>Bağban</v>
      </c>
      <c r="C55" s="16" t="str">
        <f>Yanvar!C55</f>
        <v>Yusubov İsməddin Sübhan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COUNTA(Şubat[[#This Row],[1]:[29]])</f>
        <v>0</v>
      </c>
    </row>
    <row r="56" spans="1:35" ht="30" customHeight="1" x14ac:dyDescent="0.35">
      <c r="A56" s="22">
        <v>50</v>
      </c>
      <c r="B56" s="22" t="str">
        <f>Yanvar!B56</f>
        <v>Bağban</v>
      </c>
      <c r="C56" s="16">
        <f>Yanvar!C56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COUNTA(Şubat[[#This Row],[1]:[29]])</f>
        <v>0</v>
      </c>
    </row>
    <row r="57" spans="1:35" ht="30" customHeight="1" x14ac:dyDescent="0.35">
      <c r="A57" s="22">
        <v>51</v>
      </c>
      <c r="B57" s="22" t="str">
        <f>Yanvar!B57</f>
        <v>Bağban</v>
      </c>
      <c r="C57" s="16">
        <f>Yanvar!C57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COUNTA(Şubat[[#This Row],[1]:[29]])</f>
        <v>0</v>
      </c>
    </row>
    <row r="58" spans="1:35" ht="30" customHeight="1" x14ac:dyDescent="0.35">
      <c r="A58" s="22">
        <v>52</v>
      </c>
      <c r="B58" s="22" t="str">
        <f>Yanvar!B58</f>
        <v>Bağban</v>
      </c>
      <c r="C58" s="16">
        <f>Yanvar!C58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COUNTA(Şubat[[#This Row],[1]:[29]])</f>
        <v>0</v>
      </c>
    </row>
    <row r="59" spans="1:35" ht="30" customHeight="1" x14ac:dyDescent="0.35">
      <c r="A59" s="22">
        <v>53</v>
      </c>
      <c r="B59" s="22" t="str">
        <f>Yanvar!B59</f>
        <v>Bağban</v>
      </c>
      <c r="C59" s="16">
        <f>Yanvar!C59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COUNTA(Şubat[[#This Row],[1]:[29]])</f>
        <v>0</v>
      </c>
    </row>
    <row r="60" spans="1:35" ht="30" customHeight="1" x14ac:dyDescent="0.35">
      <c r="A60" s="22">
        <v>54</v>
      </c>
      <c r="B60" s="22" t="str">
        <f>Yanvar!B60</f>
        <v>Bağban</v>
      </c>
      <c r="C60" s="16">
        <f>Yanvar!C60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COUNTA(Şubat[[#This Row],[1]:[29]])</f>
        <v>0</v>
      </c>
    </row>
    <row r="61" spans="1:35" ht="30" customHeight="1" x14ac:dyDescent="0.35">
      <c r="A61" s="22">
        <v>55</v>
      </c>
      <c r="B61" s="22" t="str">
        <f>Yanvar!B61</f>
        <v>Bağban</v>
      </c>
      <c r="C61" s="16">
        <f>Yanvar!C60</f>
        <v>0</v>
      </c>
      <c r="D61" s="2"/>
      <c r="E61" s="2"/>
      <c r="F61" s="2"/>
      <c r="G61" s="2"/>
      <c r="H61" s="2"/>
      <c r="I61" s="2"/>
      <c r="J61" s="2"/>
      <c r="K61" s="2" t="s">
        <v>1</v>
      </c>
      <c r="L61" s="2" t="s">
        <v>1</v>
      </c>
      <c r="M61" s="2" t="s">
        <v>1</v>
      </c>
      <c r="N61" s="2" t="s">
        <v>1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 t="s">
        <v>7</v>
      </c>
      <c r="AB61" s="2"/>
      <c r="AC61" s="2"/>
      <c r="AD61" s="2"/>
      <c r="AE61" s="2"/>
      <c r="AF61" s="2"/>
      <c r="AG61" s="2"/>
      <c r="AH61" s="2"/>
      <c r="AI61" s="9">
        <f>COUNTA(Şubat[[#This Row],[1]:[29]])</f>
        <v>5</v>
      </c>
    </row>
    <row r="62" spans="1:35" ht="30" customHeight="1" x14ac:dyDescent="0.35">
      <c r="C62" s="19" t="str">
        <f>AyAdı&amp;" Toplamı"</f>
        <v>Fevral Toplamı</v>
      </c>
      <c r="D62" s="12">
        <f>SUBTOTAL(103,Şubat[1])</f>
        <v>0</v>
      </c>
      <c r="E62" s="12">
        <f>SUBTOTAL(103,Şubat[2])</f>
        <v>0</v>
      </c>
      <c r="F62" s="12">
        <f>SUBTOTAL(103,Şubat[3])</f>
        <v>0</v>
      </c>
      <c r="G62" s="12">
        <f>SUBTOTAL(103,Şubat[4])</f>
        <v>0</v>
      </c>
      <c r="H62" s="12">
        <f>SUBTOTAL(103,Şubat[5])</f>
        <v>0</v>
      </c>
      <c r="I62" s="12">
        <f>SUBTOTAL(103,Şubat[6])</f>
        <v>0</v>
      </c>
      <c r="J62" s="12">
        <f>SUBTOTAL(103,Şubat[7])</f>
        <v>0</v>
      </c>
      <c r="K62" s="12">
        <f>SUBTOTAL(103,Şubat[8])</f>
        <v>1</v>
      </c>
      <c r="L62" s="12">
        <f>SUBTOTAL(103,Şubat[9])</f>
        <v>1</v>
      </c>
      <c r="M62" s="12">
        <f>SUBTOTAL(103,Şubat[10])</f>
        <v>1</v>
      </c>
      <c r="N62" s="12">
        <f>SUBTOTAL(103,Şubat[11])</f>
        <v>1</v>
      </c>
      <c r="O62" s="12">
        <f>SUBTOTAL(103,Şubat[12])</f>
        <v>0</v>
      </c>
      <c r="P62" s="12">
        <f>SUBTOTAL(103,Şubat[13])</f>
        <v>0</v>
      </c>
      <c r="Q62" s="12">
        <f>SUBTOTAL(103,Şubat[14])</f>
        <v>0</v>
      </c>
      <c r="R62" s="12">
        <f>SUBTOTAL(103,Şubat[15])</f>
        <v>0</v>
      </c>
      <c r="S62" s="12">
        <f>SUBTOTAL(103,Şubat[16])</f>
        <v>0</v>
      </c>
      <c r="T62" s="12">
        <f>SUBTOTAL(103,Şubat[17])</f>
        <v>0</v>
      </c>
      <c r="U62" s="12">
        <f>SUBTOTAL(103,Şubat[18])</f>
        <v>0</v>
      </c>
      <c r="V62" s="12">
        <f>SUBTOTAL(103,Şubat[19])</f>
        <v>0</v>
      </c>
      <c r="W62" s="12">
        <f>SUBTOTAL(103,Şubat[20])</f>
        <v>0</v>
      </c>
      <c r="X62" s="12">
        <f>SUBTOTAL(103,Şubat[21])</f>
        <v>0</v>
      </c>
      <c r="Y62" s="12">
        <f>SUBTOTAL(103,Şubat[22])</f>
        <v>0</v>
      </c>
      <c r="Z62" s="12">
        <f>SUBTOTAL(103,Şubat[23])</f>
        <v>0</v>
      </c>
      <c r="AA62" s="12">
        <f>SUBTOTAL(103,Şubat[24])</f>
        <v>1</v>
      </c>
      <c r="AB62" s="12">
        <f>SUBTOTAL(103,Şubat[25])</f>
        <v>0</v>
      </c>
      <c r="AC62" s="12">
        <f>SUBTOTAL(103,Şubat[26])</f>
        <v>0</v>
      </c>
      <c r="AD62" s="12">
        <f>SUBTOTAL(103,Şubat[27])</f>
        <v>0</v>
      </c>
      <c r="AE62" s="12">
        <f>SUBTOTAL(103,Şubat[28])</f>
        <v>0</v>
      </c>
      <c r="AF62" s="12">
        <f>SUBTOTAL(103,Şubat[29])</f>
        <v>0</v>
      </c>
      <c r="AG62" s="12"/>
      <c r="AH62" s="12"/>
      <c r="AI62" s="12">
        <f>SUBTOTAL(109,Şubat[Toplam Gün])</f>
        <v>5</v>
      </c>
    </row>
    <row r="64" spans="1:35" ht="30" customHeight="1" x14ac:dyDescent="0.35">
      <c r="AI64"/>
    </row>
  </sheetData>
  <mergeCells count="6">
    <mergeCell ref="D4:AH4"/>
    <mergeCell ref="E2:G2"/>
    <mergeCell ref="I2:K2"/>
    <mergeCell ref="M2:N2"/>
    <mergeCell ref="P2:R2"/>
    <mergeCell ref="T2:V2"/>
  </mergeCells>
  <conditionalFormatting sqref="AF6">
    <cfRule type="expression" dxfId="852" priority="16">
      <formula>MONTH(DATE(TakvimYılı,2,29))&lt;&gt;2</formula>
    </cfRule>
  </conditionalFormatting>
  <conditionalFormatting sqref="AF5">
    <cfRule type="expression" dxfId="851" priority="15">
      <formula>MONTH(DATE(TakvimYılı,2,29))&lt;&gt;2</formula>
    </cfRule>
  </conditionalFormatting>
  <conditionalFormatting sqref="D7:AH61">
    <cfRule type="expression" priority="2" stopIfTrue="1">
      <formula>D7=""</formula>
    </cfRule>
    <cfRule type="expression" dxfId="850" priority="3" stopIfTrue="1">
      <formula>D7=AnahtarÖzel2</formula>
    </cfRule>
  </conditionalFormatting>
  <conditionalFormatting sqref="D7:AH61">
    <cfRule type="expression" dxfId="849" priority="5" stopIfTrue="1">
      <formula>D7=AnahtarÖzel1</formula>
    </cfRule>
    <cfRule type="expression" dxfId="848" priority="6" stopIfTrue="1">
      <formula>D7=AnahtarHasta</formula>
    </cfRule>
    <cfRule type="expression" dxfId="847" priority="7" stopIfTrue="1">
      <formula>D7=AnahtarKişisel</formula>
    </cfRule>
    <cfRule type="expression" dxfId="846" priority="8" stopIfTrue="1">
      <formula>D7=AnahtarTatil</formula>
    </cfRule>
  </conditionalFormatting>
  <conditionalFormatting sqref="AI7:AI61">
    <cfRule type="dataBar" priority="194">
      <dataBar>
        <cfvo type="min"/>
        <cfvo type="formula" val="DATEDIF(DATE(TakvimYılı,2,1),DATE(TakvimYılı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Ocak çalışma sayfasında girilen yıla göre otomatik olarak güncelleştirilen yıl" sqref="AI4"/>
    <dataValidation allowBlank="1" showInputMessage="1" showErrorMessage="1" prompt="Bu çalışma sayfasında Şubat devamsızlığını izleyin" sqref="A1:B1"/>
    <dataValidation allowBlank="1" showInputMessage="1" showErrorMessage="1" prompt="Bu ay çalışanın toplamda kaç gün devamsızlık yaptığını, bu sütunda otomatik olarak hesaplar" sqref="AI6"/>
    <dataValidation allowBlank="1" showInputMessage="1" showErrorMessage="1" prompt="Otomatik olarak güncelleştirilen başlık bu hücrededir. Başlığı değiştirmek için Ocak çalışma sayfasındaki B1 hücresini güncelleştirin" sqref="C1"/>
    <dataValidation allowBlank="1" showInputMessage="1" showErrorMessage="1" prompt="Bu devamsızlık zaman çizelgesinin ay adı bu hücrededir. Bu aya ait toplam devamsızlık miktarı, tablonun son hücresindedir. Tablonun B sütunundan çalışan adlarını seçin" sqref="C4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Soldaki özel anahtarı açıklamak için bir etiket girin" sqref="P2:R2 T2:V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&quot;H&quot; harfi hastalık nedeniyle devamsızlığı gösterir" sqref="L2"/>
    <dataValidation allowBlank="1" showInputMessage="1" showErrorMessage="1" prompt="&quot;K&quot; harfi kişisel nedenlerden dolayı devamsızlığı gösterir" sqref="H2"/>
    <dataValidation allowBlank="1" showInputMessage="1" showErrorMessage="1" prompt="&quot;T&quot; harfi tatil nedeniyle devamsızlığı gösterir" sqref="D2"/>
    <dataValidation allowBlank="1" showInputMessage="1" showErrorMessage="1" prompt="Bu satırdaki günler, AH4 hücresindeki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DATEDIF(DATE(TakvimYılı,2,1),DATE(TakvimYılı,3,1),"d")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'Çalışan Adları'!$B$4:$B$61</xm:f>
          </x14:formula1>
          <xm:sqref>C7:C61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I62"/>
  <sheetViews>
    <sheetView showGridLines="0" zoomScaleNormal="100" workbookViewId="0">
      <selection activeCell="C7" sqref="C7"/>
    </sheetView>
  </sheetViews>
  <sheetFormatPr defaultRowHeight="30" customHeight="1" x14ac:dyDescent="0.35"/>
  <cols>
    <col min="1" max="1" width="3.81640625" style="1" customWidth="1"/>
    <col min="2" max="2" width="23.54296875" style="1" customWidth="1"/>
    <col min="3" max="3" width="25.63281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C1" s="13" t="str">
        <f>Employee_Absence_Title</f>
        <v>İşçilərin davamiyyət cədvəli</v>
      </c>
    </row>
    <row r="2" spans="1:35" ht="15" customHeight="1" x14ac:dyDescent="0.35"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 t="s">
        <v>45</v>
      </c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/>
      <c r="T2" s="40" t="s">
        <v>20</v>
      </c>
      <c r="U2" s="40"/>
      <c r="V2" s="40"/>
    </row>
    <row r="3" spans="1:35" ht="15" customHeight="1" x14ac:dyDescent="0.35">
      <c r="C3" s="13"/>
    </row>
    <row r="4" spans="1:35" ht="30" customHeight="1" x14ac:dyDescent="0.35">
      <c r="C4" s="11" t="s">
        <v>39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f>TakvimYılı</f>
        <v>2022</v>
      </c>
    </row>
    <row r="5" spans="1:35" ht="15" customHeight="1" x14ac:dyDescent="0.35">
      <c r="C5" s="11"/>
      <c r="D5" s="1" t="str">
        <f>TEXT(WEEKDAY(DATE(TakvimYılı,3,1),1),"ggg")</f>
        <v/>
      </c>
      <c r="E5" s="1" t="str">
        <f>TEXT(WEEKDAY(DATE(TakvimYılı,3,2),1),"ggg")</f>
        <v/>
      </c>
      <c r="F5" s="1" t="str">
        <f>TEXT(WEEKDAY(DATE(TakvimYılı,3,3),1),"ggg")</f>
        <v/>
      </c>
      <c r="G5" s="1" t="str">
        <f>TEXT(WEEKDAY(DATE(TakvimYılı,3,4),1),"ggg")</f>
        <v/>
      </c>
      <c r="H5" s="1" t="str">
        <f>TEXT(WEEKDAY(DATE(TakvimYılı,3,5),1),"ggg")</f>
        <v/>
      </c>
      <c r="I5" s="1" t="str">
        <f>TEXT(WEEKDAY(DATE(TakvimYılı,3,6),1),"ggg")</f>
        <v/>
      </c>
      <c r="J5" s="1" t="str">
        <f>TEXT(WEEKDAY(DATE(TakvimYılı,3,7),1),"ggg")</f>
        <v/>
      </c>
      <c r="K5" s="1" t="str">
        <f>TEXT(WEEKDAY(DATE(TakvimYılı,3,8),1),"ggg")</f>
        <v/>
      </c>
      <c r="L5" s="1" t="str">
        <f>TEXT(WEEKDAY(DATE(TakvimYılı,3,9),1),"ggg")</f>
        <v/>
      </c>
      <c r="M5" s="1" t="str">
        <f>TEXT(WEEKDAY(DATE(TakvimYılı,3,10),1),"ggg")</f>
        <v/>
      </c>
      <c r="N5" s="1" t="str">
        <f>TEXT(WEEKDAY(DATE(TakvimYılı,3,11),1),"ggg")</f>
        <v/>
      </c>
      <c r="O5" s="1" t="str">
        <f>TEXT(WEEKDAY(DATE(TakvimYılı,3,12),1),"ggg")</f>
        <v/>
      </c>
      <c r="P5" s="1" t="str">
        <f>TEXT(WEEKDAY(DATE(TakvimYılı,3,13),1),"ggg")</f>
        <v/>
      </c>
      <c r="Q5" s="1" t="str">
        <f>TEXT(WEEKDAY(DATE(TakvimYılı,3,14),1),"ggg")</f>
        <v/>
      </c>
      <c r="R5" s="1" t="str">
        <f>TEXT(WEEKDAY(DATE(TakvimYılı,3,15),1),"ggg")</f>
        <v/>
      </c>
      <c r="S5" s="1" t="str">
        <f>TEXT(WEEKDAY(DATE(TakvimYılı,3,16),1),"ggg")</f>
        <v/>
      </c>
      <c r="T5" s="1" t="str">
        <f>TEXT(WEEKDAY(DATE(TakvimYılı,3,17),1),"ggg")</f>
        <v/>
      </c>
      <c r="U5" s="1" t="str">
        <f>TEXT(WEEKDAY(DATE(TakvimYılı,3,18),1),"ggg")</f>
        <v/>
      </c>
      <c r="V5" s="1" t="str">
        <f>TEXT(WEEKDAY(DATE(TakvimYılı,3,19),1),"ggg")</f>
        <v/>
      </c>
      <c r="W5" s="1" t="str">
        <f>TEXT(WEEKDAY(DATE(TakvimYılı,3,20),1),"ggg")</f>
        <v/>
      </c>
      <c r="X5" s="1" t="str">
        <f>TEXT(WEEKDAY(DATE(TakvimYılı,3,21),1),"ggg")</f>
        <v/>
      </c>
      <c r="Y5" s="1" t="str">
        <f>TEXT(WEEKDAY(DATE(TakvimYılı,3,22),1),"ggg")</f>
        <v/>
      </c>
      <c r="Z5" s="1" t="str">
        <f>TEXT(WEEKDAY(DATE(TakvimYılı,3,23),1),"ggg")</f>
        <v/>
      </c>
      <c r="AA5" s="1" t="str">
        <f>TEXT(WEEKDAY(DATE(TakvimYılı,3,24),1),"ggg")</f>
        <v/>
      </c>
      <c r="AB5" s="1" t="str">
        <f>TEXT(WEEKDAY(DATE(TakvimYılı,3,25),1),"ggg")</f>
        <v/>
      </c>
      <c r="AC5" s="1" t="str">
        <f>TEXT(WEEKDAY(DATE(TakvimYılı,3,26),1),"ggg")</f>
        <v/>
      </c>
      <c r="AD5" s="1" t="str">
        <f>TEXT(WEEKDAY(DATE(TakvimYılı,3,27),1),"ggg")</f>
        <v/>
      </c>
      <c r="AE5" s="1" t="str">
        <f>TEXT(WEEKDAY(DATE(TakvimYılı,3,28),1),"ggg")</f>
        <v/>
      </c>
      <c r="AF5" s="1" t="str">
        <f>TEXT(WEEKDAY(DATE(TakvimYılı,3,29),1),"ggg")</f>
        <v/>
      </c>
      <c r="AG5" s="1" t="str">
        <f>TEXT(WEEKDAY(DATE(TakvimYılı,3,30),1),"ggg")</f>
        <v/>
      </c>
      <c r="AH5" s="1" t="str">
        <f>TEXT(WEEKDAY(DATE(TakvimYılı,3,31),1),"ggg")</f>
        <v/>
      </c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34</v>
      </c>
      <c r="AH6" s="2" t="s">
        <v>35</v>
      </c>
      <c r="AI6" s="15" t="s">
        <v>36</v>
      </c>
    </row>
    <row r="7" spans="1:35" ht="30" customHeight="1" x14ac:dyDescent="0.35">
      <c r="A7" s="22">
        <v>1</v>
      </c>
      <c r="B7" s="22" t="str">
        <f>Yanvar!B7</f>
        <v>Menecer</v>
      </c>
      <c r="C7" s="16" t="str">
        <f>Fevral!C7</f>
        <v>Rzakov Ramiz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COUNTA(Mart[[#This Row],[1]:[31]])</f>
        <v>0</v>
      </c>
    </row>
    <row r="8" spans="1:35" ht="30" customHeight="1" x14ac:dyDescent="0.35">
      <c r="A8" s="22">
        <v>2</v>
      </c>
      <c r="B8" s="22" t="str">
        <f>Yanvar!B8</f>
        <v>Nəzarətçi</v>
      </c>
      <c r="C8" s="16" t="str">
        <f>Fevral!C8</f>
        <v>Əsədov Elçin Güloğlan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COUNTA(Mart[[#This Row],[1]:[31]])</f>
        <v>0</v>
      </c>
    </row>
    <row r="9" spans="1:35" ht="30" customHeight="1" x14ac:dyDescent="0.35">
      <c r="A9" s="22">
        <v>3</v>
      </c>
      <c r="B9" s="22" t="str">
        <f>Yanvar!B9</f>
        <v>Nəzarətçi</v>
      </c>
      <c r="C9" s="16" t="str">
        <f>Fevral!C9</f>
        <v>Babayev Fərid Vaqif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COUNTA(Mart[[#This Row],[1]:[31]])</f>
        <v>0</v>
      </c>
    </row>
    <row r="10" spans="1:35" ht="30" customHeight="1" x14ac:dyDescent="0.35">
      <c r="A10" s="22">
        <v>4</v>
      </c>
      <c r="B10" s="22" t="str">
        <f>Yanvar!B10</f>
        <v>Ofis meneceri</v>
      </c>
      <c r="C10" s="16" t="str">
        <f>Fevral!C10</f>
        <v>Abbasov Rahib Ziyad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COUNTA(Mart[[#This Row],[1]:[31]])</f>
        <v>0</v>
      </c>
    </row>
    <row r="11" spans="1:35" ht="30" customHeight="1" x14ac:dyDescent="0.35">
      <c r="A11" s="22">
        <v>5</v>
      </c>
      <c r="B11" s="22" t="str">
        <f>Yanvar!B11</f>
        <v>Ofis meneceri</v>
      </c>
      <c r="C11" s="16" t="str">
        <f>Fevral!C11</f>
        <v>Əşrəfzadə Sərxan Elman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COUNTA(Mart[[#This Row],[1]:[31]])</f>
        <v>0</v>
      </c>
    </row>
    <row r="12" spans="1:35" ht="30" customHeight="1" x14ac:dyDescent="0.35">
      <c r="A12" s="22">
        <v>6</v>
      </c>
      <c r="B12" s="22" t="str">
        <f>Yanvar!B12</f>
        <v>Ofis meneceri</v>
      </c>
      <c r="C12" s="16" t="str">
        <f>Fevral!C12</f>
        <v>Dostəlizadə Mahir Valeh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COUNTA(Mart[[#This Row],[1]:[31]])</f>
        <v>0</v>
      </c>
    </row>
    <row r="13" spans="1:35" ht="30" customHeight="1" x14ac:dyDescent="0.35">
      <c r="A13" s="22">
        <v>7</v>
      </c>
      <c r="B13" s="22" t="str">
        <f>Yanvar!B13</f>
        <v>Ofis meneceri</v>
      </c>
      <c r="C13" s="16" t="str">
        <f>Fevral!C13</f>
        <v>Rəsulov Nurlan Yaşar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COUNTA(Mart[[#This Row],[1]:[31]])</f>
        <v>0</v>
      </c>
    </row>
    <row r="14" spans="1:35" ht="30" customHeight="1" x14ac:dyDescent="0.35">
      <c r="A14" s="22">
        <v>8</v>
      </c>
      <c r="B14" s="22" t="str">
        <f>Yanvar!B14</f>
        <v>Bağban</v>
      </c>
      <c r="C14" s="16" t="str">
        <f>Fevral!C14</f>
        <v>Abbasov Sücayət Hüseyn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COUNTA(Mart[[#This Row],[1]:[31]])</f>
        <v>0</v>
      </c>
    </row>
    <row r="15" spans="1:35" ht="30" customHeight="1" x14ac:dyDescent="0.35">
      <c r="A15" s="22">
        <v>9</v>
      </c>
      <c r="B15" s="22" t="str">
        <f>Yanvar!B15</f>
        <v>Bağban</v>
      </c>
      <c r="C15" s="16" t="str">
        <f>Fevral!C15</f>
        <v>Ağayev Əkrəm Zülfi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COUNTA(Mart[[#This Row],[1]:[31]])</f>
        <v>0</v>
      </c>
    </row>
    <row r="16" spans="1:35" ht="30" customHeight="1" x14ac:dyDescent="0.35">
      <c r="A16" s="22">
        <v>10</v>
      </c>
      <c r="B16" s="22" t="str">
        <f>Yanvar!B16</f>
        <v>Bağban</v>
      </c>
      <c r="C16" s="16" t="str">
        <f>Fevral!C16</f>
        <v>Bayramov Asim İsaq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COUNTA(Mart[[#This Row],[1]:[31]])</f>
        <v>0</v>
      </c>
    </row>
    <row r="17" spans="1:35" ht="30" customHeight="1" x14ac:dyDescent="0.35">
      <c r="A17" s="22">
        <v>11</v>
      </c>
      <c r="B17" s="22" t="str">
        <f>Yanvar!B17</f>
        <v>Bağban</v>
      </c>
      <c r="C17" s="16" t="str">
        <f>Fevral!C17</f>
        <v>Əhədov Seymur Atakişi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COUNTA(Mart[[#This Row],[1]:[31]])</f>
        <v>0</v>
      </c>
    </row>
    <row r="18" spans="1:35" ht="30" customHeight="1" x14ac:dyDescent="0.35">
      <c r="A18" s="22">
        <v>12</v>
      </c>
      <c r="B18" s="22" t="str">
        <f>Yanvar!B18</f>
        <v>Bağban</v>
      </c>
      <c r="C18" s="16" t="str">
        <f>Fevral!C18</f>
        <v>Əhmədov Elməddin Əhməd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COUNTA(Mart[[#This Row],[1]:[31]])</f>
        <v>0</v>
      </c>
    </row>
    <row r="19" spans="1:35" ht="30" customHeight="1" x14ac:dyDescent="0.35">
      <c r="A19" s="22">
        <v>13</v>
      </c>
      <c r="B19" s="22" t="str">
        <f>Yanvar!B19</f>
        <v>Bağban</v>
      </c>
      <c r="C19" s="16" t="str">
        <f>Fevral!C19</f>
        <v>Ələkbərov Bagman Ərəstun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COUNTA(Mart[[#This Row],[1]:[31]])</f>
        <v>0</v>
      </c>
    </row>
    <row r="20" spans="1:35" ht="30" customHeight="1" x14ac:dyDescent="0.35">
      <c r="A20" s="22">
        <v>14</v>
      </c>
      <c r="B20" s="22" t="str">
        <f>Yanvar!B20</f>
        <v>Bağban</v>
      </c>
      <c r="C20" s="16" t="str">
        <f>Fevral!C20</f>
        <v>Ələkbərov Fərman Qabil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COUNTA(Mart[[#This Row],[1]:[31]])</f>
        <v>0</v>
      </c>
    </row>
    <row r="21" spans="1:35" ht="30" customHeight="1" x14ac:dyDescent="0.35">
      <c r="A21" s="22">
        <v>15</v>
      </c>
      <c r="B21" s="22" t="str">
        <f>Yanvar!B21</f>
        <v>Bağban</v>
      </c>
      <c r="C21" s="16" t="str">
        <f>Fevral!C21</f>
        <v>Ələsgərov Elməddin Rauf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COUNTA(Mart[[#This Row],[1]:[31]])</f>
        <v>0</v>
      </c>
    </row>
    <row r="22" spans="1:35" ht="30" customHeight="1" x14ac:dyDescent="0.35">
      <c r="A22" s="22">
        <v>16</v>
      </c>
      <c r="B22" s="22" t="str">
        <f>Yanvar!B22</f>
        <v>Bağban</v>
      </c>
      <c r="C22" s="16" t="str">
        <f>Fevral!C22</f>
        <v>Əliyev Həsən Mais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COUNTA(Mart[[#This Row],[1]:[31]])</f>
        <v>0</v>
      </c>
    </row>
    <row r="23" spans="1:35" ht="30" customHeight="1" x14ac:dyDescent="0.35">
      <c r="A23" s="22">
        <v>17</v>
      </c>
      <c r="B23" s="22" t="str">
        <f>Yanvar!B23</f>
        <v>Bağban</v>
      </c>
      <c r="C23" s="16" t="str">
        <f>Fevral!C23</f>
        <v>Əliyev Sərdar Əliağa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COUNTA(Mart[[#This Row],[1]:[31]])</f>
        <v>0</v>
      </c>
    </row>
    <row r="24" spans="1:35" ht="30" customHeight="1" x14ac:dyDescent="0.35">
      <c r="A24" s="22">
        <v>18</v>
      </c>
      <c r="B24" s="22" t="str">
        <f>Yanvar!B24</f>
        <v>Bağban</v>
      </c>
      <c r="C24" s="16" t="str">
        <f>Fevral!C24</f>
        <v>Əliyev Xalıq Xanağa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COUNTA(Mart[[#This Row],[1]:[31]])</f>
        <v>0</v>
      </c>
    </row>
    <row r="25" spans="1:35" ht="30" customHeight="1" x14ac:dyDescent="0.35">
      <c r="A25" s="22">
        <v>19</v>
      </c>
      <c r="B25" s="22" t="str">
        <f>Yanvar!B25</f>
        <v>Bağban</v>
      </c>
      <c r="C25" s="16" t="str">
        <f>Fevral!C25</f>
        <v>Feyzullayev Firudin Ramiz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COUNTA(Mart[[#This Row],[1]:[31]])</f>
        <v>0</v>
      </c>
    </row>
    <row r="26" spans="1:35" ht="30" customHeight="1" x14ac:dyDescent="0.35">
      <c r="A26" s="22">
        <v>20</v>
      </c>
      <c r="B26" s="22" t="str">
        <f>Yanvar!B26</f>
        <v>Bağban</v>
      </c>
      <c r="C26" s="16" t="str">
        <f>Fevral!C26</f>
        <v>Haşımov Asif Hacı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COUNTA(Mart[[#This Row],[1]:[31]])</f>
        <v>0</v>
      </c>
    </row>
    <row r="27" spans="1:35" ht="30" customHeight="1" x14ac:dyDescent="0.35">
      <c r="A27" s="22">
        <v>21</v>
      </c>
      <c r="B27" s="22" t="str">
        <f>Yanvar!B27</f>
        <v>Bağban</v>
      </c>
      <c r="C27" s="16" t="str">
        <f>Fevral!C27</f>
        <v>Hüseynov Davud İsa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COUNTA(Mart[[#This Row],[1]:[31]])</f>
        <v>0</v>
      </c>
    </row>
    <row r="28" spans="1:35" ht="30" customHeight="1" x14ac:dyDescent="0.35">
      <c r="A28" s="22">
        <v>22</v>
      </c>
      <c r="B28" s="22" t="str">
        <f>Yanvar!B28</f>
        <v>Bağban</v>
      </c>
      <c r="C28" s="16" t="str">
        <f>Fevral!C28</f>
        <v>Hüseynov Ədail İsa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COUNTA(Mart[[#This Row],[1]:[31]])</f>
        <v>0</v>
      </c>
    </row>
    <row r="29" spans="1:35" ht="30" customHeight="1" x14ac:dyDescent="0.35">
      <c r="A29" s="22">
        <v>23</v>
      </c>
      <c r="B29" s="22" t="str">
        <f>Yanvar!B29</f>
        <v>Bağban</v>
      </c>
      <c r="C29" s="16" t="str">
        <f>Fevral!C29</f>
        <v>Hüseynov Səfaddin Əbülfəz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COUNTA(Mart[[#This Row],[1]:[31]])</f>
        <v>0</v>
      </c>
    </row>
    <row r="30" spans="1:35" ht="30" customHeight="1" x14ac:dyDescent="0.35">
      <c r="A30" s="22">
        <v>24</v>
      </c>
      <c r="B30" s="22" t="str">
        <f>Yanvar!B30</f>
        <v>Bağban</v>
      </c>
      <c r="C30" s="16" t="str">
        <f>Fevral!C30</f>
        <v>Hüseynov Şəmistan Qabil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COUNTA(Mart[[#This Row],[1]:[31]])</f>
        <v>0</v>
      </c>
    </row>
    <row r="31" spans="1:35" ht="30" customHeight="1" x14ac:dyDescent="0.35">
      <c r="A31" s="22">
        <v>25</v>
      </c>
      <c r="B31" s="22" t="str">
        <f>Yanvar!B31</f>
        <v>Bağban</v>
      </c>
      <c r="C31" s="16" t="str">
        <f>Fevral!C31</f>
        <v>Hüseynov Sərdar İsa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COUNTA(Mart[[#This Row],[1]:[31]])</f>
        <v>0</v>
      </c>
    </row>
    <row r="32" spans="1:35" ht="30" customHeight="1" x14ac:dyDescent="0.35">
      <c r="A32" s="22">
        <v>26</v>
      </c>
      <c r="B32" s="22" t="str">
        <f>Yanvar!B32</f>
        <v>Bağban</v>
      </c>
      <c r="C32" s="16" t="str">
        <f>Fevral!C32</f>
        <v>Hüseynov Siruz Qabil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COUNTA(Mart[[#This Row],[1]:[31]])</f>
        <v>0</v>
      </c>
    </row>
    <row r="33" spans="1:35" ht="30" customHeight="1" x14ac:dyDescent="0.35">
      <c r="A33" s="22">
        <v>27</v>
      </c>
      <c r="B33" s="22" t="str">
        <f>Yanvar!B33</f>
        <v>Bağban</v>
      </c>
      <c r="C33" s="16" t="str">
        <f>Fevral!C33</f>
        <v>Hüseynov Taleh Daşqın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COUNTA(Mart[[#This Row],[1]:[31]])</f>
        <v>0</v>
      </c>
    </row>
    <row r="34" spans="1:35" ht="30" customHeight="1" x14ac:dyDescent="0.35">
      <c r="A34" s="22">
        <v>28</v>
      </c>
      <c r="B34" s="22" t="str">
        <f>Yanvar!B34</f>
        <v>Bağban</v>
      </c>
      <c r="C34" s="16" t="str">
        <f>Fevral!C34</f>
        <v>Hüseynov Tərlan Yadulla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COUNTA(Mart[[#This Row],[1]:[31]])</f>
        <v>0</v>
      </c>
    </row>
    <row r="35" spans="1:35" ht="30" customHeight="1" x14ac:dyDescent="0.35">
      <c r="A35" s="22">
        <v>29</v>
      </c>
      <c r="B35" s="22" t="str">
        <f>Yanvar!B35</f>
        <v>Bağban</v>
      </c>
      <c r="C35" s="16" t="str">
        <f>Fevral!C35</f>
        <v>İbayev Zahid Mahir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COUNTA(Mart[[#This Row],[1]:[31]])</f>
        <v>0</v>
      </c>
    </row>
    <row r="36" spans="1:35" ht="30" customHeight="1" x14ac:dyDescent="0.35">
      <c r="A36" s="22">
        <v>30</v>
      </c>
      <c r="B36" s="22" t="str">
        <f>Yanvar!B36</f>
        <v>Bağban</v>
      </c>
      <c r="C36" s="16" t="str">
        <f>Fevral!C36</f>
        <v>İbayev Zahir Mahir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COUNTA(Mart[[#This Row],[1]:[31]])</f>
        <v>0</v>
      </c>
    </row>
    <row r="37" spans="1:35" ht="30" customHeight="1" x14ac:dyDescent="0.35">
      <c r="A37" s="22">
        <v>31</v>
      </c>
      <c r="B37" s="22" t="str">
        <f>Yanvar!B37</f>
        <v>Bağban</v>
      </c>
      <c r="C37" s="16" t="str">
        <f>Fevral!C37</f>
        <v>Məcidzadə Əli Valeh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COUNTA(Mart[[#This Row],[1]:[31]])</f>
        <v>0</v>
      </c>
    </row>
    <row r="38" spans="1:35" ht="30" customHeight="1" x14ac:dyDescent="0.35">
      <c r="A38" s="22">
        <v>32</v>
      </c>
      <c r="B38" s="22" t="str">
        <f>Yanvar!B38</f>
        <v>Bağban</v>
      </c>
      <c r="C38" s="16" t="str">
        <f>Fevral!C38</f>
        <v xml:space="preserve">Məmmədli Bəhruz İlham 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COUNTA(Mart[[#This Row],[1]:[31]])</f>
        <v>0</v>
      </c>
    </row>
    <row r="39" spans="1:35" ht="30" customHeight="1" x14ac:dyDescent="0.35">
      <c r="A39" s="22">
        <v>33</v>
      </c>
      <c r="B39" s="22" t="str">
        <f>Yanvar!B39</f>
        <v>Bağban</v>
      </c>
      <c r="C39" s="16" t="str">
        <f>Fevral!C39</f>
        <v>Məmmədli İsa Nazim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COUNTA(Mart[[#This Row],[1]:[31]])</f>
        <v>0</v>
      </c>
    </row>
    <row r="40" spans="1:35" ht="30" customHeight="1" x14ac:dyDescent="0.35">
      <c r="A40" s="22">
        <v>34</v>
      </c>
      <c r="B40" s="22" t="str">
        <f>Yanvar!B40</f>
        <v>Bağban</v>
      </c>
      <c r="C40" s="16" t="str">
        <f>Fevral!C40</f>
        <v>Məmmədov İlqar Teyyub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COUNTA(Mart[[#This Row],[1]:[31]])</f>
        <v>0</v>
      </c>
    </row>
    <row r="41" spans="1:35" ht="30" customHeight="1" x14ac:dyDescent="0.35">
      <c r="A41" s="22">
        <v>35</v>
      </c>
      <c r="B41" s="22" t="str">
        <f>Yanvar!B41</f>
        <v>Bağban</v>
      </c>
      <c r="C41" s="16" t="str">
        <f>Fevral!C41</f>
        <v xml:space="preserve">Məmmədov Sahil Ağaxan 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COUNTA(Mart[[#This Row],[1]:[31]])</f>
        <v>0</v>
      </c>
    </row>
    <row r="42" spans="1:35" ht="30" customHeight="1" x14ac:dyDescent="0.35">
      <c r="A42" s="22">
        <v>36</v>
      </c>
      <c r="B42" s="22" t="str">
        <f>Yanvar!B42</f>
        <v>Bağban</v>
      </c>
      <c r="C42" s="16" t="str">
        <f>Fevral!C42</f>
        <v>Məmmədov Yaqub Zahir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COUNTA(Mart[[#This Row],[1]:[31]])</f>
        <v>0</v>
      </c>
    </row>
    <row r="43" spans="1:35" ht="30" customHeight="1" x14ac:dyDescent="0.35">
      <c r="A43" s="22">
        <v>37</v>
      </c>
      <c r="B43" s="22" t="str">
        <f>Yanvar!B43</f>
        <v>Bağban</v>
      </c>
      <c r="C43" s="16" t="str">
        <f>Fevral!C43</f>
        <v>Məmmədzadə Qərib Fəxrəddin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COUNTA(Mart[[#This Row],[1]:[31]])</f>
        <v>0</v>
      </c>
    </row>
    <row r="44" spans="1:35" ht="30" customHeight="1" x14ac:dyDescent="0.35">
      <c r="A44" s="22">
        <v>38</v>
      </c>
      <c r="B44" s="22" t="str">
        <f>Yanvar!B44</f>
        <v>Bağban</v>
      </c>
      <c r="C44" s="16" t="str">
        <f>Fevral!C44</f>
        <v xml:space="preserve">Musayev Minbir Oqtay 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COUNTA(Mart[[#This Row],[1]:[31]])</f>
        <v>0</v>
      </c>
    </row>
    <row r="45" spans="1:35" ht="30" customHeight="1" x14ac:dyDescent="0.35">
      <c r="A45" s="22">
        <v>39</v>
      </c>
      <c r="B45" s="22" t="str">
        <f>Yanvar!B45</f>
        <v>Bağban</v>
      </c>
      <c r="C45" s="16" t="str">
        <f>Fevral!C45</f>
        <v>Nəcəfov Fizuli Böyükağa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COUNTA(Mart[[#This Row],[1]:[31]])</f>
        <v>0</v>
      </c>
    </row>
    <row r="46" spans="1:35" ht="30" customHeight="1" x14ac:dyDescent="0.35">
      <c r="A46" s="22">
        <v>40</v>
      </c>
      <c r="B46" s="22" t="str">
        <f>Yanvar!B46</f>
        <v>Ofis meneceri</v>
      </c>
      <c r="C46" s="16" t="str">
        <f>Fevral!C46</f>
        <v>Rəsulov Nurlan Yaşar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COUNTA(Mart[[#This Row],[1]:[31]])</f>
        <v>0</v>
      </c>
    </row>
    <row r="47" spans="1:35" ht="30" customHeight="1" x14ac:dyDescent="0.35">
      <c r="A47" s="22">
        <v>41</v>
      </c>
      <c r="B47" s="22" t="str">
        <f>Yanvar!B47</f>
        <v>Bağban</v>
      </c>
      <c r="C47" s="16" t="str">
        <f>Fevral!C47</f>
        <v>Rzayev İbrahim Mais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COUNTA(Mart[[#This Row],[1]:[31]])</f>
        <v>0</v>
      </c>
    </row>
    <row r="48" spans="1:35" ht="30" customHeight="1" x14ac:dyDescent="0.35">
      <c r="A48" s="22">
        <v>42</v>
      </c>
      <c r="B48" s="22" t="str">
        <f>Yanvar!B48</f>
        <v>Bağban</v>
      </c>
      <c r="C48" s="16" t="str">
        <f>Fevral!C48</f>
        <v>Səttarov Ağaəli Ərəstun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COUNTA(Mart[[#This Row],[1]:[31]])</f>
        <v>0</v>
      </c>
    </row>
    <row r="49" spans="1:35" ht="30" customHeight="1" x14ac:dyDescent="0.35">
      <c r="A49" s="22">
        <v>43</v>
      </c>
      <c r="B49" s="22" t="str">
        <f>Yanvar!B49</f>
        <v>Bağban</v>
      </c>
      <c r="C49" s="16" t="str">
        <f>Fevral!C49</f>
        <v>Tahirov Rəşad Elman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COUNTA(Mart[[#This Row],[1]:[31]])</f>
        <v>0</v>
      </c>
    </row>
    <row r="50" spans="1:35" ht="30" customHeight="1" x14ac:dyDescent="0.35">
      <c r="A50" s="22">
        <v>44</v>
      </c>
      <c r="B50" s="22" t="str">
        <f>Yanvar!B50</f>
        <v>Bağban</v>
      </c>
      <c r="C50" s="16" t="str">
        <f>Fevral!C50</f>
        <v>Xangəldiyev Asəf Əsabəli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COUNTA(Mart[[#This Row],[1]:[31]])</f>
        <v>0</v>
      </c>
    </row>
    <row r="51" spans="1:35" ht="30" customHeight="1" x14ac:dyDescent="0.35">
      <c r="A51" s="22">
        <v>45</v>
      </c>
      <c r="B51" s="22" t="str">
        <f>Yanvar!B51</f>
        <v>Bağban</v>
      </c>
      <c r="C51" s="16" t="str">
        <f>Fevral!C51</f>
        <v>Yusubov İsmayıl Sübhan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COUNTA(Mart[[#This Row],[1]:[31]])</f>
        <v>0</v>
      </c>
    </row>
    <row r="52" spans="1:35" ht="30" customHeight="1" x14ac:dyDescent="0.35">
      <c r="A52" s="22">
        <v>46</v>
      </c>
      <c r="B52" s="22" t="str">
        <f>Yanvar!B52</f>
        <v>Bağban</v>
      </c>
      <c r="C52" s="16" t="str">
        <f>Fevral!C52</f>
        <v>Zeynalov Anar Kamal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COUNTA(Mart[[#This Row],[1]:[31]])</f>
        <v>0</v>
      </c>
    </row>
    <row r="53" spans="1:35" ht="30" customHeight="1" x14ac:dyDescent="0.35">
      <c r="A53" s="22">
        <v>47</v>
      </c>
      <c r="B53" s="22" t="str">
        <f>Yanvar!B53</f>
        <v>Bağban</v>
      </c>
      <c r="C53" s="16" t="str">
        <f>Fevral!C53</f>
        <v>Zeynalov Şahab Əlizaman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COUNTA(Mart[[#This Row],[1]:[31]])</f>
        <v>0</v>
      </c>
    </row>
    <row r="54" spans="1:35" ht="30" customHeight="1" x14ac:dyDescent="0.35">
      <c r="A54" s="22">
        <v>48</v>
      </c>
      <c r="B54" s="22" t="str">
        <f>Yanvar!B54</f>
        <v>Bağban</v>
      </c>
      <c r="C54" s="16" t="str">
        <f>Fevral!C54</f>
        <v>Cəfərov Qubad Südeyf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COUNTA(Mart[[#This Row],[1]:[31]])</f>
        <v>0</v>
      </c>
    </row>
    <row r="55" spans="1:35" ht="30" customHeight="1" x14ac:dyDescent="0.35">
      <c r="A55" s="22">
        <v>49</v>
      </c>
      <c r="B55" s="22" t="str">
        <f>Yanvar!B55</f>
        <v>Bağban</v>
      </c>
      <c r="C55" s="16" t="str">
        <f>Fevral!C55</f>
        <v>Yusubov İsməddin Sübhan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COUNTA(Mart[[#This Row],[1]:[31]])</f>
        <v>0</v>
      </c>
    </row>
    <row r="56" spans="1:35" ht="30" customHeight="1" x14ac:dyDescent="0.35">
      <c r="A56" s="22">
        <v>50</v>
      </c>
      <c r="B56" s="22" t="str">
        <f>Yanvar!B56</f>
        <v>Bağban</v>
      </c>
      <c r="C56" s="16">
        <f>Fevral!C56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COUNTA(Mart[[#This Row],[1]:[31]])</f>
        <v>0</v>
      </c>
    </row>
    <row r="57" spans="1:35" ht="30" customHeight="1" x14ac:dyDescent="0.35">
      <c r="A57" s="22">
        <v>51</v>
      </c>
      <c r="B57" s="22" t="str">
        <f>Yanvar!B57</f>
        <v>Bağban</v>
      </c>
      <c r="C57" s="16">
        <f>Fevral!C57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COUNTA(Mart[[#This Row],[1]:[31]])</f>
        <v>0</v>
      </c>
    </row>
    <row r="58" spans="1:35" ht="30" customHeight="1" x14ac:dyDescent="0.35">
      <c r="A58" s="22">
        <v>52</v>
      </c>
      <c r="B58" s="22" t="str">
        <f>Yanvar!B58</f>
        <v>Bağban</v>
      </c>
      <c r="C58" s="16">
        <f>Fevral!C58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COUNTA(Mart[[#This Row],[1]:[31]])</f>
        <v>0</v>
      </c>
    </row>
    <row r="59" spans="1:35" ht="30" customHeight="1" x14ac:dyDescent="0.35">
      <c r="A59" s="22">
        <v>53</v>
      </c>
      <c r="B59" s="22" t="str">
        <f>Yanvar!B59</f>
        <v>Bağban</v>
      </c>
      <c r="C59" s="16">
        <f>Fevral!C59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COUNTA(Mart[[#This Row],[1]:[31]])</f>
        <v>0</v>
      </c>
    </row>
    <row r="60" spans="1:35" ht="30" customHeight="1" x14ac:dyDescent="0.35">
      <c r="A60" s="22">
        <v>54</v>
      </c>
      <c r="B60" s="22" t="str">
        <f>Yanvar!B60</f>
        <v>Bağban</v>
      </c>
      <c r="C60" s="16">
        <f>Fevral!C60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COUNTA(Mart[[#This Row],[1]:[31]])</f>
        <v>0</v>
      </c>
    </row>
    <row r="61" spans="1:35" ht="30" customHeight="1" x14ac:dyDescent="0.35">
      <c r="A61" s="22">
        <v>55</v>
      </c>
      <c r="B61" s="22" t="str">
        <f>Yanvar!B61</f>
        <v>Bağban</v>
      </c>
      <c r="C61" s="16">
        <f>Fevral!C61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9">
        <f>COUNTA(Mart[[#This Row],[1]:[31]])</f>
        <v>0</v>
      </c>
    </row>
    <row r="62" spans="1:35" ht="30" customHeight="1" x14ac:dyDescent="0.35">
      <c r="C62" s="19" t="str">
        <f>AyAdı&amp;" Toplamı"</f>
        <v>Mart Toplamı</v>
      </c>
      <c r="D62" s="12">
        <f>SUBTOTAL(103,Mart[1])</f>
        <v>0</v>
      </c>
      <c r="E62" s="12">
        <f>SUBTOTAL(103,Mart[2])</f>
        <v>0</v>
      </c>
      <c r="F62" s="12">
        <f>SUBTOTAL(103,Mart[3])</f>
        <v>0</v>
      </c>
      <c r="G62" s="12">
        <f>SUBTOTAL(103,Mart[4])</f>
        <v>0</v>
      </c>
      <c r="H62" s="12">
        <f>SUBTOTAL(103,Mart[5])</f>
        <v>0</v>
      </c>
      <c r="I62" s="12">
        <f>SUBTOTAL(103,Mart[6])</f>
        <v>0</v>
      </c>
      <c r="J62" s="12">
        <f>SUBTOTAL(103,Mart[7])</f>
        <v>0</v>
      </c>
      <c r="K62" s="12">
        <f>SUBTOTAL(103,Mart[8])</f>
        <v>0</v>
      </c>
      <c r="L62" s="12">
        <f>SUBTOTAL(103,Mart[9])</f>
        <v>0</v>
      </c>
      <c r="M62" s="12">
        <f>SUBTOTAL(103,Mart[10])</f>
        <v>0</v>
      </c>
      <c r="N62" s="12">
        <f>SUBTOTAL(103,Mart[11])</f>
        <v>0</v>
      </c>
      <c r="O62" s="12">
        <f>SUBTOTAL(103,Mart[12])</f>
        <v>0</v>
      </c>
      <c r="P62" s="12">
        <f>SUBTOTAL(103,Mart[13])</f>
        <v>0</v>
      </c>
      <c r="Q62" s="12">
        <f>SUBTOTAL(103,Mart[14])</f>
        <v>0</v>
      </c>
      <c r="R62" s="12">
        <f>SUBTOTAL(103,Mart[15])</f>
        <v>0</v>
      </c>
      <c r="S62" s="12">
        <f>SUBTOTAL(103,Mart[16])</f>
        <v>0</v>
      </c>
      <c r="T62" s="12">
        <f>SUBTOTAL(103,Mart[17])</f>
        <v>0</v>
      </c>
      <c r="U62" s="12">
        <f>SUBTOTAL(103,Mart[18])</f>
        <v>0</v>
      </c>
      <c r="V62" s="12">
        <f>SUBTOTAL(103,Mart[19])</f>
        <v>0</v>
      </c>
      <c r="W62" s="12">
        <f>SUBTOTAL(103,Mart[20])</f>
        <v>0</v>
      </c>
      <c r="X62" s="12">
        <f>SUBTOTAL(103,Mart[21])</f>
        <v>0</v>
      </c>
      <c r="Y62" s="12">
        <f>SUBTOTAL(103,Mart[22])</f>
        <v>0</v>
      </c>
      <c r="Z62" s="12">
        <f>SUBTOTAL(103,Mart[23])</f>
        <v>0</v>
      </c>
      <c r="AA62" s="12">
        <f>SUBTOTAL(103,Mart[24])</f>
        <v>0</v>
      </c>
      <c r="AB62" s="12">
        <f>SUBTOTAL(103,Mart[25])</f>
        <v>0</v>
      </c>
      <c r="AC62" s="12">
        <f>SUBTOTAL(103,Mart[26])</f>
        <v>0</v>
      </c>
      <c r="AD62" s="12">
        <f>SUBTOTAL(103,Mart[27])</f>
        <v>0</v>
      </c>
      <c r="AE62" s="12">
        <f>SUBTOTAL(103,Mart[28])</f>
        <v>0</v>
      </c>
      <c r="AF62" s="12">
        <f>SUBTOTAL(103,Mart[29])</f>
        <v>0</v>
      </c>
      <c r="AG62" s="12">
        <f>SUBTOTAL(103,Mart[30])</f>
        <v>0</v>
      </c>
      <c r="AH62" s="12">
        <f>SUBTOTAL(103,Mart[31])</f>
        <v>0</v>
      </c>
      <c r="AI62" s="12">
        <f>SUBTOTAL(109,Mart[Toplam Gün])</f>
        <v>0</v>
      </c>
    </row>
  </sheetData>
  <mergeCells count="6">
    <mergeCell ref="D4:AH4"/>
    <mergeCell ref="E2:G2"/>
    <mergeCell ref="I2:K2"/>
    <mergeCell ref="M2:N2"/>
    <mergeCell ref="P2:R2"/>
    <mergeCell ref="T2:V2"/>
  </mergeCells>
  <phoneticPr fontId="19" type="noConversion"/>
  <conditionalFormatting sqref="D7:AH61">
    <cfRule type="expression" priority="1" stopIfTrue="1">
      <formula>D7=""</formula>
    </cfRule>
  </conditionalFormatting>
  <conditionalFormatting sqref="D7:AH61">
    <cfRule type="expression" dxfId="776" priority="2" stopIfTrue="1">
      <formula>D7=AnahtarÖzel2</formula>
    </cfRule>
    <cfRule type="expression" dxfId="775" priority="3" stopIfTrue="1">
      <formula>D7=AnahtarÖzel1</formula>
    </cfRule>
    <cfRule type="expression" dxfId="774" priority="4" stopIfTrue="1">
      <formula>D7=AnahtarHasta</formula>
    </cfRule>
    <cfRule type="expression" dxfId="773" priority="5" stopIfTrue="1">
      <formula>D7=AnahtarKişisel</formula>
    </cfRule>
    <cfRule type="expression" dxfId="772" priority="6" stopIfTrue="1">
      <formula>D7=AnahtarTatil</formula>
    </cfRule>
  </conditionalFormatting>
  <conditionalFormatting sqref="AI7:AI61">
    <cfRule type="dataBar" priority="7">
      <dataBar>
        <cfvo type="min"/>
        <cfvo type="formula" val="DATEDIF(DATE(TakvimYılı,2,1),DATE(TakvimYılı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  <dataValidation allowBlank="1" showInputMessage="1" showErrorMessage="1" prompt="Bu satırdaki günler, AH4 hücresindeki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Bu devamsızlık zaman çizelgesinin ay adı bu hücrededir. Bu aya ait toplam devamsızlık miktarı, tablonun son hücresindedir. Tablonun B sütunundan çalışan adlarını seçin" sqref="C4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Soldaki özel anahtarı açıklamak için bir etiket girin" sqref="P2:R2 T2:V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&quot;H&quot; harfi hastalık nedeniyle devamsızlığı gösterir" sqref="L2"/>
    <dataValidation allowBlank="1" showInputMessage="1" showErrorMessage="1" prompt="&quot;K&quot; harfi kişisel nedenlerden dolayı devamsızlığı gösterir" sqref="H2"/>
    <dataValidation allowBlank="1" showInputMessage="1" showErrorMessage="1" prompt="&quot;T&quot; harfi tatil nedeniyle devamsızlığı gösterir" sqref="D2"/>
    <dataValidation allowBlank="1" showInputMessage="1" showErrorMessage="1" prompt="Otomatik olarak güncelleştirilen başlık bu hücrededir. Başlığı değiştirmek için Ocak çalışma sayfasındaki B1 hücresini güncelleştirin" sqref="C1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Bu ay bir çalışanın toplamda kaç gün devamsızlık yaptığını, bu sütunda otomatik olarak hesaplar" sqref="AI6"/>
    <dataValidation allowBlank="1" showInputMessage="1" showErrorMessage="1" prompt="Ocak çalışma sayfasında girilen yıla göre otomatik olarak güncelleştirilen yıl" sqref="AI4"/>
    <dataValidation allowBlank="1" showInputMessage="1" showErrorMessage="1" prompt="Bu çalışma sayfasında Şubat devamsızlığını izleyin" sqref="A1:B1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DATEDIF(DATE(TakvimYılı,2,1),DATE(TakvimYılı,3,1),"d")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'Çalışan Adları'!$B$4:$B$8</xm:f>
          </x14:formula1>
          <xm:sqref>C8:C61</xm:sqref>
        </x14:dataValidation>
        <x14:dataValidation type="list" allowBlank="1" showInputMessage="1" showErrorMessage="1">
          <x14:formula1>
            <xm:f>'Çalışan Adları'!$B$4:$B$56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I62"/>
  <sheetViews>
    <sheetView showGridLines="0" zoomScale="70" zoomScaleNormal="70" workbookViewId="0">
      <selection activeCell="B8" sqref="B8"/>
    </sheetView>
  </sheetViews>
  <sheetFormatPr defaultRowHeight="30" customHeight="1" x14ac:dyDescent="0.35"/>
  <cols>
    <col min="1" max="1" width="3.81640625" style="1" customWidth="1"/>
    <col min="2" max="2" width="23.54296875" style="1" customWidth="1"/>
    <col min="3" max="3" width="25.63281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C1" s="13" t="str">
        <f>Employee_Absence_Title</f>
        <v>İşçilərin davamiyyət cədvəli</v>
      </c>
    </row>
    <row r="2" spans="1:35" ht="15" customHeight="1" x14ac:dyDescent="0.35"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 t="s">
        <v>45</v>
      </c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/>
      <c r="T2" s="40" t="s">
        <v>20</v>
      </c>
      <c r="U2" s="40"/>
      <c r="V2" s="40"/>
    </row>
    <row r="3" spans="1:35" ht="15" customHeight="1" x14ac:dyDescent="0.35">
      <c r="C3" s="13"/>
    </row>
    <row r="4" spans="1:35" ht="30" customHeight="1" x14ac:dyDescent="0.35">
      <c r="C4" s="11" t="s">
        <v>51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f>TakvimYılı</f>
        <v>2022</v>
      </c>
    </row>
    <row r="5" spans="1:35" ht="15" customHeight="1" x14ac:dyDescent="0.35">
      <c r="C5" s="11"/>
      <c r="D5" s="1" t="str">
        <f>TEXT(WEEKDAY(DATE(TakvimYılı,4,1),1),"ggg")</f>
        <v/>
      </c>
      <c r="E5" s="1" t="str">
        <f>TEXT(WEEKDAY(DATE(TakvimYılı,4,2),1),"ggg")</f>
        <v/>
      </c>
      <c r="F5" s="1" t="str">
        <f>TEXT(WEEKDAY(DATE(TakvimYılı,4,3),1),"ggg")</f>
        <v/>
      </c>
      <c r="G5" s="1" t="str">
        <f>TEXT(WEEKDAY(DATE(TakvimYılı,4,4),1),"ggg")</f>
        <v/>
      </c>
      <c r="H5" s="1" t="str">
        <f>TEXT(WEEKDAY(DATE(TakvimYılı,4,5),1),"ggg")</f>
        <v/>
      </c>
      <c r="I5" s="1" t="str">
        <f>TEXT(WEEKDAY(DATE(TakvimYılı,4,6),1),"ggg")</f>
        <v/>
      </c>
      <c r="J5" s="1" t="str">
        <f>TEXT(WEEKDAY(DATE(TakvimYılı,4,7),1),"ggg")</f>
        <v/>
      </c>
      <c r="K5" s="1" t="str">
        <f>TEXT(WEEKDAY(DATE(TakvimYılı,4,8),1),"ggg")</f>
        <v/>
      </c>
      <c r="L5" s="1" t="str">
        <f>TEXT(WEEKDAY(DATE(TakvimYılı,4,9),1),"ggg")</f>
        <v/>
      </c>
      <c r="M5" s="1" t="str">
        <f>TEXT(WEEKDAY(DATE(TakvimYılı,4,10),1),"ggg")</f>
        <v/>
      </c>
      <c r="N5" s="1" t="str">
        <f>TEXT(WEEKDAY(DATE(TakvimYılı,4,11),1),"ggg")</f>
        <v/>
      </c>
      <c r="O5" s="1" t="str">
        <f>TEXT(WEEKDAY(DATE(TakvimYılı,4,12),1),"ggg")</f>
        <v/>
      </c>
      <c r="P5" s="1" t="str">
        <f>TEXT(WEEKDAY(DATE(TakvimYılı,4,13),1),"ggg")</f>
        <v/>
      </c>
      <c r="Q5" s="1" t="str">
        <f>TEXT(WEEKDAY(DATE(TakvimYılı,4,14),1),"ggg")</f>
        <v/>
      </c>
      <c r="R5" s="1" t="str">
        <f>TEXT(WEEKDAY(DATE(TakvimYılı,4,15),1),"ggg")</f>
        <v/>
      </c>
      <c r="S5" s="1" t="str">
        <f>TEXT(WEEKDAY(DATE(TakvimYılı,4,16),1),"ggg")</f>
        <v/>
      </c>
      <c r="T5" s="1" t="str">
        <f>TEXT(WEEKDAY(DATE(TakvimYılı,4,17),1),"ggg")</f>
        <v/>
      </c>
      <c r="U5" s="1" t="str">
        <f>TEXT(WEEKDAY(DATE(TakvimYılı,4,18),1),"ggg")</f>
        <v/>
      </c>
      <c r="V5" s="1" t="str">
        <f>TEXT(WEEKDAY(DATE(TakvimYılı,4,19),1),"ggg")</f>
        <v/>
      </c>
      <c r="W5" s="1" t="str">
        <f>TEXT(WEEKDAY(DATE(TakvimYılı,4,20),1),"ggg")</f>
        <v/>
      </c>
      <c r="X5" s="1" t="str">
        <f>TEXT(WEEKDAY(DATE(TakvimYılı,4,21),1),"ggg")</f>
        <v/>
      </c>
      <c r="Y5" s="1" t="str">
        <f>TEXT(WEEKDAY(DATE(TakvimYılı,4,22),1),"ggg")</f>
        <v/>
      </c>
      <c r="Z5" s="1" t="str">
        <f>TEXT(WEEKDAY(DATE(TakvimYılı,4,23),1),"ggg")</f>
        <v/>
      </c>
      <c r="AA5" s="1" t="str">
        <f>TEXT(WEEKDAY(DATE(TakvimYılı,4,24),1),"ggg")</f>
        <v/>
      </c>
      <c r="AB5" s="1" t="str">
        <f>TEXT(WEEKDAY(DATE(TakvimYılı,4,25),1),"ggg")</f>
        <v/>
      </c>
      <c r="AC5" s="1" t="str">
        <f>TEXT(WEEKDAY(DATE(TakvimYılı,4,26),1),"ggg")</f>
        <v/>
      </c>
      <c r="AD5" s="1" t="str">
        <f>TEXT(WEEKDAY(DATE(TakvimYılı,4,27),1),"ggg")</f>
        <v/>
      </c>
      <c r="AE5" s="1" t="str">
        <f>TEXT(WEEKDAY(DATE(TakvimYılı,4,28),1),"ggg")</f>
        <v/>
      </c>
      <c r="AF5" s="1" t="str">
        <f>TEXT(WEEKDAY(DATE(TakvimYılı,4,29),1),"ggg")</f>
        <v/>
      </c>
      <c r="AG5" s="1" t="str">
        <f>TEXT(WEEKDAY(DATE(TakvimYılı,4,30),1),"ggg")</f>
        <v/>
      </c>
      <c r="AH5" s="1"/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34</v>
      </c>
      <c r="AH6" s="20" t="s">
        <v>37</v>
      </c>
      <c r="AI6" s="15" t="s">
        <v>36</v>
      </c>
    </row>
    <row r="7" spans="1:35" ht="30" customHeight="1" x14ac:dyDescent="0.35">
      <c r="A7" s="22">
        <v>1</v>
      </c>
      <c r="B7" s="16" t="str">
        <f>Mart!B7</f>
        <v>Menecer</v>
      </c>
      <c r="C7" s="16" t="str">
        <f>Mart!C7</f>
        <v>Rzakov Ramiz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COUNTA(Nisan[[#This Row],[1]:[30]])</f>
        <v>0</v>
      </c>
    </row>
    <row r="8" spans="1:35" ht="30" customHeight="1" x14ac:dyDescent="0.35">
      <c r="A8" s="22">
        <v>2</v>
      </c>
      <c r="B8" s="16" t="str">
        <f>Mart!B8</f>
        <v>Nəzarətçi</v>
      </c>
      <c r="C8" s="16" t="str">
        <f>Mart!C8</f>
        <v>Əsədov Elçin Güloğlan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COUNTA(Nisan[[#This Row],[1]:[30]])</f>
        <v>0</v>
      </c>
    </row>
    <row r="9" spans="1:35" ht="30" customHeight="1" x14ac:dyDescent="0.35">
      <c r="A9" s="22">
        <v>3</v>
      </c>
      <c r="B9" s="16" t="str">
        <f>Mart!B9</f>
        <v>Nəzarətçi</v>
      </c>
      <c r="C9" s="16" t="str">
        <f>Mart!C9</f>
        <v>Babayev Fərid Vaqif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COUNTA(Nisan[[#This Row],[1]:[30]])</f>
        <v>0</v>
      </c>
    </row>
    <row r="10" spans="1:35" ht="30" customHeight="1" x14ac:dyDescent="0.35">
      <c r="A10" s="22">
        <v>4</v>
      </c>
      <c r="B10" s="16" t="str">
        <f>Mart!B10</f>
        <v>Ofis meneceri</v>
      </c>
      <c r="C10" s="16" t="str">
        <f>Mart!C10</f>
        <v>Abbasov Rahib Ziyad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COUNTA(Nisan[[#This Row],[1]:[30]])</f>
        <v>0</v>
      </c>
    </row>
    <row r="11" spans="1:35" ht="30" customHeight="1" x14ac:dyDescent="0.35">
      <c r="A11" s="22">
        <v>5</v>
      </c>
      <c r="B11" s="16" t="str">
        <f>Mart!B11</f>
        <v>Ofis meneceri</v>
      </c>
      <c r="C11" s="16" t="str">
        <f>Mart!C11</f>
        <v>Əşrəfzadə Sərxan Elman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COUNTA(Nisan[[#This Row],[1]:[30]])</f>
        <v>0</v>
      </c>
    </row>
    <row r="12" spans="1:35" ht="30" customHeight="1" x14ac:dyDescent="0.35">
      <c r="A12" s="22">
        <v>6</v>
      </c>
      <c r="B12" s="16" t="str">
        <f>Mart!B12</f>
        <v>Ofis meneceri</v>
      </c>
      <c r="C12" s="16" t="str">
        <f>Mart!C12</f>
        <v>Dostəlizadə Mahir Valeh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COUNTA(Nisan[[#This Row],[1]:[30]])</f>
        <v>0</v>
      </c>
    </row>
    <row r="13" spans="1:35" ht="30" customHeight="1" x14ac:dyDescent="0.35">
      <c r="A13" s="22">
        <v>7</v>
      </c>
      <c r="B13" s="16" t="str">
        <f>Mart!B13</f>
        <v>Ofis meneceri</v>
      </c>
      <c r="C13" s="16" t="str">
        <f>Mart!C13</f>
        <v>Rəsulov Nurlan Yaşar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COUNTA(Nisan[[#This Row],[1]:[30]])</f>
        <v>0</v>
      </c>
    </row>
    <row r="14" spans="1:35" ht="30" customHeight="1" x14ac:dyDescent="0.35">
      <c r="A14" s="22">
        <v>8</v>
      </c>
      <c r="B14" s="16" t="str">
        <f>Mart!B14</f>
        <v>Bağban</v>
      </c>
      <c r="C14" s="16" t="str">
        <f>Mart!C14</f>
        <v>Abbasov Sücayət Hüseyn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COUNTA(Nisan[[#This Row],[1]:[30]])</f>
        <v>0</v>
      </c>
    </row>
    <row r="15" spans="1:35" ht="30" customHeight="1" x14ac:dyDescent="0.35">
      <c r="A15" s="22">
        <v>9</v>
      </c>
      <c r="B15" s="16" t="str">
        <f>Mart!B15</f>
        <v>Bağban</v>
      </c>
      <c r="C15" s="16" t="str">
        <f>Mart!C15</f>
        <v>Ağayev Əkrəm Zülfi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COUNTA(Nisan[[#This Row],[1]:[30]])</f>
        <v>0</v>
      </c>
    </row>
    <row r="16" spans="1:35" ht="30" customHeight="1" x14ac:dyDescent="0.35">
      <c r="A16" s="22">
        <v>10</v>
      </c>
      <c r="B16" s="16" t="str">
        <f>Mart!B16</f>
        <v>Bağban</v>
      </c>
      <c r="C16" s="16" t="str">
        <f>Mart!C16</f>
        <v>Bayramov Asim İsaq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COUNTA(Nisan[[#This Row],[1]:[30]])</f>
        <v>0</v>
      </c>
    </row>
    <row r="17" spans="1:35" ht="30" customHeight="1" x14ac:dyDescent="0.35">
      <c r="A17" s="22">
        <v>11</v>
      </c>
      <c r="B17" s="16" t="str">
        <f>Mart!B17</f>
        <v>Bağban</v>
      </c>
      <c r="C17" s="16" t="str">
        <f>Mart!C17</f>
        <v>Əhədov Seymur Atakişi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COUNTA(Nisan[[#This Row],[1]:[30]])</f>
        <v>0</v>
      </c>
    </row>
    <row r="18" spans="1:35" ht="30" customHeight="1" x14ac:dyDescent="0.35">
      <c r="A18" s="22">
        <v>12</v>
      </c>
      <c r="B18" s="16" t="str">
        <f>Mart!B18</f>
        <v>Bağban</v>
      </c>
      <c r="C18" s="16" t="str">
        <f>Mart!C18</f>
        <v>Əhmədov Elməddin Əhməd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COUNTA(Nisan[[#This Row],[1]:[30]])</f>
        <v>0</v>
      </c>
    </row>
    <row r="19" spans="1:35" ht="30" customHeight="1" x14ac:dyDescent="0.35">
      <c r="A19" s="22">
        <v>13</v>
      </c>
      <c r="B19" s="16" t="str">
        <f>Mart!B19</f>
        <v>Bağban</v>
      </c>
      <c r="C19" s="16" t="str">
        <f>Mart!C19</f>
        <v>Ələkbərov Bagman Ərəstun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COUNTA(Nisan[[#This Row],[1]:[30]])</f>
        <v>0</v>
      </c>
    </row>
    <row r="20" spans="1:35" ht="30" customHeight="1" x14ac:dyDescent="0.35">
      <c r="A20" s="22">
        <v>14</v>
      </c>
      <c r="B20" s="16" t="str">
        <f>Mart!B20</f>
        <v>Bağban</v>
      </c>
      <c r="C20" s="16" t="str">
        <f>Mart!C20</f>
        <v>Ələkbərov Fərman Qabil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COUNTA(Nisan[[#This Row],[1]:[30]])</f>
        <v>0</v>
      </c>
    </row>
    <row r="21" spans="1:35" ht="30" customHeight="1" x14ac:dyDescent="0.35">
      <c r="A21" s="22">
        <v>15</v>
      </c>
      <c r="B21" s="16" t="str">
        <f>Mart!B21</f>
        <v>Bağban</v>
      </c>
      <c r="C21" s="16" t="str">
        <f>Mart!C21</f>
        <v>Ələsgərov Elməddin Rauf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COUNTA(Nisan[[#This Row],[1]:[30]])</f>
        <v>0</v>
      </c>
    </row>
    <row r="22" spans="1:35" ht="30" customHeight="1" x14ac:dyDescent="0.35">
      <c r="A22" s="22">
        <v>16</v>
      </c>
      <c r="B22" s="16" t="str">
        <f>Mart!B22</f>
        <v>Bağban</v>
      </c>
      <c r="C22" s="16" t="str">
        <f>Mart!C22</f>
        <v>Əliyev Həsən Mais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COUNTA(Nisan[[#This Row],[1]:[30]])</f>
        <v>0</v>
      </c>
    </row>
    <row r="23" spans="1:35" ht="30" customHeight="1" x14ac:dyDescent="0.35">
      <c r="A23" s="22">
        <v>17</v>
      </c>
      <c r="B23" s="16" t="str">
        <f>Mart!B23</f>
        <v>Bağban</v>
      </c>
      <c r="C23" s="16" t="str">
        <f>Mart!C23</f>
        <v>Əliyev Sərdar Əliağa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COUNTA(Nisan[[#This Row],[1]:[30]])</f>
        <v>0</v>
      </c>
    </row>
    <row r="24" spans="1:35" ht="30" customHeight="1" x14ac:dyDescent="0.35">
      <c r="A24" s="22">
        <v>18</v>
      </c>
      <c r="B24" s="16" t="str">
        <f>Mart!B24</f>
        <v>Bağban</v>
      </c>
      <c r="C24" s="16" t="str">
        <f>Mart!C24</f>
        <v>Əliyev Xalıq Xanağa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COUNTA(Nisan[[#This Row],[1]:[30]])</f>
        <v>0</v>
      </c>
    </row>
    <row r="25" spans="1:35" ht="30" customHeight="1" x14ac:dyDescent="0.35">
      <c r="A25" s="22">
        <v>19</v>
      </c>
      <c r="B25" s="16" t="str">
        <f>Mart!B25</f>
        <v>Bağban</v>
      </c>
      <c r="C25" s="16" t="str">
        <f>Mart!C25</f>
        <v>Feyzullayev Firudin Ramiz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COUNTA(Nisan[[#This Row],[1]:[30]])</f>
        <v>0</v>
      </c>
    </row>
    <row r="26" spans="1:35" ht="30" customHeight="1" x14ac:dyDescent="0.35">
      <c r="A26" s="22">
        <v>20</v>
      </c>
      <c r="B26" s="16" t="str">
        <f>Mart!B26</f>
        <v>Bağban</v>
      </c>
      <c r="C26" s="16" t="str">
        <f>Mart!C26</f>
        <v>Haşımov Asif Hacı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COUNTA(Nisan[[#This Row],[1]:[30]])</f>
        <v>0</v>
      </c>
    </row>
    <row r="27" spans="1:35" ht="30" customHeight="1" x14ac:dyDescent="0.35">
      <c r="A27" s="22">
        <v>21</v>
      </c>
      <c r="B27" s="16" t="str">
        <f>Mart!B27</f>
        <v>Bağban</v>
      </c>
      <c r="C27" s="16" t="str">
        <f>Mart!C27</f>
        <v>Hüseynov Davud İsa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COUNTA(Nisan[[#This Row],[1]:[30]])</f>
        <v>0</v>
      </c>
    </row>
    <row r="28" spans="1:35" ht="30" customHeight="1" x14ac:dyDescent="0.35">
      <c r="A28" s="22">
        <v>22</v>
      </c>
      <c r="B28" s="16" t="str">
        <f>Mart!B28</f>
        <v>Bağban</v>
      </c>
      <c r="C28" s="16" t="str">
        <f>Mart!C28</f>
        <v>Hüseynov Ədail İsa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COUNTA(Nisan[[#This Row],[1]:[30]])</f>
        <v>0</v>
      </c>
    </row>
    <row r="29" spans="1:35" ht="30" customHeight="1" x14ac:dyDescent="0.35">
      <c r="A29" s="22">
        <v>23</v>
      </c>
      <c r="B29" s="16" t="str">
        <f>Mart!B29</f>
        <v>Bağban</v>
      </c>
      <c r="C29" s="16" t="str">
        <f>Mart!C29</f>
        <v>Hüseynov Səfaddin Əbülfəz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COUNTA(Nisan[[#This Row],[1]:[30]])</f>
        <v>0</v>
      </c>
    </row>
    <row r="30" spans="1:35" ht="30" customHeight="1" x14ac:dyDescent="0.35">
      <c r="A30" s="22">
        <v>24</v>
      </c>
      <c r="B30" s="16" t="str">
        <f>Mart!B30</f>
        <v>Bağban</v>
      </c>
      <c r="C30" s="16" t="str">
        <f>Mart!C30</f>
        <v>Hüseynov Şəmistan Qabil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COUNTA(Nisan[[#This Row],[1]:[30]])</f>
        <v>0</v>
      </c>
    </row>
    <row r="31" spans="1:35" ht="30" customHeight="1" x14ac:dyDescent="0.35">
      <c r="A31" s="22">
        <v>25</v>
      </c>
      <c r="B31" s="16" t="str">
        <f>Mart!B31</f>
        <v>Bağban</v>
      </c>
      <c r="C31" s="16" t="str">
        <f>Mart!C31</f>
        <v>Hüseynov Sərdar İsa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COUNTA(Nisan[[#This Row],[1]:[30]])</f>
        <v>0</v>
      </c>
    </row>
    <row r="32" spans="1:35" ht="30" customHeight="1" x14ac:dyDescent="0.35">
      <c r="A32" s="22">
        <v>26</v>
      </c>
      <c r="B32" s="16" t="str">
        <f>Mart!B32</f>
        <v>Bağban</v>
      </c>
      <c r="C32" s="16" t="str">
        <f>Mart!C32</f>
        <v>Hüseynov Siruz Qabil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COUNTA(Nisan[[#This Row],[1]:[30]])</f>
        <v>0</v>
      </c>
    </row>
    <row r="33" spans="1:35" ht="30" customHeight="1" x14ac:dyDescent="0.35">
      <c r="A33" s="22">
        <v>27</v>
      </c>
      <c r="B33" s="16" t="str">
        <f>Mart!B33</f>
        <v>Bağban</v>
      </c>
      <c r="C33" s="16" t="str">
        <f>Mart!C33</f>
        <v>Hüseynov Taleh Daşqın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COUNTA(Nisan[[#This Row],[1]:[30]])</f>
        <v>0</v>
      </c>
    </row>
    <row r="34" spans="1:35" ht="30" customHeight="1" x14ac:dyDescent="0.35">
      <c r="A34" s="22">
        <v>28</v>
      </c>
      <c r="B34" s="16" t="str">
        <f>Mart!B34</f>
        <v>Bağban</v>
      </c>
      <c r="C34" s="16" t="str">
        <f>Mart!C34</f>
        <v>Hüseynov Tərlan Yadulla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COUNTA(Nisan[[#This Row],[1]:[30]])</f>
        <v>0</v>
      </c>
    </row>
    <row r="35" spans="1:35" ht="30" customHeight="1" x14ac:dyDescent="0.35">
      <c r="A35" s="22">
        <v>29</v>
      </c>
      <c r="B35" s="16" t="str">
        <f>Mart!B35</f>
        <v>Bağban</v>
      </c>
      <c r="C35" s="16" t="str">
        <f>Mart!C35</f>
        <v>İbayev Zahid Mahir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COUNTA(Nisan[[#This Row],[1]:[30]])</f>
        <v>0</v>
      </c>
    </row>
    <row r="36" spans="1:35" ht="30" customHeight="1" x14ac:dyDescent="0.35">
      <c r="A36" s="22">
        <v>30</v>
      </c>
      <c r="B36" s="16" t="str">
        <f>Mart!B36</f>
        <v>Bağban</v>
      </c>
      <c r="C36" s="16" t="str">
        <f>Mart!C36</f>
        <v>İbayev Zahir Mahir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COUNTA(Nisan[[#This Row],[1]:[30]])</f>
        <v>0</v>
      </c>
    </row>
    <row r="37" spans="1:35" ht="30" customHeight="1" x14ac:dyDescent="0.35">
      <c r="A37" s="22">
        <v>31</v>
      </c>
      <c r="B37" s="16" t="str">
        <f>Mart!B37</f>
        <v>Bağban</v>
      </c>
      <c r="C37" s="16" t="str">
        <f>Mart!C37</f>
        <v>Məcidzadə Əli Valeh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COUNTA(Nisan[[#This Row],[1]:[30]])</f>
        <v>0</v>
      </c>
    </row>
    <row r="38" spans="1:35" ht="30" customHeight="1" x14ac:dyDescent="0.35">
      <c r="A38" s="22">
        <v>32</v>
      </c>
      <c r="B38" s="16" t="str">
        <f>Mart!B38</f>
        <v>Bağban</v>
      </c>
      <c r="C38" s="16" t="str">
        <f>Mart!C38</f>
        <v xml:space="preserve">Məmmədli Bəhruz İlham 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COUNTA(Nisan[[#This Row],[1]:[30]])</f>
        <v>0</v>
      </c>
    </row>
    <row r="39" spans="1:35" ht="30" customHeight="1" x14ac:dyDescent="0.35">
      <c r="A39" s="22">
        <v>33</v>
      </c>
      <c r="B39" s="16" t="str">
        <f>Mart!B39</f>
        <v>Bağban</v>
      </c>
      <c r="C39" s="16" t="str">
        <f>Mart!C39</f>
        <v>Məmmədli İsa Nazim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COUNTA(Nisan[[#This Row],[1]:[30]])</f>
        <v>0</v>
      </c>
    </row>
    <row r="40" spans="1:35" ht="30" customHeight="1" x14ac:dyDescent="0.35">
      <c r="A40" s="22">
        <v>34</v>
      </c>
      <c r="B40" s="16" t="str">
        <f>Mart!B40</f>
        <v>Bağban</v>
      </c>
      <c r="C40" s="16" t="str">
        <f>Mart!C40</f>
        <v>Məmmədov İlqar Teyyub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COUNTA(Nisan[[#This Row],[1]:[30]])</f>
        <v>0</v>
      </c>
    </row>
    <row r="41" spans="1:35" ht="30" customHeight="1" x14ac:dyDescent="0.35">
      <c r="A41" s="22">
        <v>35</v>
      </c>
      <c r="B41" s="16" t="str">
        <f>Mart!B41</f>
        <v>Bağban</v>
      </c>
      <c r="C41" s="16" t="str">
        <f>Mart!C41</f>
        <v xml:space="preserve">Məmmədov Sahil Ağaxan 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COUNTA(Nisan[[#This Row],[1]:[30]])</f>
        <v>0</v>
      </c>
    </row>
    <row r="42" spans="1:35" ht="30" customHeight="1" x14ac:dyDescent="0.35">
      <c r="A42" s="22">
        <v>36</v>
      </c>
      <c r="B42" s="16" t="str">
        <f>Mart!B42</f>
        <v>Bağban</v>
      </c>
      <c r="C42" s="16" t="str">
        <f>Mart!C42</f>
        <v>Məmmədov Yaqub Zahir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COUNTA(Nisan[[#This Row],[1]:[30]])</f>
        <v>0</v>
      </c>
    </row>
    <row r="43" spans="1:35" ht="30" customHeight="1" x14ac:dyDescent="0.35">
      <c r="A43" s="22">
        <v>37</v>
      </c>
      <c r="B43" s="16" t="str">
        <f>Mart!B43</f>
        <v>Bağban</v>
      </c>
      <c r="C43" s="16" t="str">
        <f>Mart!C43</f>
        <v>Məmmədzadə Qərib Fəxrəddin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COUNTA(Nisan[[#This Row],[1]:[30]])</f>
        <v>0</v>
      </c>
    </row>
    <row r="44" spans="1:35" ht="30" customHeight="1" x14ac:dyDescent="0.35">
      <c r="A44" s="22">
        <v>38</v>
      </c>
      <c r="B44" s="16" t="str">
        <f>Mart!B44</f>
        <v>Bağban</v>
      </c>
      <c r="C44" s="16" t="str">
        <f>Mart!C44</f>
        <v xml:space="preserve">Musayev Minbir Oqtay 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COUNTA(Nisan[[#This Row],[1]:[30]])</f>
        <v>0</v>
      </c>
    </row>
    <row r="45" spans="1:35" ht="30" customHeight="1" x14ac:dyDescent="0.35">
      <c r="A45" s="22">
        <v>39</v>
      </c>
      <c r="B45" s="16" t="str">
        <f>Mart!B45</f>
        <v>Bağban</v>
      </c>
      <c r="C45" s="16" t="str">
        <f>Mart!C45</f>
        <v>Nəcəfov Fizuli Böyükağa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COUNTA(Nisan[[#This Row],[1]:[30]])</f>
        <v>0</v>
      </c>
    </row>
    <row r="46" spans="1:35" ht="30" customHeight="1" x14ac:dyDescent="0.35">
      <c r="A46" s="22">
        <v>40</v>
      </c>
      <c r="B46" s="16" t="str">
        <f>Mart!B46</f>
        <v>Ofis meneceri</v>
      </c>
      <c r="C46" s="16" t="str">
        <f>Mart!C46</f>
        <v>Rəsulov Nurlan Yaşar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COUNTA(Nisan[[#This Row],[1]:[30]])</f>
        <v>0</v>
      </c>
    </row>
    <row r="47" spans="1:35" ht="30" customHeight="1" x14ac:dyDescent="0.35">
      <c r="A47" s="22">
        <v>41</v>
      </c>
      <c r="B47" s="16" t="str">
        <f>Mart!B47</f>
        <v>Bağban</v>
      </c>
      <c r="C47" s="16" t="str">
        <f>Mart!C47</f>
        <v>Rzayev İbrahim Mais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COUNTA(Nisan[[#This Row],[1]:[30]])</f>
        <v>0</v>
      </c>
    </row>
    <row r="48" spans="1:35" ht="30" customHeight="1" x14ac:dyDescent="0.35">
      <c r="A48" s="22">
        <v>42</v>
      </c>
      <c r="B48" s="16" t="str">
        <f>Mart!B48</f>
        <v>Bağban</v>
      </c>
      <c r="C48" s="16" t="str">
        <f>Mart!C48</f>
        <v>Səttarov Ağaəli Ərəstun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COUNTA(Nisan[[#This Row],[1]:[30]])</f>
        <v>0</v>
      </c>
    </row>
    <row r="49" spans="1:35" ht="30" customHeight="1" x14ac:dyDescent="0.35">
      <c r="A49" s="22">
        <v>43</v>
      </c>
      <c r="B49" s="16" t="str">
        <f>Mart!B49</f>
        <v>Bağban</v>
      </c>
      <c r="C49" s="16" t="str">
        <f>Mart!C49</f>
        <v>Tahirov Rəşad Elman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COUNTA(Nisan[[#This Row],[1]:[30]])</f>
        <v>0</v>
      </c>
    </row>
    <row r="50" spans="1:35" ht="30" customHeight="1" x14ac:dyDescent="0.35">
      <c r="A50" s="22">
        <v>44</v>
      </c>
      <c r="B50" s="16" t="str">
        <f>Mart!B50</f>
        <v>Bağban</v>
      </c>
      <c r="C50" s="16" t="str">
        <f>Mart!C50</f>
        <v>Xangəldiyev Asəf Əsabəli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COUNTA(Nisan[[#This Row],[1]:[30]])</f>
        <v>0</v>
      </c>
    </row>
    <row r="51" spans="1:35" ht="30" customHeight="1" x14ac:dyDescent="0.35">
      <c r="A51" s="22">
        <v>45</v>
      </c>
      <c r="B51" s="16" t="str">
        <f>Mart!B51</f>
        <v>Bağban</v>
      </c>
      <c r="C51" s="16" t="str">
        <f>Mart!C51</f>
        <v>Yusubov İsmayıl Sübhan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COUNTA(Nisan[[#This Row],[1]:[30]])</f>
        <v>0</v>
      </c>
    </row>
    <row r="52" spans="1:35" ht="30" customHeight="1" x14ac:dyDescent="0.35">
      <c r="A52" s="22">
        <v>46</v>
      </c>
      <c r="B52" s="16" t="str">
        <f>Mart!B52</f>
        <v>Bağban</v>
      </c>
      <c r="C52" s="16" t="str">
        <f>Mart!C52</f>
        <v>Zeynalov Anar Kamal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COUNTA(Nisan[[#This Row],[1]:[30]])</f>
        <v>0</v>
      </c>
    </row>
    <row r="53" spans="1:35" ht="30" customHeight="1" x14ac:dyDescent="0.35">
      <c r="A53" s="22">
        <v>47</v>
      </c>
      <c r="B53" s="16" t="str">
        <f>Mart!B53</f>
        <v>Bağban</v>
      </c>
      <c r="C53" s="16" t="str">
        <f>Mart!C53</f>
        <v>Zeynalov Şahab Əlizaman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COUNTA(Nisan[[#This Row],[1]:[30]])</f>
        <v>0</v>
      </c>
    </row>
    <row r="54" spans="1:35" ht="30" customHeight="1" x14ac:dyDescent="0.35">
      <c r="A54" s="22">
        <v>48</v>
      </c>
      <c r="B54" s="16" t="str">
        <f>Mart!B54</f>
        <v>Bağban</v>
      </c>
      <c r="C54" s="16" t="str">
        <f>Mart!C54</f>
        <v>Cəfərov Qubad Südeyf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COUNTA(Nisan[[#This Row],[1]:[30]])</f>
        <v>0</v>
      </c>
    </row>
    <row r="55" spans="1:35" ht="30" customHeight="1" x14ac:dyDescent="0.35">
      <c r="A55" s="22">
        <v>49</v>
      </c>
      <c r="B55" s="16" t="str">
        <f>Mart!B55</f>
        <v>Bağban</v>
      </c>
      <c r="C55" s="16" t="str">
        <f>Mart!C55</f>
        <v>Yusubov İsməddin Sübhan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COUNTA(Nisan[[#This Row],[1]:[30]])</f>
        <v>0</v>
      </c>
    </row>
    <row r="56" spans="1:35" ht="30" customHeight="1" x14ac:dyDescent="0.35">
      <c r="A56" s="22">
        <v>50</v>
      </c>
      <c r="B56" s="16" t="str">
        <f>Mart!B56</f>
        <v>Bağban</v>
      </c>
      <c r="C56" s="16">
        <f>Mart!C56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COUNTA(Nisan[[#This Row],[1]:[30]])</f>
        <v>0</v>
      </c>
    </row>
    <row r="57" spans="1:35" ht="30" customHeight="1" x14ac:dyDescent="0.35">
      <c r="A57" s="22">
        <v>51</v>
      </c>
      <c r="B57" s="16" t="str">
        <f>Mart!B57</f>
        <v>Bağban</v>
      </c>
      <c r="C57" s="16">
        <f>Mart!C57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COUNTA(Nisan[[#This Row],[1]:[30]])</f>
        <v>0</v>
      </c>
    </row>
    <row r="58" spans="1:35" ht="30" customHeight="1" x14ac:dyDescent="0.35">
      <c r="A58" s="22">
        <v>52</v>
      </c>
      <c r="B58" s="16" t="str">
        <f>Mart!B58</f>
        <v>Bağban</v>
      </c>
      <c r="C58" s="16">
        <f>Mart!C58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COUNTA(Nisan[[#This Row],[1]:[30]])</f>
        <v>0</v>
      </c>
    </row>
    <row r="59" spans="1:35" ht="30" customHeight="1" x14ac:dyDescent="0.35">
      <c r="A59" s="22">
        <v>53</v>
      </c>
      <c r="B59" s="16" t="str">
        <f>Mart!B59</f>
        <v>Bağban</v>
      </c>
      <c r="C59" s="16">
        <f>Mart!C59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COUNTA(Nisan[[#This Row],[1]:[30]])</f>
        <v>0</v>
      </c>
    </row>
    <row r="60" spans="1:35" ht="30" customHeight="1" x14ac:dyDescent="0.35">
      <c r="A60" s="22">
        <v>54</v>
      </c>
      <c r="B60" s="16" t="str">
        <f>Mart!B60</f>
        <v>Bağban</v>
      </c>
      <c r="C60" s="16">
        <f>Mart!C60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COUNTA(Nisan[[#This Row],[1]:[30]])</f>
        <v>0</v>
      </c>
    </row>
    <row r="61" spans="1:35" ht="30" customHeight="1" x14ac:dyDescent="0.35">
      <c r="A61" s="22">
        <v>55</v>
      </c>
      <c r="B61" s="16" t="str">
        <f>Mart!B61</f>
        <v>Bağban</v>
      </c>
      <c r="C61" s="16">
        <f>Mart!C61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9">
        <f>COUNTA(Nisan[[#This Row],[1]:[30]])</f>
        <v>0</v>
      </c>
    </row>
    <row r="62" spans="1:35" ht="30" customHeight="1" x14ac:dyDescent="0.35">
      <c r="C62" s="41" t="str">
        <f>AyAdı&amp;" Toplamı"</f>
        <v>Aprel Toplamı</v>
      </c>
      <c r="D62" s="42">
        <f>SUBTOTAL(103,Nisan[1])</f>
        <v>0</v>
      </c>
      <c r="E62" s="42">
        <f>SUBTOTAL(103,Nisan[2])</f>
        <v>0</v>
      </c>
      <c r="F62" s="42">
        <f>SUBTOTAL(103,Nisan[3])</f>
        <v>0</v>
      </c>
      <c r="G62" s="42">
        <f>SUBTOTAL(103,Nisan[4])</f>
        <v>0</v>
      </c>
      <c r="H62" s="42">
        <f>SUBTOTAL(103,Nisan[5])</f>
        <v>0</v>
      </c>
      <c r="I62" s="42">
        <f>SUBTOTAL(103,Nisan[6])</f>
        <v>0</v>
      </c>
      <c r="J62" s="42">
        <f>SUBTOTAL(103,Nisan[7])</f>
        <v>0</v>
      </c>
      <c r="K62" s="42">
        <f>SUBTOTAL(103,Nisan[8])</f>
        <v>0</v>
      </c>
      <c r="L62" s="42">
        <f>SUBTOTAL(103,Nisan[9])</f>
        <v>0</v>
      </c>
      <c r="M62" s="42">
        <f>SUBTOTAL(103,Nisan[10])</f>
        <v>0</v>
      </c>
      <c r="N62" s="42">
        <f>SUBTOTAL(103,Nisan[11])</f>
        <v>0</v>
      </c>
      <c r="O62" s="42">
        <f>SUBTOTAL(103,Nisan[12])</f>
        <v>0</v>
      </c>
      <c r="P62" s="42">
        <f>SUBTOTAL(103,Nisan[13])</f>
        <v>0</v>
      </c>
      <c r="Q62" s="42">
        <f>SUBTOTAL(103,Nisan[14])</f>
        <v>0</v>
      </c>
      <c r="R62" s="42">
        <f>SUBTOTAL(103,Nisan[15])</f>
        <v>0</v>
      </c>
      <c r="S62" s="42">
        <f>SUBTOTAL(103,Nisan[16])</f>
        <v>0</v>
      </c>
      <c r="T62" s="42">
        <f>SUBTOTAL(103,Nisan[17])</f>
        <v>0</v>
      </c>
      <c r="U62" s="42">
        <f>SUBTOTAL(103,Nisan[18])</f>
        <v>0</v>
      </c>
      <c r="V62" s="42">
        <f>SUBTOTAL(103,Nisan[19])</f>
        <v>0</v>
      </c>
      <c r="W62" s="42">
        <f>SUBTOTAL(103,Nisan[20])</f>
        <v>0</v>
      </c>
      <c r="X62" s="42">
        <f>SUBTOTAL(103,Nisan[21])</f>
        <v>0</v>
      </c>
      <c r="Y62" s="42">
        <f>SUBTOTAL(103,Nisan[22])</f>
        <v>0</v>
      </c>
      <c r="Z62" s="42">
        <f>SUBTOTAL(103,Nisan[23])</f>
        <v>0</v>
      </c>
      <c r="AA62" s="42">
        <f>SUBTOTAL(103,Nisan[24])</f>
        <v>0</v>
      </c>
      <c r="AB62" s="42">
        <f>SUBTOTAL(103,Nisan[25])</f>
        <v>0</v>
      </c>
      <c r="AC62" s="42">
        <f>SUBTOTAL(103,Nisan[26])</f>
        <v>0</v>
      </c>
      <c r="AD62" s="42">
        <f>SUBTOTAL(103,Nisan[27])</f>
        <v>0</v>
      </c>
      <c r="AE62" s="42">
        <f>SUBTOTAL(103,Nisan[28])</f>
        <v>0</v>
      </c>
      <c r="AF62" s="42">
        <f>SUBTOTAL(103,Nisan[29])</f>
        <v>0</v>
      </c>
      <c r="AG62" s="42">
        <f>SUBTOTAL(103,Nisan[30])</f>
        <v>0</v>
      </c>
      <c r="AH62" s="42">
        <f>SUBTOTAL(103,Nisan[30])</f>
        <v>0</v>
      </c>
      <c r="AI62" s="42">
        <f>SUBTOTAL(109,Nisan[Toplam Gün])</f>
        <v>0</v>
      </c>
    </row>
  </sheetData>
  <mergeCells count="6">
    <mergeCell ref="D4:AH4"/>
    <mergeCell ref="E2:G2"/>
    <mergeCell ref="I2:K2"/>
    <mergeCell ref="M2:N2"/>
    <mergeCell ref="P2:R2"/>
    <mergeCell ref="T2:V2"/>
  </mergeCells>
  <conditionalFormatting sqref="D7:AH61">
    <cfRule type="expression" priority="1" stopIfTrue="1">
      <formula>D7=""</formula>
    </cfRule>
  </conditionalFormatting>
  <conditionalFormatting sqref="D7:AH61">
    <cfRule type="expression" dxfId="702" priority="2" stopIfTrue="1">
      <formula>D7=AnahtarÖzel2</formula>
    </cfRule>
    <cfRule type="expression" dxfId="701" priority="3" stopIfTrue="1">
      <formula>D7=AnahtarÖzel1</formula>
    </cfRule>
    <cfRule type="expression" dxfId="700" priority="4" stopIfTrue="1">
      <formula>D7=AnahtarHasta</formula>
    </cfRule>
    <cfRule type="expression" dxfId="699" priority="5" stopIfTrue="1">
      <formula>D7=AnahtarKişisel</formula>
    </cfRule>
    <cfRule type="expression" dxfId="698" priority="6" stopIfTrue="1">
      <formula>D7=AnahtarTatil</formula>
    </cfRule>
  </conditionalFormatting>
  <conditionalFormatting sqref="AI7:AI61">
    <cfRule type="dataBar" priority="7">
      <dataBar>
        <cfvo type="min"/>
        <cfvo type="formula" val="DATEDIF(DATE(TakvimYılı,2,1),DATE(TakvimYılı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Ocak çalışma sayfasında girilen yıla göre otomatik olarak güncelleştirilen yıl" sqref="AI4"/>
    <dataValidation allowBlank="1" showInputMessage="1" showErrorMessage="1" prompt="Bu ay bir çalışanın toplamda kaç gün devamsızlık yaptığını, bu sütunda otomatik olarak hesaplar" sqref="AI6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Otomatik olarak güncelleştirilen başlık bu hücrededir. Başlığı değiştirmek için Ocak çalışma sayfasındaki B1 hücresini güncelleştirin" sqref="C1"/>
    <dataValidation allowBlank="1" showInputMessage="1" showErrorMessage="1" prompt="&quot;T&quot; harfi tatil nedeniyle devamsızlığı gösterir" sqref="D2"/>
    <dataValidation allowBlank="1" showInputMessage="1" showErrorMessage="1" prompt="&quot;K&quot; harfi kişisel nedenlerden dolayı devamsızlığı gösterir" sqref="H2"/>
    <dataValidation allowBlank="1" showInputMessage="1" showErrorMessage="1" prompt="&quot;H&quot; harfi hastalık nedeniyle devamsızlığı gösterir" sqref="L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Soldaki özel anahtarı açıklamak için bir etiket girin" sqref="P2:R2 T2:V2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Bu devamsızlık zaman çizelgesinin ay adı bu hücrededir. Bu aya ait toplam devamsızlık miktarı, tablonun son hücresindedir. Tablonun B sütunundan çalışan adlarını seçin" sqref="C4"/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  <dataValidation allowBlank="1" showInputMessage="1" showErrorMessage="1" prompt="Bu satırdaki günler, AH4 hücresindeki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Bu çalışma sayfasında Şubat devamsızlığını izleyin" sqref="A1:B1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DATEDIF(DATE(TakvimYılı,2,1),DATE(TakvimYılı,3,1),"d")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'Çalışan Adları'!$B$4:$B$8</xm:f>
          </x14:formula1>
          <xm:sqref>B7:B61</xm:sqref>
        </x14:dataValidation>
        <x14:dataValidation type="list" allowBlank="1" showInputMessage="1" showErrorMessage="1">
          <x14:formula1>
            <xm:f>'Çalışan Adları'!$B$4:$B$60</xm:f>
          </x14:formula1>
          <xm:sqref>C7:C61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I62"/>
  <sheetViews>
    <sheetView showGridLines="0" zoomScaleNormal="100" workbookViewId="0">
      <selection activeCell="C7" sqref="C7"/>
    </sheetView>
  </sheetViews>
  <sheetFormatPr defaultRowHeight="30" customHeight="1" x14ac:dyDescent="0.35"/>
  <cols>
    <col min="1" max="1" width="3.81640625" style="1" customWidth="1"/>
    <col min="2" max="2" width="23.54296875" style="1" customWidth="1"/>
    <col min="3" max="3" width="25.63281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C1" s="13" t="str">
        <f>Employee_Absence_Title</f>
        <v>İşçilərin davamiyyət cədvəli</v>
      </c>
    </row>
    <row r="2" spans="1:35" ht="15" customHeight="1" x14ac:dyDescent="0.35"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 t="s">
        <v>45</v>
      </c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/>
      <c r="T2" s="40" t="s">
        <v>20</v>
      </c>
      <c r="U2" s="40"/>
      <c r="V2" s="40"/>
    </row>
    <row r="3" spans="1:35" ht="15" customHeight="1" x14ac:dyDescent="0.35">
      <c r="C3" s="13"/>
    </row>
    <row r="4" spans="1:35" ht="30" customHeight="1" x14ac:dyDescent="0.35">
      <c r="C4" s="11" t="s">
        <v>40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f>TakvimYılı</f>
        <v>2022</v>
      </c>
    </row>
    <row r="5" spans="1:35" ht="15" customHeight="1" x14ac:dyDescent="0.35">
      <c r="C5" s="11"/>
      <c r="D5" s="1" t="str">
        <f>TEXT(WEEKDAY(DATE(TakvimYılı,5,1),1),"ggg")</f>
        <v/>
      </c>
      <c r="E5" s="1" t="str">
        <f>TEXT(WEEKDAY(DATE(TakvimYılı,5,2),1),"ggg")</f>
        <v/>
      </c>
      <c r="F5" s="1" t="str">
        <f>TEXT(WEEKDAY(DATE(TakvimYılı,5,3),1),"ggg")</f>
        <v/>
      </c>
      <c r="G5" s="1" t="str">
        <f>TEXT(WEEKDAY(DATE(TakvimYılı,5,4),1),"ggg")</f>
        <v/>
      </c>
      <c r="H5" s="1" t="str">
        <f>TEXT(WEEKDAY(DATE(TakvimYılı,5,5),1),"ggg")</f>
        <v/>
      </c>
      <c r="I5" s="1" t="str">
        <f>TEXT(WEEKDAY(DATE(TakvimYılı,5,6),1),"ggg")</f>
        <v/>
      </c>
      <c r="J5" s="1" t="str">
        <f>TEXT(WEEKDAY(DATE(TakvimYılı,5,7),1),"ggg")</f>
        <v/>
      </c>
      <c r="K5" s="1" t="str">
        <f>TEXT(WEEKDAY(DATE(TakvimYılı,5,8),1),"ggg")</f>
        <v/>
      </c>
      <c r="L5" s="1" t="str">
        <f>TEXT(WEEKDAY(DATE(TakvimYılı,5,9),1),"ggg")</f>
        <v/>
      </c>
      <c r="M5" s="1" t="str">
        <f>TEXT(WEEKDAY(DATE(TakvimYılı,5,10),1),"ggg")</f>
        <v/>
      </c>
      <c r="N5" s="1" t="str">
        <f>TEXT(WEEKDAY(DATE(TakvimYılı,5,11),1),"ggg")</f>
        <v/>
      </c>
      <c r="O5" s="1" t="str">
        <f>TEXT(WEEKDAY(DATE(TakvimYılı,5,12),1),"ggg")</f>
        <v/>
      </c>
      <c r="P5" s="1" t="str">
        <f>TEXT(WEEKDAY(DATE(TakvimYılı,5,13),1),"ggg")</f>
        <v/>
      </c>
      <c r="Q5" s="1" t="str">
        <f>TEXT(WEEKDAY(DATE(TakvimYılı,5,14),1),"ggg")</f>
        <v/>
      </c>
      <c r="R5" s="1" t="str">
        <f>TEXT(WEEKDAY(DATE(TakvimYılı,5,15),1),"ggg")</f>
        <v/>
      </c>
      <c r="S5" s="1" t="str">
        <f>TEXT(WEEKDAY(DATE(TakvimYılı,5,16),1),"ggg")</f>
        <v/>
      </c>
      <c r="T5" s="1" t="str">
        <f>TEXT(WEEKDAY(DATE(TakvimYılı,5,17),1),"ggg")</f>
        <v/>
      </c>
      <c r="U5" s="1" t="str">
        <f>TEXT(WEEKDAY(DATE(TakvimYılı,5,18),1),"ggg")</f>
        <v/>
      </c>
      <c r="V5" s="1" t="str">
        <f>TEXT(WEEKDAY(DATE(TakvimYılı,5,19),1),"ggg")</f>
        <v/>
      </c>
      <c r="W5" s="1" t="str">
        <f>TEXT(WEEKDAY(DATE(TakvimYılı,5,20),1),"ggg")</f>
        <v/>
      </c>
      <c r="X5" s="1" t="str">
        <f>TEXT(WEEKDAY(DATE(TakvimYılı,5,21),1),"ggg")</f>
        <v/>
      </c>
      <c r="Y5" s="1" t="str">
        <f>TEXT(WEEKDAY(DATE(TakvimYılı,5,22),1),"ggg")</f>
        <v/>
      </c>
      <c r="Z5" s="1" t="str">
        <f>TEXT(WEEKDAY(DATE(TakvimYılı,5,23),1),"ggg")</f>
        <v/>
      </c>
      <c r="AA5" s="1" t="str">
        <f>TEXT(WEEKDAY(DATE(TakvimYılı,5,24),1),"ggg")</f>
        <v/>
      </c>
      <c r="AB5" s="1" t="str">
        <f>TEXT(WEEKDAY(DATE(TakvimYılı,5,25),1),"ggg")</f>
        <v/>
      </c>
      <c r="AC5" s="1" t="str">
        <f>TEXT(WEEKDAY(DATE(TakvimYılı,5,26),1),"ggg")</f>
        <v/>
      </c>
      <c r="AD5" s="1" t="str">
        <f>TEXT(WEEKDAY(DATE(TakvimYılı,5,27),1),"ggg")</f>
        <v/>
      </c>
      <c r="AE5" s="1" t="str">
        <f>TEXT(WEEKDAY(DATE(TakvimYılı,5,28),1),"ggg")</f>
        <v/>
      </c>
      <c r="AF5" s="1" t="str">
        <f>TEXT(WEEKDAY(DATE(TakvimYılı,5,29),1),"ggg")</f>
        <v/>
      </c>
      <c r="AG5" s="1" t="str">
        <f>TEXT(WEEKDAY(DATE(TakvimYılı,5,30),1),"ggg")</f>
        <v/>
      </c>
      <c r="AH5" s="1" t="str">
        <f>TEXT(WEEKDAY(DATE(TakvimYılı,5,31),1),"ggg")</f>
        <v/>
      </c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34</v>
      </c>
      <c r="AH6" s="2" t="s">
        <v>35</v>
      </c>
      <c r="AI6" s="15" t="s">
        <v>36</v>
      </c>
    </row>
    <row r="7" spans="1:35" ht="30" customHeight="1" x14ac:dyDescent="0.35">
      <c r="A7" s="22">
        <v>1</v>
      </c>
      <c r="B7" s="16" t="str">
        <f>Aprel!B7</f>
        <v>Menecer</v>
      </c>
      <c r="C7" s="16" t="str">
        <f>Aprel!C7</f>
        <v>Rzakov Ramiz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COUNTA(Mayıs[[#This Row],[1]:[31]])</f>
        <v>0</v>
      </c>
    </row>
    <row r="8" spans="1:35" ht="30" customHeight="1" x14ac:dyDescent="0.35">
      <c r="A8" s="22">
        <v>2</v>
      </c>
      <c r="B8" s="16" t="str">
        <f>Aprel!B8</f>
        <v>Nəzarətçi</v>
      </c>
      <c r="C8" s="16" t="str">
        <f>Aprel!C8</f>
        <v>Əsədov Elçin Güloğlan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COUNTA(Mayıs[[#This Row],[1]:[31]])</f>
        <v>0</v>
      </c>
    </row>
    <row r="9" spans="1:35" ht="30" customHeight="1" x14ac:dyDescent="0.35">
      <c r="A9" s="22">
        <v>3</v>
      </c>
      <c r="B9" s="16" t="str">
        <f>Aprel!B9</f>
        <v>Nəzarətçi</v>
      </c>
      <c r="C9" s="16" t="str">
        <f>Aprel!C9</f>
        <v>Babayev Fərid Vaqif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COUNTA(Mayıs[[#This Row],[1]:[31]])</f>
        <v>0</v>
      </c>
    </row>
    <row r="10" spans="1:35" ht="30" customHeight="1" x14ac:dyDescent="0.35">
      <c r="A10" s="22">
        <v>4</v>
      </c>
      <c r="B10" s="16" t="str">
        <f>Aprel!B10</f>
        <v>Ofis meneceri</v>
      </c>
      <c r="C10" s="16" t="str">
        <f>Aprel!C10</f>
        <v>Abbasov Rahib Ziyad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COUNTA(Mayıs[[#This Row],[1]:[31]])</f>
        <v>0</v>
      </c>
    </row>
    <row r="11" spans="1:35" ht="30" customHeight="1" x14ac:dyDescent="0.35">
      <c r="A11" s="22">
        <v>5</v>
      </c>
      <c r="B11" s="16" t="str">
        <f>Aprel!B11</f>
        <v>Ofis meneceri</v>
      </c>
      <c r="C11" s="16" t="str">
        <f>Aprel!C11</f>
        <v>Əşrəfzadə Sərxan Elman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COUNTA(Mayıs[[#This Row],[1]:[31]])</f>
        <v>0</v>
      </c>
    </row>
    <row r="12" spans="1:35" ht="30" customHeight="1" x14ac:dyDescent="0.35">
      <c r="A12" s="22">
        <v>6</v>
      </c>
      <c r="B12" s="16" t="str">
        <f>Aprel!B12</f>
        <v>Ofis meneceri</v>
      </c>
      <c r="C12" s="16" t="str">
        <f>Aprel!C12</f>
        <v>Dostəlizadə Mahir Valeh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COUNTA(Mayıs[[#This Row],[1]:[31]])</f>
        <v>0</v>
      </c>
    </row>
    <row r="13" spans="1:35" ht="30" customHeight="1" x14ac:dyDescent="0.35">
      <c r="A13" s="22">
        <v>7</v>
      </c>
      <c r="B13" s="16" t="str">
        <f>Aprel!B13</f>
        <v>Ofis meneceri</v>
      </c>
      <c r="C13" s="16" t="str">
        <f>Aprel!C13</f>
        <v>Rəsulov Nurlan Yaşar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COUNTA(Mayıs[[#This Row],[1]:[31]])</f>
        <v>0</v>
      </c>
    </row>
    <row r="14" spans="1:35" ht="30" customHeight="1" x14ac:dyDescent="0.35">
      <c r="A14" s="22">
        <v>8</v>
      </c>
      <c r="B14" s="16" t="str">
        <f>Aprel!B14</f>
        <v>Bağban</v>
      </c>
      <c r="C14" s="16" t="str">
        <f>Aprel!C14</f>
        <v>Abbasov Sücayət Hüseyn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COUNTA(Mayıs[[#This Row],[1]:[31]])</f>
        <v>0</v>
      </c>
    </row>
    <row r="15" spans="1:35" ht="30" customHeight="1" x14ac:dyDescent="0.35">
      <c r="A15" s="22">
        <v>9</v>
      </c>
      <c r="B15" s="16" t="str">
        <f>Aprel!B15</f>
        <v>Bağban</v>
      </c>
      <c r="C15" s="16" t="str">
        <f>Aprel!C15</f>
        <v>Ağayev Əkrəm Zülfi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COUNTA(Mayıs[[#This Row],[1]:[31]])</f>
        <v>0</v>
      </c>
    </row>
    <row r="16" spans="1:35" ht="30" customHeight="1" x14ac:dyDescent="0.35">
      <c r="A16" s="22">
        <v>10</v>
      </c>
      <c r="B16" s="16" t="str">
        <f>Aprel!B16</f>
        <v>Bağban</v>
      </c>
      <c r="C16" s="16" t="str">
        <f>Aprel!C16</f>
        <v>Bayramov Asim İsaq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COUNTA(Mayıs[[#This Row],[1]:[31]])</f>
        <v>0</v>
      </c>
    </row>
    <row r="17" spans="1:35" ht="30" customHeight="1" x14ac:dyDescent="0.35">
      <c r="A17" s="22">
        <v>11</v>
      </c>
      <c r="B17" s="16" t="str">
        <f>Aprel!B17</f>
        <v>Bağban</v>
      </c>
      <c r="C17" s="16" t="str">
        <f>Aprel!C17</f>
        <v>Əhədov Seymur Atakişi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COUNTA(Mayıs[[#This Row],[1]:[31]])</f>
        <v>0</v>
      </c>
    </row>
    <row r="18" spans="1:35" ht="30" customHeight="1" x14ac:dyDescent="0.35">
      <c r="A18" s="22">
        <v>12</v>
      </c>
      <c r="B18" s="16" t="str">
        <f>Aprel!B18</f>
        <v>Bağban</v>
      </c>
      <c r="C18" s="16" t="str">
        <f>Aprel!C18</f>
        <v>Əhmədov Elməddin Əhməd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COUNTA(Mayıs[[#This Row],[1]:[31]])</f>
        <v>0</v>
      </c>
    </row>
    <row r="19" spans="1:35" ht="30" customHeight="1" x14ac:dyDescent="0.35">
      <c r="A19" s="22">
        <v>13</v>
      </c>
      <c r="B19" s="16" t="str">
        <f>Aprel!B19</f>
        <v>Bağban</v>
      </c>
      <c r="C19" s="16" t="str">
        <f>Aprel!C19</f>
        <v>Ələkbərov Bagman Ərəstun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COUNTA(Mayıs[[#This Row],[1]:[31]])</f>
        <v>0</v>
      </c>
    </row>
    <row r="20" spans="1:35" ht="30" customHeight="1" x14ac:dyDescent="0.35">
      <c r="A20" s="22">
        <v>14</v>
      </c>
      <c r="B20" s="16" t="str">
        <f>Aprel!B20</f>
        <v>Bağban</v>
      </c>
      <c r="C20" s="16" t="str">
        <f>Aprel!C20</f>
        <v>Ələkbərov Fərman Qabil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COUNTA(Mayıs[[#This Row],[1]:[31]])</f>
        <v>0</v>
      </c>
    </row>
    <row r="21" spans="1:35" ht="30" customHeight="1" x14ac:dyDescent="0.35">
      <c r="A21" s="22">
        <v>15</v>
      </c>
      <c r="B21" s="16" t="str">
        <f>Aprel!B21</f>
        <v>Bağban</v>
      </c>
      <c r="C21" s="16" t="str">
        <f>Aprel!C21</f>
        <v>Ələsgərov Elməddin Rauf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COUNTA(Mayıs[[#This Row],[1]:[31]])</f>
        <v>0</v>
      </c>
    </row>
    <row r="22" spans="1:35" ht="30" customHeight="1" x14ac:dyDescent="0.35">
      <c r="A22" s="22">
        <v>16</v>
      </c>
      <c r="B22" s="16" t="str">
        <f>Aprel!B22</f>
        <v>Bağban</v>
      </c>
      <c r="C22" s="16" t="str">
        <f>Aprel!C22</f>
        <v>Əliyev Həsən Mais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COUNTA(Mayıs[[#This Row],[1]:[31]])</f>
        <v>0</v>
      </c>
    </row>
    <row r="23" spans="1:35" ht="30" customHeight="1" x14ac:dyDescent="0.35">
      <c r="A23" s="22">
        <v>17</v>
      </c>
      <c r="B23" s="16" t="str">
        <f>Aprel!B23</f>
        <v>Bağban</v>
      </c>
      <c r="C23" s="16" t="str">
        <f>Aprel!C23</f>
        <v>Əliyev Sərdar Əliağa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COUNTA(Mayıs[[#This Row],[1]:[31]])</f>
        <v>0</v>
      </c>
    </row>
    <row r="24" spans="1:35" ht="30" customHeight="1" x14ac:dyDescent="0.35">
      <c r="A24" s="22">
        <v>18</v>
      </c>
      <c r="B24" s="16" t="str">
        <f>Aprel!B24</f>
        <v>Bağban</v>
      </c>
      <c r="C24" s="16" t="str">
        <f>Aprel!C24</f>
        <v>Əliyev Xalıq Xanağa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COUNTA(Mayıs[[#This Row],[1]:[31]])</f>
        <v>0</v>
      </c>
    </row>
    <row r="25" spans="1:35" ht="30" customHeight="1" x14ac:dyDescent="0.35">
      <c r="A25" s="22">
        <v>19</v>
      </c>
      <c r="B25" s="16" t="str">
        <f>Aprel!B25</f>
        <v>Bağban</v>
      </c>
      <c r="C25" s="16" t="str">
        <f>Aprel!C25</f>
        <v>Feyzullayev Firudin Ramiz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COUNTA(Mayıs[[#This Row],[1]:[31]])</f>
        <v>0</v>
      </c>
    </row>
    <row r="26" spans="1:35" ht="30" customHeight="1" x14ac:dyDescent="0.35">
      <c r="A26" s="22">
        <v>20</v>
      </c>
      <c r="B26" s="16" t="str">
        <f>Aprel!B26</f>
        <v>Bağban</v>
      </c>
      <c r="C26" s="16" t="str">
        <f>Aprel!C26</f>
        <v>Haşımov Asif Hacı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COUNTA(Mayıs[[#This Row],[1]:[31]])</f>
        <v>0</v>
      </c>
    </row>
    <row r="27" spans="1:35" ht="30" customHeight="1" x14ac:dyDescent="0.35">
      <c r="A27" s="22">
        <v>21</v>
      </c>
      <c r="B27" s="16" t="str">
        <f>Aprel!B27</f>
        <v>Bağban</v>
      </c>
      <c r="C27" s="16" t="str">
        <f>Aprel!C27</f>
        <v>Hüseynov Davud İsa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COUNTA(Mayıs[[#This Row],[1]:[31]])</f>
        <v>0</v>
      </c>
    </row>
    <row r="28" spans="1:35" ht="30" customHeight="1" x14ac:dyDescent="0.35">
      <c r="A28" s="22">
        <v>22</v>
      </c>
      <c r="B28" s="16" t="str">
        <f>Aprel!B28</f>
        <v>Bağban</v>
      </c>
      <c r="C28" s="16" t="str">
        <f>Aprel!C28</f>
        <v>Hüseynov Ədail İsa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COUNTA(Mayıs[[#This Row],[1]:[31]])</f>
        <v>0</v>
      </c>
    </row>
    <row r="29" spans="1:35" ht="30" customHeight="1" x14ac:dyDescent="0.35">
      <c r="A29" s="22">
        <v>23</v>
      </c>
      <c r="B29" s="16" t="str">
        <f>Aprel!B29</f>
        <v>Bağban</v>
      </c>
      <c r="C29" s="16" t="str">
        <f>Aprel!C29</f>
        <v>Hüseynov Səfaddin Əbülfəz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COUNTA(Mayıs[[#This Row],[1]:[31]])</f>
        <v>0</v>
      </c>
    </row>
    <row r="30" spans="1:35" ht="30" customHeight="1" x14ac:dyDescent="0.35">
      <c r="A30" s="22">
        <v>24</v>
      </c>
      <c r="B30" s="16" t="str">
        <f>Aprel!B30</f>
        <v>Bağban</v>
      </c>
      <c r="C30" s="16" t="str">
        <f>Aprel!C30</f>
        <v>Hüseynov Şəmistan Qabil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COUNTA(Mayıs[[#This Row],[1]:[31]])</f>
        <v>0</v>
      </c>
    </row>
    <row r="31" spans="1:35" ht="30" customHeight="1" x14ac:dyDescent="0.35">
      <c r="A31" s="22">
        <v>25</v>
      </c>
      <c r="B31" s="16" t="str">
        <f>Aprel!B31</f>
        <v>Bağban</v>
      </c>
      <c r="C31" s="16" t="str">
        <f>Aprel!C31</f>
        <v>Hüseynov Sərdar İsa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COUNTA(Mayıs[[#This Row],[1]:[31]])</f>
        <v>0</v>
      </c>
    </row>
    <row r="32" spans="1:35" ht="30" customHeight="1" x14ac:dyDescent="0.35">
      <c r="A32" s="22">
        <v>26</v>
      </c>
      <c r="B32" s="16" t="str">
        <f>Aprel!B32</f>
        <v>Bağban</v>
      </c>
      <c r="C32" s="16" t="str">
        <f>Aprel!C32</f>
        <v>Hüseynov Siruz Qabil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COUNTA(Mayıs[[#This Row],[1]:[31]])</f>
        <v>0</v>
      </c>
    </row>
    <row r="33" spans="1:35" ht="30" customHeight="1" x14ac:dyDescent="0.35">
      <c r="A33" s="22">
        <v>27</v>
      </c>
      <c r="B33" s="16" t="str">
        <f>Aprel!B33</f>
        <v>Bağban</v>
      </c>
      <c r="C33" s="16" t="str">
        <f>Aprel!C33</f>
        <v>Hüseynov Taleh Daşqın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COUNTA(Mayıs[[#This Row],[1]:[31]])</f>
        <v>0</v>
      </c>
    </row>
    <row r="34" spans="1:35" ht="30" customHeight="1" x14ac:dyDescent="0.35">
      <c r="A34" s="22">
        <v>28</v>
      </c>
      <c r="B34" s="16" t="str">
        <f>Aprel!B34</f>
        <v>Bağban</v>
      </c>
      <c r="C34" s="16" t="str">
        <f>Aprel!C34</f>
        <v>Hüseynov Tərlan Yadulla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COUNTA(Mayıs[[#This Row],[1]:[31]])</f>
        <v>0</v>
      </c>
    </row>
    <row r="35" spans="1:35" ht="30" customHeight="1" x14ac:dyDescent="0.35">
      <c r="A35" s="22">
        <v>29</v>
      </c>
      <c r="B35" s="16" t="str">
        <f>Aprel!B35</f>
        <v>Bağban</v>
      </c>
      <c r="C35" s="16" t="str">
        <f>Aprel!C35</f>
        <v>İbayev Zahid Mahir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COUNTA(Mayıs[[#This Row],[1]:[31]])</f>
        <v>0</v>
      </c>
    </row>
    <row r="36" spans="1:35" ht="30" customHeight="1" x14ac:dyDescent="0.35">
      <c r="A36" s="22">
        <v>30</v>
      </c>
      <c r="B36" s="16" t="str">
        <f>Aprel!B36</f>
        <v>Bağban</v>
      </c>
      <c r="C36" s="16" t="str">
        <f>Aprel!C36</f>
        <v>İbayev Zahir Mahir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COUNTA(Mayıs[[#This Row],[1]:[31]])</f>
        <v>0</v>
      </c>
    </row>
    <row r="37" spans="1:35" ht="30" customHeight="1" x14ac:dyDescent="0.35">
      <c r="A37" s="22">
        <v>31</v>
      </c>
      <c r="B37" s="16" t="str">
        <f>Aprel!B37</f>
        <v>Bağban</v>
      </c>
      <c r="C37" s="16" t="str">
        <f>Aprel!C37</f>
        <v>Məcidzadə Əli Valeh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COUNTA(Mayıs[[#This Row],[1]:[31]])</f>
        <v>0</v>
      </c>
    </row>
    <row r="38" spans="1:35" ht="30" customHeight="1" x14ac:dyDescent="0.35">
      <c r="A38" s="22">
        <v>32</v>
      </c>
      <c r="B38" s="16" t="str">
        <f>Aprel!B38</f>
        <v>Bağban</v>
      </c>
      <c r="C38" s="16" t="str">
        <f>Aprel!C38</f>
        <v xml:space="preserve">Məmmədli Bəhruz İlham 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COUNTA(Mayıs[[#This Row],[1]:[31]])</f>
        <v>0</v>
      </c>
    </row>
    <row r="39" spans="1:35" ht="30" customHeight="1" x14ac:dyDescent="0.35">
      <c r="A39" s="22">
        <v>33</v>
      </c>
      <c r="B39" s="16" t="str">
        <f>Aprel!B39</f>
        <v>Bağban</v>
      </c>
      <c r="C39" s="16" t="str">
        <f>Aprel!C39</f>
        <v>Məmmədli İsa Nazim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COUNTA(Mayıs[[#This Row],[1]:[31]])</f>
        <v>0</v>
      </c>
    </row>
    <row r="40" spans="1:35" ht="30" customHeight="1" x14ac:dyDescent="0.35">
      <c r="A40" s="22">
        <v>34</v>
      </c>
      <c r="B40" s="16" t="str">
        <f>Aprel!B40</f>
        <v>Bağban</v>
      </c>
      <c r="C40" s="16" t="str">
        <f>Aprel!C40</f>
        <v>Məmmədov İlqar Teyyub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COUNTA(Mayıs[[#This Row],[1]:[31]])</f>
        <v>0</v>
      </c>
    </row>
    <row r="41" spans="1:35" ht="30" customHeight="1" x14ac:dyDescent="0.35">
      <c r="A41" s="22">
        <v>35</v>
      </c>
      <c r="B41" s="16" t="str">
        <f>Aprel!B41</f>
        <v>Bağban</v>
      </c>
      <c r="C41" s="16" t="str">
        <f>Aprel!C41</f>
        <v xml:space="preserve">Məmmədov Sahil Ağaxan 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COUNTA(Mayıs[[#This Row],[1]:[31]])</f>
        <v>0</v>
      </c>
    </row>
    <row r="42" spans="1:35" ht="30" customHeight="1" x14ac:dyDescent="0.35">
      <c r="A42" s="22">
        <v>36</v>
      </c>
      <c r="B42" s="16" t="str">
        <f>Aprel!B42</f>
        <v>Bağban</v>
      </c>
      <c r="C42" s="16" t="str">
        <f>Aprel!C42</f>
        <v>Məmmədov Yaqub Zahir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COUNTA(Mayıs[[#This Row],[1]:[31]])</f>
        <v>0</v>
      </c>
    </row>
    <row r="43" spans="1:35" ht="30" customHeight="1" x14ac:dyDescent="0.35">
      <c r="A43" s="22">
        <v>37</v>
      </c>
      <c r="B43" s="16" t="str">
        <f>Aprel!B43</f>
        <v>Bağban</v>
      </c>
      <c r="C43" s="16" t="str">
        <f>Aprel!C43</f>
        <v>Məmmədzadə Qərib Fəxrəddin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COUNTA(Mayıs[[#This Row],[1]:[31]])</f>
        <v>0</v>
      </c>
    </row>
    <row r="44" spans="1:35" ht="30" customHeight="1" x14ac:dyDescent="0.35">
      <c r="A44" s="22">
        <v>38</v>
      </c>
      <c r="B44" s="16" t="str">
        <f>Aprel!B44</f>
        <v>Bağban</v>
      </c>
      <c r="C44" s="16" t="str">
        <f>Aprel!C44</f>
        <v xml:space="preserve">Musayev Minbir Oqtay 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COUNTA(Mayıs[[#This Row],[1]:[31]])</f>
        <v>0</v>
      </c>
    </row>
    <row r="45" spans="1:35" ht="30" customHeight="1" x14ac:dyDescent="0.35">
      <c r="A45" s="22">
        <v>39</v>
      </c>
      <c r="B45" s="16" t="str">
        <f>Aprel!B45</f>
        <v>Bağban</v>
      </c>
      <c r="C45" s="16" t="str">
        <f>Aprel!C45</f>
        <v>Nəcəfov Fizuli Böyükağa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COUNTA(Mayıs[[#This Row],[1]:[31]])</f>
        <v>0</v>
      </c>
    </row>
    <row r="46" spans="1:35" ht="30" customHeight="1" x14ac:dyDescent="0.35">
      <c r="A46" s="22">
        <v>40</v>
      </c>
      <c r="B46" s="16" t="str">
        <f>Aprel!B46</f>
        <v>Ofis meneceri</v>
      </c>
      <c r="C46" s="16" t="str">
        <f>Aprel!C46</f>
        <v>Rəsulov Nurlan Yaşar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COUNTA(Mayıs[[#This Row],[1]:[31]])</f>
        <v>0</v>
      </c>
    </row>
    <row r="47" spans="1:35" ht="30" customHeight="1" x14ac:dyDescent="0.35">
      <c r="A47" s="22">
        <v>41</v>
      </c>
      <c r="B47" s="16" t="str">
        <f>Aprel!B47</f>
        <v>Bağban</v>
      </c>
      <c r="C47" s="16" t="str">
        <f>Aprel!C47</f>
        <v>Rzayev İbrahim Mais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COUNTA(Mayıs[[#This Row],[1]:[31]])</f>
        <v>0</v>
      </c>
    </row>
    <row r="48" spans="1:35" ht="30" customHeight="1" x14ac:dyDescent="0.35">
      <c r="A48" s="22">
        <v>42</v>
      </c>
      <c r="B48" s="16" t="str">
        <f>Aprel!B48</f>
        <v>Bağban</v>
      </c>
      <c r="C48" s="16" t="str">
        <f>Aprel!C48</f>
        <v>Səttarov Ağaəli Ərəstun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COUNTA(Mayıs[[#This Row],[1]:[31]])</f>
        <v>0</v>
      </c>
    </row>
    <row r="49" spans="1:35" ht="30" customHeight="1" x14ac:dyDescent="0.35">
      <c r="A49" s="22">
        <v>43</v>
      </c>
      <c r="B49" s="16" t="str">
        <f>Aprel!B49</f>
        <v>Bağban</v>
      </c>
      <c r="C49" s="16" t="str">
        <f>Aprel!C49</f>
        <v>Tahirov Rəşad Elman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COUNTA(Mayıs[[#This Row],[1]:[31]])</f>
        <v>0</v>
      </c>
    </row>
    <row r="50" spans="1:35" ht="30" customHeight="1" x14ac:dyDescent="0.35">
      <c r="A50" s="22">
        <v>44</v>
      </c>
      <c r="B50" s="16" t="str">
        <f>Aprel!B50</f>
        <v>Bağban</v>
      </c>
      <c r="C50" s="16" t="str">
        <f>Aprel!C50</f>
        <v>Xangəldiyev Asəf Əsabəli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COUNTA(Mayıs[[#This Row],[1]:[31]])</f>
        <v>0</v>
      </c>
    </row>
    <row r="51" spans="1:35" ht="30" customHeight="1" x14ac:dyDescent="0.35">
      <c r="A51" s="22">
        <v>45</v>
      </c>
      <c r="B51" s="16" t="str">
        <f>Aprel!B51</f>
        <v>Bağban</v>
      </c>
      <c r="C51" s="16" t="str">
        <f>Aprel!C51</f>
        <v>Yusubov İsmayıl Sübhan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COUNTA(Mayıs[[#This Row],[1]:[31]])</f>
        <v>0</v>
      </c>
    </row>
    <row r="52" spans="1:35" ht="30" customHeight="1" x14ac:dyDescent="0.35">
      <c r="A52" s="22">
        <v>46</v>
      </c>
      <c r="B52" s="16" t="str">
        <f>Aprel!B52</f>
        <v>Bağban</v>
      </c>
      <c r="C52" s="16" t="str">
        <f>Aprel!C52</f>
        <v>Zeynalov Anar Kamal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COUNTA(Mayıs[[#This Row],[1]:[31]])</f>
        <v>0</v>
      </c>
    </row>
    <row r="53" spans="1:35" ht="30" customHeight="1" x14ac:dyDescent="0.35">
      <c r="A53" s="22">
        <v>47</v>
      </c>
      <c r="B53" s="16" t="str">
        <f>Aprel!B53</f>
        <v>Bağban</v>
      </c>
      <c r="C53" s="16" t="str">
        <f>Aprel!C53</f>
        <v>Zeynalov Şahab Əlizaman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COUNTA(Mayıs[[#This Row],[1]:[31]])</f>
        <v>0</v>
      </c>
    </row>
    <row r="54" spans="1:35" ht="30" customHeight="1" x14ac:dyDescent="0.35">
      <c r="A54" s="22">
        <v>48</v>
      </c>
      <c r="B54" s="16" t="str">
        <f>Aprel!B54</f>
        <v>Bağban</v>
      </c>
      <c r="C54" s="16" t="str">
        <f>Aprel!C54</f>
        <v>Cəfərov Qubad Südeyf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COUNTA(Mayıs[[#This Row],[1]:[31]])</f>
        <v>0</v>
      </c>
    </row>
    <row r="55" spans="1:35" ht="30" customHeight="1" x14ac:dyDescent="0.35">
      <c r="A55" s="22">
        <v>49</v>
      </c>
      <c r="B55" s="16" t="str">
        <f>Aprel!B55</f>
        <v>Bağban</v>
      </c>
      <c r="C55" s="16" t="str">
        <f>Aprel!C55</f>
        <v>Yusubov İsməddin Sübhan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COUNTA(Mayıs[[#This Row],[1]:[31]])</f>
        <v>0</v>
      </c>
    </row>
    <row r="56" spans="1:35" ht="30" customHeight="1" x14ac:dyDescent="0.35">
      <c r="A56" s="22">
        <v>50</v>
      </c>
      <c r="B56" s="16" t="str">
        <f>Aprel!B56</f>
        <v>Bağban</v>
      </c>
      <c r="C56" s="16">
        <f>Aprel!C56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COUNTA(Mayıs[[#This Row],[1]:[31]])</f>
        <v>0</v>
      </c>
    </row>
    <row r="57" spans="1:35" ht="30" customHeight="1" x14ac:dyDescent="0.35">
      <c r="A57" s="22">
        <v>51</v>
      </c>
      <c r="B57" s="16" t="str">
        <f>Aprel!B57</f>
        <v>Bağban</v>
      </c>
      <c r="C57" s="16">
        <f>Aprel!C57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COUNTA(Mayıs[[#This Row],[1]:[31]])</f>
        <v>0</v>
      </c>
    </row>
    <row r="58" spans="1:35" ht="30" customHeight="1" x14ac:dyDescent="0.35">
      <c r="A58" s="22">
        <v>52</v>
      </c>
      <c r="B58" s="16" t="str">
        <f>Aprel!B58</f>
        <v>Bağban</v>
      </c>
      <c r="C58" s="16">
        <f>Aprel!C58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COUNTA(Mayıs[[#This Row],[1]:[31]])</f>
        <v>0</v>
      </c>
    </row>
    <row r="59" spans="1:35" ht="30" customHeight="1" x14ac:dyDescent="0.35">
      <c r="A59" s="22">
        <v>53</v>
      </c>
      <c r="B59" s="16" t="str">
        <f>Aprel!B59</f>
        <v>Bağban</v>
      </c>
      <c r="C59" s="16">
        <f>Aprel!C59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COUNTA(Mayıs[[#This Row],[1]:[31]])</f>
        <v>0</v>
      </c>
    </row>
    <row r="60" spans="1:35" ht="30" customHeight="1" x14ac:dyDescent="0.35">
      <c r="A60" s="22">
        <v>54</v>
      </c>
      <c r="B60" s="16" t="str">
        <f>Aprel!B60</f>
        <v>Bağban</v>
      </c>
      <c r="C60" s="16">
        <f>Aprel!C60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COUNTA(Mayıs[[#This Row],[1]:[31]])</f>
        <v>0</v>
      </c>
    </row>
    <row r="61" spans="1:35" ht="30" customHeight="1" x14ac:dyDescent="0.35">
      <c r="A61" s="22">
        <v>55</v>
      </c>
      <c r="B61" s="16" t="str">
        <f>Aprel!B61</f>
        <v>Bağban</v>
      </c>
      <c r="C61" s="16">
        <f>Aprel!C61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9">
        <f>COUNTA(Mayıs[[#This Row],[1]:[31]])</f>
        <v>0</v>
      </c>
    </row>
    <row r="62" spans="1:35" ht="30" customHeight="1" x14ac:dyDescent="0.35">
      <c r="C62" s="41" t="str">
        <f>AyAdı&amp;" Toplamı"</f>
        <v>May Toplamı</v>
      </c>
      <c r="D62" s="42">
        <f>SUBTOTAL(103,Mayıs[1])</f>
        <v>0</v>
      </c>
      <c r="E62" s="42">
        <f>SUBTOTAL(103,Mayıs[2])</f>
        <v>0</v>
      </c>
      <c r="F62" s="42">
        <f>SUBTOTAL(103,Mayıs[3])</f>
        <v>0</v>
      </c>
      <c r="G62" s="42">
        <f>SUBTOTAL(103,Mayıs[4])</f>
        <v>0</v>
      </c>
      <c r="H62" s="42">
        <f>SUBTOTAL(103,Mayıs[5])</f>
        <v>0</v>
      </c>
      <c r="I62" s="42">
        <f>SUBTOTAL(103,Mayıs[6])</f>
        <v>0</v>
      </c>
      <c r="J62" s="42">
        <f>SUBTOTAL(103,Mayıs[7])</f>
        <v>0</v>
      </c>
      <c r="K62" s="42">
        <f>SUBTOTAL(103,Mayıs[8])</f>
        <v>0</v>
      </c>
      <c r="L62" s="42">
        <f>SUBTOTAL(103,Mayıs[9])</f>
        <v>0</v>
      </c>
      <c r="M62" s="42">
        <f>SUBTOTAL(103,Mayıs[10])</f>
        <v>0</v>
      </c>
      <c r="N62" s="42">
        <f>SUBTOTAL(103,Mayıs[11])</f>
        <v>0</v>
      </c>
      <c r="O62" s="42">
        <f>SUBTOTAL(103,Mayıs[12])</f>
        <v>0</v>
      </c>
      <c r="P62" s="42">
        <f>SUBTOTAL(103,Mayıs[13])</f>
        <v>0</v>
      </c>
      <c r="Q62" s="42">
        <f>SUBTOTAL(103,Mayıs[14])</f>
        <v>0</v>
      </c>
      <c r="R62" s="42">
        <f>SUBTOTAL(103,Mayıs[15])</f>
        <v>0</v>
      </c>
      <c r="S62" s="42">
        <f>SUBTOTAL(103,Mayıs[16])</f>
        <v>0</v>
      </c>
      <c r="T62" s="42">
        <f>SUBTOTAL(103,Mayıs[17])</f>
        <v>0</v>
      </c>
      <c r="U62" s="42">
        <f>SUBTOTAL(103,Mayıs[18])</f>
        <v>0</v>
      </c>
      <c r="V62" s="42">
        <f>SUBTOTAL(103,Mayıs[19])</f>
        <v>0</v>
      </c>
      <c r="W62" s="42">
        <f>SUBTOTAL(103,Mayıs[20])</f>
        <v>0</v>
      </c>
      <c r="X62" s="42">
        <f>SUBTOTAL(103,Mayıs[21])</f>
        <v>0</v>
      </c>
      <c r="Y62" s="42">
        <f>SUBTOTAL(103,Mayıs[22])</f>
        <v>0</v>
      </c>
      <c r="Z62" s="42">
        <f>SUBTOTAL(103,Mayıs[23])</f>
        <v>0</v>
      </c>
      <c r="AA62" s="42">
        <f>SUBTOTAL(103,Mayıs[24])</f>
        <v>0</v>
      </c>
      <c r="AB62" s="42">
        <f>SUBTOTAL(103,Mayıs[25])</f>
        <v>0</v>
      </c>
      <c r="AC62" s="42">
        <f>SUBTOTAL(103,Mayıs[26])</f>
        <v>0</v>
      </c>
      <c r="AD62" s="42">
        <f>SUBTOTAL(103,Mayıs[27])</f>
        <v>0</v>
      </c>
      <c r="AE62" s="42">
        <f>SUBTOTAL(103,Mayıs[28])</f>
        <v>0</v>
      </c>
      <c r="AF62" s="42">
        <f>SUBTOTAL(103,Mayıs[29])</f>
        <v>0</v>
      </c>
      <c r="AG62" s="42">
        <f>SUBTOTAL(103,Mayıs[30])</f>
        <v>0</v>
      </c>
      <c r="AH62" s="42">
        <f>SUBTOTAL(103,Mayıs[31])</f>
        <v>0</v>
      </c>
      <c r="AI62" s="42">
        <f>SUBTOTAL(109,Mayıs[Toplam Gün])</f>
        <v>0</v>
      </c>
    </row>
  </sheetData>
  <mergeCells count="6">
    <mergeCell ref="D4:AH4"/>
    <mergeCell ref="E2:G2"/>
    <mergeCell ref="I2:K2"/>
    <mergeCell ref="M2:N2"/>
    <mergeCell ref="P2:R2"/>
    <mergeCell ref="T2:V2"/>
  </mergeCells>
  <conditionalFormatting sqref="D7:AH61">
    <cfRule type="expression" priority="1" stopIfTrue="1">
      <formula>D7=""</formula>
    </cfRule>
  </conditionalFormatting>
  <conditionalFormatting sqref="D7:AH61">
    <cfRule type="expression" dxfId="661" priority="2" stopIfTrue="1">
      <formula>D7=AnahtarÖzel2</formula>
    </cfRule>
    <cfRule type="expression" dxfId="660" priority="3" stopIfTrue="1">
      <formula>D7=AnahtarÖzel1</formula>
    </cfRule>
    <cfRule type="expression" dxfId="659" priority="4" stopIfTrue="1">
      <formula>D7=AnahtarHasta</formula>
    </cfRule>
    <cfRule type="expression" dxfId="658" priority="5" stopIfTrue="1">
      <formula>D7=AnahtarKişisel</formula>
    </cfRule>
    <cfRule type="expression" dxfId="657" priority="6" stopIfTrue="1">
      <formula>D7=AnahtarTatil</formula>
    </cfRule>
  </conditionalFormatting>
  <conditionalFormatting sqref="AI7:AI61">
    <cfRule type="dataBar" priority="7">
      <dataBar>
        <cfvo type="min"/>
        <cfvo type="formula" val="DATEDIF(DATE(TakvimYılı,2,1),DATE(TakvimYılı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  <dataValidation allowBlank="1" showInputMessage="1" showErrorMessage="1" prompt="Bu devamsızlık zaman çizelgesinin ay adı bu hücrededir. Bu aya ait toplam devamsızlık miktarı, tablonun son hücresindedir. Tablonun B sütunundan çalışan adlarını seçin" sqref="C4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Soldaki özel anahtarı açıklamak için bir etiket girin" sqref="P2:R2 T2:V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&quot;H&quot; harfi hastalık nedeniyle devamsızlığı gösterir" sqref="L2"/>
    <dataValidation allowBlank="1" showInputMessage="1" showErrorMessage="1" prompt="&quot;K&quot; harfi kişisel nedenlerden dolayı devamsızlığı gösterir" sqref="H2"/>
    <dataValidation allowBlank="1" showInputMessage="1" showErrorMessage="1" prompt="&quot;T&quot; harfi tatil nedeniyle devamsızlığı gösterir" sqref="D2"/>
    <dataValidation allowBlank="1" showInputMessage="1" showErrorMessage="1" prompt="Otomatik olarak güncelleştirilen başlık bu hücrededir. Başlığı değiştirmek için Ocak çalışma sayfasındaki B1 hücresini güncelleştirin" sqref="C1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Bu ay bir çalışanın toplamda kaç gün devamsızlık yaptığını, bu sütunda otomatik olarak hesaplar" sqref="AI6"/>
    <dataValidation allowBlank="1" showInputMessage="1" showErrorMessage="1" prompt="Ocak çalışma sayfasında girilen yıla göre otomatik olarak güncelleştirilen yıl" sqref="AI4"/>
    <dataValidation allowBlank="1" showInputMessage="1" showErrorMessage="1" prompt="Bu satırdaki günler, AH4 hücresindeki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Bu çalışma sayfasında Şubat devamsızlığını izleyin" sqref="A1:B1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DATEDIF(DATE(TakvimYılı,2,1),DATE(TakvimYılı,3,1),"d")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'Çalışan Adları'!$B$4:$B$8</xm:f>
          </x14:formula1>
          <xm:sqref>B7:B61</xm:sqref>
        </x14:dataValidation>
        <x14:dataValidation type="list" allowBlank="1" showInputMessage="1" showErrorMessage="1">
          <x14:formula1>
            <xm:f>'Çalışan Adları'!$B$4:$B$60</xm:f>
          </x14:formula1>
          <xm:sqref>C7:C61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I62"/>
  <sheetViews>
    <sheetView showGridLines="0" topLeftCell="A54" zoomScaleNormal="100" workbookViewId="0">
      <selection activeCell="C7" sqref="C7:C61"/>
    </sheetView>
  </sheetViews>
  <sheetFormatPr defaultRowHeight="30" customHeight="1" x14ac:dyDescent="0.35"/>
  <cols>
    <col min="1" max="1" width="3.81640625" style="1" customWidth="1"/>
    <col min="2" max="2" width="23.54296875" style="1" customWidth="1"/>
    <col min="3" max="3" width="25.63281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C1" s="13" t="str">
        <f>Employee_Absence_Title</f>
        <v>İşçilərin davamiyyət cədvəli</v>
      </c>
    </row>
    <row r="2" spans="1:35" ht="15" customHeight="1" x14ac:dyDescent="0.35"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 t="s">
        <v>45</v>
      </c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/>
      <c r="T2" s="40" t="s">
        <v>20</v>
      </c>
      <c r="U2" s="40"/>
      <c r="V2" s="40"/>
    </row>
    <row r="3" spans="1:35" ht="15" customHeight="1" x14ac:dyDescent="0.35">
      <c r="C3" s="13"/>
    </row>
    <row r="4" spans="1:35" ht="30" customHeight="1" x14ac:dyDescent="0.35">
      <c r="C4" s="11" t="s">
        <v>52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f>TakvimYılı</f>
        <v>2022</v>
      </c>
    </row>
    <row r="5" spans="1:35" ht="15" customHeight="1" x14ac:dyDescent="0.35">
      <c r="C5" s="11"/>
      <c r="D5" s="1" t="str">
        <f>TEXT(WEEKDAY(DATE(TakvimYılı,6,1),1),"ggg")</f>
        <v/>
      </c>
      <c r="E5" s="1" t="str">
        <f>TEXT(WEEKDAY(DATE(TakvimYılı,6,2),1),"ggg")</f>
        <v/>
      </c>
      <c r="F5" s="1" t="str">
        <f>TEXT(WEEKDAY(DATE(TakvimYılı,6,3),1),"ggg")</f>
        <v/>
      </c>
      <c r="G5" s="1" t="str">
        <f>TEXT(WEEKDAY(DATE(TakvimYılı,6,4),1),"ggg")</f>
        <v/>
      </c>
      <c r="H5" s="1" t="str">
        <f>TEXT(WEEKDAY(DATE(TakvimYılı,6,5),1),"ggg")</f>
        <v/>
      </c>
      <c r="I5" s="1" t="str">
        <f>TEXT(WEEKDAY(DATE(TakvimYılı,6,6),1),"ggg")</f>
        <v/>
      </c>
      <c r="J5" s="1" t="str">
        <f>TEXT(WEEKDAY(DATE(TakvimYılı,6,7),1),"ggg")</f>
        <v/>
      </c>
      <c r="K5" s="1" t="str">
        <f>TEXT(WEEKDAY(DATE(TakvimYılı,6,8),1),"ggg")</f>
        <v/>
      </c>
      <c r="L5" s="1" t="str">
        <f>TEXT(WEEKDAY(DATE(TakvimYılı,6,9),1),"ggg")</f>
        <v/>
      </c>
      <c r="M5" s="1" t="str">
        <f>TEXT(WEEKDAY(DATE(TakvimYılı,6,10),1),"ggg")</f>
        <v/>
      </c>
      <c r="N5" s="1" t="str">
        <f>TEXT(WEEKDAY(DATE(TakvimYılı,6,11),1),"ggg")</f>
        <v/>
      </c>
      <c r="O5" s="1" t="str">
        <f>TEXT(WEEKDAY(DATE(TakvimYılı,6,12),1),"ggg")</f>
        <v/>
      </c>
      <c r="P5" s="1" t="str">
        <f>TEXT(WEEKDAY(DATE(TakvimYılı,6,13),1),"ggg")</f>
        <v/>
      </c>
      <c r="Q5" s="1" t="str">
        <f>TEXT(WEEKDAY(DATE(TakvimYılı,6,14),1),"ggg")</f>
        <v/>
      </c>
      <c r="R5" s="1" t="str">
        <f>TEXT(WEEKDAY(DATE(TakvimYılı,6,15),1),"ggg")</f>
        <v/>
      </c>
      <c r="S5" s="1" t="str">
        <f>TEXT(WEEKDAY(DATE(TakvimYılı,6,16),1),"ggg")</f>
        <v/>
      </c>
      <c r="T5" s="1" t="str">
        <f>TEXT(WEEKDAY(DATE(TakvimYılı,6,17),1),"ggg")</f>
        <v/>
      </c>
      <c r="U5" s="1" t="str">
        <f>TEXT(WEEKDAY(DATE(TakvimYılı,6,18),1),"ggg")</f>
        <v/>
      </c>
      <c r="V5" s="1" t="str">
        <f>TEXT(WEEKDAY(DATE(TakvimYılı,6,19),1),"ggg")</f>
        <v/>
      </c>
      <c r="W5" s="1" t="str">
        <f>TEXT(WEEKDAY(DATE(TakvimYılı,6,20),1),"ggg")</f>
        <v/>
      </c>
      <c r="X5" s="1" t="str">
        <f>TEXT(WEEKDAY(DATE(TakvimYılı,6,21),1),"ggg")</f>
        <v/>
      </c>
      <c r="Y5" s="1" t="str">
        <f>TEXT(WEEKDAY(DATE(TakvimYılı,6,22),1),"ggg")</f>
        <v/>
      </c>
      <c r="Z5" s="1" t="str">
        <f>TEXT(WEEKDAY(DATE(TakvimYılı,6,23),1),"ggg")</f>
        <v/>
      </c>
      <c r="AA5" s="1" t="str">
        <f>TEXT(WEEKDAY(DATE(TakvimYılı,6,24),1),"ggg")</f>
        <v/>
      </c>
      <c r="AB5" s="1" t="str">
        <f>TEXT(WEEKDAY(DATE(TakvimYılı,6,25),1),"ggg")</f>
        <v/>
      </c>
      <c r="AC5" s="1" t="str">
        <f>TEXT(WEEKDAY(DATE(TakvimYılı,6,26),1),"ggg")</f>
        <v/>
      </c>
      <c r="AD5" s="1" t="str">
        <f>TEXT(WEEKDAY(DATE(TakvimYılı,6,27),1),"ggg")</f>
        <v/>
      </c>
      <c r="AE5" s="1" t="str">
        <f>TEXT(WEEKDAY(DATE(TakvimYılı,6,28),1),"ggg")</f>
        <v/>
      </c>
      <c r="AF5" s="1" t="str">
        <f>TEXT(WEEKDAY(DATE(TakvimYılı,6,29),1),"ggg")</f>
        <v/>
      </c>
      <c r="AG5" s="1" t="str">
        <f>TEXT(WEEKDAY(DATE(TakvimYılı,6,30),1),"ggg")</f>
        <v/>
      </c>
      <c r="AH5" s="1"/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34</v>
      </c>
      <c r="AH6" s="2" t="s">
        <v>37</v>
      </c>
      <c r="AI6" s="15" t="s">
        <v>36</v>
      </c>
    </row>
    <row r="7" spans="1:35" ht="30" customHeight="1" x14ac:dyDescent="0.35">
      <c r="A7" s="22">
        <v>1</v>
      </c>
      <c r="B7" s="16" t="str">
        <f>May!B7</f>
        <v>Menecer</v>
      </c>
      <c r="C7" s="16" t="str">
        <f>May!C7</f>
        <v>Rzakov Ramiz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COUNTA(Haziran[[#This Row],[1]:[30]])</f>
        <v>0</v>
      </c>
    </row>
    <row r="8" spans="1:35" ht="30" customHeight="1" x14ac:dyDescent="0.35">
      <c r="A8" s="22">
        <v>2</v>
      </c>
      <c r="B8" s="16" t="str">
        <f>May!B8</f>
        <v>Nəzarətçi</v>
      </c>
      <c r="C8" s="16" t="str">
        <f>May!C8</f>
        <v>Əsədov Elçin Güloğlan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COUNTA(Haziran[[#This Row],[1]:[30]])</f>
        <v>0</v>
      </c>
    </row>
    <row r="9" spans="1:35" ht="30" customHeight="1" x14ac:dyDescent="0.35">
      <c r="A9" s="22">
        <v>3</v>
      </c>
      <c r="B9" s="16" t="str">
        <f>May!B9</f>
        <v>Nəzarətçi</v>
      </c>
      <c r="C9" s="16" t="str">
        <f>May!C9</f>
        <v>Babayev Fərid Vaqif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COUNTA(Haziran[[#This Row],[1]:[30]])</f>
        <v>0</v>
      </c>
    </row>
    <row r="10" spans="1:35" ht="30" customHeight="1" x14ac:dyDescent="0.35">
      <c r="A10" s="22">
        <v>4</v>
      </c>
      <c r="B10" s="16" t="str">
        <f>May!B10</f>
        <v>Ofis meneceri</v>
      </c>
      <c r="C10" s="16" t="str">
        <f>May!C10</f>
        <v>Abbasov Rahib Ziyad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COUNTA(Haziran[[#This Row],[1]:[30]])</f>
        <v>0</v>
      </c>
    </row>
    <row r="11" spans="1:35" ht="30" customHeight="1" x14ac:dyDescent="0.35">
      <c r="A11" s="22">
        <v>5</v>
      </c>
      <c r="B11" s="16" t="str">
        <f>May!B11</f>
        <v>Ofis meneceri</v>
      </c>
      <c r="C11" s="16" t="str">
        <f>May!C11</f>
        <v>Əşrəfzadə Sərxan Elman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COUNTA(Haziran[[#This Row],[1]:[30]])</f>
        <v>0</v>
      </c>
    </row>
    <row r="12" spans="1:35" ht="30" customHeight="1" x14ac:dyDescent="0.35">
      <c r="A12" s="22">
        <v>6</v>
      </c>
      <c r="B12" s="16" t="str">
        <f>May!B12</f>
        <v>Ofis meneceri</v>
      </c>
      <c r="C12" s="16" t="str">
        <f>May!C12</f>
        <v>Dostəlizadə Mahir Valeh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COUNTA(Haziran[[#This Row],[1]:[30]])</f>
        <v>0</v>
      </c>
    </row>
    <row r="13" spans="1:35" ht="30" customHeight="1" x14ac:dyDescent="0.35">
      <c r="A13" s="22">
        <v>7</v>
      </c>
      <c r="B13" s="16" t="str">
        <f>May!B13</f>
        <v>Ofis meneceri</v>
      </c>
      <c r="C13" s="16" t="str">
        <f>May!C13</f>
        <v>Rəsulov Nurlan Yaşar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COUNTA(Haziran[[#This Row],[1]:[30]])</f>
        <v>0</v>
      </c>
    </row>
    <row r="14" spans="1:35" ht="30" customHeight="1" x14ac:dyDescent="0.35">
      <c r="A14" s="22">
        <v>8</v>
      </c>
      <c r="B14" s="16" t="str">
        <f>May!B14</f>
        <v>Bağban</v>
      </c>
      <c r="C14" s="16" t="str">
        <f>May!C14</f>
        <v>Abbasov Sücayət Hüseyn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COUNTA(Haziran[[#This Row],[1]:[30]])</f>
        <v>0</v>
      </c>
    </row>
    <row r="15" spans="1:35" ht="30" customHeight="1" x14ac:dyDescent="0.35">
      <c r="A15" s="22">
        <v>9</v>
      </c>
      <c r="B15" s="16" t="str">
        <f>May!B15</f>
        <v>Bağban</v>
      </c>
      <c r="C15" s="16" t="str">
        <f>May!C15</f>
        <v>Ağayev Əkrəm Zülfi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COUNTA(Haziran[[#This Row],[1]:[30]])</f>
        <v>0</v>
      </c>
    </row>
    <row r="16" spans="1:35" ht="30" customHeight="1" x14ac:dyDescent="0.35">
      <c r="A16" s="22">
        <v>10</v>
      </c>
      <c r="B16" s="16" t="str">
        <f>May!B16</f>
        <v>Bağban</v>
      </c>
      <c r="C16" s="16" t="str">
        <f>May!C16</f>
        <v>Bayramov Asim İsaq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COUNTA(Haziran[[#This Row],[1]:[30]])</f>
        <v>0</v>
      </c>
    </row>
    <row r="17" spans="1:35" ht="30" customHeight="1" x14ac:dyDescent="0.35">
      <c r="A17" s="22">
        <v>11</v>
      </c>
      <c r="B17" s="16" t="str">
        <f>May!B17</f>
        <v>Bağban</v>
      </c>
      <c r="C17" s="16" t="str">
        <f>May!C17</f>
        <v>Əhədov Seymur Atakişi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COUNTA(Haziran[[#This Row],[1]:[30]])</f>
        <v>0</v>
      </c>
    </row>
    <row r="18" spans="1:35" ht="30" customHeight="1" x14ac:dyDescent="0.35">
      <c r="A18" s="22">
        <v>12</v>
      </c>
      <c r="B18" s="16" t="str">
        <f>May!B18</f>
        <v>Bağban</v>
      </c>
      <c r="C18" s="16" t="str">
        <f>May!C18</f>
        <v>Əhmədov Elməddin Əhməd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COUNTA(Haziran[[#This Row],[1]:[30]])</f>
        <v>0</v>
      </c>
    </row>
    <row r="19" spans="1:35" ht="30" customHeight="1" x14ac:dyDescent="0.35">
      <c r="A19" s="22">
        <v>13</v>
      </c>
      <c r="B19" s="16" t="str">
        <f>May!B19</f>
        <v>Bağban</v>
      </c>
      <c r="C19" s="16" t="str">
        <f>May!C19</f>
        <v>Ələkbərov Bagman Ərəstun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COUNTA(Haziran[[#This Row],[1]:[30]])</f>
        <v>0</v>
      </c>
    </row>
    <row r="20" spans="1:35" ht="30" customHeight="1" x14ac:dyDescent="0.35">
      <c r="A20" s="22">
        <v>14</v>
      </c>
      <c r="B20" s="16" t="str">
        <f>May!B20</f>
        <v>Bağban</v>
      </c>
      <c r="C20" s="16" t="str">
        <f>May!C20</f>
        <v>Ələkbərov Fərman Qabil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COUNTA(Haziran[[#This Row],[1]:[30]])</f>
        <v>0</v>
      </c>
    </row>
    <row r="21" spans="1:35" ht="30" customHeight="1" x14ac:dyDescent="0.35">
      <c r="A21" s="22">
        <v>15</v>
      </c>
      <c r="B21" s="16" t="str">
        <f>May!B21</f>
        <v>Bağban</v>
      </c>
      <c r="C21" s="16" t="str">
        <f>May!C21</f>
        <v>Ələsgərov Elməddin Rauf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COUNTA(Haziran[[#This Row],[1]:[30]])</f>
        <v>0</v>
      </c>
    </row>
    <row r="22" spans="1:35" ht="30" customHeight="1" x14ac:dyDescent="0.35">
      <c r="A22" s="22">
        <v>16</v>
      </c>
      <c r="B22" s="16" t="str">
        <f>May!B22</f>
        <v>Bağban</v>
      </c>
      <c r="C22" s="16" t="str">
        <f>May!C22</f>
        <v>Əliyev Həsən Mais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COUNTA(Haziran[[#This Row],[1]:[30]])</f>
        <v>0</v>
      </c>
    </row>
    <row r="23" spans="1:35" ht="30" customHeight="1" x14ac:dyDescent="0.35">
      <c r="A23" s="22">
        <v>17</v>
      </c>
      <c r="B23" s="16" t="str">
        <f>May!B23</f>
        <v>Bağban</v>
      </c>
      <c r="C23" s="16" t="str">
        <f>May!C23</f>
        <v>Əliyev Sərdar Əliağa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COUNTA(Haziran[[#This Row],[1]:[30]])</f>
        <v>0</v>
      </c>
    </row>
    <row r="24" spans="1:35" ht="30" customHeight="1" x14ac:dyDescent="0.35">
      <c r="A24" s="22">
        <v>18</v>
      </c>
      <c r="B24" s="16" t="str">
        <f>May!B24</f>
        <v>Bağban</v>
      </c>
      <c r="C24" s="16" t="str">
        <f>May!C24</f>
        <v>Əliyev Xalıq Xanağa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COUNTA(Haziran[[#This Row],[1]:[30]])</f>
        <v>0</v>
      </c>
    </row>
    <row r="25" spans="1:35" ht="30" customHeight="1" x14ac:dyDescent="0.35">
      <c r="A25" s="22">
        <v>19</v>
      </c>
      <c r="B25" s="16" t="str">
        <f>May!B25</f>
        <v>Bağban</v>
      </c>
      <c r="C25" s="16" t="str">
        <f>May!C25</f>
        <v>Feyzullayev Firudin Ramiz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COUNTA(Haziran[[#This Row],[1]:[30]])</f>
        <v>0</v>
      </c>
    </row>
    <row r="26" spans="1:35" ht="30" customHeight="1" x14ac:dyDescent="0.35">
      <c r="A26" s="22">
        <v>20</v>
      </c>
      <c r="B26" s="16" t="str">
        <f>May!B26</f>
        <v>Bağban</v>
      </c>
      <c r="C26" s="16" t="str">
        <f>May!C26</f>
        <v>Haşımov Asif Hacı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COUNTA(Haziran[[#This Row],[1]:[30]])</f>
        <v>0</v>
      </c>
    </row>
    <row r="27" spans="1:35" ht="30" customHeight="1" x14ac:dyDescent="0.35">
      <c r="A27" s="22">
        <v>21</v>
      </c>
      <c r="B27" s="16" t="str">
        <f>May!B27</f>
        <v>Bağban</v>
      </c>
      <c r="C27" s="16" t="str">
        <f>May!C27</f>
        <v>Hüseynov Davud İsa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COUNTA(Haziran[[#This Row],[1]:[30]])</f>
        <v>0</v>
      </c>
    </row>
    <row r="28" spans="1:35" ht="30" customHeight="1" x14ac:dyDescent="0.35">
      <c r="A28" s="22">
        <v>22</v>
      </c>
      <c r="B28" s="16" t="str">
        <f>May!B28</f>
        <v>Bağban</v>
      </c>
      <c r="C28" s="16" t="str">
        <f>May!C28</f>
        <v>Hüseynov Ədail İsa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COUNTA(Haziran[[#This Row],[1]:[30]])</f>
        <v>0</v>
      </c>
    </row>
    <row r="29" spans="1:35" ht="30" customHeight="1" x14ac:dyDescent="0.35">
      <c r="A29" s="22">
        <v>23</v>
      </c>
      <c r="B29" s="16" t="str">
        <f>May!B29</f>
        <v>Bağban</v>
      </c>
      <c r="C29" s="16" t="str">
        <f>May!C29</f>
        <v>Hüseynov Səfaddin Əbülfəz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COUNTA(Haziran[[#This Row],[1]:[30]])</f>
        <v>0</v>
      </c>
    </row>
    <row r="30" spans="1:35" ht="30" customHeight="1" x14ac:dyDescent="0.35">
      <c r="A30" s="22">
        <v>24</v>
      </c>
      <c r="B30" s="16" t="str">
        <f>May!B30</f>
        <v>Bağban</v>
      </c>
      <c r="C30" s="16" t="str">
        <f>May!C30</f>
        <v>Hüseynov Şəmistan Qabil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COUNTA(Haziran[[#This Row],[1]:[30]])</f>
        <v>0</v>
      </c>
    </row>
    <row r="31" spans="1:35" ht="30" customHeight="1" x14ac:dyDescent="0.35">
      <c r="A31" s="22">
        <v>25</v>
      </c>
      <c r="B31" s="16" t="str">
        <f>May!B31</f>
        <v>Bağban</v>
      </c>
      <c r="C31" s="16" t="str">
        <f>May!C31</f>
        <v>Hüseynov Sərdar İsa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COUNTA(Haziran[[#This Row],[1]:[30]])</f>
        <v>0</v>
      </c>
    </row>
    <row r="32" spans="1:35" ht="30" customHeight="1" x14ac:dyDescent="0.35">
      <c r="A32" s="22">
        <v>26</v>
      </c>
      <c r="B32" s="16" t="str">
        <f>May!B32</f>
        <v>Bağban</v>
      </c>
      <c r="C32" s="16" t="str">
        <f>May!C32</f>
        <v>Hüseynov Siruz Qabil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COUNTA(Haziran[[#This Row],[1]:[30]])</f>
        <v>0</v>
      </c>
    </row>
    <row r="33" spans="1:35" ht="30" customHeight="1" x14ac:dyDescent="0.35">
      <c r="A33" s="22">
        <v>27</v>
      </c>
      <c r="B33" s="16" t="str">
        <f>May!B33</f>
        <v>Bağban</v>
      </c>
      <c r="C33" s="16" t="str">
        <f>May!C33</f>
        <v>Hüseynov Taleh Daşqın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COUNTA(Haziran[[#This Row],[1]:[30]])</f>
        <v>0</v>
      </c>
    </row>
    <row r="34" spans="1:35" ht="30" customHeight="1" x14ac:dyDescent="0.35">
      <c r="A34" s="22">
        <v>28</v>
      </c>
      <c r="B34" s="16" t="str">
        <f>May!B34</f>
        <v>Bağban</v>
      </c>
      <c r="C34" s="16" t="str">
        <f>May!C34</f>
        <v>Hüseynov Tərlan Yadulla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COUNTA(Haziran[[#This Row],[1]:[30]])</f>
        <v>0</v>
      </c>
    </row>
    <row r="35" spans="1:35" ht="30" customHeight="1" x14ac:dyDescent="0.35">
      <c r="A35" s="22">
        <v>29</v>
      </c>
      <c r="B35" s="16" t="str">
        <f>May!B35</f>
        <v>Bağban</v>
      </c>
      <c r="C35" s="16" t="str">
        <f>May!C35</f>
        <v>İbayev Zahid Mahir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COUNTA(Haziran[[#This Row],[1]:[30]])</f>
        <v>0</v>
      </c>
    </row>
    <row r="36" spans="1:35" ht="30" customHeight="1" x14ac:dyDescent="0.35">
      <c r="A36" s="22">
        <v>30</v>
      </c>
      <c r="B36" s="16" t="str">
        <f>May!B36</f>
        <v>Bağban</v>
      </c>
      <c r="C36" s="16" t="str">
        <f>May!C36</f>
        <v>İbayev Zahir Mahir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COUNTA(Haziran[[#This Row],[1]:[30]])</f>
        <v>0</v>
      </c>
    </row>
    <row r="37" spans="1:35" ht="30" customHeight="1" x14ac:dyDescent="0.35">
      <c r="A37" s="22">
        <v>31</v>
      </c>
      <c r="B37" s="16" t="str">
        <f>May!B37</f>
        <v>Bağban</v>
      </c>
      <c r="C37" s="16" t="str">
        <f>May!C37</f>
        <v>Məcidzadə Əli Valeh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COUNTA(Haziran[[#This Row],[1]:[30]])</f>
        <v>0</v>
      </c>
    </row>
    <row r="38" spans="1:35" ht="30" customHeight="1" x14ac:dyDescent="0.35">
      <c r="A38" s="22">
        <v>32</v>
      </c>
      <c r="B38" s="16" t="str">
        <f>May!B38</f>
        <v>Bağban</v>
      </c>
      <c r="C38" s="16" t="str">
        <f>May!C38</f>
        <v xml:space="preserve">Məmmədli Bəhruz İlham 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COUNTA(Haziran[[#This Row],[1]:[30]])</f>
        <v>0</v>
      </c>
    </row>
    <row r="39" spans="1:35" ht="30" customHeight="1" x14ac:dyDescent="0.35">
      <c r="A39" s="22">
        <v>33</v>
      </c>
      <c r="B39" s="16" t="str">
        <f>May!B39</f>
        <v>Bağban</v>
      </c>
      <c r="C39" s="16" t="str">
        <f>May!C39</f>
        <v>Məmmədli İsa Nazim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COUNTA(Haziran[[#This Row],[1]:[30]])</f>
        <v>0</v>
      </c>
    </row>
    <row r="40" spans="1:35" ht="30" customHeight="1" x14ac:dyDescent="0.35">
      <c r="A40" s="22">
        <v>34</v>
      </c>
      <c r="B40" s="16" t="str">
        <f>May!B40</f>
        <v>Bağban</v>
      </c>
      <c r="C40" s="16" t="str">
        <f>May!C40</f>
        <v>Məmmədov İlqar Teyyub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COUNTA(Haziran[[#This Row],[1]:[30]])</f>
        <v>0</v>
      </c>
    </row>
    <row r="41" spans="1:35" ht="30" customHeight="1" x14ac:dyDescent="0.35">
      <c r="A41" s="22">
        <v>35</v>
      </c>
      <c r="B41" s="16" t="str">
        <f>May!B41</f>
        <v>Bağban</v>
      </c>
      <c r="C41" s="16" t="str">
        <f>May!C41</f>
        <v xml:space="preserve">Məmmədov Sahil Ağaxan 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COUNTA(Haziran[[#This Row],[1]:[30]])</f>
        <v>0</v>
      </c>
    </row>
    <row r="42" spans="1:35" ht="30" customHeight="1" x14ac:dyDescent="0.35">
      <c r="A42" s="22">
        <v>36</v>
      </c>
      <c r="B42" s="16" t="str">
        <f>May!B42</f>
        <v>Bağban</v>
      </c>
      <c r="C42" s="16" t="str">
        <f>May!C42</f>
        <v>Məmmədov Yaqub Zahir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COUNTA(Haziran[[#This Row],[1]:[30]])</f>
        <v>0</v>
      </c>
    </row>
    <row r="43" spans="1:35" ht="30" customHeight="1" x14ac:dyDescent="0.35">
      <c r="A43" s="22">
        <v>37</v>
      </c>
      <c r="B43" s="16" t="str">
        <f>May!B43</f>
        <v>Bağban</v>
      </c>
      <c r="C43" s="16" t="str">
        <f>May!C43</f>
        <v>Məmmədzadə Qərib Fəxrəddin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COUNTA(Haziran[[#This Row],[1]:[30]])</f>
        <v>0</v>
      </c>
    </row>
    <row r="44" spans="1:35" ht="30" customHeight="1" x14ac:dyDescent="0.35">
      <c r="A44" s="22">
        <v>38</v>
      </c>
      <c r="B44" s="16" t="str">
        <f>May!B44</f>
        <v>Bağban</v>
      </c>
      <c r="C44" s="16" t="str">
        <f>May!C44</f>
        <v xml:space="preserve">Musayev Minbir Oqtay 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COUNTA(Haziran[[#This Row],[1]:[30]])</f>
        <v>0</v>
      </c>
    </row>
    <row r="45" spans="1:35" ht="30" customHeight="1" x14ac:dyDescent="0.35">
      <c r="A45" s="22">
        <v>39</v>
      </c>
      <c r="B45" s="16" t="str">
        <f>May!B45</f>
        <v>Bağban</v>
      </c>
      <c r="C45" s="16" t="str">
        <f>May!C45</f>
        <v>Nəcəfov Fizuli Böyükağa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COUNTA(Haziran[[#This Row],[1]:[30]])</f>
        <v>0</v>
      </c>
    </row>
    <row r="46" spans="1:35" ht="30" customHeight="1" x14ac:dyDescent="0.35">
      <c r="A46" s="22">
        <v>40</v>
      </c>
      <c r="B46" s="16" t="str">
        <f>May!B46</f>
        <v>Ofis meneceri</v>
      </c>
      <c r="C46" s="16" t="str">
        <f>May!C46</f>
        <v>Rəsulov Nurlan Yaşar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COUNTA(Haziran[[#This Row],[1]:[30]])</f>
        <v>0</v>
      </c>
    </row>
    <row r="47" spans="1:35" ht="30" customHeight="1" x14ac:dyDescent="0.35">
      <c r="A47" s="22">
        <v>41</v>
      </c>
      <c r="B47" s="16" t="str">
        <f>May!B47</f>
        <v>Bağban</v>
      </c>
      <c r="C47" s="16" t="str">
        <f>May!C47</f>
        <v>Rzayev İbrahim Mais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COUNTA(Haziran[[#This Row],[1]:[30]])</f>
        <v>0</v>
      </c>
    </row>
    <row r="48" spans="1:35" ht="30" customHeight="1" x14ac:dyDescent="0.35">
      <c r="A48" s="22">
        <v>42</v>
      </c>
      <c r="B48" s="16" t="str">
        <f>May!B48</f>
        <v>Bağban</v>
      </c>
      <c r="C48" s="16" t="str">
        <f>May!C48</f>
        <v>Səttarov Ağaəli Ərəstun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COUNTA(Haziran[[#This Row],[1]:[30]])</f>
        <v>0</v>
      </c>
    </row>
    <row r="49" spans="1:35" ht="30" customHeight="1" x14ac:dyDescent="0.35">
      <c r="A49" s="22">
        <v>43</v>
      </c>
      <c r="B49" s="16" t="str">
        <f>May!B49</f>
        <v>Bağban</v>
      </c>
      <c r="C49" s="16" t="str">
        <f>May!C49</f>
        <v>Tahirov Rəşad Elman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COUNTA(Haziran[[#This Row],[1]:[30]])</f>
        <v>0</v>
      </c>
    </row>
    <row r="50" spans="1:35" ht="30" customHeight="1" x14ac:dyDescent="0.35">
      <c r="A50" s="22">
        <v>44</v>
      </c>
      <c r="B50" s="16" t="str">
        <f>May!B50</f>
        <v>Bağban</v>
      </c>
      <c r="C50" s="16" t="str">
        <f>May!C50</f>
        <v>Xangəldiyev Asəf Əsabəli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COUNTA(Haziran[[#This Row],[1]:[30]])</f>
        <v>0</v>
      </c>
    </row>
    <row r="51" spans="1:35" ht="30" customHeight="1" x14ac:dyDescent="0.35">
      <c r="A51" s="22">
        <v>45</v>
      </c>
      <c r="B51" s="16" t="str">
        <f>May!B51</f>
        <v>Bağban</v>
      </c>
      <c r="C51" s="16" t="str">
        <f>May!C51</f>
        <v>Yusubov İsmayıl Sübhan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COUNTA(Haziran[[#This Row],[1]:[30]])</f>
        <v>0</v>
      </c>
    </row>
    <row r="52" spans="1:35" ht="30" customHeight="1" x14ac:dyDescent="0.35">
      <c r="A52" s="22">
        <v>46</v>
      </c>
      <c r="B52" s="16" t="str">
        <f>May!B52</f>
        <v>Bağban</v>
      </c>
      <c r="C52" s="16" t="str">
        <f>May!C52</f>
        <v>Zeynalov Anar Kamal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COUNTA(Haziran[[#This Row],[1]:[30]])</f>
        <v>0</v>
      </c>
    </row>
    <row r="53" spans="1:35" ht="30" customHeight="1" x14ac:dyDescent="0.35">
      <c r="A53" s="22">
        <v>47</v>
      </c>
      <c r="B53" s="16" t="str">
        <f>May!B53</f>
        <v>Bağban</v>
      </c>
      <c r="C53" s="16" t="str">
        <f>May!C53</f>
        <v>Zeynalov Şahab Əlizaman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COUNTA(Haziran[[#This Row],[1]:[30]])</f>
        <v>0</v>
      </c>
    </row>
    <row r="54" spans="1:35" ht="30" customHeight="1" x14ac:dyDescent="0.35">
      <c r="A54" s="22">
        <v>48</v>
      </c>
      <c r="B54" s="16" t="str">
        <f>May!B54</f>
        <v>Bağban</v>
      </c>
      <c r="C54" s="16" t="str">
        <f>May!C54</f>
        <v>Cəfərov Qubad Südeyf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COUNTA(Haziran[[#This Row],[1]:[30]])</f>
        <v>0</v>
      </c>
    </row>
    <row r="55" spans="1:35" ht="30" customHeight="1" x14ac:dyDescent="0.35">
      <c r="A55" s="22">
        <v>49</v>
      </c>
      <c r="B55" s="16" t="str">
        <f>May!B55</f>
        <v>Bağban</v>
      </c>
      <c r="C55" s="16" t="str">
        <f>May!C55</f>
        <v>Yusubov İsməddin Sübhan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COUNTA(Haziran[[#This Row],[1]:[30]])</f>
        <v>0</v>
      </c>
    </row>
    <row r="56" spans="1:35" ht="30" customHeight="1" x14ac:dyDescent="0.35">
      <c r="A56" s="22">
        <v>50</v>
      </c>
      <c r="B56" s="16" t="str">
        <f>May!B56</f>
        <v>Bağban</v>
      </c>
      <c r="C56" s="16">
        <f>May!C56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COUNTA(Haziran[[#This Row],[1]:[30]])</f>
        <v>0</v>
      </c>
    </row>
    <row r="57" spans="1:35" ht="30" customHeight="1" x14ac:dyDescent="0.35">
      <c r="A57" s="22">
        <v>51</v>
      </c>
      <c r="B57" s="16" t="str">
        <f>May!B57</f>
        <v>Bağban</v>
      </c>
      <c r="C57" s="16">
        <f>May!C57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COUNTA(Haziran[[#This Row],[1]:[30]])</f>
        <v>0</v>
      </c>
    </row>
    <row r="58" spans="1:35" ht="30" customHeight="1" x14ac:dyDescent="0.35">
      <c r="A58" s="22">
        <v>52</v>
      </c>
      <c r="B58" s="16" t="str">
        <f>May!B58</f>
        <v>Bağban</v>
      </c>
      <c r="C58" s="16">
        <f>May!C58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COUNTA(Haziran[[#This Row],[1]:[30]])</f>
        <v>0</v>
      </c>
    </row>
    <row r="59" spans="1:35" ht="30" customHeight="1" x14ac:dyDescent="0.35">
      <c r="A59" s="22">
        <v>53</v>
      </c>
      <c r="B59" s="16" t="str">
        <f>May!B59</f>
        <v>Bağban</v>
      </c>
      <c r="C59" s="16">
        <f>May!C59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COUNTA(Haziran[[#This Row],[1]:[30]])</f>
        <v>0</v>
      </c>
    </row>
    <row r="60" spans="1:35" ht="30" customHeight="1" x14ac:dyDescent="0.35">
      <c r="A60" s="22">
        <v>54</v>
      </c>
      <c r="B60" s="16" t="str">
        <f>May!B60</f>
        <v>Bağban</v>
      </c>
      <c r="C60" s="16">
        <f>May!C60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COUNTA(Haziran[[#This Row],[1]:[30]])</f>
        <v>0</v>
      </c>
    </row>
    <row r="61" spans="1:35" ht="30" customHeight="1" x14ac:dyDescent="0.35">
      <c r="A61" s="22">
        <v>55</v>
      </c>
      <c r="B61" s="16" t="str">
        <f>May!B61</f>
        <v>Bağban</v>
      </c>
      <c r="C61" s="16">
        <f>May!C61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9">
        <f>COUNTA(Haziran[[#This Row],[1]:[30]])</f>
        <v>0</v>
      </c>
    </row>
    <row r="62" spans="1:35" ht="30" customHeight="1" x14ac:dyDescent="0.35">
      <c r="C62" s="41" t="str">
        <f>AyAdı&amp;" Toplamı"</f>
        <v>İyun Toplamı</v>
      </c>
      <c r="D62" s="42">
        <f>SUBTOTAL(103,Haziran[1])</f>
        <v>0</v>
      </c>
      <c r="E62" s="42">
        <f>SUBTOTAL(103,Haziran[2])</f>
        <v>0</v>
      </c>
      <c r="F62" s="42">
        <f>SUBTOTAL(103,Haziran[3])</f>
        <v>0</v>
      </c>
      <c r="G62" s="42">
        <f>SUBTOTAL(103,Haziran[4])</f>
        <v>0</v>
      </c>
      <c r="H62" s="42">
        <f>SUBTOTAL(103,Haziran[5])</f>
        <v>0</v>
      </c>
      <c r="I62" s="42">
        <f>SUBTOTAL(103,Haziran[6])</f>
        <v>0</v>
      </c>
      <c r="J62" s="42">
        <f>SUBTOTAL(103,Haziran[7])</f>
        <v>0</v>
      </c>
      <c r="K62" s="42">
        <f>SUBTOTAL(103,Haziran[8])</f>
        <v>0</v>
      </c>
      <c r="L62" s="42">
        <f>SUBTOTAL(103,Haziran[9])</f>
        <v>0</v>
      </c>
      <c r="M62" s="42">
        <f>SUBTOTAL(103,Haziran[10])</f>
        <v>0</v>
      </c>
      <c r="N62" s="42">
        <f>SUBTOTAL(103,Haziran[11])</f>
        <v>0</v>
      </c>
      <c r="O62" s="42">
        <f>SUBTOTAL(103,Haziran[12])</f>
        <v>0</v>
      </c>
      <c r="P62" s="42">
        <f>SUBTOTAL(103,Haziran[13])</f>
        <v>0</v>
      </c>
      <c r="Q62" s="42">
        <f>SUBTOTAL(103,Haziran[14])</f>
        <v>0</v>
      </c>
      <c r="R62" s="42">
        <f>SUBTOTAL(103,Haziran[15])</f>
        <v>0</v>
      </c>
      <c r="S62" s="42">
        <f>SUBTOTAL(103,Haziran[16])</f>
        <v>0</v>
      </c>
      <c r="T62" s="42">
        <f>SUBTOTAL(103,Haziran[17])</f>
        <v>0</v>
      </c>
      <c r="U62" s="42">
        <f>SUBTOTAL(103,Haziran[18])</f>
        <v>0</v>
      </c>
      <c r="V62" s="42">
        <f>SUBTOTAL(103,Haziran[19])</f>
        <v>0</v>
      </c>
      <c r="W62" s="42">
        <f>SUBTOTAL(103,Haziran[20])</f>
        <v>0</v>
      </c>
      <c r="X62" s="42">
        <f>SUBTOTAL(103,Haziran[21])</f>
        <v>0</v>
      </c>
      <c r="Y62" s="42">
        <f>SUBTOTAL(103,Haziran[22])</f>
        <v>0</v>
      </c>
      <c r="Z62" s="42">
        <f>SUBTOTAL(103,Haziran[23])</f>
        <v>0</v>
      </c>
      <c r="AA62" s="42">
        <f>SUBTOTAL(103,Haziran[24])</f>
        <v>0</v>
      </c>
      <c r="AB62" s="42">
        <f>SUBTOTAL(103,Haziran[25])</f>
        <v>0</v>
      </c>
      <c r="AC62" s="42">
        <f>SUBTOTAL(103,Haziran[26])</f>
        <v>0</v>
      </c>
      <c r="AD62" s="42">
        <f>SUBTOTAL(103,Haziran[27])</f>
        <v>0</v>
      </c>
      <c r="AE62" s="42">
        <f>SUBTOTAL(103,Haziran[28])</f>
        <v>0</v>
      </c>
      <c r="AF62" s="42">
        <f>SUBTOTAL(103,Haziran[29])</f>
        <v>0</v>
      </c>
      <c r="AG62" s="42">
        <f>SUBTOTAL(103,Haziran[30])</f>
        <v>0</v>
      </c>
      <c r="AH62" s="42">
        <f>SUBTOTAL(103,Haziran[[ ]])</f>
        <v>0</v>
      </c>
      <c r="AI62" s="42">
        <f>SUBTOTAL(109,Haziran[Toplam Gün])</f>
        <v>0</v>
      </c>
    </row>
  </sheetData>
  <mergeCells count="6">
    <mergeCell ref="D4:AH4"/>
    <mergeCell ref="E2:G2"/>
    <mergeCell ref="I2:K2"/>
    <mergeCell ref="M2:N2"/>
    <mergeCell ref="P2:R2"/>
    <mergeCell ref="T2:V2"/>
  </mergeCells>
  <conditionalFormatting sqref="D7:AH61">
    <cfRule type="expression" priority="1" stopIfTrue="1">
      <formula>D7=""</formula>
    </cfRule>
  </conditionalFormatting>
  <conditionalFormatting sqref="D7:AH61">
    <cfRule type="expression" dxfId="620" priority="2" stopIfTrue="1">
      <formula>D7=AnahtarÖzel2</formula>
    </cfRule>
    <cfRule type="expression" dxfId="619" priority="3" stopIfTrue="1">
      <formula>D7=AnahtarÖzel1</formula>
    </cfRule>
    <cfRule type="expression" dxfId="618" priority="4" stopIfTrue="1">
      <formula>D7=AnahtarHasta</formula>
    </cfRule>
    <cfRule type="expression" dxfId="617" priority="5" stopIfTrue="1">
      <formula>D7=AnahtarKişisel</formula>
    </cfRule>
    <cfRule type="expression" dxfId="616" priority="6" stopIfTrue="1">
      <formula>D7=AnahtarTatil</formula>
    </cfRule>
  </conditionalFormatting>
  <conditionalFormatting sqref="AI7:AI61">
    <cfRule type="dataBar" priority="7">
      <dataBar>
        <cfvo type="min"/>
        <cfvo type="formula" val="DATEDIF(DATE(TakvimYılı,2,1),DATE(TakvimYılı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Bu satırdaki günler, AH4 hücresindeki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Ocak çalışma sayfasında girilen yıla göre otomatik olarak güncelleştirilen yıl" sqref="AI4"/>
    <dataValidation allowBlank="1" showInputMessage="1" showErrorMessage="1" prompt="Bu ay bir çalışanın toplamda kaç gün devamsızlık yaptığını, bu sütunda otomatik olarak hesaplar" sqref="AI6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Otomatik olarak güncelleştirilen başlık bu hücrededir. Başlığı değiştirmek için Ocak çalışma sayfasındaki B1 hücresini güncelleştirin" sqref="C1"/>
    <dataValidation allowBlank="1" showInputMessage="1" showErrorMessage="1" prompt="&quot;T&quot; harfi tatil nedeniyle devamsızlığı gösterir" sqref="D2"/>
    <dataValidation allowBlank="1" showInputMessage="1" showErrorMessage="1" prompt="&quot;K&quot; harfi kişisel nedenlerden dolayı devamsızlığı gösterir" sqref="H2"/>
    <dataValidation allowBlank="1" showInputMessage="1" showErrorMessage="1" prompt="&quot;H&quot; harfi hastalık nedeniyle devamsızlığı gösterir" sqref="L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Soldaki özel anahtarı açıklamak için bir etiket girin" sqref="P2:R2 T2:V2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Bu devamsızlık zaman çizelgesinin ay adı bu hücrededir. Bu aya ait toplam devamsızlık miktarı, tablonun son hücresindedir. Tablonun B sütunundan çalışan adlarını seçin" sqref="C4"/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  <dataValidation allowBlank="1" showInputMessage="1" showErrorMessage="1" prompt="Bu çalışma sayfasında Şubat devamsızlığını izleyin" sqref="A1:B1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DATEDIF(DATE(TakvimYılı,2,1),DATE(TakvimYılı,3,1),"d")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'Çalışan Adları'!$B$4:$B$8</xm:f>
          </x14:formula1>
          <xm:sqref>B7:B61</xm:sqref>
        </x14:dataValidation>
        <x14:dataValidation type="list" allowBlank="1" showInputMessage="1" showErrorMessage="1">
          <x14:formula1>
            <xm:f>'Çalışan Adları'!$B$4:$B$60</xm:f>
          </x14:formula1>
          <xm:sqref>C7:C61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I62"/>
  <sheetViews>
    <sheetView showGridLines="0" topLeftCell="A53" zoomScaleNormal="100" workbookViewId="0">
      <selection activeCell="C7" sqref="C7:C61"/>
    </sheetView>
  </sheetViews>
  <sheetFormatPr defaultRowHeight="30" customHeight="1" x14ac:dyDescent="0.35"/>
  <cols>
    <col min="1" max="1" width="3.81640625" style="1" customWidth="1"/>
    <col min="2" max="2" width="23.54296875" style="1" customWidth="1"/>
    <col min="3" max="3" width="25.63281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C1" s="13" t="str">
        <f>Employee_Absence_Title</f>
        <v>İşçilərin davamiyyət cədvəli</v>
      </c>
    </row>
    <row r="2" spans="1:35" ht="15" customHeight="1" x14ac:dyDescent="0.35"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 t="s">
        <v>45</v>
      </c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/>
      <c r="T2" s="40" t="s">
        <v>20</v>
      </c>
      <c r="U2" s="40"/>
      <c r="V2" s="40"/>
    </row>
    <row r="3" spans="1:35" ht="15" customHeight="1" x14ac:dyDescent="0.35">
      <c r="C3" s="13"/>
    </row>
    <row r="4" spans="1:35" ht="30" customHeight="1" x14ac:dyDescent="0.35">
      <c r="C4" s="11" t="s">
        <v>53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f>TakvimYılı</f>
        <v>2022</v>
      </c>
    </row>
    <row r="5" spans="1:35" ht="15" customHeight="1" x14ac:dyDescent="0.35">
      <c r="C5" s="11"/>
      <c r="D5" s="1" t="str">
        <f>TEXT(WEEKDAY(DATE(TakvimYılı,7,1),1),"ggg")</f>
        <v/>
      </c>
      <c r="E5" s="1" t="str">
        <f>TEXT(WEEKDAY(DATE(TakvimYılı,7,2),1),"ggg")</f>
        <v/>
      </c>
      <c r="F5" s="1" t="str">
        <f>TEXT(WEEKDAY(DATE(TakvimYılı,7,3),1),"ggg")</f>
        <v/>
      </c>
      <c r="G5" s="1" t="str">
        <f>TEXT(WEEKDAY(DATE(TakvimYılı,7,4),1),"ggg")</f>
        <v/>
      </c>
      <c r="H5" s="1" t="str">
        <f>TEXT(WEEKDAY(DATE(TakvimYılı,7,5),1),"ggg")</f>
        <v/>
      </c>
      <c r="I5" s="1" t="str">
        <f>TEXT(WEEKDAY(DATE(TakvimYılı,7,6),1),"ggg")</f>
        <v/>
      </c>
      <c r="J5" s="1" t="str">
        <f>TEXT(WEEKDAY(DATE(TakvimYılı,7,7),1),"ggg")</f>
        <v/>
      </c>
      <c r="K5" s="1" t="str">
        <f>TEXT(WEEKDAY(DATE(TakvimYılı,7,8),1),"ggg")</f>
        <v/>
      </c>
      <c r="L5" s="1" t="str">
        <f>TEXT(WEEKDAY(DATE(TakvimYılı,7,9),1),"ggg")</f>
        <v/>
      </c>
      <c r="M5" s="1" t="str">
        <f>TEXT(WEEKDAY(DATE(TakvimYılı,7,10),1),"ggg")</f>
        <v/>
      </c>
      <c r="N5" s="1" t="str">
        <f>TEXT(WEEKDAY(DATE(TakvimYılı,7,11),1),"ggg")</f>
        <v/>
      </c>
      <c r="O5" s="1" t="str">
        <f>TEXT(WEEKDAY(DATE(TakvimYılı,7,12),1),"ggg")</f>
        <v/>
      </c>
      <c r="P5" s="1" t="str">
        <f>TEXT(WEEKDAY(DATE(TakvimYılı,7,13),1),"ggg")</f>
        <v/>
      </c>
      <c r="Q5" s="1" t="str">
        <f>TEXT(WEEKDAY(DATE(TakvimYılı,7,14),1),"ggg")</f>
        <v/>
      </c>
      <c r="R5" s="1" t="str">
        <f>TEXT(WEEKDAY(DATE(TakvimYılı,7,15),1),"ggg")</f>
        <v/>
      </c>
      <c r="S5" s="1" t="str">
        <f>TEXT(WEEKDAY(DATE(TakvimYılı,7,16),1),"ggg")</f>
        <v/>
      </c>
      <c r="T5" s="1" t="str">
        <f>TEXT(WEEKDAY(DATE(TakvimYılı,7,17),1),"ggg")</f>
        <v/>
      </c>
      <c r="U5" s="1" t="str">
        <f>TEXT(WEEKDAY(DATE(TakvimYılı,7,18),1),"ggg")</f>
        <v/>
      </c>
      <c r="V5" s="1" t="str">
        <f>TEXT(WEEKDAY(DATE(TakvimYılı,7,19),1),"ggg")</f>
        <v/>
      </c>
      <c r="W5" s="1" t="str">
        <f>TEXT(WEEKDAY(DATE(TakvimYılı,7,20),1),"ggg")</f>
        <v/>
      </c>
      <c r="X5" s="1" t="str">
        <f>TEXT(WEEKDAY(DATE(TakvimYılı,7,21),1),"ggg")</f>
        <v/>
      </c>
      <c r="Y5" s="1" t="str">
        <f>TEXT(WEEKDAY(DATE(TakvimYılı,7,22),1),"ggg")</f>
        <v/>
      </c>
      <c r="Z5" s="1" t="str">
        <f>TEXT(WEEKDAY(DATE(TakvimYılı,7,23),1),"ggg")</f>
        <v/>
      </c>
      <c r="AA5" s="1" t="str">
        <f>TEXT(WEEKDAY(DATE(TakvimYılı,7,24),1),"ggg")</f>
        <v/>
      </c>
      <c r="AB5" s="1" t="str">
        <f>TEXT(WEEKDAY(DATE(TakvimYılı,7,25),1),"ggg")</f>
        <v/>
      </c>
      <c r="AC5" s="1" t="str">
        <f>TEXT(WEEKDAY(DATE(TakvimYılı,7,26),1),"ggg")</f>
        <v/>
      </c>
      <c r="AD5" s="1" t="str">
        <f>TEXT(WEEKDAY(DATE(TakvimYılı,7,27),1),"ggg")</f>
        <v/>
      </c>
      <c r="AE5" s="1" t="str">
        <f>TEXT(WEEKDAY(DATE(TakvimYılı,7,28),1),"ggg")</f>
        <v/>
      </c>
      <c r="AF5" s="1" t="str">
        <f>TEXT(WEEKDAY(DATE(TakvimYılı,7,29),1),"ggg")</f>
        <v/>
      </c>
      <c r="AG5" s="1" t="str">
        <f>TEXT(WEEKDAY(DATE(TakvimYılı,7,30),1),"ggg")</f>
        <v/>
      </c>
      <c r="AH5" s="1" t="str">
        <f>TEXT(WEEKDAY(DATE(TakvimYılı,7,31),1),"ggg")</f>
        <v/>
      </c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34</v>
      </c>
      <c r="AH6" s="2" t="s">
        <v>35</v>
      </c>
      <c r="AI6" s="15" t="s">
        <v>36</v>
      </c>
    </row>
    <row r="7" spans="1:35" ht="30" customHeight="1" x14ac:dyDescent="0.35">
      <c r="A7" s="22">
        <v>1</v>
      </c>
      <c r="B7" s="16" t="str">
        <f>İyun!B7</f>
        <v>Menecer</v>
      </c>
      <c r="C7" s="16" t="str">
        <f>İyun!C7</f>
        <v>Rzakov Ramiz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COUNTA(Temmuz[[#This Row],[1]:[31]])</f>
        <v>0</v>
      </c>
    </row>
    <row r="8" spans="1:35" ht="30" customHeight="1" x14ac:dyDescent="0.35">
      <c r="A8" s="22">
        <v>2</v>
      </c>
      <c r="B8" s="16" t="str">
        <f>İyun!B8</f>
        <v>Nəzarətçi</v>
      </c>
      <c r="C8" s="16" t="str">
        <f>İyun!C8</f>
        <v>Əsədov Elçin Güloğlan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COUNTA(Temmuz[[#This Row],[1]:[31]])</f>
        <v>0</v>
      </c>
    </row>
    <row r="9" spans="1:35" ht="30" customHeight="1" x14ac:dyDescent="0.35">
      <c r="A9" s="22">
        <v>3</v>
      </c>
      <c r="B9" s="16" t="str">
        <f>İyun!B9</f>
        <v>Nəzarətçi</v>
      </c>
      <c r="C9" s="16" t="str">
        <f>İyun!C9</f>
        <v>Babayev Fərid Vaqif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COUNTA(Temmuz[[#This Row],[1]:[31]])</f>
        <v>0</v>
      </c>
    </row>
    <row r="10" spans="1:35" ht="30" customHeight="1" x14ac:dyDescent="0.35">
      <c r="A10" s="22">
        <v>4</v>
      </c>
      <c r="B10" s="16" t="str">
        <f>İyun!B10</f>
        <v>Ofis meneceri</v>
      </c>
      <c r="C10" s="16" t="str">
        <f>İyun!C10</f>
        <v>Abbasov Rahib Ziyad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COUNTA(Temmuz[[#This Row],[1]:[31]])</f>
        <v>0</v>
      </c>
    </row>
    <row r="11" spans="1:35" ht="30" customHeight="1" x14ac:dyDescent="0.35">
      <c r="A11" s="22">
        <v>5</v>
      </c>
      <c r="B11" s="16" t="str">
        <f>İyun!B11</f>
        <v>Ofis meneceri</v>
      </c>
      <c r="C11" s="16" t="str">
        <f>İyun!C11</f>
        <v>Əşrəfzadə Sərxan Elman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COUNTA(Temmuz[[#This Row],[1]:[31]])</f>
        <v>0</v>
      </c>
    </row>
    <row r="12" spans="1:35" ht="30" customHeight="1" x14ac:dyDescent="0.35">
      <c r="A12" s="22">
        <v>6</v>
      </c>
      <c r="B12" s="16" t="str">
        <f>İyun!B12</f>
        <v>Ofis meneceri</v>
      </c>
      <c r="C12" s="16" t="str">
        <f>İyun!C12</f>
        <v>Dostəlizadə Mahir Valeh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COUNTA(Temmuz[[#This Row],[1]:[31]])</f>
        <v>0</v>
      </c>
    </row>
    <row r="13" spans="1:35" ht="30" customHeight="1" x14ac:dyDescent="0.35">
      <c r="A13" s="22">
        <v>7</v>
      </c>
      <c r="B13" s="16" t="str">
        <f>İyun!B13</f>
        <v>Ofis meneceri</v>
      </c>
      <c r="C13" s="16" t="str">
        <f>İyun!C13</f>
        <v>Rəsulov Nurlan Yaşar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COUNTA(Temmuz[[#This Row],[1]:[31]])</f>
        <v>0</v>
      </c>
    </row>
    <row r="14" spans="1:35" ht="30" customHeight="1" x14ac:dyDescent="0.35">
      <c r="A14" s="22">
        <v>8</v>
      </c>
      <c r="B14" s="16" t="str">
        <f>İyun!B14</f>
        <v>Bağban</v>
      </c>
      <c r="C14" s="16" t="str">
        <f>İyun!C14</f>
        <v>Abbasov Sücayət Hüseyn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COUNTA(Temmuz[[#This Row],[1]:[31]])</f>
        <v>0</v>
      </c>
    </row>
    <row r="15" spans="1:35" ht="30" customHeight="1" x14ac:dyDescent="0.35">
      <c r="A15" s="22">
        <v>9</v>
      </c>
      <c r="B15" s="16" t="str">
        <f>İyun!B15</f>
        <v>Bağban</v>
      </c>
      <c r="C15" s="16" t="str">
        <f>İyun!C15</f>
        <v>Ağayev Əkrəm Zülfi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COUNTA(Temmuz[[#This Row],[1]:[31]])</f>
        <v>0</v>
      </c>
    </row>
    <row r="16" spans="1:35" ht="30" customHeight="1" x14ac:dyDescent="0.35">
      <c r="A16" s="22">
        <v>10</v>
      </c>
      <c r="B16" s="16" t="str">
        <f>İyun!B16</f>
        <v>Bağban</v>
      </c>
      <c r="C16" s="16" t="str">
        <f>İyun!C16</f>
        <v>Bayramov Asim İsaq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COUNTA(Temmuz[[#This Row],[1]:[31]])</f>
        <v>0</v>
      </c>
    </row>
    <row r="17" spans="1:35" ht="30" customHeight="1" x14ac:dyDescent="0.35">
      <c r="A17" s="22">
        <v>11</v>
      </c>
      <c r="B17" s="16" t="str">
        <f>İyun!B17</f>
        <v>Bağban</v>
      </c>
      <c r="C17" s="16" t="str">
        <f>İyun!C17</f>
        <v>Əhədov Seymur Atakişi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COUNTA(Temmuz[[#This Row],[1]:[31]])</f>
        <v>0</v>
      </c>
    </row>
    <row r="18" spans="1:35" ht="30" customHeight="1" x14ac:dyDescent="0.35">
      <c r="A18" s="22">
        <v>12</v>
      </c>
      <c r="B18" s="16" t="str">
        <f>İyun!B18</f>
        <v>Bağban</v>
      </c>
      <c r="C18" s="16" t="str">
        <f>İyun!C18</f>
        <v>Əhmədov Elməddin Əhməd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COUNTA(Temmuz[[#This Row],[1]:[31]])</f>
        <v>0</v>
      </c>
    </row>
    <row r="19" spans="1:35" ht="30" customHeight="1" x14ac:dyDescent="0.35">
      <c r="A19" s="22">
        <v>13</v>
      </c>
      <c r="B19" s="16" t="str">
        <f>İyun!B19</f>
        <v>Bağban</v>
      </c>
      <c r="C19" s="16" t="str">
        <f>İyun!C19</f>
        <v>Ələkbərov Bagman Ərəstun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COUNTA(Temmuz[[#This Row],[1]:[31]])</f>
        <v>0</v>
      </c>
    </row>
    <row r="20" spans="1:35" ht="30" customHeight="1" x14ac:dyDescent="0.35">
      <c r="A20" s="22">
        <v>14</v>
      </c>
      <c r="B20" s="16" t="str">
        <f>İyun!B20</f>
        <v>Bağban</v>
      </c>
      <c r="C20" s="16" t="str">
        <f>İyun!C20</f>
        <v>Ələkbərov Fərman Qabil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COUNTA(Temmuz[[#This Row],[1]:[31]])</f>
        <v>0</v>
      </c>
    </row>
    <row r="21" spans="1:35" ht="30" customHeight="1" x14ac:dyDescent="0.35">
      <c r="A21" s="22">
        <v>15</v>
      </c>
      <c r="B21" s="16" t="str">
        <f>İyun!B21</f>
        <v>Bağban</v>
      </c>
      <c r="C21" s="16" t="str">
        <f>İyun!C21</f>
        <v>Ələsgərov Elməddin Rauf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COUNTA(Temmuz[[#This Row],[1]:[31]])</f>
        <v>0</v>
      </c>
    </row>
    <row r="22" spans="1:35" ht="30" customHeight="1" x14ac:dyDescent="0.35">
      <c r="A22" s="22">
        <v>16</v>
      </c>
      <c r="B22" s="16" t="str">
        <f>İyun!B22</f>
        <v>Bağban</v>
      </c>
      <c r="C22" s="16" t="str">
        <f>İyun!C22</f>
        <v>Əliyev Həsən Mais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COUNTA(Temmuz[[#This Row],[1]:[31]])</f>
        <v>0</v>
      </c>
    </row>
    <row r="23" spans="1:35" ht="30" customHeight="1" x14ac:dyDescent="0.35">
      <c r="A23" s="22">
        <v>17</v>
      </c>
      <c r="B23" s="16" t="str">
        <f>İyun!B23</f>
        <v>Bağban</v>
      </c>
      <c r="C23" s="16" t="str">
        <f>İyun!C23</f>
        <v>Əliyev Sərdar Əliağa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COUNTA(Temmuz[[#This Row],[1]:[31]])</f>
        <v>0</v>
      </c>
    </row>
    <row r="24" spans="1:35" ht="30" customHeight="1" x14ac:dyDescent="0.35">
      <c r="A24" s="22">
        <v>18</v>
      </c>
      <c r="B24" s="16" t="str">
        <f>İyun!B24</f>
        <v>Bağban</v>
      </c>
      <c r="C24" s="16" t="str">
        <f>İyun!C24</f>
        <v>Əliyev Xalıq Xanağa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COUNTA(Temmuz[[#This Row],[1]:[31]])</f>
        <v>0</v>
      </c>
    </row>
    <row r="25" spans="1:35" ht="30" customHeight="1" x14ac:dyDescent="0.35">
      <c r="A25" s="22">
        <v>19</v>
      </c>
      <c r="B25" s="16" t="str">
        <f>İyun!B25</f>
        <v>Bağban</v>
      </c>
      <c r="C25" s="16" t="str">
        <f>İyun!C25</f>
        <v>Feyzullayev Firudin Ramiz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COUNTA(Temmuz[[#This Row],[1]:[31]])</f>
        <v>0</v>
      </c>
    </row>
    <row r="26" spans="1:35" ht="30" customHeight="1" x14ac:dyDescent="0.35">
      <c r="A26" s="22">
        <v>20</v>
      </c>
      <c r="B26" s="16" t="str">
        <f>İyun!B26</f>
        <v>Bağban</v>
      </c>
      <c r="C26" s="16" t="str">
        <f>İyun!C26</f>
        <v>Haşımov Asif Hacı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COUNTA(Temmuz[[#This Row],[1]:[31]])</f>
        <v>0</v>
      </c>
    </row>
    <row r="27" spans="1:35" ht="30" customHeight="1" x14ac:dyDescent="0.35">
      <c r="A27" s="22">
        <v>21</v>
      </c>
      <c r="B27" s="16" t="str">
        <f>İyun!B27</f>
        <v>Bağban</v>
      </c>
      <c r="C27" s="16" t="str">
        <f>İyun!C27</f>
        <v>Hüseynov Davud İsa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COUNTA(Temmuz[[#This Row],[1]:[31]])</f>
        <v>0</v>
      </c>
    </row>
    <row r="28" spans="1:35" ht="30" customHeight="1" x14ac:dyDescent="0.35">
      <c r="A28" s="22">
        <v>22</v>
      </c>
      <c r="B28" s="16" t="str">
        <f>İyun!B28</f>
        <v>Bağban</v>
      </c>
      <c r="C28" s="16" t="str">
        <f>İyun!C28</f>
        <v>Hüseynov Ədail İsa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COUNTA(Temmuz[[#This Row],[1]:[31]])</f>
        <v>0</v>
      </c>
    </row>
    <row r="29" spans="1:35" ht="30" customHeight="1" x14ac:dyDescent="0.35">
      <c r="A29" s="22">
        <v>23</v>
      </c>
      <c r="B29" s="16" t="str">
        <f>İyun!B29</f>
        <v>Bağban</v>
      </c>
      <c r="C29" s="16" t="str">
        <f>İyun!C29</f>
        <v>Hüseynov Səfaddin Əbülfəz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COUNTA(Temmuz[[#This Row],[1]:[31]])</f>
        <v>0</v>
      </c>
    </row>
    <row r="30" spans="1:35" ht="30" customHeight="1" x14ac:dyDescent="0.35">
      <c r="A30" s="22">
        <v>24</v>
      </c>
      <c r="B30" s="16" t="str">
        <f>İyun!B30</f>
        <v>Bağban</v>
      </c>
      <c r="C30" s="16" t="str">
        <f>İyun!C30</f>
        <v>Hüseynov Şəmistan Qabil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COUNTA(Temmuz[[#This Row],[1]:[31]])</f>
        <v>0</v>
      </c>
    </row>
    <row r="31" spans="1:35" ht="30" customHeight="1" x14ac:dyDescent="0.35">
      <c r="A31" s="22">
        <v>25</v>
      </c>
      <c r="B31" s="16" t="str">
        <f>İyun!B31</f>
        <v>Bağban</v>
      </c>
      <c r="C31" s="16" t="str">
        <f>İyun!C31</f>
        <v>Hüseynov Sərdar İsa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COUNTA(Temmuz[[#This Row],[1]:[31]])</f>
        <v>0</v>
      </c>
    </row>
    <row r="32" spans="1:35" ht="30" customHeight="1" x14ac:dyDescent="0.35">
      <c r="A32" s="22">
        <v>26</v>
      </c>
      <c r="B32" s="16" t="str">
        <f>İyun!B32</f>
        <v>Bağban</v>
      </c>
      <c r="C32" s="16" t="str">
        <f>İyun!C32</f>
        <v>Hüseynov Siruz Qabil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COUNTA(Temmuz[[#This Row],[1]:[31]])</f>
        <v>0</v>
      </c>
    </row>
    <row r="33" spans="1:35" ht="30" customHeight="1" x14ac:dyDescent="0.35">
      <c r="A33" s="22">
        <v>27</v>
      </c>
      <c r="B33" s="16" t="str">
        <f>İyun!B33</f>
        <v>Bağban</v>
      </c>
      <c r="C33" s="16" t="str">
        <f>İyun!C33</f>
        <v>Hüseynov Taleh Daşqın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COUNTA(Temmuz[[#This Row],[1]:[31]])</f>
        <v>0</v>
      </c>
    </row>
    <row r="34" spans="1:35" ht="30" customHeight="1" x14ac:dyDescent="0.35">
      <c r="A34" s="22">
        <v>28</v>
      </c>
      <c r="B34" s="16" t="str">
        <f>İyun!B34</f>
        <v>Bağban</v>
      </c>
      <c r="C34" s="16" t="str">
        <f>İyun!C34</f>
        <v>Hüseynov Tərlan Yadulla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COUNTA(Temmuz[[#This Row],[1]:[31]])</f>
        <v>0</v>
      </c>
    </row>
    <row r="35" spans="1:35" ht="30" customHeight="1" x14ac:dyDescent="0.35">
      <c r="A35" s="22">
        <v>29</v>
      </c>
      <c r="B35" s="16" t="str">
        <f>İyun!B35</f>
        <v>Bağban</v>
      </c>
      <c r="C35" s="16" t="str">
        <f>İyun!C35</f>
        <v>İbayev Zahid Mahir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COUNTA(Temmuz[[#This Row],[1]:[31]])</f>
        <v>0</v>
      </c>
    </row>
    <row r="36" spans="1:35" ht="30" customHeight="1" x14ac:dyDescent="0.35">
      <c r="A36" s="22">
        <v>30</v>
      </c>
      <c r="B36" s="16" t="str">
        <f>İyun!B36</f>
        <v>Bağban</v>
      </c>
      <c r="C36" s="16" t="str">
        <f>İyun!C36</f>
        <v>İbayev Zahir Mahir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COUNTA(Temmuz[[#This Row],[1]:[31]])</f>
        <v>0</v>
      </c>
    </row>
    <row r="37" spans="1:35" ht="30" customHeight="1" x14ac:dyDescent="0.35">
      <c r="A37" s="22">
        <v>31</v>
      </c>
      <c r="B37" s="16" t="str">
        <f>İyun!B37</f>
        <v>Bağban</v>
      </c>
      <c r="C37" s="16" t="str">
        <f>İyun!C37</f>
        <v>Məcidzadə Əli Valeh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COUNTA(Temmuz[[#This Row],[1]:[31]])</f>
        <v>0</v>
      </c>
    </row>
    <row r="38" spans="1:35" ht="30" customHeight="1" x14ac:dyDescent="0.35">
      <c r="A38" s="22">
        <v>32</v>
      </c>
      <c r="B38" s="16" t="str">
        <f>İyun!B38</f>
        <v>Bağban</v>
      </c>
      <c r="C38" s="16" t="str">
        <f>İyun!C38</f>
        <v xml:space="preserve">Məmmədli Bəhruz İlham 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COUNTA(Temmuz[[#This Row],[1]:[31]])</f>
        <v>0</v>
      </c>
    </row>
    <row r="39" spans="1:35" ht="30" customHeight="1" x14ac:dyDescent="0.35">
      <c r="A39" s="22">
        <v>33</v>
      </c>
      <c r="B39" s="16" t="str">
        <f>İyun!B39</f>
        <v>Bağban</v>
      </c>
      <c r="C39" s="16" t="str">
        <f>İyun!C39</f>
        <v>Məmmədli İsa Nazim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COUNTA(Temmuz[[#This Row],[1]:[31]])</f>
        <v>0</v>
      </c>
    </row>
    <row r="40" spans="1:35" ht="30" customHeight="1" x14ac:dyDescent="0.35">
      <c r="A40" s="22">
        <v>34</v>
      </c>
      <c r="B40" s="16" t="str">
        <f>İyun!B40</f>
        <v>Bağban</v>
      </c>
      <c r="C40" s="16" t="str">
        <f>İyun!C40</f>
        <v>Məmmədov İlqar Teyyub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COUNTA(Temmuz[[#This Row],[1]:[31]])</f>
        <v>0</v>
      </c>
    </row>
    <row r="41" spans="1:35" ht="30" customHeight="1" x14ac:dyDescent="0.35">
      <c r="A41" s="22">
        <v>35</v>
      </c>
      <c r="B41" s="16" t="str">
        <f>İyun!B41</f>
        <v>Bağban</v>
      </c>
      <c r="C41" s="16" t="str">
        <f>İyun!C41</f>
        <v xml:space="preserve">Məmmədov Sahil Ağaxan 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COUNTA(Temmuz[[#This Row],[1]:[31]])</f>
        <v>0</v>
      </c>
    </row>
    <row r="42" spans="1:35" ht="30" customHeight="1" x14ac:dyDescent="0.35">
      <c r="A42" s="22">
        <v>36</v>
      </c>
      <c r="B42" s="16" t="str">
        <f>İyun!B42</f>
        <v>Bağban</v>
      </c>
      <c r="C42" s="16" t="str">
        <f>İyun!C42</f>
        <v>Məmmədov Yaqub Zahir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COUNTA(Temmuz[[#This Row],[1]:[31]])</f>
        <v>0</v>
      </c>
    </row>
    <row r="43" spans="1:35" ht="30" customHeight="1" x14ac:dyDescent="0.35">
      <c r="A43" s="22">
        <v>37</v>
      </c>
      <c r="B43" s="16" t="str">
        <f>İyun!B43</f>
        <v>Bağban</v>
      </c>
      <c r="C43" s="16" t="str">
        <f>İyun!C43</f>
        <v>Məmmədzadə Qərib Fəxrəddin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COUNTA(Temmuz[[#This Row],[1]:[31]])</f>
        <v>0</v>
      </c>
    </row>
    <row r="44" spans="1:35" ht="30" customHeight="1" x14ac:dyDescent="0.35">
      <c r="A44" s="22">
        <v>38</v>
      </c>
      <c r="B44" s="16" t="str">
        <f>İyun!B44</f>
        <v>Bağban</v>
      </c>
      <c r="C44" s="16" t="str">
        <f>İyun!C44</f>
        <v xml:space="preserve">Musayev Minbir Oqtay 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COUNTA(Temmuz[[#This Row],[1]:[31]])</f>
        <v>0</v>
      </c>
    </row>
    <row r="45" spans="1:35" ht="30" customHeight="1" x14ac:dyDescent="0.35">
      <c r="A45" s="22">
        <v>39</v>
      </c>
      <c r="B45" s="16" t="str">
        <f>İyun!B45</f>
        <v>Bağban</v>
      </c>
      <c r="C45" s="16" t="str">
        <f>İyun!C45</f>
        <v>Nəcəfov Fizuli Böyükağa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COUNTA(Temmuz[[#This Row],[1]:[31]])</f>
        <v>0</v>
      </c>
    </row>
    <row r="46" spans="1:35" ht="30" customHeight="1" x14ac:dyDescent="0.35">
      <c r="A46" s="22">
        <v>40</v>
      </c>
      <c r="B46" s="16" t="str">
        <f>İyun!B46</f>
        <v>Ofis meneceri</v>
      </c>
      <c r="C46" s="16" t="str">
        <f>İyun!C46</f>
        <v>Rəsulov Nurlan Yaşar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COUNTA(Temmuz[[#This Row],[1]:[31]])</f>
        <v>0</v>
      </c>
    </row>
    <row r="47" spans="1:35" ht="30" customHeight="1" x14ac:dyDescent="0.35">
      <c r="A47" s="22">
        <v>41</v>
      </c>
      <c r="B47" s="16" t="str">
        <f>İyun!B47</f>
        <v>Bağban</v>
      </c>
      <c r="C47" s="16" t="str">
        <f>İyun!C47</f>
        <v>Rzayev İbrahim Mais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COUNTA(Temmuz[[#This Row],[1]:[31]])</f>
        <v>0</v>
      </c>
    </row>
    <row r="48" spans="1:35" ht="30" customHeight="1" x14ac:dyDescent="0.35">
      <c r="A48" s="22">
        <v>42</v>
      </c>
      <c r="B48" s="16" t="str">
        <f>İyun!B48</f>
        <v>Bağban</v>
      </c>
      <c r="C48" s="16" t="str">
        <f>İyun!C48</f>
        <v>Səttarov Ağaəli Ərəstun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COUNTA(Temmuz[[#This Row],[1]:[31]])</f>
        <v>0</v>
      </c>
    </row>
    <row r="49" spans="1:35" ht="30" customHeight="1" x14ac:dyDescent="0.35">
      <c r="A49" s="22">
        <v>43</v>
      </c>
      <c r="B49" s="16" t="str">
        <f>İyun!B49</f>
        <v>Bağban</v>
      </c>
      <c r="C49" s="16" t="str">
        <f>İyun!C49</f>
        <v>Tahirov Rəşad Elman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COUNTA(Temmuz[[#This Row],[1]:[31]])</f>
        <v>0</v>
      </c>
    </row>
    <row r="50" spans="1:35" ht="30" customHeight="1" x14ac:dyDescent="0.35">
      <c r="A50" s="22">
        <v>44</v>
      </c>
      <c r="B50" s="16" t="str">
        <f>İyun!B50</f>
        <v>Bağban</v>
      </c>
      <c r="C50" s="16" t="str">
        <f>İyun!C50</f>
        <v>Xangəldiyev Asəf Əsabəli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COUNTA(Temmuz[[#This Row],[1]:[31]])</f>
        <v>0</v>
      </c>
    </row>
    <row r="51" spans="1:35" ht="30" customHeight="1" x14ac:dyDescent="0.35">
      <c r="A51" s="22">
        <v>45</v>
      </c>
      <c r="B51" s="16" t="str">
        <f>İyun!B51</f>
        <v>Bağban</v>
      </c>
      <c r="C51" s="16" t="str">
        <f>İyun!C51</f>
        <v>Yusubov İsmayıl Sübhan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COUNTA(Temmuz[[#This Row],[1]:[31]])</f>
        <v>0</v>
      </c>
    </row>
    <row r="52" spans="1:35" ht="30" customHeight="1" x14ac:dyDescent="0.35">
      <c r="A52" s="22">
        <v>46</v>
      </c>
      <c r="B52" s="16" t="str">
        <f>İyun!B52</f>
        <v>Bağban</v>
      </c>
      <c r="C52" s="16" t="str">
        <f>İyun!C52</f>
        <v>Zeynalov Anar Kamal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COUNTA(Temmuz[[#This Row],[1]:[31]])</f>
        <v>0</v>
      </c>
    </row>
    <row r="53" spans="1:35" ht="30" customHeight="1" x14ac:dyDescent="0.35">
      <c r="A53" s="22">
        <v>47</v>
      </c>
      <c r="B53" s="16" t="str">
        <f>İyun!B53</f>
        <v>Bağban</v>
      </c>
      <c r="C53" s="16" t="str">
        <f>İyun!C53</f>
        <v>Zeynalov Şahab Əlizaman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COUNTA(Temmuz[[#This Row],[1]:[31]])</f>
        <v>0</v>
      </c>
    </row>
    <row r="54" spans="1:35" ht="30" customHeight="1" x14ac:dyDescent="0.35">
      <c r="A54" s="22">
        <v>48</v>
      </c>
      <c r="B54" s="16" t="str">
        <f>İyun!B54</f>
        <v>Bağban</v>
      </c>
      <c r="C54" s="16" t="str">
        <f>İyun!C54</f>
        <v>Cəfərov Qubad Südeyf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COUNTA(Temmuz[[#This Row],[1]:[31]])</f>
        <v>0</v>
      </c>
    </row>
    <row r="55" spans="1:35" ht="30" customHeight="1" x14ac:dyDescent="0.35">
      <c r="A55" s="22">
        <v>49</v>
      </c>
      <c r="B55" s="16" t="str">
        <f>İyun!B55</f>
        <v>Bağban</v>
      </c>
      <c r="C55" s="16" t="str">
        <f>İyun!C55</f>
        <v>Yusubov İsməddin Sübhan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COUNTA(Temmuz[[#This Row],[1]:[31]])</f>
        <v>0</v>
      </c>
    </row>
    <row r="56" spans="1:35" ht="30" customHeight="1" x14ac:dyDescent="0.35">
      <c r="A56" s="22">
        <v>50</v>
      </c>
      <c r="B56" s="16" t="str">
        <f>İyun!B56</f>
        <v>Bağban</v>
      </c>
      <c r="C56" s="16">
        <f>İyun!C56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COUNTA(Temmuz[[#This Row],[1]:[31]])</f>
        <v>0</v>
      </c>
    </row>
    <row r="57" spans="1:35" ht="30" customHeight="1" x14ac:dyDescent="0.35">
      <c r="A57" s="22">
        <v>51</v>
      </c>
      <c r="B57" s="16" t="str">
        <f>İyun!B57</f>
        <v>Bağban</v>
      </c>
      <c r="C57" s="16">
        <f>İyun!C57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COUNTA(Temmuz[[#This Row],[1]:[31]])</f>
        <v>0</v>
      </c>
    </row>
    <row r="58" spans="1:35" ht="30" customHeight="1" x14ac:dyDescent="0.35">
      <c r="A58" s="22">
        <v>52</v>
      </c>
      <c r="B58" s="16" t="str">
        <f>İyun!B58</f>
        <v>Bağban</v>
      </c>
      <c r="C58" s="16">
        <f>İyun!C58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COUNTA(Temmuz[[#This Row],[1]:[31]])</f>
        <v>0</v>
      </c>
    </row>
    <row r="59" spans="1:35" ht="30" customHeight="1" x14ac:dyDescent="0.35">
      <c r="A59" s="22">
        <v>53</v>
      </c>
      <c r="B59" s="16" t="str">
        <f>İyun!B59</f>
        <v>Bağban</v>
      </c>
      <c r="C59" s="16">
        <f>İyun!C59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COUNTA(Temmuz[[#This Row],[1]:[31]])</f>
        <v>0</v>
      </c>
    </row>
    <row r="60" spans="1:35" ht="30" customHeight="1" x14ac:dyDescent="0.35">
      <c r="A60" s="22">
        <v>54</v>
      </c>
      <c r="B60" s="16" t="str">
        <f>İyun!B60</f>
        <v>Bağban</v>
      </c>
      <c r="C60" s="16">
        <f>İyun!C60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COUNTA(Temmuz[[#This Row],[1]:[31]])</f>
        <v>0</v>
      </c>
    </row>
    <row r="61" spans="1:35" ht="30" customHeight="1" x14ac:dyDescent="0.35">
      <c r="A61" s="22">
        <v>55</v>
      </c>
      <c r="B61" s="16" t="str">
        <f>İyun!B61</f>
        <v>Bağban</v>
      </c>
      <c r="C61" s="16">
        <f>İyun!C61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9">
        <f>COUNTA(Temmuz[[#This Row],[1]:[31]])</f>
        <v>0</v>
      </c>
    </row>
    <row r="62" spans="1:35" ht="30" customHeight="1" x14ac:dyDescent="0.35">
      <c r="C62" s="41" t="str">
        <f>AyAdı&amp;" Toplamı"</f>
        <v>İyul Toplamı</v>
      </c>
      <c r="D62" s="42">
        <f>SUBTOTAL(103,Temmuz[1])</f>
        <v>0</v>
      </c>
      <c r="E62" s="42">
        <f>SUBTOTAL(103,Temmuz[2])</f>
        <v>0</v>
      </c>
      <c r="F62" s="42">
        <f>SUBTOTAL(103,Temmuz[3])</f>
        <v>0</v>
      </c>
      <c r="G62" s="42">
        <f>SUBTOTAL(103,Temmuz[4])</f>
        <v>0</v>
      </c>
      <c r="H62" s="42">
        <f>SUBTOTAL(103,Temmuz[5])</f>
        <v>0</v>
      </c>
      <c r="I62" s="42">
        <f>SUBTOTAL(103,Temmuz[6])</f>
        <v>0</v>
      </c>
      <c r="J62" s="42">
        <f>SUBTOTAL(103,Temmuz[7])</f>
        <v>0</v>
      </c>
      <c r="K62" s="42">
        <f>SUBTOTAL(103,Temmuz[8])</f>
        <v>0</v>
      </c>
      <c r="L62" s="42">
        <f>SUBTOTAL(103,Temmuz[9])</f>
        <v>0</v>
      </c>
      <c r="M62" s="42">
        <f>SUBTOTAL(103,Temmuz[10])</f>
        <v>0</v>
      </c>
      <c r="N62" s="42">
        <f>SUBTOTAL(103,Temmuz[11])</f>
        <v>0</v>
      </c>
      <c r="O62" s="42">
        <f>SUBTOTAL(103,Temmuz[12])</f>
        <v>0</v>
      </c>
      <c r="P62" s="42">
        <f>SUBTOTAL(103,Temmuz[13])</f>
        <v>0</v>
      </c>
      <c r="Q62" s="42">
        <f>SUBTOTAL(103,Temmuz[14])</f>
        <v>0</v>
      </c>
      <c r="R62" s="42">
        <f>SUBTOTAL(103,Temmuz[15])</f>
        <v>0</v>
      </c>
      <c r="S62" s="42">
        <f>SUBTOTAL(103,Temmuz[16])</f>
        <v>0</v>
      </c>
      <c r="T62" s="42">
        <f>SUBTOTAL(103,Temmuz[17])</f>
        <v>0</v>
      </c>
      <c r="U62" s="42">
        <f>SUBTOTAL(103,Temmuz[18])</f>
        <v>0</v>
      </c>
      <c r="V62" s="42">
        <f>SUBTOTAL(103,Temmuz[19])</f>
        <v>0</v>
      </c>
      <c r="W62" s="42">
        <f>SUBTOTAL(103,Temmuz[20])</f>
        <v>0</v>
      </c>
      <c r="X62" s="42">
        <f>SUBTOTAL(103,Temmuz[21])</f>
        <v>0</v>
      </c>
      <c r="Y62" s="42">
        <f>SUBTOTAL(103,Temmuz[22])</f>
        <v>0</v>
      </c>
      <c r="Z62" s="42">
        <f>SUBTOTAL(103,Temmuz[23])</f>
        <v>0</v>
      </c>
      <c r="AA62" s="42">
        <f>SUBTOTAL(103,Temmuz[24])</f>
        <v>0</v>
      </c>
      <c r="AB62" s="42">
        <f>SUBTOTAL(103,Temmuz[25])</f>
        <v>0</v>
      </c>
      <c r="AC62" s="42">
        <f>SUBTOTAL(103,Temmuz[26])</f>
        <v>0</v>
      </c>
      <c r="AD62" s="42">
        <f>SUBTOTAL(103,Temmuz[27])</f>
        <v>0</v>
      </c>
      <c r="AE62" s="42">
        <f>SUBTOTAL(103,Temmuz[28])</f>
        <v>0</v>
      </c>
      <c r="AF62" s="42">
        <f>SUBTOTAL(103,Temmuz[29])</f>
        <v>0</v>
      </c>
      <c r="AG62" s="42">
        <f>SUBTOTAL(103,Temmuz[30])</f>
        <v>0</v>
      </c>
      <c r="AH62" s="42">
        <f>SUBTOTAL(103,Temmuz[31])</f>
        <v>0</v>
      </c>
      <c r="AI62" s="42">
        <f>SUBTOTAL(109,Temmuz[Toplam Gün])</f>
        <v>0</v>
      </c>
    </row>
  </sheetData>
  <mergeCells count="6">
    <mergeCell ref="D4:AH4"/>
    <mergeCell ref="E2:G2"/>
    <mergeCell ref="I2:K2"/>
    <mergeCell ref="M2:N2"/>
    <mergeCell ref="P2:R2"/>
    <mergeCell ref="T2:V2"/>
  </mergeCells>
  <conditionalFormatting sqref="D7:AH61">
    <cfRule type="expression" priority="1" stopIfTrue="1">
      <formula>D7=""</formula>
    </cfRule>
  </conditionalFormatting>
  <conditionalFormatting sqref="D7:AH61">
    <cfRule type="expression" dxfId="579" priority="2" stopIfTrue="1">
      <formula>D7=AnahtarÖzel2</formula>
    </cfRule>
    <cfRule type="expression" dxfId="578" priority="3" stopIfTrue="1">
      <formula>D7=AnahtarÖzel1</formula>
    </cfRule>
    <cfRule type="expression" dxfId="577" priority="4" stopIfTrue="1">
      <formula>D7=AnahtarHasta</formula>
    </cfRule>
    <cfRule type="expression" dxfId="576" priority="5" stopIfTrue="1">
      <formula>D7=AnahtarKişisel</formula>
    </cfRule>
    <cfRule type="expression" dxfId="575" priority="6" stopIfTrue="1">
      <formula>D7=AnahtarTatil</formula>
    </cfRule>
  </conditionalFormatting>
  <conditionalFormatting sqref="AI7:AI61">
    <cfRule type="dataBar" priority="7">
      <dataBar>
        <cfvo type="min"/>
        <cfvo type="formula" val="DATEDIF(DATE(TakvimYılı,2,1),DATE(TakvimYılı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  <dataValidation allowBlank="1" showInputMessage="1" showErrorMessage="1" prompt="Bu devamsızlık zaman çizelgesinin ay adı bu hücrededir. Bu aya ait toplam devamsızlık miktarı, tablonun son hücresindedir. Tablonun B sütunundan çalışan adlarını seçin" sqref="C4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Soldaki özel anahtarı açıklamak için bir etiket girin" sqref="P2:R2 T2:V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&quot;H&quot; harfi hastalık nedeniyle devamsızlığı gösterir" sqref="L2"/>
    <dataValidation allowBlank="1" showInputMessage="1" showErrorMessage="1" prompt="&quot;K&quot; harfi kişisel nedenlerden dolayı devamsızlığı gösterir" sqref="H2"/>
    <dataValidation allowBlank="1" showInputMessage="1" showErrorMessage="1" prompt="&quot;T&quot; harfi tatil nedeniyle devamsızlığı gösterir" sqref="D2"/>
    <dataValidation allowBlank="1" showInputMessage="1" showErrorMessage="1" prompt="Otomatik olarak güncelleştirilen başlık bu hücrededir. Başlığı değiştirmek için Ocak çalışma sayfasındaki B1 hücresini güncelleştirin" sqref="C1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Bu ay bir çalışanın toplamda kaç gün devamsızlık yaptığını, bu sütunda otomatik olarak hesaplar" sqref="AI6"/>
    <dataValidation allowBlank="1" showInputMessage="1" showErrorMessage="1" prompt="Ocak çalışma sayfasında girilen yıla göre otomatik olarak güncelleştirilen yıl" sqref="AI4"/>
    <dataValidation allowBlank="1" showInputMessage="1" showErrorMessage="1" prompt="Bu satırdaki günler, AH4 hücresindeki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Bu çalışma sayfasında Şubat devamsızlığını izleyin" sqref="A1:B1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DATEDIF(DATE(TakvimYılı,2,1),DATE(TakvimYılı,3,1),"d")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'Çalışan Adları'!$B$4:$B$8</xm:f>
          </x14:formula1>
          <xm:sqref>B7:B61</xm:sqref>
        </x14:dataValidation>
        <x14:dataValidation type="list" allowBlank="1" showInputMessage="1" showErrorMessage="1">
          <x14:formula1>
            <xm:f>'Çalışan Adları'!$B$4:$B$60</xm:f>
          </x14:formula1>
          <xm:sqref>C7:C61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I62"/>
  <sheetViews>
    <sheetView showGridLines="0" topLeftCell="A52" zoomScaleNormal="100" workbookViewId="0">
      <selection activeCell="B55" sqref="B55"/>
    </sheetView>
  </sheetViews>
  <sheetFormatPr defaultRowHeight="30" customHeight="1" x14ac:dyDescent="0.35"/>
  <cols>
    <col min="1" max="1" width="3.81640625" style="1" customWidth="1"/>
    <col min="2" max="2" width="23.54296875" style="1" customWidth="1"/>
    <col min="3" max="3" width="25.63281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C1" s="13" t="str">
        <f>Employee_Absence_Title</f>
        <v>İşçilərin davamiyyət cədvəli</v>
      </c>
    </row>
    <row r="2" spans="1:35" ht="15" customHeight="1" x14ac:dyDescent="0.35"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 t="s">
        <v>45</v>
      </c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/>
      <c r="T2" s="40" t="s">
        <v>20</v>
      </c>
      <c r="U2" s="40"/>
      <c r="V2" s="40"/>
    </row>
    <row r="3" spans="1:35" ht="15" customHeight="1" x14ac:dyDescent="0.35">
      <c r="C3" s="13"/>
    </row>
    <row r="4" spans="1:35" ht="30" customHeight="1" x14ac:dyDescent="0.35">
      <c r="C4" s="11" t="s">
        <v>54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f>TakvimYılı</f>
        <v>2022</v>
      </c>
    </row>
    <row r="5" spans="1:35" ht="15" customHeight="1" x14ac:dyDescent="0.35">
      <c r="C5" s="11"/>
      <c r="D5" s="1" t="str">
        <f>TEXT(WEEKDAY(DATE(TakvimYılı,8,1),1),"ggg")</f>
        <v/>
      </c>
      <c r="E5" s="1" t="str">
        <f>TEXT(WEEKDAY(DATE(TakvimYılı,8,2),1),"ggg")</f>
        <v/>
      </c>
      <c r="F5" s="1" t="str">
        <f>TEXT(WEEKDAY(DATE(TakvimYılı,8,3),1),"ggg")</f>
        <v/>
      </c>
      <c r="G5" s="1" t="str">
        <f>TEXT(WEEKDAY(DATE(TakvimYılı,8,4),1),"ggg")</f>
        <v/>
      </c>
      <c r="H5" s="1" t="str">
        <f>TEXT(WEEKDAY(DATE(TakvimYılı,8,5),1),"ggg")</f>
        <v/>
      </c>
      <c r="I5" s="1" t="str">
        <f>TEXT(WEEKDAY(DATE(TakvimYılı,8,6),1),"ggg")</f>
        <v/>
      </c>
      <c r="J5" s="1" t="str">
        <f>TEXT(WEEKDAY(DATE(TakvimYılı,8,7),1),"ggg")</f>
        <v/>
      </c>
      <c r="K5" s="1" t="str">
        <f>TEXT(WEEKDAY(DATE(TakvimYılı,8,8),1),"ggg")</f>
        <v/>
      </c>
      <c r="L5" s="1" t="str">
        <f>TEXT(WEEKDAY(DATE(TakvimYılı,8,9),1),"ggg")</f>
        <v/>
      </c>
      <c r="M5" s="1" t="str">
        <f>TEXT(WEEKDAY(DATE(TakvimYılı,8,10),1),"ggg")</f>
        <v/>
      </c>
      <c r="N5" s="1" t="str">
        <f>TEXT(WEEKDAY(DATE(TakvimYılı,8,11),1),"ggg")</f>
        <v/>
      </c>
      <c r="O5" s="1" t="str">
        <f>TEXT(WEEKDAY(DATE(TakvimYılı,8,12),1),"ggg")</f>
        <v/>
      </c>
      <c r="P5" s="1" t="str">
        <f>TEXT(WEEKDAY(DATE(TakvimYılı,8,13),1),"ggg")</f>
        <v/>
      </c>
      <c r="Q5" s="1" t="str">
        <f>TEXT(WEEKDAY(DATE(TakvimYılı,8,14),1),"ggg")</f>
        <v/>
      </c>
      <c r="R5" s="1" t="str">
        <f>TEXT(WEEKDAY(DATE(TakvimYılı,8,15),1),"ggg")</f>
        <v/>
      </c>
      <c r="S5" s="1" t="str">
        <f>TEXT(WEEKDAY(DATE(TakvimYılı,8,16),1),"ggg")</f>
        <v/>
      </c>
      <c r="T5" s="1" t="str">
        <f>TEXT(WEEKDAY(DATE(TakvimYılı,8,17),1),"ggg")</f>
        <v/>
      </c>
      <c r="U5" s="1" t="str">
        <f>TEXT(WEEKDAY(DATE(TakvimYılı,8,18),1),"ggg")</f>
        <v/>
      </c>
      <c r="V5" s="1" t="str">
        <f>TEXT(WEEKDAY(DATE(TakvimYılı,8,19),1),"ggg")</f>
        <v/>
      </c>
      <c r="W5" s="1" t="str">
        <f>TEXT(WEEKDAY(DATE(TakvimYılı,8,20),1),"ggg")</f>
        <v/>
      </c>
      <c r="X5" s="1" t="str">
        <f>TEXT(WEEKDAY(DATE(TakvimYılı,8,21),1),"ggg")</f>
        <v/>
      </c>
      <c r="Y5" s="1" t="str">
        <f>TEXT(WEEKDAY(DATE(TakvimYılı,8,22),1),"ggg")</f>
        <v/>
      </c>
      <c r="Z5" s="1" t="str">
        <f>TEXT(WEEKDAY(DATE(TakvimYılı,8,23),1),"ggg")</f>
        <v/>
      </c>
      <c r="AA5" s="1" t="str">
        <f>TEXT(WEEKDAY(DATE(TakvimYılı,8,24),1),"ggg")</f>
        <v/>
      </c>
      <c r="AB5" s="1" t="str">
        <f>TEXT(WEEKDAY(DATE(TakvimYılı,8,25),1),"ggg")</f>
        <v/>
      </c>
      <c r="AC5" s="1" t="str">
        <f>TEXT(WEEKDAY(DATE(TakvimYılı,8,26),1),"ggg")</f>
        <v/>
      </c>
      <c r="AD5" s="1" t="str">
        <f>TEXT(WEEKDAY(DATE(TakvimYılı,8,27),1),"ggg")</f>
        <v/>
      </c>
      <c r="AE5" s="1" t="str">
        <f>TEXT(WEEKDAY(DATE(TakvimYılı,8,28),1),"ggg")</f>
        <v/>
      </c>
      <c r="AF5" s="1" t="str">
        <f>TEXT(WEEKDAY(DATE(TakvimYılı,8,29),1),"ggg")</f>
        <v/>
      </c>
      <c r="AG5" s="1" t="str">
        <f>TEXT(WEEKDAY(DATE(TakvimYılı,8,30),1),"ggg")</f>
        <v/>
      </c>
      <c r="AH5" s="1" t="str">
        <f>TEXT(WEEKDAY(DATE(TakvimYılı,8,31),1),"ggg")</f>
        <v/>
      </c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34</v>
      </c>
      <c r="AH6" s="2" t="s">
        <v>35</v>
      </c>
      <c r="AI6" s="15" t="s">
        <v>36</v>
      </c>
    </row>
    <row r="7" spans="1:35" ht="30" customHeight="1" x14ac:dyDescent="0.35">
      <c r="A7" s="22">
        <v>1</v>
      </c>
      <c r="B7" s="16" t="str">
        <f>İyul!B7</f>
        <v>Menecer</v>
      </c>
      <c r="C7" s="16" t="str">
        <f>İyul!C7</f>
        <v>Rzakov Ramiz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COUNTA(Ağustos[[#This Row],[1]:[31]])</f>
        <v>0</v>
      </c>
    </row>
    <row r="8" spans="1:35" ht="30" customHeight="1" x14ac:dyDescent="0.35">
      <c r="A8" s="22">
        <v>2</v>
      </c>
      <c r="B8" s="16" t="str">
        <f>İyul!B8</f>
        <v>Nəzarətçi</v>
      </c>
      <c r="C8" s="16" t="str">
        <f>İyul!C8</f>
        <v>Əsədov Elçin Güloğlan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COUNTA(Ağustos[[#This Row],[1]:[31]])</f>
        <v>0</v>
      </c>
    </row>
    <row r="9" spans="1:35" ht="30" customHeight="1" x14ac:dyDescent="0.35">
      <c r="A9" s="22">
        <v>3</v>
      </c>
      <c r="B9" s="16" t="str">
        <f>İyul!B9</f>
        <v>Nəzarətçi</v>
      </c>
      <c r="C9" s="16" t="str">
        <f>İyul!C9</f>
        <v>Babayev Fərid Vaqif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COUNTA(Ağustos[[#This Row],[1]:[31]])</f>
        <v>0</v>
      </c>
    </row>
    <row r="10" spans="1:35" ht="30" customHeight="1" x14ac:dyDescent="0.35">
      <c r="A10" s="22">
        <v>4</v>
      </c>
      <c r="B10" s="16" t="str">
        <f>İyul!B10</f>
        <v>Ofis meneceri</v>
      </c>
      <c r="C10" s="16" t="str">
        <f>İyul!C10</f>
        <v>Abbasov Rahib Ziyad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COUNTA(Ağustos[[#This Row],[1]:[31]])</f>
        <v>0</v>
      </c>
    </row>
    <row r="11" spans="1:35" ht="30" customHeight="1" x14ac:dyDescent="0.35">
      <c r="A11" s="22">
        <v>5</v>
      </c>
      <c r="B11" s="16" t="str">
        <f>İyul!B11</f>
        <v>Ofis meneceri</v>
      </c>
      <c r="C11" s="16" t="str">
        <f>İyul!C11</f>
        <v>Əşrəfzadə Sərxan Elman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COUNTA(Ağustos[[#This Row],[1]:[31]])</f>
        <v>0</v>
      </c>
    </row>
    <row r="12" spans="1:35" ht="30" customHeight="1" x14ac:dyDescent="0.35">
      <c r="A12" s="22">
        <v>6</v>
      </c>
      <c r="B12" s="16" t="str">
        <f>İyul!B12</f>
        <v>Ofis meneceri</v>
      </c>
      <c r="C12" s="16" t="str">
        <f>İyul!C12</f>
        <v>Dostəlizadə Mahir Valeh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COUNTA(Ağustos[[#This Row],[1]:[31]])</f>
        <v>0</v>
      </c>
    </row>
    <row r="13" spans="1:35" ht="30" customHeight="1" x14ac:dyDescent="0.35">
      <c r="A13" s="22">
        <v>7</v>
      </c>
      <c r="B13" s="16" t="str">
        <f>İyul!B13</f>
        <v>Ofis meneceri</v>
      </c>
      <c r="C13" s="16" t="str">
        <f>İyul!C13</f>
        <v>Rəsulov Nurlan Yaşar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COUNTA(Ağustos[[#This Row],[1]:[31]])</f>
        <v>0</v>
      </c>
    </row>
    <row r="14" spans="1:35" ht="30" customHeight="1" x14ac:dyDescent="0.35">
      <c r="A14" s="22">
        <v>8</v>
      </c>
      <c r="B14" s="16" t="str">
        <f>İyul!B14</f>
        <v>Bağban</v>
      </c>
      <c r="C14" s="16" t="str">
        <f>İyul!C14</f>
        <v>Abbasov Sücayət Hüseyn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COUNTA(Ağustos[[#This Row],[1]:[31]])</f>
        <v>0</v>
      </c>
    </row>
    <row r="15" spans="1:35" ht="30" customHeight="1" x14ac:dyDescent="0.35">
      <c r="A15" s="22">
        <v>9</v>
      </c>
      <c r="B15" s="16" t="str">
        <f>İyul!B15</f>
        <v>Bağban</v>
      </c>
      <c r="C15" s="16" t="str">
        <f>İyul!C15</f>
        <v>Ağayev Əkrəm Zülfi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COUNTA(Ağustos[[#This Row],[1]:[31]])</f>
        <v>0</v>
      </c>
    </row>
    <row r="16" spans="1:35" ht="30" customHeight="1" x14ac:dyDescent="0.35">
      <c r="A16" s="22">
        <v>10</v>
      </c>
      <c r="B16" s="16" t="str">
        <f>İyul!B16</f>
        <v>Bağban</v>
      </c>
      <c r="C16" s="16" t="str">
        <f>İyul!C16</f>
        <v>Bayramov Asim İsaq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COUNTA(Ağustos[[#This Row],[1]:[31]])</f>
        <v>0</v>
      </c>
    </row>
    <row r="17" spans="1:35" ht="30" customHeight="1" x14ac:dyDescent="0.35">
      <c r="A17" s="22">
        <v>11</v>
      </c>
      <c r="B17" s="16" t="str">
        <f>İyul!B17</f>
        <v>Bağban</v>
      </c>
      <c r="C17" s="16" t="str">
        <f>İyul!C17</f>
        <v>Əhədov Seymur Atakişi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COUNTA(Ağustos[[#This Row],[1]:[31]])</f>
        <v>0</v>
      </c>
    </row>
    <row r="18" spans="1:35" ht="30" customHeight="1" x14ac:dyDescent="0.35">
      <c r="A18" s="22">
        <v>12</v>
      </c>
      <c r="B18" s="16" t="str">
        <f>İyul!B18</f>
        <v>Bağban</v>
      </c>
      <c r="C18" s="16" t="str">
        <f>İyul!C18</f>
        <v>Əhmədov Elməddin Əhməd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COUNTA(Ağustos[[#This Row],[1]:[31]])</f>
        <v>0</v>
      </c>
    </row>
    <row r="19" spans="1:35" ht="30" customHeight="1" x14ac:dyDescent="0.35">
      <c r="A19" s="22">
        <v>13</v>
      </c>
      <c r="B19" s="16" t="str">
        <f>İyul!B19</f>
        <v>Bağban</v>
      </c>
      <c r="C19" s="16" t="str">
        <f>İyul!C19</f>
        <v>Ələkbərov Bagman Ərəstun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COUNTA(Ağustos[[#This Row],[1]:[31]])</f>
        <v>0</v>
      </c>
    </row>
    <row r="20" spans="1:35" ht="30" customHeight="1" x14ac:dyDescent="0.35">
      <c r="A20" s="22">
        <v>14</v>
      </c>
      <c r="B20" s="16" t="str">
        <f>İyul!B20</f>
        <v>Bağban</v>
      </c>
      <c r="C20" s="16" t="str">
        <f>İyul!C20</f>
        <v>Ələkbərov Fərman Qabil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COUNTA(Ağustos[[#This Row],[1]:[31]])</f>
        <v>0</v>
      </c>
    </row>
    <row r="21" spans="1:35" ht="30" customHeight="1" x14ac:dyDescent="0.35">
      <c r="A21" s="22">
        <v>15</v>
      </c>
      <c r="B21" s="16" t="str">
        <f>İyul!B21</f>
        <v>Bağban</v>
      </c>
      <c r="C21" s="16" t="str">
        <f>İyul!C21</f>
        <v>Ələsgərov Elməddin Rauf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COUNTA(Ağustos[[#This Row],[1]:[31]])</f>
        <v>0</v>
      </c>
    </row>
    <row r="22" spans="1:35" ht="30" customHeight="1" x14ac:dyDescent="0.35">
      <c r="A22" s="22">
        <v>16</v>
      </c>
      <c r="B22" s="16" t="str">
        <f>İyul!B22</f>
        <v>Bağban</v>
      </c>
      <c r="C22" s="16" t="str">
        <f>İyul!C22</f>
        <v>Əliyev Həsən Mais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COUNTA(Ağustos[[#This Row],[1]:[31]])</f>
        <v>0</v>
      </c>
    </row>
    <row r="23" spans="1:35" ht="30" customHeight="1" x14ac:dyDescent="0.35">
      <c r="A23" s="22">
        <v>17</v>
      </c>
      <c r="B23" s="16" t="str">
        <f>İyul!B23</f>
        <v>Bağban</v>
      </c>
      <c r="C23" s="16" t="str">
        <f>İyul!C23</f>
        <v>Əliyev Sərdar Əliağa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COUNTA(Ağustos[[#This Row],[1]:[31]])</f>
        <v>0</v>
      </c>
    </row>
    <row r="24" spans="1:35" ht="30" customHeight="1" x14ac:dyDescent="0.35">
      <c r="A24" s="22">
        <v>18</v>
      </c>
      <c r="B24" s="16" t="str">
        <f>İyul!B24</f>
        <v>Bağban</v>
      </c>
      <c r="C24" s="16" t="str">
        <f>İyul!C24</f>
        <v>Əliyev Xalıq Xanağa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COUNTA(Ağustos[[#This Row],[1]:[31]])</f>
        <v>0</v>
      </c>
    </row>
    <row r="25" spans="1:35" ht="30" customHeight="1" x14ac:dyDescent="0.35">
      <c r="A25" s="22">
        <v>19</v>
      </c>
      <c r="B25" s="16" t="str">
        <f>İyul!B25</f>
        <v>Bağban</v>
      </c>
      <c r="C25" s="16" t="str">
        <f>İyul!C25</f>
        <v>Feyzullayev Firudin Ramiz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COUNTA(Ağustos[[#This Row],[1]:[31]])</f>
        <v>0</v>
      </c>
    </row>
    <row r="26" spans="1:35" ht="30" customHeight="1" x14ac:dyDescent="0.35">
      <c r="A26" s="22">
        <v>20</v>
      </c>
      <c r="B26" s="16" t="str">
        <f>İyul!B26</f>
        <v>Bağban</v>
      </c>
      <c r="C26" s="16" t="str">
        <f>İyul!C26</f>
        <v>Haşımov Asif Hacı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COUNTA(Ağustos[[#This Row],[1]:[31]])</f>
        <v>0</v>
      </c>
    </row>
    <row r="27" spans="1:35" ht="30" customHeight="1" x14ac:dyDescent="0.35">
      <c r="A27" s="22">
        <v>21</v>
      </c>
      <c r="B27" s="16" t="str">
        <f>İyul!B27</f>
        <v>Bağban</v>
      </c>
      <c r="C27" s="16" t="str">
        <f>İyul!C27</f>
        <v>Hüseynov Davud İsa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COUNTA(Ağustos[[#This Row],[1]:[31]])</f>
        <v>0</v>
      </c>
    </row>
    <row r="28" spans="1:35" ht="30" customHeight="1" x14ac:dyDescent="0.35">
      <c r="A28" s="22">
        <v>22</v>
      </c>
      <c r="B28" s="16" t="str">
        <f>İyul!B28</f>
        <v>Bağban</v>
      </c>
      <c r="C28" s="16" t="str">
        <f>İyul!C28</f>
        <v>Hüseynov Ədail İsa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COUNTA(Ağustos[[#This Row],[1]:[31]])</f>
        <v>0</v>
      </c>
    </row>
    <row r="29" spans="1:35" ht="30" customHeight="1" x14ac:dyDescent="0.35">
      <c r="A29" s="22">
        <v>23</v>
      </c>
      <c r="B29" s="16" t="str">
        <f>İyul!B29</f>
        <v>Bağban</v>
      </c>
      <c r="C29" s="16" t="str">
        <f>İyul!C29</f>
        <v>Hüseynov Səfaddin Əbülfəz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COUNTA(Ağustos[[#This Row],[1]:[31]])</f>
        <v>0</v>
      </c>
    </row>
    <row r="30" spans="1:35" ht="30" customHeight="1" x14ac:dyDescent="0.35">
      <c r="A30" s="22">
        <v>24</v>
      </c>
      <c r="B30" s="16" t="str">
        <f>İyul!B30</f>
        <v>Bağban</v>
      </c>
      <c r="C30" s="16" t="str">
        <f>İyul!C30</f>
        <v>Hüseynov Şəmistan Qabil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COUNTA(Ağustos[[#This Row],[1]:[31]])</f>
        <v>0</v>
      </c>
    </row>
    <row r="31" spans="1:35" ht="30" customHeight="1" x14ac:dyDescent="0.35">
      <c r="A31" s="22">
        <v>25</v>
      </c>
      <c r="B31" s="16" t="str">
        <f>İyul!B31</f>
        <v>Bağban</v>
      </c>
      <c r="C31" s="16" t="str">
        <f>İyul!C31</f>
        <v>Hüseynov Sərdar İsa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COUNTA(Ağustos[[#This Row],[1]:[31]])</f>
        <v>0</v>
      </c>
    </row>
    <row r="32" spans="1:35" ht="30" customHeight="1" x14ac:dyDescent="0.35">
      <c r="A32" s="22">
        <v>26</v>
      </c>
      <c r="B32" s="16" t="str">
        <f>İyul!B32</f>
        <v>Bağban</v>
      </c>
      <c r="C32" s="16" t="str">
        <f>İyul!C32</f>
        <v>Hüseynov Siruz Qabil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COUNTA(Ağustos[[#This Row],[1]:[31]])</f>
        <v>0</v>
      </c>
    </row>
    <row r="33" spans="1:35" ht="30" customHeight="1" x14ac:dyDescent="0.35">
      <c r="A33" s="22">
        <v>27</v>
      </c>
      <c r="B33" s="16" t="str">
        <f>İyul!B33</f>
        <v>Bağban</v>
      </c>
      <c r="C33" s="16" t="str">
        <f>İyul!C33</f>
        <v>Hüseynov Taleh Daşqın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COUNTA(Ağustos[[#This Row],[1]:[31]])</f>
        <v>0</v>
      </c>
    </row>
    <row r="34" spans="1:35" ht="30" customHeight="1" x14ac:dyDescent="0.35">
      <c r="A34" s="22">
        <v>28</v>
      </c>
      <c r="B34" s="16" t="str">
        <f>İyul!B34</f>
        <v>Bağban</v>
      </c>
      <c r="C34" s="16" t="str">
        <f>İyul!C34</f>
        <v>Hüseynov Tərlan Yadulla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COUNTA(Ağustos[[#This Row],[1]:[31]])</f>
        <v>0</v>
      </c>
    </row>
    <row r="35" spans="1:35" ht="30" customHeight="1" x14ac:dyDescent="0.35">
      <c r="A35" s="22">
        <v>29</v>
      </c>
      <c r="B35" s="16" t="str">
        <f>İyul!B35</f>
        <v>Bağban</v>
      </c>
      <c r="C35" s="16" t="str">
        <f>İyul!C35</f>
        <v>İbayev Zahid Mahir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COUNTA(Ağustos[[#This Row],[1]:[31]])</f>
        <v>0</v>
      </c>
    </row>
    <row r="36" spans="1:35" ht="30" customHeight="1" x14ac:dyDescent="0.35">
      <c r="A36" s="22">
        <v>30</v>
      </c>
      <c r="B36" s="16" t="str">
        <f>İyul!B36</f>
        <v>Bağban</v>
      </c>
      <c r="C36" s="16" t="str">
        <f>İyul!C36</f>
        <v>İbayev Zahir Mahir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COUNTA(Ağustos[[#This Row],[1]:[31]])</f>
        <v>0</v>
      </c>
    </row>
    <row r="37" spans="1:35" ht="30" customHeight="1" x14ac:dyDescent="0.35">
      <c r="A37" s="22">
        <v>31</v>
      </c>
      <c r="B37" s="16" t="str">
        <f>İyul!B37</f>
        <v>Bağban</v>
      </c>
      <c r="C37" s="16" t="str">
        <f>İyul!C37</f>
        <v>Məcidzadə Əli Valeh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COUNTA(Ağustos[[#This Row],[1]:[31]])</f>
        <v>0</v>
      </c>
    </row>
    <row r="38" spans="1:35" ht="30" customHeight="1" x14ac:dyDescent="0.35">
      <c r="A38" s="22">
        <v>32</v>
      </c>
      <c r="B38" s="16" t="str">
        <f>İyul!B38</f>
        <v>Bağban</v>
      </c>
      <c r="C38" s="16" t="str">
        <f>İyul!C38</f>
        <v xml:space="preserve">Məmmədli Bəhruz İlham 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COUNTA(Ağustos[[#This Row],[1]:[31]])</f>
        <v>0</v>
      </c>
    </row>
    <row r="39" spans="1:35" ht="30" customHeight="1" x14ac:dyDescent="0.35">
      <c r="A39" s="22">
        <v>33</v>
      </c>
      <c r="B39" s="16" t="str">
        <f>İyul!B39</f>
        <v>Bağban</v>
      </c>
      <c r="C39" s="16" t="str">
        <f>İyul!C39</f>
        <v>Məmmədli İsa Nazim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COUNTA(Ağustos[[#This Row],[1]:[31]])</f>
        <v>0</v>
      </c>
    </row>
    <row r="40" spans="1:35" ht="30" customHeight="1" x14ac:dyDescent="0.35">
      <c r="A40" s="22">
        <v>34</v>
      </c>
      <c r="B40" s="16" t="str">
        <f>İyul!B40</f>
        <v>Bağban</v>
      </c>
      <c r="C40" s="16" t="str">
        <f>İyul!C40</f>
        <v>Məmmədov İlqar Teyyub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COUNTA(Ağustos[[#This Row],[1]:[31]])</f>
        <v>0</v>
      </c>
    </row>
    <row r="41" spans="1:35" ht="30" customHeight="1" x14ac:dyDescent="0.35">
      <c r="A41" s="22">
        <v>35</v>
      </c>
      <c r="B41" s="16" t="str">
        <f>İyul!B41</f>
        <v>Bağban</v>
      </c>
      <c r="C41" s="16" t="str">
        <f>İyul!C41</f>
        <v xml:space="preserve">Məmmədov Sahil Ağaxan 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COUNTA(Ağustos[[#This Row],[1]:[31]])</f>
        <v>0</v>
      </c>
    </row>
    <row r="42" spans="1:35" ht="30" customHeight="1" x14ac:dyDescent="0.35">
      <c r="A42" s="22">
        <v>36</v>
      </c>
      <c r="B42" s="16" t="str">
        <f>İyul!B42</f>
        <v>Bağban</v>
      </c>
      <c r="C42" s="16" t="str">
        <f>İyul!C42</f>
        <v>Məmmədov Yaqub Zahir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COUNTA(Ağustos[[#This Row],[1]:[31]])</f>
        <v>0</v>
      </c>
    </row>
    <row r="43" spans="1:35" ht="30" customHeight="1" x14ac:dyDescent="0.35">
      <c r="A43" s="22">
        <v>37</v>
      </c>
      <c r="B43" s="16" t="str">
        <f>İyul!B43</f>
        <v>Bağban</v>
      </c>
      <c r="C43" s="16" t="str">
        <f>İyul!C43</f>
        <v>Məmmədzadə Qərib Fəxrəddin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COUNTA(Ağustos[[#This Row],[1]:[31]])</f>
        <v>0</v>
      </c>
    </row>
    <row r="44" spans="1:35" ht="30" customHeight="1" x14ac:dyDescent="0.35">
      <c r="A44" s="22">
        <v>38</v>
      </c>
      <c r="B44" s="16" t="str">
        <f>İyul!B44</f>
        <v>Bağban</v>
      </c>
      <c r="C44" s="16" t="str">
        <f>İyul!C44</f>
        <v xml:space="preserve">Musayev Minbir Oqtay 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COUNTA(Ağustos[[#This Row],[1]:[31]])</f>
        <v>0</v>
      </c>
    </row>
    <row r="45" spans="1:35" ht="30" customHeight="1" x14ac:dyDescent="0.35">
      <c r="A45" s="22">
        <v>39</v>
      </c>
      <c r="B45" s="16" t="str">
        <f>İyul!B45</f>
        <v>Bağban</v>
      </c>
      <c r="C45" s="16" t="str">
        <f>İyul!C45</f>
        <v>Nəcəfov Fizuli Böyükağa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COUNTA(Ağustos[[#This Row],[1]:[31]])</f>
        <v>0</v>
      </c>
    </row>
    <row r="46" spans="1:35" ht="30" customHeight="1" x14ac:dyDescent="0.35">
      <c r="A46" s="22">
        <v>40</v>
      </c>
      <c r="B46" s="16" t="str">
        <f>İyul!B46</f>
        <v>Ofis meneceri</v>
      </c>
      <c r="C46" s="16" t="str">
        <f>İyul!C46</f>
        <v>Rəsulov Nurlan Yaşar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COUNTA(Ağustos[[#This Row],[1]:[31]])</f>
        <v>0</v>
      </c>
    </row>
    <row r="47" spans="1:35" ht="30" customHeight="1" x14ac:dyDescent="0.35">
      <c r="A47" s="22">
        <v>41</v>
      </c>
      <c r="B47" s="16" t="str">
        <f>İyul!B47</f>
        <v>Bağban</v>
      </c>
      <c r="C47" s="16" t="str">
        <f>İyul!C47</f>
        <v>Rzayev İbrahim Mais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COUNTA(Ağustos[[#This Row],[1]:[31]])</f>
        <v>0</v>
      </c>
    </row>
    <row r="48" spans="1:35" ht="30" customHeight="1" x14ac:dyDescent="0.35">
      <c r="A48" s="22">
        <v>42</v>
      </c>
      <c r="B48" s="16" t="str">
        <f>İyul!B48</f>
        <v>Bağban</v>
      </c>
      <c r="C48" s="16" t="str">
        <f>İyul!C48</f>
        <v>Səttarov Ağaəli Ərəstun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COUNTA(Ağustos[[#This Row],[1]:[31]])</f>
        <v>0</v>
      </c>
    </row>
    <row r="49" spans="1:35" ht="30" customHeight="1" x14ac:dyDescent="0.35">
      <c r="A49" s="22">
        <v>43</v>
      </c>
      <c r="B49" s="16" t="str">
        <f>İyul!B49</f>
        <v>Bağban</v>
      </c>
      <c r="C49" s="16" t="str">
        <f>İyul!C49</f>
        <v>Tahirov Rəşad Elman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COUNTA(Ağustos[[#This Row],[1]:[31]])</f>
        <v>0</v>
      </c>
    </row>
    <row r="50" spans="1:35" ht="30" customHeight="1" x14ac:dyDescent="0.35">
      <c r="A50" s="22">
        <v>44</v>
      </c>
      <c r="B50" s="16" t="str">
        <f>İyul!B50</f>
        <v>Bağban</v>
      </c>
      <c r="C50" s="16" t="str">
        <f>İyul!C50</f>
        <v>Xangəldiyev Asəf Əsabəli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COUNTA(Ağustos[[#This Row],[1]:[31]])</f>
        <v>0</v>
      </c>
    </row>
    <row r="51" spans="1:35" ht="30" customHeight="1" x14ac:dyDescent="0.35">
      <c r="A51" s="22">
        <v>45</v>
      </c>
      <c r="B51" s="16" t="str">
        <f>İyul!B51</f>
        <v>Bağban</v>
      </c>
      <c r="C51" s="16" t="str">
        <f>İyul!C51</f>
        <v>Yusubov İsmayıl Sübhan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COUNTA(Ağustos[[#This Row],[1]:[31]])</f>
        <v>0</v>
      </c>
    </row>
    <row r="52" spans="1:35" ht="30" customHeight="1" x14ac:dyDescent="0.35">
      <c r="A52" s="22">
        <v>46</v>
      </c>
      <c r="B52" s="16" t="str">
        <f>İyul!B52</f>
        <v>Bağban</v>
      </c>
      <c r="C52" s="16" t="str">
        <f>İyul!C52</f>
        <v>Zeynalov Anar Kamal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COUNTA(Ağustos[[#This Row],[1]:[31]])</f>
        <v>0</v>
      </c>
    </row>
    <row r="53" spans="1:35" ht="30" customHeight="1" x14ac:dyDescent="0.35">
      <c r="A53" s="22">
        <v>47</v>
      </c>
      <c r="B53" s="16" t="str">
        <f>İyul!B53</f>
        <v>Bağban</v>
      </c>
      <c r="C53" s="16" t="str">
        <f>İyul!C53</f>
        <v>Zeynalov Şahab Əlizaman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COUNTA(Ağustos[[#This Row],[1]:[31]])</f>
        <v>0</v>
      </c>
    </row>
    <row r="54" spans="1:35" ht="30" customHeight="1" x14ac:dyDescent="0.35">
      <c r="A54" s="22">
        <v>48</v>
      </c>
      <c r="B54" s="16" t="str">
        <f>İyul!B54</f>
        <v>Bağban</v>
      </c>
      <c r="C54" s="16" t="str">
        <f>İyul!C54</f>
        <v>Cəfərov Qubad Südeyf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COUNTA(Ağustos[[#This Row],[1]:[31]])</f>
        <v>0</v>
      </c>
    </row>
    <row r="55" spans="1:35" ht="30" customHeight="1" x14ac:dyDescent="0.35">
      <c r="A55" s="22">
        <v>49</v>
      </c>
      <c r="B55" s="16" t="str">
        <f>İyul!B55</f>
        <v>Bağban</v>
      </c>
      <c r="C55" s="16" t="str">
        <f>İyul!C55</f>
        <v>Yusubov İsməddin Sübhan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COUNTA(Ağustos[[#This Row],[1]:[31]])</f>
        <v>0</v>
      </c>
    </row>
    <row r="56" spans="1:35" ht="30" customHeight="1" x14ac:dyDescent="0.35">
      <c r="A56" s="22">
        <v>50</v>
      </c>
      <c r="B56" s="16" t="str">
        <f>İyul!B56</f>
        <v>Bağban</v>
      </c>
      <c r="C56" s="16">
        <f>İyul!C56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COUNTA(Ağustos[[#This Row],[1]:[31]])</f>
        <v>0</v>
      </c>
    </row>
    <row r="57" spans="1:35" ht="30" customHeight="1" x14ac:dyDescent="0.35">
      <c r="A57" s="22">
        <v>51</v>
      </c>
      <c r="B57" s="16" t="str">
        <f>İyul!B57</f>
        <v>Bağban</v>
      </c>
      <c r="C57" s="16">
        <f>İyul!C57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COUNTA(Ağustos[[#This Row],[1]:[31]])</f>
        <v>0</v>
      </c>
    </row>
    <row r="58" spans="1:35" ht="30" customHeight="1" x14ac:dyDescent="0.35">
      <c r="A58" s="22">
        <v>52</v>
      </c>
      <c r="B58" s="16" t="str">
        <f>İyul!B58</f>
        <v>Bağban</v>
      </c>
      <c r="C58" s="16">
        <f>İyul!C58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COUNTA(Ağustos[[#This Row],[1]:[31]])</f>
        <v>0</v>
      </c>
    </row>
    <row r="59" spans="1:35" ht="30" customHeight="1" x14ac:dyDescent="0.35">
      <c r="A59" s="22">
        <v>53</v>
      </c>
      <c r="B59" s="16" t="str">
        <f>İyul!B59</f>
        <v>Bağban</v>
      </c>
      <c r="C59" s="16">
        <f>İyul!C59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COUNTA(Ağustos[[#This Row],[1]:[31]])</f>
        <v>0</v>
      </c>
    </row>
    <row r="60" spans="1:35" ht="30" customHeight="1" x14ac:dyDescent="0.35">
      <c r="A60" s="22">
        <v>54</v>
      </c>
      <c r="B60" s="16" t="str">
        <f>İyul!B60</f>
        <v>Bağban</v>
      </c>
      <c r="C60" s="16">
        <f>İyul!C60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COUNTA(Ağustos[[#This Row],[1]:[31]])</f>
        <v>0</v>
      </c>
    </row>
    <row r="61" spans="1:35" ht="30" customHeight="1" x14ac:dyDescent="0.35">
      <c r="A61" s="22">
        <v>55</v>
      </c>
      <c r="B61" s="16" t="str">
        <f>İyul!B61</f>
        <v>Bağban</v>
      </c>
      <c r="C61" s="16">
        <f>İyul!C61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9">
        <f>COUNTA(Ağustos[[#This Row],[1]:[31]])</f>
        <v>0</v>
      </c>
    </row>
    <row r="62" spans="1:35" ht="30" customHeight="1" x14ac:dyDescent="0.35">
      <c r="C62" s="41" t="str">
        <f>AyAdı&amp;" Toplamı"</f>
        <v>Avqust Toplamı</v>
      </c>
      <c r="D62" s="42">
        <f>SUBTOTAL(103,Ağustos[1])</f>
        <v>0</v>
      </c>
      <c r="E62" s="42">
        <f>SUBTOTAL(103,Ağustos[2])</f>
        <v>0</v>
      </c>
      <c r="F62" s="42">
        <f>SUBTOTAL(103,Ağustos[3])</f>
        <v>0</v>
      </c>
      <c r="G62" s="42">
        <f>SUBTOTAL(103,Ağustos[4])</f>
        <v>0</v>
      </c>
      <c r="H62" s="42">
        <f>SUBTOTAL(103,Ağustos[5])</f>
        <v>0</v>
      </c>
      <c r="I62" s="42">
        <f>SUBTOTAL(103,Ağustos[6])</f>
        <v>0</v>
      </c>
      <c r="J62" s="42">
        <f>SUBTOTAL(103,Ağustos[7])</f>
        <v>0</v>
      </c>
      <c r="K62" s="42">
        <f>SUBTOTAL(103,Ağustos[8])</f>
        <v>0</v>
      </c>
      <c r="L62" s="42">
        <f>SUBTOTAL(103,Ağustos[9])</f>
        <v>0</v>
      </c>
      <c r="M62" s="42">
        <f>SUBTOTAL(103,Ağustos[10])</f>
        <v>0</v>
      </c>
      <c r="N62" s="42">
        <f>SUBTOTAL(103,Ağustos[11])</f>
        <v>0</v>
      </c>
      <c r="O62" s="42">
        <f>SUBTOTAL(103,Ağustos[12])</f>
        <v>0</v>
      </c>
      <c r="P62" s="42">
        <f>SUBTOTAL(103,Ağustos[13])</f>
        <v>0</v>
      </c>
      <c r="Q62" s="42">
        <f>SUBTOTAL(103,Ağustos[14])</f>
        <v>0</v>
      </c>
      <c r="R62" s="42">
        <f>SUBTOTAL(103,Ağustos[15])</f>
        <v>0</v>
      </c>
      <c r="S62" s="42">
        <f>SUBTOTAL(103,Ağustos[16])</f>
        <v>0</v>
      </c>
      <c r="T62" s="42">
        <f>SUBTOTAL(103,Ağustos[17])</f>
        <v>0</v>
      </c>
      <c r="U62" s="42">
        <f>SUBTOTAL(103,Ağustos[18])</f>
        <v>0</v>
      </c>
      <c r="V62" s="42">
        <f>SUBTOTAL(103,Ağustos[19])</f>
        <v>0</v>
      </c>
      <c r="W62" s="42">
        <f>SUBTOTAL(103,Ağustos[20])</f>
        <v>0</v>
      </c>
      <c r="X62" s="42">
        <f>SUBTOTAL(103,Ağustos[21])</f>
        <v>0</v>
      </c>
      <c r="Y62" s="42">
        <f>SUBTOTAL(103,Ağustos[22])</f>
        <v>0</v>
      </c>
      <c r="Z62" s="42">
        <f>SUBTOTAL(103,Ağustos[23])</f>
        <v>0</v>
      </c>
      <c r="AA62" s="42">
        <f>SUBTOTAL(103,Ağustos[24])</f>
        <v>0</v>
      </c>
      <c r="AB62" s="42">
        <f>SUBTOTAL(103,Ağustos[25])</f>
        <v>0</v>
      </c>
      <c r="AC62" s="42">
        <f>SUBTOTAL(103,Ağustos[26])</f>
        <v>0</v>
      </c>
      <c r="AD62" s="42">
        <f>SUBTOTAL(103,Ağustos[27])</f>
        <v>0</v>
      </c>
      <c r="AE62" s="42">
        <f>SUBTOTAL(103,Ağustos[28])</f>
        <v>0</v>
      </c>
      <c r="AF62" s="42">
        <f>SUBTOTAL(103,Ağustos[29])</f>
        <v>0</v>
      </c>
      <c r="AG62" s="42">
        <f>SUBTOTAL(103,Ağustos[30])</f>
        <v>0</v>
      </c>
      <c r="AH62" s="42">
        <f>SUBTOTAL(103,Ağustos[31])</f>
        <v>0</v>
      </c>
      <c r="AI62" s="42">
        <f>SUBTOTAL(109,Ağustos[Toplam Gün])</f>
        <v>0</v>
      </c>
    </row>
  </sheetData>
  <mergeCells count="6">
    <mergeCell ref="D4:AH4"/>
    <mergeCell ref="E2:G2"/>
    <mergeCell ref="I2:K2"/>
    <mergeCell ref="M2:N2"/>
    <mergeCell ref="P2:R2"/>
    <mergeCell ref="T2:V2"/>
  </mergeCells>
  <conditionalFormatting sqref="D7:AH61">
    <cfRule type="expression" priority="1" stopIfTrue="1">
      <formula>D7=""</formula>
    </cfRule>
  </conditionalFormatting>
  <conditionalFormatting sqref="D7:AH61">
    <cfRule type="expression" dxfId="538" priority="2" stopIfTrue="1">
      <formula>D7=AnahtarÖzel2</formula>
    </cfRule>
    <cfRule type="expression" dxfId="537" priority="3" stopIfTrue="1">
      <formula>D7=AnahtarÖzel1</formula>
    </cfRule>
    <cfRule type="expression" dxfId="536" priority="4" stopIfTrue="1">
      <formula>D7=AnahtarHasta</formula>
    </cfRule>
    <cfRule type="expression" dxfId="535" priority="5" stopIfTrue="1">
      <formula>D7=AnahtarKişisel</formula>
    </cfRule>
    <cfRule type="expression" dxfId="534" priority="6" stopIfTrue="1">
      <formula>D7=AnahtarTatil</formula>
    </cfRule>
  </conditionalFormatting>
  <conditionalFormatting sqref="AI7:AI61">
    <cfRule type="dataBar" priority="7">
      <dataBar>
        <cfvo type="min"/>
        <cfvo type="formula" val="DATEDIF(DATE(TakvimYılı,2,1),DATE(TakvimYılı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Bu satırdaki günler, AH4 hücresindeki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Ocak çalışma sayfasında girilen yıla göre otomatik olarak güncelleştirilen yıl" sqref="AI4"/>
    <dataValidation allowBlank="1" showInputMessage="1" showErrorMessage="1" prompt="Bu ay bir çalışanın toplamda kaç gün devamsızlık yaptığını, bu sütunda otomatik olarak hesaplar" sqref="AI6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Otomatik olarak güncelleştirilen başlık bu hücrededir. Başlığı değiştirmek için Ocak çalışma sayfasındaki B1 hücresini güncelleştirin" sqref="C1"/>
    <dataValidation allowBlank="1" showInputMessage="1" showErrorMessage="1" prompt="&quot;T&quot; harfi tatil nedeniyle devamsızlığı gösterir" sqref="D2"/>
    <dataValidation allowBlank="1" showInputMessage="1" showErrorMessage="1" prompt="&quot;K&quot; harfi kişisel nedenlerden dolayı devamsızlığı gösterir" sqref="H2"/>
    <dataValidation allowBlank="1" showInputMessage="1" showErrorMessage="1" prompt="&quot;H&quot; harfi hastalık nedeniyle devamsızlığı gösterir" sqref="L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Soldaki özel anahtarı açıklamak için bir etiket girin" sqref="P2:R2 T2:V2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Bu devamsızlık zaman çizelgesinin ay adı bu hücrededir. Bu aya ait toplam devamsızlık miktarı, tablonun son hücresindedir. Tablonun B sütunundan çalışan adlarını seçin" sqref="C4"/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  <dataValidation allowBlank="1" showInputMessage="1" showErrorMessage="1" prompt="Bu çalışma sayfasında Şubat devamsızlığını izleyin" sqref="A1:B1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DATEDIF(DATE(TakvimYılı,2,1),DATE(TakvimYılı,3,1),"d")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'Çalışan Adları'!$B$4:$B$8</xm:f>
          </x14:formula1>
          <xm:sqref>B7:B61</xm:sqref>
        </x14:dataValidation>
        <x14:dataValidation type="list" allowBlank="1" showInputMessage="1" showErrorMessage="1">
          <x14:formula1>
            <xm:f>'Çalışan Adları'!$B$4:$B$60</xm:f>
          </x14:formula1>
          <xm:sqref>C7:C61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I62"/>
  <sheetViews>
    <sheetView showGridLines="0" zoomScale="70" zoomScaleNormal="70" workbookViewId="0">
      <selection activeCell="S13" sqref="S13"/>
    </sheetView>
  </sheetViews>
  <sheetFormatPr defaultRowHeight="30" customHeight="1" x14ac:dyDescent="0.35"/>
  <cols>
    <col min="1" max="1" width="3.81640625" style="1" customWidth="1"/>
    <col min="2" max="2" width="23.54296875" style="1" customWidth="1"/>
    <col min="3" max="3" width="25.6328125" style="10" customWidth="1"/>
    <col min="4" max="34" width="4.6328125" style="10" customWidth="1"/>
    <col min="35" max="35" width="13.54296875" style="10" customWidth="1"/>
    <col min="36" max="36" width="2.6328125" customWidth="1"/>
  </cols>
  <sheetData>
    <row r="1" spans="1:35" ht="50.15" customHeight="1" x14ac:dyDescent="0.35">
      <c r="C1" s="13" t="str">
        <f>Employee_Absence_Title</f>
        <v>İşçilərin davamiyyət cədvəli</v>
      </c>
    </row>
    <row r="2" spans="1:35" ht="15" customHeight="1" x14ac:dyDescent="0.35">
      <c r="C2" s="17" t="s">
        <v>46</v>
      </c>
      <c r="D2" s="3" t="s">
        <v>1</v>
      </c>
      <c r="E2" s="40" t="s">
        <v>44</v>
      </c>
      <c r="F2" s="40"/>
      <c r="G2" s="40"/>
      <c r="H2" s="4" t="s">
        <v>5</v>
      </c>
      <c r="I2" s="40" t="s">
        <v>45</v>
      </c>
      <c r="J2" s="40"/>
      <c r="K2" s="40"/>
      <c r="L2" s="5" t="s">
        <v>7</v>
      </c>
      <c r="M2" s="40" t="s">
        <v>43</v>
      </c>
      <c r="N2" s="40"/>
      <c r="O2" s="6" t="s">
        <v>48</v>
      </c>
      <c r="P2" s="40" t="s">
        <v>47</v>
      </c>
      <c r="Q2" s="40"/>
      <c r="R2" s="40"/>
      <c r="S2" s="7"/>
      <c r="T2" s="40" t="s">
        <v>20</v>
      </c>
      <c r="U2" s="40"/>
      <c r="V2" s="40"/>
    </row>
    <row r="3" spans="1:35" ht="15" customHeight="1" x14ac:dyDescent="0.35">
      <c r="C3" s="13"/>
    </row>
    <row r="4" spans="1:35" ht="30" customHeight="1" x14ac:dyDescent="0.35">
      <c r="C4" s="11" t="s">
        <v>55</v>
      </c>
      <c r="D4" s="39" t="str">
        <f>Employee_Absence_Title</f>
        <v>İşçilərin davamiyyət cədvəli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11">
        <f>TakvimYılı</f>
        <v>2022</v>
      </c>
    </row>
    <row r="5" spans="1:35" ht="15" customHeight="1" x14ac:dyDescent="0.35">
      <c r="C5" s="11"/>
      <c r="D5" s="1" t="str">
        <f>TEXT(WEEKDAY(DATE(TakvimYılı,9,1),1),"ggg")</f>
        <v/>
      </c>
      <c r="E5" s="1" t="str">
        <f>TEXT(WEEKDAY(DATE(TakvimYılı,9,2),1),"ggg")</f>
        <v/>
      </c>
      <c r="F5" s="1" t="str">
        <f>TEXT(WEEKDAY(DATE(TakvimYılı,9,3),1),"ggg")</f>
        <v/>
      </c>
      <c r="G5" s="1" t="str">
        <f>TEXT(WEEKDAY(DATE(TakvimYılı,9,4),1),"ggg")</f>
        <v/>
      </c>
      <c r="H5" s="1" t="str">
        <f>TEXT(WEEKDAY(DATE(TakvimYılı,9,5),1),"ggg")</f>
        <v/>
      </c>
      <c r="I5" s="1" t="str">
        <f>TEXT(WEEKDAY(DATE(TakvimYılı,9,6),1),"ggg")</f>
        <v/>
      </c>
      <c r="J5" s="1" t="str">
        <f>TEXT(WEEKDAY(DATE(TakvimYılı,9,7),1),"ggg")</f>
        <v/>
      </c>
      <c r="K5" s="1" t="str">
        <f>TEXT(WEEKDAY(DATE(TakvimYılı,9,8),1),"ggg")</f>
        <v/>
      </c>
      <c r="L5" s="1" t="str">
        <f>TEXT(WEEKDAY(DATE(TakvimYılı,9,9),1),"ggg")</f>
        <v/>
      </c>
      <c r="M5" s="1" t="str">
        <f>TEXT(WEEKDAY(DATE(TakvimYılı,9,10),1),"ggg")</f>
        <v/>
      </c>
      <c r="N5" s="1" t="str">
        <f>TEXT(WEEKDAY(DATE(TakvimYılı,9,11),1),"ggg")</f>
        <v/>
      </c>
      <c r="O5" s="1" t="str">
        <f>TEXT(WEEKDAY(DATE(TakvimYılı,9,12),1),"ggg")</f>
        <v/>
      </c>
      <c r="P5" s="1" t="str">
        <f>TEXT(WEEKDAY(DATE(TakvimYılı,9,13),1),"ggg")</f>
        <v/>
      </c>
      <c r="Q5" s="1" t="str">
        <f>TEXT(WEEKDAY(DATE(TakvimYılı,9,14),1),"ggg")</f>
        <v/>
      </c>
      <c r="R5" s="1" t="str">
        <f>TEXT(WEEKDAY(DATE(TakvimYılı,9,15),1),"ggg")</f>
        <v/>
      </c>
      <c r="S5" s="1" t="str">
        <f>TEXT(WEEKDAY(DATE(TakvimYılı,9,16),1),"ggg")</f>
        <v/>
      </c>
      <c r="T5" s="1" t="str">
        <f>TEXT(WEEKDAY(DATE(TakvimYılı,9,17),1),"ggg")</f>
        <v/>
      </c>
      <c r="U5" s="1" t="str">
        <f>TEXT(WEEKDAY(DATE(TakvimYılı,9,18),1),"ggg")</f>
        <v/>
      </c>
      <c r="V5" s="1" t="str">
        <f>TEXT(WEEKDAY(DATE(TakvimYılı,9,19),1),"ggg")</f>
        <v/>
      </c>
      <c r="W5" s="1" t="str">
        <f>TEXT(WEEKDAY(DATE(TakvimYılı,9,20),1),"ggg")</f>
        <v/>
      </c>
      <c r="X5" s="1" t="str">
        <f>TEXT(WEEKDAY(DATE(TakvimYılı,9,21),1),"ggg")</f>
        <v/>
      </c>
      <c r="Y5" s="1" t="str">
        <f>TEXT(WEEKDAY(DATE(TakvimYılı,9,22),1),"ggg")</f>
        <v/>
      </c>
      <c r="Z5" s="1" t="str">
        <f>TEXT(WEEKDAY(DATE(TakvimYılı,9,23),1),"ggg")</f>
        <v/>
      </c>
      <c r="AA5" s="1" t="str">
        <f>TEXT(WEEKDAY(DATE(TakvimYılı,9,24),1),"ggg")</f>
        <v/>
      </c>
      <c r="AB5" s="1" t="str">
        <f>TEXT(WEEKDAY(DATE(TakvimYılı,9,25),1),"ggg")</f>
        <v/>
      </c>
      <c r="AC5" s="1" t="str">
        <f>TEXT(WEEKDAY(DATE(TakvimYılı,9,26),1),"ggg")</f>
        <v/>
      </c>
      <c r="AD5" s="1" t="str">
        <f>TEXT(WEEKDAY(DATE(TakvimYılı,9,27),1),"ggg")</f>
        <v/>
      </c>
      <c r="AE5" s="1" t="str">
        <f>TEXT(WEEKDAY(DATE(TakvimYılı,9,28),1),"ggg")</f>
        <v/>
      </c>
      <c r="AF5" s="1" t="str">
        <f>TEXT(WEEKDAY(DATE(TakvimYılı,9,29),1),"ggg")</f>
        <v/>
      </c>
      <c r="AG5" s="1" t="str">
        <f>TEXT(WEEKDAY(DATE(TakvimYılı,9,30),1),"ggg")</f>
        <v/>
      </c>
      <c r="AH5" s="1"/>
      <c r="AI5" s="11"/>
    </row>
    <row r="6" spans="1:35" ht="15" customHeight="1" x14ac:dyDescent="0.35">
      <c r="A6" s="23" t="s">
        <v>109</v>
      </c>
      <c r="B6" s="23" t="s">
        <v>110</v>
      </c>
      <c r="C6" s="14" t="s">
        <v>0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21</v>
      </c>
      <c r="U6" s="2" t="s">
        <v>22</v>
      </c>
      <c r="V6" s="2" t="s">
        <v>23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29</v>
      </c>
      <c r="AC6" s="2" t="s">
        <v>30</v>
      </c>
      <c r="AD6" s="2" t="s">
        <v>31</v>
      </c>
      <c r="AE6" s="2" t="s">
        <v>32</v>
      </c>
      <c r="AF6" s="2" t="s">
        <v>33</v>
      </c>
      <c r="AG6" s="2" t="s">
        <v>34</v>
      </c>
      <c r="AH6" s="2" t="s">
        <v>37</v>
      </c>
      <c r="AI6" s="15" t="s">
        <v>36</v>
      </c>
    </row>
    <row r="7" spans="1:35" ht="30" customHeight="1" x14ac:dyDescent="0.35">
      <c r="A7" s="22">
        <v>1</v>
      </c>
      <c r="B7" s="16" t="str">
        <f>Avqust!B7</f>
        <v>Menecer</v>
      </c>
      <c r="C7" s="16" t="str">
        <f>Avqust!C7</f>
        <v>Rzakov Ramiz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9">
        <f>COUNTA(Eylül[[#This Row],[1]:[30]])</f>
        <v>0</v>
      </c>
    </row>
    <row r="8" spans="1:35" ht="30" customHeight="1" x14ac:dyDescent="0.35">
      <c r="A8" s="22">
        <v>2</v>
      </c>
      <c r="B8" s="16" t="str">
        <f>Avqust!B8</f>
        <v>Nəzarətçi</v>
      </c>
      <c r="C8" s="16" t="str">
        <f>Avqust!C8</f>
        <v>Əsədov Elçin Güloğlan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9">
        <f>COUNTA(Eylül[[#This Row],[1]:[30]])</f>
        <v>0</v>
      </c>
    </row>
    <row r="9" spans="1:35" ht="30" customHeight="1" x14ac:dyDescent="0.35">
      <c r="A9" s="22">
        <v>3</v>
      </c>
      <c r="B9" s="16" t="str">
        <f>Avqust!B9</f>
        <v>Nəzarətçi</v>
      </c>
      <c r="C9" s="16" t="str">
        <f>Avqust!C9</f>
        <v>Babayev Fərid Vaqif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9">
        <f>COUNTA(Eylül[[#This Row],[1]:[30]])</f>
        <v>0</v>
      </c>
    </row>
    <row r="10" spans="1:35" ht="30" customHeight="1" x14ac:dyDescent="0.35">
      <c r="A10" s="22">
        <v>4</v>
      </c>
      <c r="B10" s="16" t="str">
        <f>Avqust!B10</f>
        <v>Ofis meneceri</v>
      </c>
      <c r="C10" s="16" t="str">
        <f>Avqust!C10</f>
        <v>Abbasov Rahib Ziyad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9">
        <f>COUNTA(Eylül[[#This Row],[1]:[30]])</f>
        <v>0</v>
      </c>
    </row>
    <row r="11" spans="1:35" ht="30" customHeight="1" x14ac:dyDescent="0.35">
      <c r="A11" s="22">
        <v>5</v>
      </c>
      <c r="B11" s="16" t="str">
        <f>Avqust!B11</f>
        <v>Ofis meneceri</v>
      </c>
      <c r="C11" s="16" t="str">
        <f>Avqust!C11</f>
        <v>Əşrəfzadə Sərxan Elman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9">
        <f>COUNTA(Eylül[[#This Row],[1]:[30]])</f>
        <v>0</v>
      </c>
    </row>
    <row r="12" spans="1:35" ht="30" customHeight="1" x14ac:dyDescent="0.35">
      <c r="A12" s="22">
        <v>6</v>
      </c>
      <c r="B12" s="16" t="str">
        <f>Avqust!B12</f>
        <v>Ofis meneceri</v>
      </c>
      <c r="C12" s="16" t="str">
        <f>Avqust!C12</f>
        <v>Dostəlizadə Mahir Valeh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9">
        <f>COUNTA(Eylül[[#This Row],[1]:[30]])</f>
        <v>0</v>
      </c>
    </row>
    <row r="13" spans="1:35" ht="30" customHeight="1" x14ac:dyDescent="0.35">
      <c r="A13" s="22">
        <v>7</v>
      </c>
      <c r="B13" s="16" t="str">
        <f>Avqust!B13</f>
        <v>Ofis meneceri</v>
      </c>
      <c r="C13" s="16" t="str">
        <f>Avqust!C13</f>
        <v>Rəsulov Nurlan Yaşar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>
        <f>COUNTA(Eylül[[#This Row],[1]:[30]])</f>
        <v>0</v>
      </c>
    </row>
    <row r="14" spans="1:35" ht="30" customHeight="1" x14ac:dyDescent="0.35">
      <c r="A14" s="22">
        <v>8</v>
      </c>
      <c r="B14" s="16" t="str">
        <f>Avqust!B14</f>
        <v>Bağban</v>
      </c>
      <c r="C14" s="16" t="str">
        <f>Avqust!C14</f>
        <v>Abbasov Sücayət Hüseyn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>
        <f>COUNTA(Eylül[[#This Row],[1]:[30]])</f>
        <v>0</v>
      </c>
    </row>
    <row r="15" spans="1:35" ht="30" customHeight="1" x14ac:dyDescent="0.35">
      <c r="A15" s="22">
        <v>9</v>
      </c>
      <c r="B15" s="16" t="str">
        <f>Avqust!B15</f>
        <v>Bağban</v>
      </c>
      <c r="C15" s="16" t="str">
        <f>Avqust!C15</f>
        <v>Ağayev Əkrəm Zülfi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>
        <f>COUNTA(Eylül[[#This Row],[1]:[30]])</f>
        <v>0</v>
      </c>
    </row>
    <row r="16" spans="1:35" ht="30" customHeight="1" x14ac:dyDescent="0.35">
      <c r="A16" s="22">
        <v>10</v>
      </c>
      <c r="B16" s="16" t="str">
        <f>Avqust!B16</f>
        <v>Bağban</v>
      </c>
      <c r="C16" s="16" t="str">
        <f>Avqust!C16</f>
        <v>Bayramov Asim İsaq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9">
        <f>COUNTA(Eylül[[#This Row],[1]:[30]])</f>
        <v>0</v>
      </c>
    </row>
    <row r="17" spans="1:35" ht="30" customHeight="1" x14ac:dyDescent="0.35">
      <c r="A17" s="22">
        <v>11</v>
      </c>
      <c r="B17" s="16" t="str">
        <f>Avqust!B17</f>
        <v>Bağban</v>
      </c>
      <c r="C17" s="16" t="str">
        <f>Avqust!C17</f>
        <v>Əhədov Seymur Atakişi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9">
        <f>COUNTA(Eylül[[#This Row],[1]:[30]])</f>
        <v>0</v>
      </c>
    </row>
    <row r="18" spans="1:35" ht="30" customHeight="1" x14ac:dyDescent="0.35">
      <c r="A18" s="22">
        <v>12</v>
      </c>
      <c r="B18" s="16" t="str">
        <f>Avqust!B18</f>
        <v>Bağban</v>
      </c>
      <c r="C18" s="16" t="str">
        <f>Avqust!C18</f>
        <v>Əhmədov Elməddin Əhməd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>
        <f>COUNTA(Eylül[[#This Row],[1]:[30]])</f>
        <v>0</v>
      </c>
    </row>
    <row r="19" spans="1:35" ht="30" customHeight="1" x14ac:dyDescent="0.35">
      <c r="A19" s="22">
        <v>13</v>
      </c>
      <c r="B19" s="16" t="str">
        <f>Avqust!B19</f>
        <v>Bağban</v>
      </c>
      <c r="C19" s="16" t="str">
        <f>Avqust!C19</f>
        <v>Ələkbərov Bagman Ərəstun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9">
        <f>COUNTA(Eylül[[#This Row],[1]:[30]])</f>
        <v>0</v>
      </c>
    </row>
    <row r="20" spans="1:35" ht="30" customHeight="1" x14ac:dyDescent="0.35">
      <c r="A20" s="22">
        <v>14</v>
      </c>
      <c r="B20" s="16" t="str">
        <f>Avqust!B20</f>
        <v>Bağban</v>
      </c>
      <c r="C20" s="16" t="str">
        <f>Avqust!C20</f>
        <v>Ələkbərov Fərman Qabil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>
        <f>COUNTA(Eylül[[#This Row],[1]:[30]])</f>
        <v>0</v>
      </c>
    </row>
    <row r="21" spans="1:35" ht="30" customHeight="1" x14ac:dyDescent="0.35">
      <c r="A21" s="22">
        <v>15</v>
      </c>
      <c r="B21" s="16" t="str">
        <f>Avqust!B21</f>
        <v>Bağban</v>
      </c>
      <c r="C21" s="16" t="str">
        <f>Avqust!C21</f>
        <v>Ələsgərov Elməddin Rauf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9">
        <f>COUNTA(Eylül[[#This Row],[1]:[30]])</f>
        <v>0</v>
      </c>
    </row>
    <row r="22" spans="1:35" ht="30" customHeight="1" x14ac:dyDescent="0.35">
      <c r="A22" s="22">
        <v>16</v>
      </c>
      <c r="B22" s="16" t="str">
        <f>Avqust!B22</f>
        <v>Bağban</v>
      </c>
      <c r="C22" s="16" t="str">
        <f>Avqust!C22</f>
        <v>Əliyev Həsən Mais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>
        <f>COUNTA(Eylül[[#This Row],[1]:[30]])</f>
        <v>0</v>
      </c>
    </row>
    <row r="23" spans="1:35" ht="30" customHeight="1" x14ac:dyDescent="0.35">
      <c r="A23" s="22">
        <v>17</v>
      </c>
      <c r="B23" s="16" t="str">
        <f>Avqust!B23</f>
        <v>Bağban</v>
      </c>
      <c r="C23" s="16" t="str">
        <f>Avqust!C23</f>
        <v>Əliyev Sərdar Əliağa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9">
        <f>COUNTA(Eylül[[#This Row],[1]:[30]])</f>
        <v>0</v>
      </c>
    </row>
    <row r="24" spans="1:35" ht="30" customHeight="1" x14ac:dyDescent="0.35">
      <c r="A24" s="22">
        <v>18</v>
      </c>
      <c r="B24" s="16" t="str">
        <f>Avqust!B24</f>
        <v>Bağban</v>
      </c>
      <c r="C24" s="16" t="str">
        <f>Avqust!C24</f>
        <v>Əliyev Xalıq Xanağa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>
        <f>COUNTA(Eylül[[#This Row],[1]:[30]])</f>
        <v>0</v>
      </c>
    </row>
    <row r="25" spans="1:35" ht="30" customHeight="1" x14ac:dyDescent="0.35">
      <c r="A25" s="22">
        <v>19</v>
      </c>
      <c r="B25" s="16" t="str">
        <f>Avqust!B25</f>
        <v>Bağban</v>
      </c>
      <c r="C25" s="16" t="str">
        <f>Avqust!C25</f>
        <v>Feyzullayev Firudin Ramiz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9">
        <f>COUNTA(Eylül[[#This Row],[1]:[30]])</f>
        <v>0</v>
      </c>
    </row>
    <row r="26" spans="1:35" ht="30" customHeight="1" x14ac:dyDescent="0.35">
      <c r="A26" s="22">
        <v>20</v>
      </c>
      <c r="B26" s="16" t="str">
        <f>Avqust!B26</f>
        <v>Bağban</v>
      </c>
      <c r="C26" s="16" t="str">
        <f>Avqust!C26</f>
        <v>Haşımov Asif Hacı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>
        <f>COUNTA(Eylül[[#This Row],[1]:[30]])</f>
        <v>0</v>
      </c>
    </row>
    <row r="27" spans="1:35" ht="30" customHeight="1" x14ac:dyDescent="0.35">
      <c r="A27" s="22">
        <v>21</v>
      </c>
      <c r="B27" s="16" t="str">
        <f>Avqust!B27</f>
        <v>Bağban</v>
      </c>
      <c r="C27" s="16" t="str">
        <f>Avqust!C27</f>
        <v>Hüseynov Davud İsa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9">
        <f>COUNTA(Eylül[[#This Row],[1]:[30]])</f>
        <v>0</v>
      </c>
    </row>
    <row r="28" spans="1:35" ht="30" customHeight="1" x14ac:dyDescent="0.35">
      <c r="A28" s="22">
        <v>22</v>
      </c>
      <c r="B28" s="16" t="str">
        <f>Avqust!B28</f>
        <v>Bağban</v>
      </c>
      <c r="C28" s="16" t="str">
        <f>Avqust!C28</f>
        <v>Hüseynov Ədail İsa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9">
        <f>COUNTA(Eylül[[#This Row],[1]:[30]])</f>
        <v>0</v>
      </c>
    </row>
    <row r="29" spans="1:35" ht="30" customHeight="1" x14ac:dyDescent="0.35">
      <c r="A29" s="22">
        <v>23</v>
      </c>
      <c r="B29" s="16" t="str">
        <f>Avqust!B29</f>
        <v>Bağban</v>
      </c>
      <c r="C29" s="16" t="str">
        <f>Avqust!C29</f>
        <v>Hüseynov Səfaddin Əbülfəz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9">
        <f>COUNTA(Eylül[[#This Row],[1]:[30]])</f>
        <v>0</v>
      </c>
    </row>
    <row r="30" spans="1:35" ht="30" customHeight="1" x14ac:dyDescent="0.35">
      <c r="A30" s="22">
        <v>24</v>
      </c>
      <c r="B30" s="16" t="str">
        <f>Avqust!B30</f>
        <v>Bağban</v>
      </c>
      <c r="C30" s="16" t="str">
        <f>Avqust!C30</f>
        <v>Hüseynov Şəmistan Qabil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9">
        <f>COUNTA(Eylül[[#This Row],[1]:[30]])</f>
        <v>0</v>
      </c>
    </row>
    <row r="31" spans="1:35" ht="30" customHeight="1" x14ac:dyDescent="0.35">
      <c r="A31" s="22">
        <v>25</v>
      </c>
      <c r="B31" s="16" t="str">
        <f>Avqust!B31</f>
        <v>Bağban</v>
      </c>
      <c r="C31" s="16" t="str">
        <f>Avqust!C31</f>
        <v>Hüseynov Sərdar İsa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9">
        <f>COUNTA(Eylül[[#This Row],[1]:[30]])</f>
        <v>0</v>
      </c>
    </row>
    <row r="32" spans="1:35" ht="30" customHeight="1" x14ac:dyDescent="0.35">
      <c r="A32" s="22">
        <v>26</v>
      </c>
      <c r="B32" s="16" t="str">
        <f>Avqust!B32</f>
        <v>Bağban</v>
      </c>
      <c r="C32" s="16" t="str">
        <f>Avqust!C32</f>
        <v>Hüseynov Siruz Qabil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9">
        <f>COUNTA(Eylül[[#This Row],[1]:[30]])</f>
        <v>0</v>
      </c>
    </row>
    <row r="33" spans="1:35" ht="30" customHeight="1" x14ac:dyDescent="0.35">
      <c r="A33" s="22">
        <v>27</v>
      </c>
      <c r="B33" s="16" t="str">
        <f>Avqust!B33</f>
        <v>Bağban</v>
      </c>
      <c r="C33" s="16" t="str">
        <f>Avqust!C33</f>
        <v>Hüseynov Taleh Daşqın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9">
        <f>COUNTA(Eylül[[#This Row],[1]:[30]])</f>
        <v>0</v>
      </c>
    </row>
    <row r="34" spans="1:35" ht="30" customHeight="1" x14ac:dyDescent="0.35">
      <c r="A34" s="22">
        <v>28</v>
      </c>
      <c r="B34" s="16" t="str">
        <f>Avqust!B34</f>
        <v>Bağban</v>
      </c>
      <c r="C34" s="16" t="str">
        <f>Avqust!C34</f>
        <v>Hüseynov Tərlan Yadulla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9">
        <f>COUNTA(Eylül[[#This Row],[1]:[30]])</f>
        <v>0</v>
      </c>
    </row>
    <row r="35" spans="1:35" ht="30" customHeight="1" x14ac:dyDescent="0.35">
      <c r="A35" s="22">
        <v>29</v>
      </c>
      <c r="B35" s="16" t="str">
        <f>Avqust!B35</f>
        <v>Bağban</v>
      </c>
      <c r="C35" s="16" t="str">
        <f>Avqust!C35</f>
        <v>İbayev Zahid Mahir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9">
        <f>COUNTA(Eylül[[#This Row],[1]:[30]])</f>
        <v>0</v>
      </c>
    </row>
    <row r="36" spans="1:35" ht="30" customHeight="1" x14ac:dyDescent="0.35">
      <c r="A36" s="22">
        <v>30</v>
      </c>
      <c r="B36" s="16" t="str">
        <f>Avqust!B36</f>
        <v>Bağban</v>
      </c>
      <c r="C36" s="16" t="str">
        <f>Avqust!C36</f>
        <v>İbayev Zahir Mahir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9">
        <f>COUNTA(Eylül[[#This Row],[1]:[30]])</f>
        <v>0</v>
      </c>
    </row>
    <row r="37" spans="1:35" ht="30" customHeight="1" x14ac:dyDescent="0.35">
      <c r="A37" s="22">
        <v>31</v>
      </c>
      <c r="B37" s="16" t="str">
        <f>Avqust!B37</f>
        <v>Bağban</v>
      </c>
      <c r="C37" s="16" t="str">
        <f>Avqust!C37</f>
        <v>Məcidzadə Əli Valeh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">
        <f>COUNTA(Eylül[[#This Row],[1]:[30]])</f>
        <v>0</v>
      </c>
    </row>
    <row r="38" spans="1:35" ht="30" customHeight="1" x14ac:dyDescent="0.35">
      <c r="A38" s="22">
        <v>32</v>
      </c>
      <c r="B38" s="16" t="str">
        <f>Avqust!B38</f>
        <v>Bağban</v>
      </c>
      <c r="C38" s="16" t="str">
        <f>Avqust!C38</f>
        <v xml:space="preserve">Məmmədli Bəhruz İlham 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9">
        <f>COUNTA(Eylül[[#This Row],[1]:[30]])</f>
        <v>0</v>
      </c>
    </row>
    <row r="39" spans="1:35" ht="30" customHeight="1" x14ac:dyDescent="0.35">
      <c r="A39" s="22">
        <v>33</v>
      </c>
      <c r="B39" s="16" t="str">
        <f>Avqust!B39</f>
        <v>Bağban</v>
      </c>
      <c r="C39" s="16" t="str">
        <f>Avqust!C39</f>
        <v>Məmmədli İsa Nazim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">
        <f>COUNTA(Eylül[[#This Row],[1]:[30]])</f>
        <v>0</v>
      </c>
    </row>
    <row r="40" spans="1:35" ht="30" customHeight="1" x14ac:dyDescent="0.35">
      <c r="A40" s="22">
        <v>34</v>
      </c>
      <c r="B40" s="16" t="str">
        <f>Avqust!B40</f>
        <v>Bağban</v>
      </c>
      <c r="C40" s="16" t="str">
        <f>Avqust!C40</f>
        <v>Məmmədov İlqar Teyyub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9">
        <f>COUNTA(Eylül[[#This Row],[1]:[30]])</f>
        <v>0</v>
      </c>
    </row>
    <row r="41" spans="1:35" ht="30" customHeight="1" x14ac:dyDescent="0.35">
      <c r="A41" s="22">
        <v>35</v>
      </c>
      <c r="B41" s="16" t="str">
        <f>Avqust!B41</f>
        <v>Bağban</v>
      </c>
      <c r="C41" s="16" t="str">
        <f>Avqust!C41</f>
        <v xml:space="preserve">Məmmədov Sahil Ağaxan 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9">
        <f>COUNTA(Eylül[[#This Row],[1]:[30]])</f>
        <v>0</v>
      </c>
    </row>
    <row r="42" spans="1:35" ht="30" customHeight="1" x14ac:dyDescent="0.35">
      <c r="A42" s="22">
        <v>36</v>
      </c>
      <c r="B42" s="16" t="str">
        <f>Avqust!B42</f>
        <v>Bağban</v>
      </c>
      <c r="C42" s="16" t="str">
        <f>Avqust!C42</f>
        <v>Məmmədov Yaqub Zahir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9">
        <f>COUNTA(Eylül[[#This Row],[1]:[30]])</f>
        <v>0</v>
      </c>
    </row>
    <row r="43" spans="1:35" ht="30" customHeight="1" x14ac:dyDescent="0.35">
      <c r="A43" s="22">
        <v>37</v>
      </c>
      <c r="B43" s="16" t="str">
        <f>Avqust!B43</f>
        <v>Bağban</v>
      </c>
      <c r="C43" s="16" t="str">
        <f>Avqust!C43</f>
        <v>Məmmədzadə Qərib Fəxrəddin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9">
        <f>COUNTA(Eylül[[#This Row],[1]:[30]])</f>
        <v>0</v>
      </c>
    </row>
    <row r="44" spans="1:35" ht="30" customHeight="1" x14ac:dyDescent="0.35">
      <c r="A44" s="22">
        <v>38</v>
      </c>
      <c r="B44" s="16" t="str">
        <f>Avqust!B44</f>
        <v>Bağban</v>
      </c>
      <c r="C44" s="16" t="str">
        <f>Avqust!C44</f>
        <v xml:space="preserve">Musayev Minbir Oqtay 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9">
        <f>COUNTA(Eylül[[#This Row],[1]:[30]])</f>
        <v>0</v>
      </c>
    </row>
    <row r="45" spans="1:35" ht="30" customHeight="1" x14ac:dyDescent="0.35">
      <c r="A45" s="22">
        <v>39</v>
      </c>
      <c r="B45" s="16" t="str">
        <f>Avqust!B45</f>
        <v>Bağban</v>
      </c>
      <c r="C45" s="16" t="str">
        <f>Avqust!C45</f>
        <v>Nəcəfov Fizuli Böyükağa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9">
        <f>COUNTA(Eylül[[#This Row],[1]:[30]])</f>
        <v>0</v>
      </c>
    </row>
    <row r="46" spans="1:35" ht="30" customHeight="1" x14ac:dyDescent="0.35">
      <c r="A46" s="22">
        <v>40</v>
      </c>
      <c r="B46" s="16" t="str">
        <f>Avqust!B46</f>
        <v>Ofis meneceri</v>
      </c>
      <c r="C46" s="16" t="str">
        <f>Avqust!C46</f>
        <v>Rəsulov Nurlan Yaşar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>
        <f>COUNTA(Eylül[[#This Row],[1]:[30]])</f>
        <v>0</v>
      </c>
    </row>
    <row r="47" spans="1:35" ht="30" customHeight="1" x14ac:dyDescent="0.35">
      <c r="A47" s="22">
        <v>41</v>
      </c>
      <c r="B47" s="16" t="str">
        <f>Avqust!B47</f>
        <v>Bağban</v>
      </c>
      <c r="C47" s="16" t="str">
        <f>Avqust!C47</f>
        <v>Rzayev İbrahim Mais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9">
        <f>COUNTA(Eylül[[#This Row],[1]:[30]])</f>
        <v>0</v>
      </c>
    </row>
    <row r="48" spans="1:35" ht="30" customHeight="1" x14ac:dyDescent="0.35">
      <c r="A48" s="22">
        <v>42</v>
      </c>
      <c r="B48" s="16" t="str">
        <f>Avqust!B48</f>
        <v>Bağban</v>
      </c>
      <c r="C48" s="16" t="str">
        <f>Avqust!C48</f>
        <v>Səttarov Ağaəli Ərəstun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9">
        <f>COUNTA(Eylül[[#This Row],[1]:[30]])</f>
        <v>0</v>
      </c>
    </row>
    <row r="49" spans="1:35" ht="30" customHeight="1" x14ac:dyDescent="0.35">
      <c r="A49" s="22">
        <v>43</v>
      </c>
      <c r="B49" s="16" t="str">
        <f>Avqust!B49</f>
        <v>Bağban</v>
      </c>
      <c r="C49" s="16" t="str">
        <f>Avqust!C49</f>
        <v>Tahirov Rəşad Elman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9">
        <f>COUNTA(Eylül[[#This Row],[1]:[30]])</f>
        <v>0</v>
      </c>
    </row>
    <row r="50" spans="1:35" ht="30" customHeight="1" x14ac:dyDescent="0.35">
      <c r="A50" s="22">
        <v>44</v>
      </c>
      <c r="B50" s="16" t="str">
        <f>Avqust!B50</f>
        <v>Bağban</v>
      </c>
      <c r="C50" s="16" t="str">
        <f>Avqust!C50</f>
        <v>Xangəldiyev Asəf Əsabəli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9">
        <f>COUNTA(Eylül[[#This Row],[1]:[30]])</f>
        <v>0</v>
      </c>
    </row>
    <row r="51" spans="1:35" ht="30" customHeight="1" x14ac:dyDescent="0.35">
      <c r="A51" s="22">
        <v>45</v>
      </c>
      <c r="B51" s="16" t="str">
        <f>Avqust!B51</f>
        <v>Bağban</v>
      </c>
      <c r="C51" s="16" t="str">
        <f>Avqust!C51</f>
        <v>Yusubov İsmayıl Sübhan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9">
        <f>COUNTA(Eylül[[#This Row],[1]:[30]])</f>
        <v>0</v>
      </c>
    </row>
    <row r="52" spans="1:35" ht="30" customHeight="1" x14ac:dyDescent="0.35">
      <c r="A52" s="22">
        <v>46</v>
      </c>
      <c r="B52" s="16" t="str">
        <f>Avqust!B52</f>
        <v>Bağban</v>
      </c>
      <c r="C52" s="16" t="str">
        <f>Avqust!C52</f>
        <v>Zeynalov Anar Kamal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9">
        <f>COUNTA(Eylül[[#This Row],[1]:[30]])</f>
        <v>0</v>
      </c>
    </row>
    <row r="53" spans="1:35" ht="30" customHeight="1" x14ac:dyDescent="0.35">
      <c r="A53" s="22">
        <v>47</v>
      </c>
      <c r="B53" s="16" t="str">
        <f>Avqust!B53</f>
        <v>Bağban</v>
      </c>
      <c r="C53" s="16" t="str">
        <f>Avqust!C53</f>
        <v>Zeynalov Şahab Əlizaman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9">
        <f>COUNTA(Eylül[[#This Row],[1]:[30]])</f>
        <v>0</v>
      </c>
    </row>
    <row r="54" spans="1:35" ht="30" customHeight="1" x14ac:dyDescent="0.35">
      <c r="A54" s="22">
        <v>48</v>
      </c>
      <c r="B54" s="16" t="str">
        <f>Avqust!B54</f>
        <v>Bağban</v>
      </c>
      <c r="C54" s="16" t="str">
        <f>Avqust!C54</f>
        <v>Cəfərov Qubad Südeyf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9">
        <f>COUNTA(Eylül[[#This Row],[1]:[30]])</f>
        <v>0</v>
      </c>
    </row>
    <row r="55" spans="1:35" ht="30" customHeight="1" x14ac:dyDescent="0.35">
      <c r="A55" s="22">
        <v>49</v>
      </c>
      <c r="B55" s="16" t="str">
        <f>Avqust!B55</f>
        <v>Bağban</v>
      </c>
      <c r="C55" s="16" t="str">
        <f>Avqust!C55</f>
        <v>Yusubov İsməddin Sübhan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9">
        <f>COUNTA(Eylül[[#This Row],[1]:[30]])</f>
        <v>0</v>
      </c>
    </row>
    <row r="56" spans="1:35" ht="30" customHeight="1" x14ac:dyDescent="0.35">
      <c r="A56" s="22">
        <v>50</v>
      </c>
      <c r="B56" s="16" t="str">
        <f>Avqust!B56</f>
        <v>Bağban</v>
      </c>
      <c r="C56" s="16">
        <f>Avqust!C56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9">
        <f>COUNTA(Eylül[[#This Row],[1]:[30]])</f>
        <v>0</v>
      </c>
    </row>
    <row r="57" spans="1:35" ht="30" customHeight="1" x14ac:dyDescent="0.35">
      <c r="A57" s="22">
        <v>51</v>
      </c>
      <c r="B57" s="16" t="str">
        <f>Avqust!B57</f>
        <v>Bağban</v>
      </c>
      <c r="C57" s="16">
        <f>Avqust!C57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9">
        <f>COUNTA(Eylül[[#This Row],[1]:[30]])</f>
        <v>0</v>
      </c>
    </row>
    <row r="58" spans="1:35" ht="30" customHeight="1" x14ac:dyDescent="0.35">
      <c r="A58" s="22">
        <v>52</v>
      </c>
      <c r="B58" s="16" t="str">
        <f>Avqust!B58</f>
        <v>Bağban</v>
      </c>
      <c r="C58" s="16">
        <f>Avqust!C58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9">
        <f>COUNTA(Eylül[[#This Row],[1]:[30]])</f>
        <v>0</v>
      </c>
    </row>
    <row r="59" spans="1:35" ht="30" customHeight="1" x14ac:dyDescent="0.35">
      <c r="A59" s="22">
        <v>53</v>
      </c>
      <c r="B59" s="16" t="str">
        <f>Avqust!B59</f>
        <v>Bağban</v>
      </c>
      <c r="C59" s="16">
        <f>Avqust!C59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9">
        <f>COUNTA(Eylül[[#This Row],[1]:[30]])</f>
        <v>0</v>
      </c>
    </row>
    <row r="60" spans="1:35" ht="30" customHeight="1" x14ac:dyDescent="0.35">
      <c r="A60" s="22">
        <v>54</v>
      </c>
      <c r="B60" s="16" t="str">
        <f>Avqust!B60</f>
        <v>Bağban</v>
      </c>
      <c r="C60" s="16">
        <f>Avqust!C60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9">
        <f>COUNTA(Eylül[[#This Row],[1]:[30]])</f>
        <v>0</v>
      </c>
    </row>
    <row r="61" spans="1:35" ht="30" customHeight="1" x14ac:dyDescent="0.35">
      <c r="A61" s="22">
        <v>55</v>
      </c>
      <c r="B61" s="16" t="str">
        <f>Avqust!B61</f>
        <v>Bağban</v>
      </c>
      <c r="C61" s="16">
        <f>Avqust!C61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9">
        <f>COUNTA(Eylül[[#This Row],[1]:[30]])</f>
        <v>0</v>
      </c>
    </row>
    <row r="62" spans="1:35" ht="30" customHeight="1" x14ac:dyDescent="0.35">
      <c r="C62" s="41" t="str">
        <f>AyAdı&amp;" Toplamı"</f>
        <v>Sentyabr Toplamı</v>
      </c>
      <c r="D62" s="42">
        <f>SUBTOTAL(103,Eylül[1])</f>
        <v>0</v>
      </c>
      <c r="E62" s="42">
        <f>SUBTOTAL(103,Eylül[2])</f>
        <v>0</v>
      </c>
      <c r="F62" s="42">
        <f>SUBTOTAL(103,Eylül[3])</f>
        <v>0</v>
      </c>
      <c r="G62" s="42">
        <f>SUBTOTAL(103,Eylül[4])</f>
        <v>0</v>
      </c>
      <c r="H62" s="42">
        <f>SUBTOTAL(103,Eylül[5])</f>
        <v>0</v>
      </c>
      <c r="I62" s="42">
        <f>SUBTOTAL(103,Eylül[6])</f>
        <v>0</v>
      </c>
      <c r="J62" s="42">
        <f>SUBTOTAL(103,Eylül[7])</f>
        <v>0</v>
      </c>
      <c r="K62" s="42">
        <f>SUBTOTAL(103,Eylül[8])</f>
        <v>0</v>
      </c>
      <c r="L62" s="42">
        <f>SUBTOTAL(103,Eylül[9])</f>
        <v>0</v>
      </c>
      <c r="M62" s="42">
        <f>SUBTOTAL(103,Eylül[10])</f>
        <v>0</v>
      </c>
      <c r="N62" s="42">
        <f>SUBTOTAL(103,Eylül[11])</f>
        <v>0</v>
      </c>
      <c r="O62" s="42">
        <f>SUBTOTAL(103,Eylül[12])</f>
        <v>0</v>
      </c>
      <c r="P62" s="42">
        <f>SUBTOTAL(103,Eylül[13])</f>
        <v>0</v>
      </c>
      <c r="Q62" s="42">
        <f>SUBTOTAL(103,Eylül[14])</f>
        <v>0</v>
      </c>
      <c r="R62" s="42">
        <f>SUBTOTAL(103,Eylül[15])</f>
        <v>0</v>
      </c>
      <c r="S62" s="42">
        <f>SUBTOTAL(103,Eylül[16])</f>
        <v>0</v>
      </c>
      <c r="T62" s="42">
        <f>SUBTOTAL(103,Eylül[17])</f>
        <v>0</v>
      </c>
      <c r="U62" s="42">
        <f>SUBTOTAL(103,Eylül[18])</f>
        <v>0</v>
      </c>
      <c r="V62" s="42">
        <f>SUBTOTAL(103,Eylül[19])</f>
        <v>0</v>
      </c>
      <c r="W62" s="42">
        <f>SUBTOTAL(103,Eylül[20])</f>
        <v>0</v>
      </c>
      <c r="X62" s="42">
        <f>SUBTOTAL(103,Eylül[21])</f>
        <v>0</v>
      </c>
      <c r="Y62" s="42">
        <f>SUBTOTAL(103,Eylül[22])</f>
        <v>0</v>
      </c>
      <c r="Z62" s="42">
        <f>SUBTOTAL(103,Eylül[23])</f>
        <v>0</v>
      </c>
      <c r="AA62" s="42">
        <f>SUBTOTAL(103,Eylül[24])</f>
        <v>0</v>
      </c>
      <c r="AB62" s="42">
        <f>SUBTOTAL(103,Eylül[25])</f>
        <v>0</v>
      </c>
      <c r="AC62" s="42">
        <f>SUBTOTAL(103,Eylül[26])</f>
        <v>0</v>
      </c>
      <c r="AD62" s="42">
        <f>SUBTOTAL(103,Eylül[27])</f>
        <v>0</v>
      </c>
      <c r="AE62" s="42">
        <f>SUBTOTAL(103,Eylül[28])</f>
        <v>0</v>
      </c>
      <c r="AF62" s="42">
        <f>SUBTOTAL(103,Eylül[29])</f>
        <v>0</v>
      </c>
      <c r="AG62" s="42">
        <f>SUBTOTAL(103,Eylül[30])</f>
        <v>0</v>
      </c>
      <c r="AH62" s="42">
        <f>SUBTOTAL(103,Eylül[[ ]])</f>
        <v>0</v>
      </c>
      <c r="AI62" s="42">
        <f>SUBTOTAL(109,Eylül[Toplam Gün])</f>
        <v>0</v>
      </c>
    </row>
  </sheetData>
  <mergeCells count="6">
    <mergeCell ref="D4:AH4"/>
    <mergeCell ref="E2:G2"/>
    <mergeCell ref="I2:K2"/>
    <mergeCell ref="M2:N2"/>
    <mergeCell ref="P2:R2"/>
    <mergeCell ref="T2:V2"/>
  </mergeCells>
  <conditionalFormatting sqref="D7:AH61">
    <cfRule type="expression" priority="1" stopIfTrue="1">
      <formula>D7=""</formula>
    </cfRule>
  </conditionalFormatting>
  <conditionalFormatting sqref="D7:AH61">
    <cfRule type="expression" dxfId="497" priority="2" stopIfTrue="1">
      <formula>D7=AnahtarÖzel2</formula>
    </cfRule>
    <cfRule type="expression" dxfId="496" priority="3" stopIfTrue="1">
      <formula>D7=AnahtarÖzel1</formula>
    </cfRule>
    <cfRule type="expression" dxfId="495" priority="4" stopIfTrue="1">
      <formula>D7=AnahtarHasta</formula>
    </cfRule>
    <cfRule type="expression" dxfId="494" priority="5" stopIfTrue="1">
      <formula>D7=AnahtarKişisel</formula>
    </cfRule>
    <cfRule type="expression" dxfId="493" priority="6" stopIfTrue="1">
      <formula>D7=AnahtarTatil</formula>
    </cfRule>
  </conditionalFormatting>
  <conditionalFormatting sqref="AI7:AI61">
    <cfRule type="dataBar" priority="7">
      <dataBar>
        <cfvo type="min"/>
        <cfvo type="formula" val="DATEDIF(DATE(TakvimYılı,2,1),DATE(TakvimYılı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Bu satırda ayın günleri otomatik olarak oluşturulur. Ayın her günü için, sütunların her birine çalışan devamsızlığını ve devamsızlık türünü girin. Boşluk devamsızlık olmadığı anlamına gelir" sqref="D6"/>
    <dataValidation allowBlank="1" showInputMessage="1" showErrorMessage="1" prompt="Bu devamsızlık zaman çizelgesinin ay adı bu hücrededir. Bu aya ait toplam devamsızlık miktarı, tablonun son hücresindedir. Tablonun B sütunundan çalışan adlarını seçin" sqref="C4"/>
    <dataValidation allowBlank="1" showInputMessage="1" showErrorMessage="1" prompt="Bu satır, tabloda kullanılan anahtarları tanımlar: C2 hücresi Tatil, G2 hücresi Kişisel, K2 hücresiyse Hastalık iznidir. N2 ve R2 hücreleri özelleştirilebilir " sqref="C2"/>
    <dataValidation allowBlank="1" showInputMessage="1" showErrorMessage="1" prompt="Soldaki özel anahtarı açıklamak için bir etiket girin" sqref="P2:R2 T2:V2"/>
    <dataValidation allowBlank="1" showInputMessage="1" showErrorMessage="1" prompt="Başka bir anahtar öğesi eklemek için bir harf girip sağdaki etiketi özelleştirin" sqref="O2 S2"/>
    <dataValidation allowBlank="1" showInputMessage="1" showErrorMessage="1" prompt="&quot;H&quot; harfi hastalık nedeniyle devamsızlığı gösterir" sqref="L2"/>
    <dataValidation allowBlank="1" showInputMessage="1" showErrorMessage="1" prompt="&quot;K&quot; harfi kişisel nedenlerden dolayı devamsızlığı gösterir" sqref="H2"/>
    <dataValidation allowBlank="1" showInputMessage="1" showErrorMessage="1" prompt="&quot;T&quot; harfi tatil nedeniyle devamsızlığı gösterir" sqref="D2"/>
    <dataValidation allowBlank="1" showInputMessage="1" showErrorMessage="1" prompt="Otomatik olarak güncelleştirilen başlık bu hücrededir. Başlığı değiştirmek için Ocak çalışma sayfasındaki B1 hücresini güncelleştirin" sqref="C1"/>
    <dataValidation errorStyle="warning" allowBlank="1" showInputMessage="1" showErrorMessage="1" error="Listeden bir ad seçin. İPTAL’i seçin ve sonra ALT+AŞAĞI OK tuşlarına basıp ENTER’a basarak bir ad seçin" prompt="Çalışan Adları çalışma sayfasına çalışan adlarını girin ve sonra bu sütundaki listeden bu adlardan birini seçin. ALT+AŞAĞI OK tuşlarına basın, sonra da ENTER'a basarak bir ad seçin" sqref="C6"/>
    <dataValidation allowBlank="1" showInputMessage="1" showErrorMessage="1" prompt="Bu ay bir çalışanın toplamda kaç gün devamsızlık yaptığını, bu sütunda otomatik olarak hesaplar" sqref="AI6"/>
    <dataValidation allowBlank="1" showInputMessage="1" showErrorMessage="1" prompt="Ocak çalışma sayfasında girilen yıla göre otomatik olarak güncelleştirilen yıl" sqref="AI4"/>
    <dataValidation allowBlank="1" showInputMessage="1" showErrorMessage="1" prompt="Bu satırdaki günler, AH4 hücresindeki yıla göre ilgili ay için otomatik olarak güncelleştirilir. Ayın her günü, bir çalışanın devamsızlığını ve devamsızlık türünü not alabileceğiniz bir sütundur" sqref="D5"/>
    <dataValidation allowBlank="1" showInputMessage="1" showErrorMessage="1" prompt="Bu çalışma sayfasında Şubat devamsızlığını izleyin" sqref="A1:B1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DATEDIF(DATE(TakvimYılı,2,1),DATE(TakvimYılı,3,1),"d")</xm:f>
              </x14:cfvo>
              <x14:negativeFillColor rgb="FFFF0000"/>
              <x14:axisColor rgb="FF000000"/>
            </x14:dataBar>
          </x14:cfRule>
          <xm:sqref>AI7:AI61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'Çalışan Adları'!$B$4:$B$8</xm:f>
          </x14:formula1>
          <xm:sqref>B7:B61</xm:sqref>
        </x14:dataValidation>
        <x14:dataValidation type="list" allowBlank="1" showInputMessage="1" showErrorMessage="1">
          <x14:formula1>
            <xm:f>'Çalışan Adları'!$B$4:$B$60</xm:f>
          </x14:formula1>
          <xm:sqref>C7:C61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1 F w V H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d 1 F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R c F Q o i k e 4 D g A A A B E A A A A T A B w A R m 9 y b X V s Y X M v U 2 V j d G l v b j E u b S C i G A A o o B Q A A A A A A A A A A A A A A A A A A A A A A A A A A A A r T k 0 u y c z P U w i G 0 I b W A F B L A Q I t A B Q A A g A I A H d R c F R + K R 6 K p A A A A P U A A A A S A A A A A A A A A A A A A A A A A A A A A A B D b 2 5 m a W c v U G F j a 2 F n Z S 5 4 b W x Q S w E C L Q A U A A I A C A B 3 U X B U D 8 r p q 6 Q A A A D p A A A A E w A A A A A A A A A A A A A A A A D w A A A A W 0 N v b n R l b n R f V H l w Z X N d L n h t b F B L A Q I t A B Q A A g A I A H d R c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t e o l F s L V c Q o t v m T + A i s 8 v A A A A A A I A A A A A A B B m A A A A A Q A A I A A A A B l / A f 1 O o 5 6 5 U F n d x P G O X R u J n V w X g H 7 t R M 0 o p d P t D A s d A A A A A A 6 A A A A A A g A A I A A A A D 7 5 1 B 0 R X N q D t Y 2 y z K 5 r U a F k M m q b w 0 i M 1 8 V v I v c O 4 B N d U A A A A N 6 T o Q 4 j n R 3 X v h p m V b K P q t m x r a z r R 3 o t O V Q E 2 5 7 3 W D m / T n 5 N k h 1 9 a q 9 n N y k S i C q V L S 9 R M G B 5 S 5 z g x i r h C M 4 5 u G r Z y C k v T w G D M d c P O D N N 5 g r Y Q A A A A G V P 3 F E 2 0 X B i m C H d m x z S W x J + Y + B 7 5 S z 2 X J K V C e V I m 3 / 4 K L n D k j t B l N W + t z c 5 2 8 5 d O g R 1 l v h Y m B L v r v V D Q 2 Y i v G g = < / D a t a M a s h u p > 
</file>

<file path=customXml/itemProps1.xml><?xml version="1.0" encoding="utf-8"?>
<ds:datastoreItem xmlns:ds="http://schemas.openxmlformats.org/officeDocument/2006/customXml" ds:itemID="{39D392DE-02B8-4F2D-8814-09DA27018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14</vt:i4>
      </vt:variant>
      <vt:variant>
        <vt:lpstr>Adlandırılmış Aralıklar</vt:lpstr>
      </vt:variant>
      <vt:variant>
        <vt:i4>50</vt:i4>
      </vt:variant>
    </vt:vector>
  </HeadingPairs>
  <TitlesOfParts>
    <vt:vector size="64" baseType="lpstr">
      <vt:lpstr>Yanvar</vt:lpstr>
      <vt:lpstr>Fevral</vt:lpstr>
      <vt:lpstr>Mart</vt:lpstr>
      <vt:lpstr>Aprel</vt:lpstr>
      <vt:lpstr>May</vt:lpstr>
      <vt:lpstr>İyun</vt:lpstr>
      <vt:lpstr>İyul</vt:lpstr>
      <vt:lpstr>Avqust</vt:lpstr>
      <vt:lpstr>Sentyabr</vt:lpstr>
      <vt:lpstr>Oktyabr</vt:lpstr>
      <vt:lpstr>Noyabr</vt:lpstr>
      <vt:lpstr>Dekabr</vt:lpstr>
      <vt:lpstr>Çalışan Adları</vt:lpstr>
      <vt:lpstr>Sheet1</vt:lpstr>
      <vt:lpstr>AnahtarHasta</vt:lpstr>
      <vt:lpstr>AnahtarHastaEtiketi</vt:lpstr>
      <vt:lpstr>AnahtarKişisel</vt:lpstr>
      <vt:lpstr>AnahtarKişiselEtiketi</vt:lpstr>
      <vt:lpstr>AnahtarÖzel1</vt:lpstr>
      <vt:lpstr>AnahtarÖzel1Etiketi</vt:lpstr>
      <vt:lpstr>AnahtarÖzel2</vt:lpstr>
      <vt:lpstr>AnahtarÖzel2Etiketi</vt:lpstr>
      <vt:lpstr>AnahtarTatil</vt:lpstr>
      <vt:lpstr>AnahtarTatilEtiketi</vt:lpstr>
      <vt:lpstr>Aprel!AyAdı</vt:lpstr>
      <vt:lpstr>Avqust!AyAdı</vt:lpstr>
      <vt:lpstr>Dekabr!AyAdı</vt:lpstr>
      <vt:lpstr>Fevral!AyAdı</vt:lpstr>
      <vt:lpstr>İyul!AyAdı</vt:lpstr>
      <vt:lpstr>İyun!AyAdı</vt:lpstr>
      <vt:lpstr>Mart!AyAdı</vt:lpstr>
      <vt:lpstr>May!AyAdı</vt:lpstr>
      <vt:lpstr>Noyabr!AyAdı</vt:lpstr>
      <vt:lpstr>Oktyabr!AyAdı</vt:lpstr>
      <vt:lpstr>Sentyabr!AyAdı</vt:lpstr>
      <vt:lpstr>Yanvar!AyAdı</vt:lpstr>
      <vt:lpstr>Başlık1</vt:lpstr>
      <vt:lpstr>Başlık10</vt:lpstr>
      <vt:lpstr>Başlık11</vt:lpstr>
      <vt:lpstr>Başlık12</vt:lpstr>
      <vt:lpstr>Başlık2</vt:lpstr>
      <vt:lpstr>Başlık3</vt:lpstr>
      <vt:lpstr>Başlık4</vt:lpstr>
      <vt:lpstr>Başlık5</vt:lpstr>
      <vt:lpstr>Başlık6</vt:lpstr>
      <vt:lpstr>Başlık7</vt:lpstr>
      <vt:lpstr>Başlık8</vt:lpstr>
      <vt:lpstr>Başlık9</vt:lpstr>
      <vt:lpstr>Employee_Absence_Title</vt:lpstr>
      <vt:lpstr>Key_name</vt:lpstr>
      <vt:lpstr>SütunBaşlığı13</vt:lpstr>
      <vt:lpstr>TakvimYılı</vt:lpstr>
      <vt:lpstr>Aprel!Yazdırma_Başlıkları</vt:lpstr>
      <vt:lpstr>Avqust!Yazdırma_Başlıkları</vt:lpstr>
      <vt:lpstr>Dekabr!Yazdırma_Başlıkları</vt:lpstr>
      <vt:lpstr>Fevral!Yazdırma_Başlıkları</vt:lpstr>
      <vt:lpstr>İyul!Yazdırma_Başlıkları</vt:lpstr>
      <vt:lpstr>İyun!Yazdırma_Başlıkları</vt:lpstr>
      <vt:lpstr>Mart!Yazdırma_Başlıkları</vt:lpstr>
      <vt:lpstr>May!Yazdırma_Başlıkları</vt:lpstr>
      <vt:lpstr>Noyabr!Yazdırma_Başlıkları</vt:lpstr>
      <vt:lpstr>Oktyabr!Yazdırma_Başlıkları</vt:lpstr>
      <vt:lpstr>Sentyabr!Yazdırma_Başlıkları</vt:lpstr>
      <vt:lpstr>Yanvar!Yazdırma_Başlıkları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Green Garden</dc:creator>
  <cp:lastModifiedBy>HP</cp:lastModifiedBy>
  <dcterms:created xsi:type="dcterms:W3CDTF">2016-12-06T04:52:27Z</dcterms:created>
  <dcterms:modified xsi:type="dcterms:W3CDTF">2022-03-16T17:03:43Z</dcterms:modified>
</cp:coreProperties>
</file>