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ravi\Documents\Supplementary information Grassification\"/>
    </mc:Choice>
  </mc:AlternateContent>
  <xr:revisionPtr revIDLastSave="0" documentId="13_ncr:1_{37790B0A-0FD3-4844-AC3E-DB2EC355EDEC}" xr6:coauthVersionLast="47" xr6:coauthVersionMax="47" xr10:uidLastSave="{00000000-0000-0000-0000-000000000000}"/>
  <bookViews>
    <workbookView xWindow="-28920" yWindow="-1545" windowWidth="29040" windowHeight="15840" activeTab="3" xr2:uid="{00000000-000D-0000-FFFF-FFFF00000000}"/>
  </bookViews>
  <sheets>
    <sheet name="Grass characteristics" sheetId="7" r:id="rId1"/>
    <sheet name="Scenario 1" sheetId="3" r:id="rId2"/>
    <sheet name="Scenario 2" sheetId="8" r:id="rId3"/>
    <sheet name="Scenario 3" sheetId="9" r:id="rId4"/>
  </sheets>
  <definedNames>
    <definedName name="m_CHP_input_biogas_ratiototalinput">#REF!</definedName>
    <definedName name="m_landfillAD_output_disposabledigestate_rati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3" l="1"/>
  <c r="E48" i="9"/>
  <c r="E32" i="9"/>
  <c r="E50" i="9"/>
  <c r="E35" i="9"/>
  <c r="E26" i="9"/>
  <c r="E44" i="8"/>
  <c r="F78" i="8"/>
  <c r="F77" i="8"/>
  <c r="D74" i="8"/>
  <c r="D75" i="8" s="1"/>
  <c r="E75" i="8" s="1"/>
  <c r="F75" i="8" s="1"/>
  <c r="E73" i="8"/>
  <c r="F73" i="8" s="1"/>
  <c r="E15" i="3"/>
  <c r="F44" i="3"/>
  <c r="F45" i="3"/>
  <c r="F40" i="3"/>
  <c r="E46" i="3"/>
  <c r="F46" i="3" s="1"/>
  <c r="E16" i="3" s="1"/>
  <c r="E43" i="3"/>
  <c r="F43" i="3" s="1"/>
  <c r="E14" i="3" s="1"/>
  <c r="E40" i="3"/>
  <c r="E11" i="3" s="1"/>
  <c r="E44" i="9"/>
  <c r="E40" i="9"/>
  <c r="E39" i="9"/>
  <c r="E22" i="9"/>
  <c r="E23" i="9"/>
  <c r="E79" i="9"/>
  <c r="E88" i="9" s="1"/>
  <c r="E93" i="9" s="1"/>
  <c r="E82" i="9"/>
  <c r="E81" i="9"/>
  <c r="E83" i="9"/>
  <c r="E80" i="9"/>
  <c r="D30" i="7"/>
  <c r="E27" i="9"/>
  <c r="F66" i="9"/>
  <c r="F67" i="9" s="1"/>
  <c r="F57" i="9"/>
  <c r="F58" i="9" s="1"/>
  <c r="G66" i="9"/>
  <c r="G63" i="9"/>
  <c r="G57" i="9"/>
  <c r="G58" i="9" s="1"/>
  <c r="G31" i="8"/>
  <c r="G19" i="8"/>
  <c r="G11" i="8"/>
  <c r="G21" i="8" s="1"/>
  <c r="G22" i="8" s="1"/>
  <c r="E11" i="8"/>
  <c r="E21" i="8" s="1"/>
  <c r="D108" i="9"/>
  <c r="D109" i="9" s="1"/>
  <c r="E109" i="9" s="1"/>
  <c r="E77" i="9"/>
  <c r="E75" i="9"/>
  <c r="E73" i="9"/>
  <c r="E16" i="9"/>
  <c r="E13" i="3" l="1"/>
  <c r="E12" i="3"/>
  <c r="E28" i="3"/>
  <c r="G23" i="8"/>
  <c r="G24" i="8" s="1"/>
  <c r="D76" i="8"/>
  <c r="D79" i="8"/>
  <c r="E79" i="8" s="1"/>
  <c r="E74" i="8"/>
  <c r="F74" i="8" s="1"/>
  <c r="D111" i="9"/>
  <c r="E111" i="9" s="1"/>
  <c r="E108" i="9"/>
  <c r="D113" i="9"/>
  <c r="E113" i="9" s="1"/>
  <c r="D112" i="9"/>
  <c r="E112" i="9" s="1"/>
  <c r="G59" i="9"/>
  <c r="G60" i="9" s="1"/>
  <c r="F59" i="9"/>
  <c r="F60" i="9" s="1"/>
  <c r="E55" i="9"/>
  <c r="D114" i="9"/>
  <c r="E114" i="9" s="1"/>
  <c r="D110" i="9"/>
  <c r="E110" i="9" s="1"/>
  <c r="E89" i="9"/>
  <c r="E22" i="8"/>
  <c r="E14" i="8"/>
  <c r="E42" i="8"/>
  <c r="E41" i="8"/>
  <c r="E19" i="8"/>
  <c r="E25" i="3"/>
  <c r="E39" i="8"/>
  <c r="E98" i="9" l="1"/>
  <c r="E95" i="9" s="1"/>
  <c r="F79" i="8"/>
  <c r="E63" i="8"/>
  <c r="E76" i="8"/>
  <c r="F76" i="8" s="1"/>
  <c r="E31" i="8"/>
  <c r="E28" i="8"/>
  <c r="E23" i="8"/>
  <c r="E24" i="8"/>
  <c r="E57" i="9"/>
  <c r="E58" i="9" s="1"/>
  <c r="E63" i="9"/>
  <c r="E66" i="9"/>
  <c r="E67" i="9" s="1"/>
  <c r="E52" i="8"/>
  <c r="E53" i="8"/>
  <c r="E47" i="8" l="1"/>
  <c r="E46" i="8"/>
  <c r="E49" i="8"/>
  <c r="E48" i="8"/>
  <c r="E45" i="8"/>
  <c r="E59" i="9"/>
  <c r="E60" i="9" s="1"/>
  <c r="E57" i="8"/>
  <c r="C42" i="3"/>
  <c r="D41" i="3"/>
  <c r="E41" i="3" l="1"/>
  <c r="F41" i="3" s="1"/>
  <c r="D42" i="3"/>
  <c r="E42" i="3" l="1"/>
  <c r="F42" i="3"/>
  <c r="E6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Van Dael Miet</author>
  </authors>
  <commentList>
    <comment ref="C4" authorId="0" shapeId="0" xr:uid="{00000000-0006-0000-0200-000001000000}">
      <text>
        <r>
          <rPr>
            <sz val="9"/>
            <color indexed="81"/>
            <rFont val="Tahoma"/>
            <family val="2"/>
          </rPr>
          <t xml:space="preserve">Examples of parameters: 
- Revenues: Price/price range of output products
- CAPEX 
- OPEX (e.g. prices of auxiliary products, personnel, water (process water, cooling,…))
</t>
        </r>
      </text>
    </comment>
    <comment ref="D4" authorId="0" shapeId="0" xr:uid="{00000000-0006-0000-0200-000002000000}">
      <text>
        <r>
          <rPr>
            <sz val="9"/>
            <color indexed="81"/>
            <rFont val="Tahoma"/>
            <family val="2"/>
          </rPr>
          <t xml:space="preserve">Please use dynamic units as much as possible. </t>
        </r>
      </text>
    </comment>
    <comment ref="E4" authorId="0" shapeId="0" xr:uid="{00000000-0006-0000-0200-000003000000}">
      <text>
        <r>
          <rPr>
            <sz val="9"/>
            <color indexed="81"/>
            <rFont val="Tahoma"/>
            <family val="2"/>
          </rPr>
          <t xml:space="preserve">Provide numerical data. Please be consistent in the use of decimal points and commas.
Indicate in the column 'sources' whether the data is from literature, own experiments,… 
Using comments multiple values can be added if several sources are available (you can indicate the source per value in the comments between [ ]). Please add the first author name and the year of publication. On the sheet 'sources' the details can be provided. 
A range with lower and upper values can be provided in the column 'Range'. </t>
        </r>
      </text>
    </comment>
    <comment ref="H4" authorId="0" shapeId="0" xr:uid="{00000000-0006-0000-0200-000004000000}">
      <text>
        <r>
          <rPr>
            <sz val="9"/>
            <color indexed="81"/>
            <rFont val="Tahoma"/>
            <family val="2"/>
          </rPr>
          <t>If average and standard deviation not available, please provide a range. For eg. Numerical data seperated with a hyphen (e.g. 0.5-2.5)</t>
        </r>
      </text>
    </comment>
    <comment ref="K4" authorId="0" shapeId="0" xr:uid="{00000000-0006-0000-0200-000005000000}">
      <text>
        <r>
          <rPr>
            <sz val="9"/>
            <color indexed="81"/>
            <rFont val="Tahoma"/>
            <family val="2"/>
          </rPr>
          <t xml:space="preserve">Type of data sources (Literature, website, own experiments…).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Van Dael Miet</author>
  </authors>
  <commentList>
    <comment ref="C4" authorId="0" shapeId="0" xr:uid="{81F96C46-1D57-4FCC-A79F-FB88CF639824}">
      <text>
        <r>
          <rPr>
            <sz val="9"/>
            <color indexed="81"/>
            <rFont val="Tahoma"/>
            <family val="2"/>
          </rPr>
          <t xml:space="preserve">Examples of parameters: 
- Revenues: Price/price range of output products
- CAPEX 
- OPEX (e.g. prices of auxiliary products, personnel, water (process water, cooling,…))
</t>
        </r>
      </text>
    </comment>
    <comment ref="D4" authorId="0" shapeId="0" xr:uid="{51DB9EB1-CF7B-4F3C-9D50-5744707756FF}">
      <text>
        <r>
          <rPr>
            <sz val="9"/>
            <color indexed="81"/>
            <rFont val="Tahoma"/>
            <family val="2"/>
          </rPr>
          <t xml:space="preserve">Please use dynamic units as much as possible. </t>
        </r>
      </text>
    </comment>
    <comment ref="E4" authorId="0" shapeId="0" xr:uid="{1083D9EF-51B8-408D-8E04-88CF938BE28D}">
      <text>
        <r>
          <rPr>
            <sz val="9"/>
            <color indexed="81"/>
            <rFont val="Tahoma"/>
            <family val="2"/>
          </rPr>
          <t xml:space="preserve">Provide numerical data. Please be consistent in the use of decimal points and commas.
Indicate in the column 'sources' whether the data is from literature, own experiments,… 
Using comments multiple values can be added if several sources are available (you can indicate the source per value in the comments between [ ]). Please add the first author name and the year of publication. On the sheet 'sources' the details can be provided. 
A range with lower and upper values can be provided in the column 'Range'. </t>
        </r>
      </text>
    </comment>
    <comment ref="H4" authorId="0" shapeId="0" xr:uid="{D8F33045-4F37-4104-96DA-622D4E8505EE}">
      <text>
        <r>
          <rPr>
            <sz val="9"/>
            <color indexed="81"/>
            <rFont val="Tahoma"/>
            <family val="2"/>
          </rPr>
          <t>If average and standard deviation not available, please provide a range. For eg. Numerical data seperated with a hyphen (e.g. 0.5-2.5)</t>
        </r>
      </text>
    </comment>
    <comment ref="K4" authorId="0" shapeId="0" xr:uid="{430CE891-9844-4F89-9F25-A632DD6AC47E}">
      <text>
        <r>
          <rPr>
            <sz val="9"/>
            <color indexed="81"/>
            <rFont val="Tahoma"/>
            <family val="2"/>
          </rPr>
          <t xml:space="preserve">Type of data sources (Literature, website, own experiments…). </t>
        </r>
      </text>
    </comment>
    <comment ref="AA43" authorId="0" shapeId="0" xr:uid="{00000000-0006-0000-0100-000017000000}">
      <text>
        <r>
          <rPr>
            <sz val="9"/>
            <color indexed="81"/>
            <rFont val="Tahoma"/>
            <family val="2"/>
          </rPr>
          <t>1 digester = cell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Van Dael Miet</author>
  </authors>
  <commentList>
    <comment ref="C4" authorId="0" shapeId="0" xr:uid="{2EA94AE0-F577-4890-A740-0725E0630107}">
      <text>
        <r>
          <rPr>
            <sz val="9"/>
            <color indexed="81"/>
            <rFont val="Tahoma"/>
            <family val="2"/>
          </rPr>
          <t xml:space="preserve">Examples of parameters: 
- Revenues: Price/price range of output products
- CAPEX 
- OPEX (e.g. prices of auxiliary products, personnel, water (process water, cooling,…))
</t>
        </r>
      </text>
    </comment>
    <comment ref="D4" authorId="0" shapeId="0" xr:uid="{7C6441F9-E83F-4364-A91C-7663A1236D7E}">
      <text>
        <r>
          <rPr>
            <sz val="9"/>
            <color indexed="81"/>
            <rFont val="Tahoma"/>
            <family val="2"/>
          </rPr>
          <t xml:space="preserve">Please use dynamic units as much as possible. </t>
        </r>
      </text>
    </comment>
    <comment ref="E4" authorId="0" shapeId="0" xr:uid="{A30E2741-9C72-4B4A-91C6-90AA7698F606}">
      <text>
        <r>
          <rPr>
            <sz val="9"/>
            <color indexed="81"/>
            <rFont val="Tahoma"/>
            <family val="2"/>
          </rPr>
          <t xml:space="preserve">Provide numerical data. Please be consistent in the use of decimal points and commas.
Indicate in the column 'sources' whether the data is from literature, own experiments,… 
Using comments multiple values can be added if several sources are available (you can indicate the source per value in the comments between [ ]). Please add the first author name and the year of publication. On the sheet 'sources' the details can be provided. 
A range with lower and upper values can be provided in the column 'Range'. </t>
        </r>
      </text>
    </comment>
    <comment ref="H4" authorId="0" shapeId="0" xr:uid="{E359781D-333A-4665-BD60-2CC451BDF23A}">
      <text>
        <r>
          <rPr>
            <sz val="9"/>
            <color indexed="81"/>
            <rFont val="Tahoma"/>
            <family val="2"/>
          </rPr>
          <t>If average and standard deviation not available, please provide a range. For eg. Numerical data seperated with a hyphen (e.g. 0.5-2.5)</t>
        </r>
      </text>
    </comment>
    <comment ref="K4" authorId="0" shapeId="0" xr:uid="{25260EE6-89D8-4B0B-9B71-A8DF40B499EE}">
      <text>
        <r>
          <rPr>
            <sz val="9"/>
            <color indexed="81"/>
            <rFont val="Tahoma"/>
            <family val="2"/>
          </rPr>
          <t xml:space="preserve">Type of data sources (Literature, website, own experiments…). </t>
        </r>
      </text>
    </comment>
  </commentList>
</comments>
</file>

<file path=xl/sharedStrings.xml><?xml version="1.0" encoding="utf-8"?>
<sst xmlns="http://schemas.openxmlformats.org/spreadsheetml/2006/main" count="667" uniqueCount="271">
  <si>
    <t>%</t>
  </si>
  <si>
    <t>Parameter</t>
  </si>
  <si>
    <t>Unit</t>
  </si>
  <si>
    <t>Value</t>
  </si>
  <si>
    <t>kg</t>
  </si>
  <si>
    <t>m3</t>
  </si>
  <si>
    <t>DM</t>
  </si>
  <si>
    <t>MJ</t>
  </si>
  <si>
    <t>Compost "mature"</t>
  </si>
  <si>
    <t>kg/</t>
  </si>
  <si>
    <t>Total mass</t>
  </si>
  <si>
    <t>Total N</t>
  </si>
  <si>
    <t>Carbon (C)</t>
  </si>
  <si>
    <t>litres</t>
  </si>
  <si>
    <t>Digestate</t>
  </si>
  <si>
    <t>kWh</t>
  </si>
  <si>
    <t>Roadside grass</t>
  </si>
  <si>
    <t>Life cycle inventory</t>
  </si>
  <si>
    <t>Range</t>
  </si>
  <si>
    <t>Comments</t>
  </si>
  <si>
    <t>Mowed grass</t>
  </si>
  <si>
    <t>Water</t>
  </si>
  <si>
    <t>Electricity</t>
  </si>
  <si>
    <t>20-330</t>
  </si>
  <si>
    <t>Inputs</t>
  </si>
  <si>
    <t>Outputs</t>
  </si>
  <si>
    <t>Emissions</t>
  </si>
  <si>
    <t>kg CO2-C/ kg DS</t>
  </si>
  <si>
    <t>kg NH3-N/ ton DS</t>
  </si>
  <si>
    <t>kg N2O-N/ ton DS</t>
  </si>
  <si>
    <t>kg CH4-C/ ton DS</t>
  </si>
  <si>
    <t>ODM</t>
  </si>
  <si>
    <t>Raw Fat</t>
  </si>
  <si>
    <t>Raw protein</t>
  </si>
  <si>
    <t>Carbohydrates</t>
  </si>
  <si>
    <t>pH</t>
  </si>
  <si>
    <t>%DM</t>
  </si>
  <si>
    <t>Average</t>
  </si>
  <si>
    <t>Standard deviation</t>
  </si>
  <si>
    <t>Theoretical biogas potential</t>
  </si>
  <si>
    <t>Nm3/t</t>
  </si>
  <si>
    <t>Biogas potential (lab)</t>
  </si>
  <si>
    <t>Sample 1 (slightly dry)</t>
  </si>
  <si>
    <t>Sample 2 ((freshly mown)</t>
  </si>
  <si>
    <t>sample from intermediate storage</t>
  </si>
  <si>
    <t>kg/t</t>
  </si>
  <si>
    <t>kg/FU</t>
  </si>
  <si>
    <t>P2O5</t>
  </si>
  <si>
    <t>K2O</t>
  </si>
  <si>
    <t>VS (%DM)</t>
  </si>
  <si>
    <t>DM (%FM)</t>
  </si>
  <si>
    <t>Percentage</t>
  </si>
  <si>
    <t>CH4</t>
  </si>
  <si>
    <t>Mass balance composting</t>
  </si>
  <si>
    <t>Source</t>
  </si>
  <si>
    <t>Composting</t>
  </si>
  <si>
    <t>Composting facility, open</t>
  </si>
  <si>
    <t>ecoinvent</t>
  </si>
  <si>
    <t>Uncertainty</t>
  </si>
  <si>
    <t>Triangular</t>
  </si>
  <si>
    <t>Product</t>
  </si>
  <si>
    <t>unit</t>
  </si>
  <si>
    <t xml:space="preserve">loc </t>
  </si>
  <si>
    <t>Scale</t>
  </si>
  <si>
    <t>Lognormal</t>
  </si>
  <si>
    <t xml:space="preserve"> machine operation, diesel, &gt;= 74.57 kW, low load factor</t>
  </si>
  <si>
    <t>hour</t>
  </si>
  <si>
    <t>Functional unit (FU)</t>
  </si>
  <si>
    <t>Field Application</t>
  </si>
  <si>
    <t>Compost</t>
  </si>
  <si>
    <t>Compost loading and spreading, by hydraulic loader and spreader</t>
  </si>
  <si>
    <t>Modified ecoinvent process "solid manure loading and spreading, by hydraulic loader and spreader"</t>
  </si>
  <si>
    <t>inorganic Phosphorus fertilizer, as P2O5</t>
  </si>
  <si>
    <t>inorganic Potasssium fertilizer, as K2O</t>
  </si>
  <si>
    <t>inorganic nitrogen fertilizer, as N</t>
  </si>
  <si>
    <t>From DAISY</t>
  </si>
  <si>
    <t>Fertilizer substitution</t>
  </si>
  <si>
    <t>CO2, biogenic</t>
  </si>
  <si>
    <t>N2O</t>
  </si>
  <si>
    <t>NO3-</t>
  </si>
  <si>
    <t>CO2, seq</t>
  </si>
  <si>
    <t>10.91% of C sequestered from 100 years application</t>
  </si>
  <si>
    <t>Scenario 1</t>
  </si>
  <si>
    <t>Scenario 2</t>
  </si>
  <si>
    <t>Mono-digestion (AD Cell)</t>
  </si>
  <si>
    <t>anaerobic digestion plant construction, agricultural</t>
  </si>
  <si>
    <t>2.38*10^-3</t>
  </si>
  <si>
    <t>Scaled to 1 FU</t>
  </si>
  <si>
    <t>Biogas</t>
  </si>
  <si>
    <t>Fugitive CH4</t>
  </si>
  <si>
    <t>Assumed to be 1%</t>
  </si>
  <si>
    <t>Leachate</t>
  </si>
  <si>
    <t>Assuming a density of 1000 kg/m3</t>
  </si>
  <si>
    <t>transport, freight, lorry &gt;32 metric ton, EURO6</t>
  </si>
  <si>
    <t>t-km</t>
  </si>
  <si>
    <t>Assuming a transport distance of 100 km</t>
  </si>
  <si>
    <t>2(a) &amp; 2(b) involves valorisation of biogas through a CHP and bogras upgrading respectively. Unit processes are common for both sub-scenarios unless specified otherwise</t>
  </si>
  <si>
    <t>Ecoinvent database</t>
  </si>
  <si>
    <t>Modified according to Belgian conditions. Unit process also includes infrastructure components</t>
  </si>
  <si>
    <t>Primary data from AD cell</t>
  </si>
  <si>
    <t>Refer to time series in Scenrio2.ipynb</t>
  </si>
  <si>
    <t>Assuming Methane losses of 1%</t>
  </si>
  <si>
    <t xml:space="preserve">Biogas supplied to CHP adjusted for 1 tonne of RG and fugitive emissions. </t>
  </si>
  <si>
    <t>Grass fibres from mono-digestion</t>
  </si>
  <si>
    <t>N (%DM)</t>
  </si>
  <si>
    <t>C (%DM)</t>
  </si>
  <si>
    <t>23% of C sequestered from 100 years application</t>
  </si>
  <si>
    <t>electricity, high voltage</t>
  </si>
  <si>
    <t>Compost "mature" (kg)</t>
  </si>
  <si>
    <t>0.42 m3 biogas = 1kWh electricity</t>
  </si>
  <si>
    <t>Mean</t>
  </si>
  <si>
    <t>Ecoinvent database (heat and power co-generation, biogas, gas engine)</t>
  </si>
  <si>
    <t>heat</t>
  </si>
  <si>
    <t>CHP (2a)</t>
  </si>
  <si>
    <t>Biomethane (2b)</t>
  </si>
  <si>
    <t>Scenario 3</t>
  </si>
  <si>
    <t>3(a) &amp; 3(b) involves valorisation of biogas through a CHP and bogras upgrading respectively. Unit processes are common for both sub-scenarios unless specified otherwise</t>
  </si>
  <si>
    <t>Co-digestion (Agro-digester)</t>
  </si>
  <si>
    <t>Raw pig manure</t>
  </si>
  <si>
    <t>Solid fraction pig manure</t>
  </si>
  <si>
    <t>biomethane, high pressure</t>
  </si>
  <si>
    <t>Ecoinvent database (biogas purification to biomethane by membrane technique)</t>
  </si>
  <si>
    <t>natural gas, high pressure, import from RU</t>
  </si>
  <si>
    <t>Alternate food waste management</t>
  </si>
  <si>
    <t>Ecoinvent process 'treatment of biowaste by anaerobic digestion'</t>
  </si>
  <si>
    <t>Transport</t>
  </si>
  <si>
    <t>Assuming a transport distance of 50 km</t>
  </si>
  <si>
    <t>Digestate from co-digestion</t>
  </si>
  <si>
    <t>05/05/2020 or 25/05/2020*</t>
  </si>
  <si>
    <t>ammonium N</t>
  </si>
  <si>
    <t>g NH3-N/kg FM</t>
  </si>
  <si>
    <t>g/ kg FM</t>
  </si>
  <si>
    <t>Mineral N</t>
  </si>
  <si>
    <t>Kjeldahl N</t>
  </si>
  <si>
    <t>Potassium</t>
  </si>
  <si>
    <r>
      <t>g/kg K</t>
    </r>
    <r>
      <rPr>
        <i/>
        <vertAlign val="subscript"/>
        <sz val="8"/>
        <color rgb="FF000000"/>
        <rFont val="Calibri"/>
        <family val="2"/>
      </rPr>
      <t>2</t>
    </r>
    <r>
      <rPr>
        <i/>
        <sz val="8"/>
        <color rgb="FF000000"/>
        <rFont val="Calibri"/>
        <family val="2"/>
      </rPr>
      <t>O FM</t>
    </r>
  </si>
  <si>
    <t>Phosphorous</t>
  </si>
  <si>
    <r>
      <t>g/kg P</t>
    </r>
    <r>
      <rPr>
        <i/>
        <vertAlign val="subscript"/>
        <sz val="8"/>
        <color rgb="FF000000"/>
        <rFont val="Calibri"/>
        <family val="2"/>
      </rPr>
      <t>2</t>
    </r>
    <r>
      <rPr>
        <i/>
        <sz val="8"/>
        <color rgb="FF000000"/>
        <rFont val="Calibri"/>
        <family val="2"/>
      </rPr>
      <t>O</t>
    </r>
    <r>
      <rPr>
        <i/>
        <vertAlign val="subscript"/>
        <sz val="8"/>
        <color rgb="FF000000"/>
        <rFont val="Calibri"/>
        <family val="2"/>
      </rPr>
      <t>5</t>
    </r>
    <r>
      <rPr>
        <i/>
        <sz val="8"/>
        <color rgb="FF000000"/>
        <rFont val="Calibri"/>
        <family val="2"/>
      </rPr>
      <t xml:space="preserve"> FM</t>
    </r>
  </si>
  <si>
    <t>Dry Matter</t>
  </si>
  <si>
    <t>OC</t>
  </si>
  <si>
    <t xml:space="preserve">Organic matter </t>
  </si>
  <si>
    <t>C/N</t>
  </si>
  <si>
    <t>VOZ/TAC</t>
  </si>
  <si>
    <t>conductivity</t>
  </si>
  <si>
    <t>mS/cm</t>
  </si>
  <si>
    <t xml:space="preserve">Dry matter </t>
  </si>
  <si>
    <t xml:space="preserve">Organic dry matter </t>
  </si>
  <si>
    <t>% DM</t>
  </si>
  <si>
    <t>74.45*</t>
  </si>
  <si>
    <t>Crude fat</t>
  </si>
  <si>
    <t>kg/ton</t>
  </si>
  <si>
    <t>4.31*</t>
  </si>
  <si>
    <t>Crude proteins</t>
  </si>
  <si>
    <t>19.9*</t>
  </si>
  <si>
    <t>44.4*</t>
  </si>
  <si>
    <t>Biogas potential</t>
  </si>
  <si>
    <t>m³ biogas/ton</t>
  </si>
  <si>
    <t>39±3*</t>
  </si>
  <si>
    <t>Methane content</t>
  </si>
  <si>
    <t>57*</t>
  </si>
  <si>
    <t>Methane potential</t>
  </si>
  <si>
    <r>
      <t>m³ CH</t>
    </r>
    <r>
      <rPr>
        <i/>
        <vertAlign val="subscript"/>
        <sz val="8"/>
        <color rgb="FF000000"/>
        <rFont val="Calibri"/>
        <family val="2"/>
      </rPr>
      <t>4</t>
    </r>
    <r>
      <rPr>
        <i/>
        <sz val="8"/>
        <color rgb="FF000000"/>
        <rFont val="Calibri"/>
        <family val="2"/>
      </rPr>
      <t>/ton</t>
    </r>
  </si>
  <si>
    <t>22±1*</t>
  </si>
  <si>
    <t>M³ biogas/ton</t>
  </si>
  <si>
    <t>Assuming a transport distance of 200 km</t>
  </si>
  <si>
    <t>CO2</t>
  </si>
  <si>
    <t>5% of C sequestered from 100 years application</t>
  </si>
  <si>
    <t>1 m3 biogas = 0.65 m3 biomethane</t>
  </si>
  <si>
    <t>CHP (3a)</t>
  </si>
  <si>
    <t>Biomethane (3b)</t>
  </si>
  <si>
    <t>internal use</t>
  </si>
  <si>
    <t>supply to district heating</t>
  </si>
  <si>
    <t>50-75%</t>
  </si>
  <si>
    <t>Primary data from Inagro</t>
  </si>
  <si>
    <t>Refer to time series in Scenario3.ipynb</t>
  </si>
  <si>
    <t>Weibull</t>
  </si>
  <si>
    <t>Field application</t>
  </si>
  <si>
    <t>Field application of Raw pig manure</t>
  </si>
  <si>
    <t>Manure loading and spreading, by hydraulic loader and spreader</t>
  </si>
  <si>
    <t>Digestate (kg)</t>
  </si>
  <si>
    <t>C losses</t>
  </si>
  <si>
    <r>
      <t> </t>
    </r>
    <r>
      <rPr>
        <b/>
        <sz val="10"/>
        <color rgb="FF000000"/>
        <rFont val="Calibri Light"/>
        <family val="2"/>
      </rPr>
      <t xml:space="preserve">Emission factor </t>
    </r>
    <r>
      <rPr>
        <b/>
        <vertAlign val="superscript"/>
        <sz val="10"/>
        <color rgb="FF000000"/>
        <rFont val="Calibri Light"/>
        <family val="2"/>
      </rPr>
      <t>1</t>
    </r>
  </si>
  <si>
    <r>
      <t>CH</t>
    </r>
    <r>
      <rPr>
        <vertAlign val="subscript"/>
        <sz val="10"/>
        <color rgb="FF000000"/>
        <rFont val="Calibri Light"/>
        <family val="2"/>
      </rPr>
      <t>4</t>
    </r>
    <r>
      <rPr>
        <sz val="10"/>
        <color rgb="FF000000"/>
        <rFont val="Calibri Light"/>
        <family val="2"/>
      </rPr>
      <t>-C</t>
    </r>
  </si>
  <si>
    <t>% of initial total C</t>
  </si>
  <si>
    <r>
      <t>CO</t>
    </r>
    <r>
      <rPr>
        <vertAlign val="subscript"/>
        <sz val="10"/>
        <color rgb="FF000000"/>
        <rFont val="Calibri Light"/>
        <family val="2"/>
      </rPr>
      <t>2</t>
    </r>
    <r>
      <rPr>
        <sz val="10"/>
        <color rgb="FF000000"/>
        <rFont val="Calibri Light"/>
        <family val="2"/>
      </rPr>
      <t>-C</t>
    </r>
  </si>
  <si>
    <t>N losses</t>
  </si>
  <si>
    <r>
      <t>NH</t>
    </r>
    <r>
      <rPr>
        <vertAlign val="subscript"/>
        <sz val="10"/>
        <color rgb="FF000000"/>
        <rFont val="Calibri Light"/>
        <family val="2"/>
      </rPr>
      <t>3</t>
    </r>
    <r>
      <rPr>
        <sz val="10"/>
        <color rgb="FF000000"/>
        <rFont val="Calibri Light"/>
        <family val="2"/>
      </rPr>
      <t>-N</t>
    </r>
  </si>
  <si>
    <t>% of initial total N</t>
  </si>
  <si>
    <r>
      <t>N</t>
    </r>
    <r>
      <rPr>
        <vertAlign val="subscript"/>
        <sz val="10"/>
        <color rgb="FF000000"/>
        <rFont val="Calibri Light"/>
        <family val="2"/>
      </rPr>
      <t>2</t>
    </r>
    <r>
      <rPr>
        <sz val="10"/>
        <color rgb="FF000000"/>
        <rFont val="Calibri Light"/>
        <family val="2"/>
      </rPr>
      <t>O-N</t>
    </r>
  </si>
  <si>
    <t>Total C</t>
  </si>
  <si>
    <t>g/kg FM</t>
  </si>
  <si>
    <t>Source: Zhang, 2021</t>
  </si>
  <si>
    <t>Zhang, 2021 (41% reduction in total weight)</t>
  </si>
  <si>
    <t>NH3</t>
  </si>
  <si>
    <t>Transport distance of 50 km</t>
  </si>
  <si>
    <t>From field application</t>
  </si>
  <si>
    <t>Storage</t>
  </si>
  <si>
    <t xml:space="preserve"> </t>
  </si>
  <si>
    <t>VeDoWS</t>
  </si>
  <si>
    <t>Pig slurry</t>
  </si>
  <si>
    <t xml:space="preserve">Roadside grass </t>
  </si>
  <si>
    <t>7.24 ± 0.43</t>
  </si>
  <si>
    <t>7.63±0.03</t>
  </si>
  <si>
    <t>Ammonium N</t>
  </si>
  <si>
    <t>1.53±0.40</t>
  </si>
  <si>
    <t>2.79±0.29</t>
  </si>
  <si>
    <t>0.73±13.13</t>
  </si>
  <si>
    <t>10.23±0.21</t>
  </si>
  <si>
    <t>4.63±0.82</t>
  </si>
  <si>
    <t>2.65±0.41</t>
  </si>
  <si>
    <t>1.53±0.41</t>
  </si>
  <si>
    <t>2.80±0.29</t>
  </si>
  <si>
    <t>10.29±0.21</t>
  </si>
  <si>
    <t>4.62±0.83</t>
  </si>
  <si>
    <t>3.49±3.49</t>
  </si>
  <si>
    <t>4.46±0.99  </t>
  </si>
  <si>
    <t>8.89±0.06</t>
  </si>
  <si>
    <t>2.97±0.84</t>
  </si>
  <si>
    <t>5.65 ± 0.41</t>
  </si>
  <si>
    <t>25.5±8.8</t>
  </si>
  <si>
    <t>6.1±1.8</t>
  </si>
  <si>
    <t>31.94±1.3 </t>
  </si>
  <si>
    <t>117.70±4.2</t>
  </si>
  <si>
    <t>25.68±7.58</t>
  </si>
  <si>
    <t>134.393±12.24</t>
  </si>
  <si>
    <t>OM</t>
  </si>
  <si>
    <t>211.86±7.55</t>
  </si>
  <si>
    <t>46.22±13.64</t>
  </si>
  <si>
    <t>240.02±19.31</t>
  </si>
  <si>
    <t>11.45±0.18</t>
  </si>
  <si>
    <t>5.45±0.67</t>
  </si>
  <si>
    <t>VOZ</t>
  </si>
  <si>
    <r>
      <t>mg CH</t>
    </r>
    <r>
      <rPr>
        <i/>
        <vertAlign val="subscript"/>
        <sz val="8"/>
        <color rgb="FF000000"/>
        <rFont val="Calibri"/>
        <family val="2"/>
      </rPr>
      <t>3</t>
    </r>
    <r>
      <rPr>
        <i/>
        <sz val="8"/>
        <color rgb="FF000000"/>
        <rFont val="Calibri"/>
        <family val="2"/>
      </rPr>
      <t>COOH/L</t>
    </r>
  </si>
  <si>
    <t>31610.50±2593.5</t>
  </si>
  <si>
    <t>3369.5±580.5</t>
  </si>
  <si>
    <t>TAC</t>
  </si>
  <si>
    <r>
      <t>mg CaCO</t>
    </r>
    <r>
      <rPr>
        <i/>
        <vertAlign val="subscript"/>
        <sz val="8"/>
        <color rgb="FF000000"/>
        <rFont val="Calibri"/>
        <family val="2"/>
      </rPr>
      <t>3</t>
    </r>
    <r>
      <rPr>
        <i/>
        <sz val="8"/>
        <color rgb="FF000000"/>
        <rFont val="Calibri"/>
        <family val="2"/>
      </rPr>
      <t>/L</t>
    </r>
  </si>
  <si>
    <t>15906.5±231.5</t>
  </si>
  <si>
    <t>16038.0±2425.0</t>
  </si>
  <si>
    <t>1.99±0.19</t>
  </si>
  <si>
    <t>Kg/ton</t>
  </si>
  <si>
    <t>49.2±2.6</t>
  </si>
  <si>
    <t>10.01±2.39</t>
  </si>
  <si>
    <t>23.1±2.1</t>
  </si>
  <si>
    <t>1.38±0.40</t>
  </si>
  <si>
    <t>116±10</t>
  </si>
  <si>
    <t>21.3±9.3</t>
  </si>
  <si>
    <t>87.4±13.6</t>
  </si>
  <si>
    <t>58±0</t>
  </si>
  <si>
    <t>57±0</t>
  </si>
  <si>
    <t>56.5±1.5</t>
  </si>
  <si>
    <r>
      <t>M³CH</t>
    </r>
    <r>
      <rPr>
        <i/>
        <vertAlign val="subscript"/>
        <sz val="8"/>
        <color theme="1"/>
        <rFont val="Segoe UI"/>
        <family val="2"/>
      </rPr>
      <t>4</t>
    </r>
    <r>
      <rPr>
        <i/>
        <sz val="8"/>
        <color theme="1"/>
        <rFont val="Segoe UI"/>
        <family val="2"/>
      </rPr>
      <t>/ton</t>
    </r>
  </si>
  <si>
    <t xml:space="preserve">78±4 </t>
  </si>
  <si>
    <t xml:space="preserve">9±0 </t>
  </si>
  <si>
    <t>56±3</t>
  </si>
  <si>
    <t>157.1 (rt = 42)</t>
  </si>
  <si>
    <t>33.2 (rt = 42)</t>
  </si>
  <si>
    <t>107.9 (rt = 39 )</t>
  </si>
  <si>
    <t>Difference between total C loss and C lost as CH4</t>
  </si>
  <si>
    <t>15% of total N loss</t>
  </si>
  <si>
    <t>2.24% of total C loss</t>
  </si>
  <si>
    <t>CO</t>
  </si>
  <si>
    <t>Corresponds to 0.34% of the C losses</t>
  </si>
  <si>
    <t>Source: Hamelin: 2014</t>
  </si>
  <si>
    <t>Losses</t>
  </si>
  <si>
    <t>83% of the total N loss</t>
  </si>
  <si>
    <t>Digested roadside grass</t>
  </si>
  <si>
    <t>2% TAN</t>
  </si>
  <si>
    <t>inorganic phosphorus fertilizer, as P2O5</t>
  </si>
  <si>
    <t>Emissions: Gábor Szántó</t>
  </si>
  <si>
    <t>Avoided "conventional" management of co-digestion feedstock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</si>
</sst>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30" x14ac:knownFonts="1">
    <font>
      <sz val="11"/>
      <color theme="1"/>
      <name val="Calibri"/>
      <family val="2"/>
      <scheme val="minor"/>
    </font>
    <font>
      <sz val="11"/>
      <color theme="1"/>
      <name val="Calibri"/>
      <family val="2"/>
      <scheme val="minor"/>
    </font>
    <font>
      <sz val="9"/>
      <color indexed="81"/>
      <name val="Tahoma"/>
      <family val="2"/>
    </font>
    <font>
      <sz val="11"/>
      <color rgb="FF000000"/>
      <name val="Calibri"/>
      <family val="2"/>
      <scheme val="minor"/>
    </font>
    <font>
      <b/>
      <sz val="11"/>
      <color theme="0"/>
      <name val="Calibri"/>
      <family val="2"/>
      <scheme val="minor"/>
    </font>
    <font>
      <i/>
      <sz val="11"/>
      <color theme="1"/>
      <name val="Calibri"/>
      <family val="2"/>
      <scheme val="minor"/>
    </font>
    <font>
      <b/>
      <sz val="11"/>
      <name val="Calibri"/>
      <family val="2"/>
      <scheme val="minor"/>
    </font>
    <font>
      <i/>
      <u/>
      <sz val="11"/>
      <color theme="1"/>
      <name val="Calibri"/>
      <family val="2"/>
      <scheme val="minor"/>
    </font>
    <font>
      <b/>
      <sz val="11"/>
      <color theme="1"/>
      <name val="Calibri"/>
      <family val="2"/>
      <scheme val="minor"/>
    </font>
    <font>
      <b/>
      <i/>
      <sz val="11"/>
      <color theme="1"/>
      <name val="Calibri"/>
      <family val="2"/>
      <scheme val="minor"/>
    </font>
    <font>
      <b/>
      <sz val="18"/>
      <color theme="1"/>
      <name val="Calibri"/>
      <family val="2"/>
      <scheme val="minor"/>
    </font>
    <font>
      <u/>
      <sz val="11"/>
      <color theme="10"/>
      <name val="Calibri"/>
      <family val="2"/>
      <scheme val="minor"/>
    </font>
    <font>
      <i/>
      <sz val="8"/>
      <color rgb="FF000000"/>
      <name val="Calibri"/>
      <family val="2"/>
    </font>
    <font>
      <i/>
      <vertAlign val="subscript"/>
      <sz val="8"/>
      <color rgb="FF000000"/>
      <name val="Calibri"/>
      <family val="2"/>
    </font>
    <font>
      <b/>
      <sz val="10"/>
      <color rgb="FF000000"/>
      <name val="Calibri Light"/>
      <family val="2"/>
    </font>
    <font>
      <sz val="10"/>
      <color rgb="FF000000"/>
      <name val="Calibri Light"/>
      <family val="2"/>
    </font>
    <font>
      <b/>
      <vertAlign val="superscript"/>
      <sz val="10"/>
      <color rgb="FF000000"/>
      <name val="Calibri Light"/>
      <family val="2"/>
    </font>
    <font>
      <vertAlign val="subscript"/>
      <sz val="10"/>
      <color rgb="FF000000"/>
      <name val="Calibri Light"/>
      <family val="2"/>
    </font>
    <font>
      <b/>
      <sz val="10"/>
      <color rgb="FF000000"/>
      <name val="Segoe UI"/>
      <family val="2"/>
    </font>
    <font>
      <sz val="8"/>
      <color theme="1"/>
      <name val="Segoe UI"/>
      <family val="2"/>
    </font>
    <font>
      <i/>
      <sz val="8"/>
      <color theme="1"/>
      <name val="Segoe UI"/>
      <family val="2"/>
    </font>
    <font>
      <i/>
      <vertAlign val="subscript"/>
      <sz val="8"/>
      <color theme="1"/>
      <name val="Segoe UI"/>
      <family val="2"/>
    </font>
    <font>
      <sz val="8"/>
      <color rgb="FF000000"/>
      <name val="Segoe UI"/>
      <family val="2"/>
    </font>
    <font>
      <i/>
      <sz val="8"/>
      <color rgb="FF000000"/>
      <name val="Segoe UI"/>
      <family val="2"/>
    </font>
    <font>
      <sz val="11"/>
      <name val="Calibri"/>
      <family val="2"/>
      <scheme val="minor"/>
    </font>
    <font>
      <sz val="11"/>
      <color rgb="FFFF0000"/>
      <name val="Calibri"/>
      <family val="2"/>
      <scheme val="minor"/>
    </font>
    <font>
      <b/>
      <sz val="16"/>
      <color rgb="FFFF0000"/>
      <name val="Calibri"/>
      <family val="2"/>
      <scheme val="minor"/>
    </font>
    <font>
      <b/>
      <i/>
      <sz val="9"/>
      <color rgb="FFFF0000"/>
      <name val="Verdana"/>
      <family val="2"/>
    </font>
    <font>
      <i/>
      <sz val="9"/>
      <color rgb="FFFF0000"/>
      <name val="Verdana"/>
      <family val="2"/>
    </font>
    <font>
      <sz val="9"/>
      <color rgb="FFFF0000"/>
      <name val="Verdana"/>
      <family val="2"/>
    </font>
  </fonts>
  <fills count="11">
    <fill>
      <patternFill patternType="none"/>
    </fill>
    <fill>
      <patternFill patternType="gray125"/>
    </fill>
    <fill>
      <patternFill patternType="solid">
        <fgColor theme="0"/>
        <bgColor indexed="64"/>
      </patternFill>
    </fill>
    <fill>
      <patternFill patternType="solid">
        <fgColor rgb="FFDBEEF3"/>
        <bgColor indexed="64"/>
      </patternFill>
    </fill>
    <fill>
      <patternFill patternType="solid">
        <fgColor theme="4" tint="-0.249977111117893"/>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CFD787"/>
        <bgColor indexed="64"/>
      </patternFill>
    </fill>
    <fill>
      <patternFill patternType="solid">
        <fgColor rgb="FFE2EFD9"/>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pplyNumberFormat="0" applyFill="0" applyBorder="0" applyAlignment="0" applyProtection="0"/>
  </cellStyleXfs>
  <cellXfs count="134">
    <xf numFmtId="0" fontId="0" fillId="0" borderId="0" xfId="0"/>
    <xf numFmtId="0" fontId="0" fillId="0" borderId="0" xfId="0" applyAlignment="1">
      <alignment horizontal="center"/>
    </xf>
    <xf numFmtId="0" fontId="3" fillId="3" borderId="2"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2" xfId="0" applyFont="1" applyBorder="1" applyAlignment="1">
      <alignment horizontal="center" vertical="center" wrapText="1"/>
    </xf>
    <xf numFmtId="9" fontId="3" fillId="0" borderId="2" xfId="1" applyFont="1" applyBorder="1" applyAlignment="1">
      <alignment horizontal="center" vertical="center"/>
    </xf>
    <xf numFmtId="0" fontId="4" fillId="4" borderId="0" xfId="0" applyFont="1" applyFill="1" applyAlignment="1">
      <alignment horizontal="left" vertical="top"/>
    </xf>
    <xf numFmtId="0" fontId="0" fillId="4" borderId="0" xfId="0" applyFont="1" applyFill="1"/>
    <xf numFmtId="0" fontId="0" fillId="4" borderId="0" xfId="0" applyFont="1" applyFill="1" applyAlignment="1">
      <alignment horizontal="center"/>
    </xf>
    <xf numFmtId="0" fontId="4" fillId="4" borderId="0" xfId="0" applyFont="1" applyFill="1" applyAlignment="1">
      <alignment horizontal="center" vertical="top"/>
    </xf>
    <xf numFmtId="0" fontId="3" fillId="0" borderId="2" xfId="0" applyFont="1" applyBorder="1" applyAlignment="1">
      <alignment horizontal="center" vertical="center" wrapText="1"/>
    </xf>
    <xf numFmtId="0" fontId="8" fillId="6" borderId="2" xfId="0" applyFont="1" applyFill="1" applyBorder="1" applyAlignment="1">
      <alignment horizontal="center"/>
    </xf>
    <xf numFmtId="0" fontId="0" fillId="2" borderId="0" xfId="0" applyFill="1" applyBorder="1"/>
    <xf numFmtId="0" fontId="0" fillId="2" borderId="2" xfId="0" applyFill="1" applyBorder="1"/>
    <xf numFmtId="10" fontId="0" fillId="2" borderId="2" xfId="0" applyNumberFormat="1" applyFill="1" applyBorder="1" applyAlignment="1">
      <alignment horizontal="center"/>
    </xf>
    <xf numFmtId="0" fontId="0" fillId="2" borderId="2" xfId="0" applyFill="1" applyBorder="1" applyAlignment="1">
      <alignment horizontal="center"/>
    </xf>
    <xf numFmtId="0" fontId="8" fillId="6" borderId="3" xfId="0" applyFont="1" applyFill="1" applyBorder="1" applyAlignment="1">
      <alignment horizontal="center"/>
    </xf>
    <xf numFmtId="0" fontId="8" fillId="6" borderId="4" xfId="0" applyFont="1" applyFill="1" applyBorder="1" applyAlignment="1">
      <alignment horizontal="center"/>
    </xf>
    <xf numFmtId="0" fontId="0" fillId="2" borderId="0" xfId="0" applyFill="1"/>
    <xf numFmtId="0" fontId="4" fillId="4" borderId="7" xfId="0" applyFont="1" applyFill="1" applyBorder="1" applyAlignment="1">
      <alignment horizontal="center" vertical="top"/>
    </xf>
    <xf numFmtId="0" fontId="4" fillId="4" borderId="8" xfId="0" applyFont="1" applyFill="1" applyBorder="1" applyAlignment="1">
      <alignment horizontal="left" vertical="top"/>
    </xf>
    <xf numFmtId="0" fontId="0" fillId="4" borderId="8" xfId="0" applyFont="1" applyFill="1" applyBorder="1"/>
    <xf numFmtId="0" fontId="0" fillId="4" borderId="8" xfId="0" applyFont="1" applyFill="1" applyBorder="1" applyAlignment="1">
      <alignment horizontal="center"/>
    </xf>
    <xf numFmtId="0" fontId="0" fillId="4" borderId="9" xfId="0" applyFont="1" applyFill="1" applyBorder="1"/>
    <xf numFmtId="0" fontId="0" fillId="0" borderId="6" xfId="0" applyBorder="1"/>
    <xf numFmtId="0" fontId="4" fillId="5" borderId="0" xfId="0" applyFont="1" applyFill="1" applyBorder="1"/>
    <xf numFmtId="0" fontId="4" fillId="5" borderId="0" xfId="0" applyFont="1" applyFill="1" applyBorder="1" applyAlignment="1">
      <alignment horizontal="center"/>
    </xf>
    <xf numFmtId="0" fontId="0" fillId="5" borderId="0" xfId="0" applyFont="1" applyFill="1" applyBorder="1"/>
    <xf numFmtId="0" fontId="0" fillId="5" borderId="10" xfId="0" applyFont="1" applyFill="1" applyBorder="1"/>
    <xf numFmtId="0" fontId="6" fillId="2" borderId="6" xfId="0" applyFont="1" applyFill="1" applyBorder="1" applyAlignment="1">
      <alignment horizontal="center"/>
    </xf>
    <xf numFmtId="0" fontId="5" fillId="2" borderId="0" xfId="0" applyFont="1" applyFill="1" applyBorder="1" applyAlignment="1">
      <alignment horizontal="left"/>
    </xf>
    <xf numFmtId="0" fontId="0" fillId="2" borderId="0" xfId="0" applyFont="1" applyFill="1" applyBorder="1"/>
    <xf numFmtId="0" fontId="0" fillId="2" borderId="0" xfId="0" applyFont="1" applyFill="1" applyBorder="1" applyAlignment="1">
      <alignment horizontal="center"/>
    </xf>
    <xf numFmtId="0" fontId="0" fillId="2" borderId="0" xfId="0" applyFont="1" applyFill="1" applyBorder="1" applyAlignment="1">
      <alignment horizontal="center" vertical="center"/>
    </xf>
    <xf numFmtId="0" fontId="0" fillId="2" borderId="10" xfId="0" applyFont="1" applyFill="1" applyBorder="1"/>
    <xf numFmtId="0" fontId="7" fillId="2" borderId="6" xfId="0" applyFont="1" applyFill="1" applyBorder="1" applyAlignment="1">
      <alignment horizontal="right"/>
    </xf>
    <xf numFmtId="0" fontId="7" fillId="2" borderId="11" xfId="0" applyFont="1" applyFill="1" applyBorder="1" applyAlignment="1">
      <alignment horizontal="right"/>
    </xf>
    <xf numFmtId="0" fontId="5" fillId="2" borderId="1" xfId="0" applyFont="1" applyFill="1" applyBorder="1" applyAlignment="1">
      <alignment horizontal="left"/>
    </xf>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center" vertical="center"/>
    </xf>
    <xf numFmtId="0" fontId="0" fillId="2" borderId="12" xfId="0" applyFont="1" applyFill="1" applyBorder="1"/>
    <xf numFmtId="0" fontId="0" fillId="2" borderId="10" xfId="0" applyFont="1" applyFill="1" applyBorder="1" applyAlignment="1">
      <alignment horizontal="center"/>
    </xf>
    <xf numFmtId="2" fontId="0" fillId="2" borderId="0" xfId="0" applyNumberFormat="1" applyFont="1" applyFill="1" applyBorder="1" applyAlignment="1">
      <alignment horizontal="center"/>
    </xf>
    <xf numFmtId="0" fontId="9" fillId="7" borderId="6" xfId="0" applyFont="1" applyFill="1" applyBorder="1" applyAlignment="1">
      <alignment horizontal="center"/>
    </xf>
    <xf numFmtId="0" fontId="9" fillId="2" borderId="6" xfId="0" applyFont="1" applyFill="1" applyBorder="1" applyAlignment="1">
      <alignment horizontal="center"/>
    </xf>
    <xf numFmtId="0" fontId="4" fillId="2" borderId="0" xfId="0" applyFont="1" applyFill="1" applyBorder="1"/>
    <xf numFmtId="0" fontId="4" fillId="2" borderId="0" xfId="0" applyFont="1" applyFill="1" applyBorder="1" applyAlignment="1">
      <alignment horizontal="center"/>
    </xf>
    <xf numFmtId="0" fontId="0" fillId="0" borderId="0" xfId="0" applyBorder="1" applyAlignment="1">
      <alignment horizontal="center" vertical="center" wrapText="1"/>
    </xf>
    <xf numFmtId="0" fontId="5" fillId="2" borderId="0" xfId="0" applyFont="1" applyFill="1" applyBorder="1" applyAlignment="1">
      <alignment horizontal="left" vertical="center" wrapText="1"/>
    </xf>
    <xf numFmtId="11" fontId="0" fillId="0" borderId="0" xfId="0" applyNumberFormat="1" applyAlignment="1">
      <alignment horizontal="center"/>
    </xf>
    <xf numFmtId="0" fontId="9" fillId="2" borderId="0" xfId="0" applyFont="1" applyFill="1" applyBorder="1" applyAlignment="1"/>
    <xf numFmtId="0" fontId="9" fillId="2" borderId="0" xfId="0" applyFont="1" applyFill="1" applyBorder="1" applyAlignment="1">
      <alignment horizontal="center"/>
    </xf>
    <xf numFmtId="0" fontId="0" fillId="0" borderId="0" xfId="0" applyNumberFormat="1" applyAlignment="1">
      <alignment horizontal="center"/>
    </xf>
    <xf numFmtId="0" fontId="10" fillId="0" borderId="0" xfId="0" applyFont="1"/>
    <xf numFmtId="0" fontId="5" fillId="2" borderId="0" xfId="0" applyFont="1" applyFill="1" applyBorder="1" applyAlignment="1"/>
    <xf numFmtId="0" fontId="5" fillId="2" borderId="0" xfId="0" applyFont="1" applyFill="1" applyBorder="1" applyAlignment="1">
      <alignment horizontal="center"/>
    </xf>
    <xf numFmtId="10" fontId="0" fillId="2" borderId="2" xfId="0" applyNumberFormat="1" applyFill="1" applyBorder="1"/>
    <xf numFmtId="0" fontId="0" fillId="2" borderId="0" xfId="0" applyFill="1" applyBorder="1" applyAlignment="1">
      <alignment horizontal="center"/>
    </xf>
    <xf numFmtId="10" fontId="3" fillId="0" borderId="2" xfId="0" applyNumberFormat="1" applyFont="1" applyBorder="1" applyAlignment="1">
      <alignment horizontal="center" vertical="center"/>
    </xf>
    <xf numFmtId="9" fontId="3" fillId="0" borderId="2" xfId="0" applyNumberFormat="1" applyFont="1" applyBorder="1" applyAlignment="1">
      <alignment horizontal="center" vertical="center"/>
    </xf>
    <xf numFmtId="0" fontId="6" fillId="8" borderId="6" xfId="0" applyFont="1" applyFill="1" applyBorder="1" applyAlignment="1">
      <alignment horizontal="center"/>
    </xf>
    <xf numFmtId="0" fontId="5" fillId="8" borderId="0" xfId="0" applyFont="1" applyFill="1" applyBorder="1" applyAlignment="1"/>
    <xf numFmtId="0" fontId="9" fillId="8" borderId="0" xfId="0" applyFont="1" applyFill="1" applyBorder="1" applyAlignment="1">
      <alignment horizontal="center"/>
    </xf>
    <xf numFmtId="0" fontId="4" fillId="8" borderId="0" xfId="0" applyFont="1" applyFill="1" applyBorder="1" applyAlignment="1">
      <alignment horizontal="center"/>
    </xf>
    <xf numFmtId="0" fontId="0" fillId="8" borderId="0" xfId="0" applyFill="1"/>
    <xf numFmtId="0" fontId="4" fillId="8" borderId="0" xfId="0" applyFont="1" applyFill="1" applyBorder="1"/>
    <xf numFmtId="0" fontId="0" fillId="8" borderId="0" xfId="0" applyFont="1" applyFill="1" applyBorder="1"/>
    <xf numFmtId="0" fontId="0" fillId="8" borderId="10" xfId="0" applyFont="1" applyFill="1" applyBorder="1"/>
    <xf numFmtId="0" fontId="9" fillId="8" borderId="6" xfId="0" applyFont="1" applyFill="1" applyBorder="1" applyAlignment="1">
      <alignment horizontal="center"/>
    </xf>
    <xf numFmtId="0" fontId="0" fillId="8" borderId="0" xfId="0" applyFont="1" applyFill="1" applyBorder="1" applyAlignment="1">
      <alignment horizontal="center"/>
    </xf>
    <xf numFmtId="0" fontId="5" fillId="8" borderId="0" xfId="0" applyFont="1" applyFill="1" applyBorder="1" applyAlignment="1">
      <alignment horizontal="center"/>
    </xf>
    <xf numFmtId="0" fontId="0" fillId="8" borderId="0" xfId="0" applyFill="1" applyAlignment="1">
      <alignment horizontal="center"/>
    </xf>
    <xf numFmtId="0" fontId="11" fillId="2" borderId="0" xfId="2" applyFill="1" applyBorder="1" applyAlignment="1"/>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4" xfId="0" applyFont="1" applyFill="1" applyBorder="1" applyAlignment="1">
      <alignment horizontal="center" vertical="center"/>
    </xf>
    <xf numFmtId="0" fontId="8" fillId="2" borderId="0" xfId="0" applyFont="1" applyFill="1" applyBorder="1" applyAlignment="1">
      <alignment horizontal="center"/>
    </xf>
    <xf numFmtId="0" fontId="0" fillId="2" borderId="0" xfId="0" applyFill="1" applyAlignment="1">
      <alignment horizontal="center"/>
    </xf>
    <xf numFmtId="2" fontId="0" fillId="2" borderId="0" xfId="0" applyNumberFormat="1" applyFill="1"/>
    <xf numFmtId="0" fontId="5" fillId="8" borderId="0" xfId="0" applyFont="1" applyFill="1" applyBorder="1" applyAlignment="1">
      <alignment horizontal="left"/>
    </xf>
    <xf numFmtId="9" fontId="0" fillId="2" borderId="0" xfId="1" applyFont="1" applyFill="1" applyBorder="1"/>
    <xf numFmtId="164" fontId="0" fillId="2" borderId="0" xfId="1" applyNumberFormat="1" applyFont="1" applyFill="1" applyBorder="1"/>
    <xf numFmtId="0" fontId="14" fillId="0" borderId="0" xfId="0" applyFont="1" applyAlignment="1">
      <alignment vertical="center"/>
    </xf>
    <xf numFmtId="0" fontId="15" fillId="0" borderId="0" xfId="0" applyFont="1" applyAlignment="1">
      <alignment vertical="center"/>
    </xf>
    <xf numFmtId="0" fontId="15" fillId="0" borderId="0" xfId="0" applyFont="1" applyAlignment="1">
      <alignment horizontal="center" vertical="center"/>
    </xf>
    <xf numFmtId="0" fontId="15" fillId="0" borderId="13" xfId="0" applyFont="1" applyBorder="1" applyAlignment="1">
      <alignment horizontal="center" vertical="center"/>
    </xf>
    <xf numFmtId="0" fontId="0" fillId="2" borderId="0" xfId="0" applyFont="1" applyFill="1" applyBorder="1" applyAlignment="1">
      <alignment horizontal="center" wrapText="1"/>
    </xf>
    <xf numFmtId="0" fontId="18" fillId="9" borderId="14" xfId="0" applyFont="1" applyFill="1" applyBorder="1" applyAlignment="1">
      <alignment vertical="center" wrapText="1"/>
    </xf>
    <xf numFmtId="0" fontId="18" fillId="9" borderId="15" xfId="0" applyFont="1" applyFill="1" applyBorder="1" applyAlignment="1">
      <alignment vertical="center" wrapText="1"/>
    </xf>
    <xf numFmtId="0" fontId="19" fillId="0" borderId="16" xfId="0" applyFont="1" applyBorder="1" applyAlignment="1">
      <alignment vertical="center" wrapText="1"/>
    </xf>
    <xf numFmtId="0" fontId="19" fillId="0" borderId="17" xfId="0" applyFont="1" applyBorder="1" applyAlignment="1">
      <alignment vertical="center" wrapText="1"/>
    </xf>
    <xf numFmtId="0" fontId="12" fillId="0" borderId="17" xfId="0" applyFont="1" applyBorder="1" applyAlignment="1">
      <alignment vertical="center" wrapText="1"/>
    </xf>
    <xf numFmtId="0" fontId="20" fillId="0" borderId="17" xfId="0" applyFont="1" applyBorder="1" applyAlignment="1">
      <alignment vertical="center" wrapText="1"/>
    </xf>
    <xf numFmtId="0" fontId="22" fillId="10" borderId="16" xfId="0" applyFont="1" applyFill="1" applyBorder="1" applyAlignment="1">
      <alignment vertical="center" wrapText="1"/>
    </xf>
    <xf numFmtId="0" fontId="23" fillId="10" borderId="17" xfId="0" applyFont="1" applyFill="1" applyBorder="1" applyAlignment="1">
      <alignment vertical="center" wrapText="1"/>
    </xf>
    <xf numFmtId="0" fontId="22" fillId="10" borderId="17" xfId="0" applyFont="1" applyFill="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xf>
    <xf numFmtId="2" fontId="0" fillId="2" borderId="0" xfId="0" applyNumberFormat="1" applyFill="1" applyAlignment="1">
      <alignment horizontal="center"/>
    </xf>
    <xf numFmtId="0" fontId="0" fillId="2" borderId="18" xfId="0" applyFont="1" applyFill="1" applyBorder="1" applyAlignment="1">
      <alignment horizontal="center"/>
    </xf>
    <xf numFmtId="2" fontId="3" fillId="0" borderId="2" xfId="0" applyNumberFormat="1" applyFont="1" applyBorder="1" applyAlignment="1">
      <alignment horizontal="center" vertical="center" wrapText="1"/>
    </xf>
    <xf numFmtId="2" fontId="1" fillId="0" borderId="2" xfId="0" applyNumberFormat="1" applyFont="1" applyBorder="1" applyAlignment="1">
      <alignment horizontal="center" vertical="center" wrapText="1"/>
    </xf>
    <xf numFmtId="0" fontId="7" fillId="2" borderId="1" xfId="0" applyFont="1" applyFill="1" applyBorder="1" applyAlignment="1">
      <alignment horizontal="right"/>
    </xf>
    <xf numFmtId="0" fontId="0" fillId="0" borderId="0" xfId="0" applyBorder="1"/>
    <xf numFmtId="166" fontId="0" fillId="8" borderId="0" xfId="0" applyNumberFormat="1" applyFont="1" applyFill="1" applyBorder="1" applyAlignment="1">
      <alignment horizontal="center"/>
    </xf>
    <xf numFmtId="2" fontId="0" fillId="8" borderId="0" xfId="0" applyNumberFormat="1" applyFont="1" applyFill="1" applyBorder="1" applyAlignment="1">
      <alignment horizontal="center"/>
    </xf>
    <xf numFmtId="2" fontId="0" fillId="8" borderId="0" xfId="0" applyNumberFormat="1" applyFill="1" applyAlignment="1">
      <alignment horizontal="center"/>
    </xf>
    <xf numFmtId="2" fontId="0" fillId="0" borderId="0" xfId="0" applyNumberFormat="1" applyAlignment="1">
      <alignment horizontal="center"/>
    </xf>
    <xf numFmtId="2" fontId="0" fillId="0" borderId="0" xfId="0" applyNumberFormat="1"/>
    <xf numFmtId="0" fontId="6" fillId="2" borderId="0" xfId="0" applyFont="1" applyFill="1" applyBorder="1" applyAlignment="1">
      <alignment horizontal="center"/>
    </xf>
    <xf numFmtId="0" fontId="24" fillId="2" borderId="0" xfId="0" applyFont="1" applyFill="1" applyBorder="1" applyAlignment="1">
      <alignment horizontal="center"/>
    </xf>
    <xf numFmtId="0" fontId="0" fillId="6" borderId="2" xfId="0" applyFill="1" applyBorder="1" applyAlignment="1">
      <alignment horizontal="center"/>
    </xf>
    <xf numFmtId="0" fontId="8" fillId="6" borderId="2" xfId="0" applyFont="1" applyFill="1" applyBorder="1" applyAlignment="1">
      <alignment horizont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0" fillId="2" borderId="0" xfId="0" applyFill="1" applyBorder="1" applyAlignment="1">
      <alignment horizontal="center" vertical="center" wrapText="1"/>
    </xf>
    <xf numFmtId="0" fontId="0" fillId="0" borderId="2" xfId="0" applyBorder="1" applyAlignment="1">
      <alignment horizontal="center" vertical="center" wrapText="1"/>
    </xf>
    <xf numFmtId="0" fontId="0" fillId="2" borderId="0" xfId="0" applyFont="1" applyFill="1" applyBorder="1" applyAlignment="1">
      <alignment horizontal="center" vertical="center"/>
    </xf>
    <xf numFmtId="0" fontId="9" fillId="7" borderId="6" xfId="0" applyFont="1" applyFill="1" applyBorder="1" applyAlignment="1">
      <alignment horizontal="left"/>
    </xf>
    <xf numFmtId="0" fontId="9" fillId="7" borderId="0" xfId="0" applyFont="1" applyFill="1" applyBorder="1" applyAlignment="1">
      <alignment horizontal="left"/>
    </xf>
    <xf numFmtId="0" fontId="3" fillId="0" borderId="4" xfId="0" applyFont="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26" fillId="2" borderId="0" xfId="0" applyFont="1" applyFill="1" applyBorder="1"/>
    <xf numFmtId="0" fontId="25" fillId="2" borderId="0" xfId="0" applyFont="1" applyFill="1" applyBorder="1"/>
    <xf numFmtId="0" fontId="27" fillId="2" borderId="0" xfId="0" applyFont="1" applyFill="1" applyBorder="1" applyAlignment="1" applyProtection="1">
      <alignment horizontal="center"/>
      <protection locked="0"/>
    </xf>
    <xf numFmtId="0" fontId="28" fillId="2" borderId="0" xfId="0" applyFont="1" applyFill="1" applyBorder="1" applyAlignment="1" applyProtection="1">
      <alignment horizontal="right"/>
      <protection locked="0"/>
    </xf>
    <xf numFmtId="0" fontId="29" fillId="2" borderId="0" xfId="0" applyFont="1" applyFill="1" applyBorder="1" applyProtection="1">
      <protection locked="0"/>
    </xf>
    <xf numFmtId="0" fontId="28" fillId="2" borderId="0" xfId="0" applyFont="1" applyFill="1" applyBorder="1" applyAlignment="1" applyProtection="1">
      <alignment horizontal="right" wrapText="1"/>
      <protection locked="0"/>
    </xf>
    <xf numFmtId="0" fontId="29" fillId="2" borderId="0" xfId="0" applyFont="1" applyFill="1"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5772A-2A43-46C4-860F-E94553769833}">
  <dimension ref="B3:L66"/>
  <sheetViews>
    <sheetView topLeftCell="A23" workbookViewId="0">
      <selection activeCell="F19" sqref="F19:K29"/>
    </sheetView>
  </sheetViews>
  <sheetFormatPr defaultRowHeight="15" x14ac:dyDescent="0.25"/>
  <cols>
    <col min="1" max="1" width="9.140625" style="12"/>
    <col min="2" max="2" width="30.85546875" style="12" customWidth="1"/>
    <col min="3" max="3" width="21.140625" style="12" customWidth="1"/>
    <col min="4" max="4" width="23.5703125" style="12" customWidth="1"/>
    <col min="5" max="5" width="9.140625" style="12"/>
    <col min="6" max="6" width="14.85546875" style="12" customWidth="1"/>
    <col min="7" max="7" width="24.7109375" style="12" customWidth="1"/>
    <col min="8" max="8" width="15.5703125" style="12" customWidth="1"/>
    <col min="9" max="9" width="9.140625" style="12"/>
    <col min="10" max="10" width="14.28515625" style="12" customWidth="1"/>
    <col min="11" max="11" width="23.7109375" style="12" customWidth="1"/>
    <col min="12" max="12" width="15.85546875" style="12" customWidth="1"/>
    <col min="13" max="16384" width="9.140625" style="12"/>
  </cols>
  <sheetData>
    <row r="3" spans="2:12" ht="31.5" customHeight="1" x14ac:dyDescent="0.25">
      <c r="B3" s="112"/>
      <c r="C3" s="11" t="s">
        <v>6</v>
      </c>
      <c r="D3" s="11" t="s">
        <v>31</v>
      </c>
      <c r="E3" s="11" t="s">
        <v>32</v>
      </c>
      <c r="F3" s="11" t="s">
        <v>33</v>
      </c>
      <c r="G3" s="11" t="s">
        <v>34</v>
      </c>
      <c r="H3" s="113" t="s">
        <v>39</v>
      </c>
      <c r="I3" s="113"/>
      <c r="J3" s="16" t="s">
        <v>35</v>
      </c>
      <c r="K3" s="11" t="s">
        <v>41</v>
      </c>
      <c r="L3" s="11" t="s">
        <v>52</v>
      </c>
    </row>
    <row r="4" spans="2:12" x14ac:dyDescent="0.25">
      <c r="B4" s="112"/>
      <c r="C4" s="11" t="s">
        <v>0</v>
      </c>
      <c r="D4" s="11" t="s">
        <v>36</v>
      </c>
      <c r="E4" s="11" t="s">
        <v>45</v>
      </c>
      <c r="F4" s="11" t="s">
        <v>45</v>
      </c>
      <c r="G4" s="11" t="s">
        <v>45</v>
      </c>
      <c r="H4" s="11" t="s">
        <v>40</v>
      </c>
      <c r="I4" s="11" t="s">
        <v>0</v>
      </c>
      <c r="J4" s="17"/>
      <c r="K4" s="11" t="s">
        <v>40</v>
      </c>
      <c r="L4" s="11" t="s">
        <v>0</v>
      </c>
    </row>
    <row r="5" spans="2:12" x14ac:dyDescent="0.25">
      <c r="B5" s="13" t="s">
        <v>42</v>
      </c>
      <c r="C5" s="14">
        <v>0.35399999999999998</v>
      </c>
      <c r="D5" s="14">
        <v>0.71719999999999995</v>
      </c>
      <c r="E5" s="15">
        <v>7.51</v>
      </c>
      <c r="F5" s="15">
        <v>23.9</v>
      </c>
      <c r="G5" s="15">
        <v>140</v>
      </c>
      <c r="H5" s="15">
        <v>130</v>
      </c>
      <c r="I5" s="15">
        <v>54</v>
      </c>
      <c r="J5" s="15">
        <v>4.72</v>
      </c>
      <c r="K5" s="15">
        <v>113.4</v>
      </c>
      <c r="L5" s="15">
        <v>63.4</v>
      </c>
    </row>
    <row r="6" spans="2:12" x14ac:dyDescent="0.25">
      <c r="B6" s="13" t="s">
        <v>43</v>
      </c>
      <c r="C6" s="14">
        <v>0.252</v>
      </c>
      <c r="D6" s="14">
        <v>0.77780000000000005</v>
      </c>
      <c r="E6" s="15">
        <v>6.39</v>
      </c>
      <c r="F6" s="15">
        <v>32.799999999999997</v>
      </c>
      <c r="G6" s="15">
        <v>82.6</v>
      </c>
      <c r="H6" s="15">
        <v>91</v>
      </c>
      <c r="I6" s="15">
        <v>57</v>
      </c>
      <c r="J6" s="15">
        <v>7.41</v>
      </c>
      <c r="K6" s="15">
        <v>89.4</v>
      </c>
      <c r="L6" s="15">
        <v>60.5</v>
      </c>
    </row>
    <row r="7" spans="2:12" x14ac:dyDescent="0.25">
      <c r="B7" s="13" t="s">
        <v>44</v>
      </c>
      <c r="C7" s="14">
        <v>0.41799999999999998</v>
      </c>
      <c r="D7" s="14">
        <v>0.7702</v>
      </c>
      <c r="E7" s="15">
        <v>7.35</v>
      </c>
      <c r="F7" s="15">
        <v>36.9</v>
      </c>
      <c r="G7" s="15">
        <v>169</v>
      </c>
      <c r="H7" s="15">
        <v>160</v>
      </c>
      <c r="I7" s="15">
        <v>54</v>
      </c>
      <c r="J7" s="15">
        <v>6.28</v>
      </c>
      <c r="K7" s="15">
        <v>144.69999999999999</v>
      </c>
      <c r="L7" s="15">
        <v>58.9</v>
      </c>
    </row>
    <row r="8" spans="2:12" x14ac:dyDescent="0.25">
      <c r="B8" s="13" t="s">
        <v>37</v>
      </c>
      <c r="C8" s="14">
        <v>0.34100000000000003</v>
      </c>
      <c r="D8" s="14">
        <v>0.755</v>
      </c>
      <c r="E8" s="15">
        <v>7.1</v>
      </c>
      <c r="F8" s="15">
        <v>31.2</v>
      </c>
      <c r="G8" s="15">
        <v>130.5</v>
      </c>
      <c r="H8" s="15">
        <v>127</v>
      </c>
      <c r="I8" s="15">
        <v>55</v>
      </c>
      <c r="J8" s="15">
        <v>6.14</v>
      </c>
      <c r="K8" s="15">
        <v>115.8</v>
      </c>
      <c r="L8" s="15">
        <v>60.9</v>
      </c>
    </row>
    <row r="9" spans="2:12" x14ac:dyDescent="0.25">
      <c r="B9" s="13" t="s">
        <v>38</v>
      </c>
      <c r="C9" s="14">
        <v>8.4000000000000005E-2</v>
      </c>
      <c r="D9" s="14">
        <v>3.3000000000000002E-2</v>
      </c>
      <c r="E9" s="15">
        <v>0.6</v>
      </c>
      <c r="F9" s="15">
        <v>6.6</v>
      </c>
      <c r="G9" s="15">
        <v>44</v>
      </c>
      <c r="H9" s="15">
        <v>34.6</v>
      </c>
      <c r="I9" s="15">
        <v>1.7</v>
      </c>
      <c r="J9" s="15">
        <v>1.4</v>
      </c>
      <c r="K9" s="15">
        <v>27.7</v>
      </c>
      <c r="L9" s="15">
        <v>2.2999999999999998</v>
      </c>
    </row>
    <row r="12" spans="2:12" x14ac:dyDescent="0.25">
      <c r="C12" s="58" t="s">
        <v>6</v>
      </c>
      <c r="D12" s="58" t="s">
        <v>31</v>
      </c>
      <c r="E12" s="58" t="s">
        <v>104</v>
      </c>
      <c r="F12" s="58" t="s">
        <v>105</v>
      </c>
    </row>
    <row r="13" spans="2:12" x14ac:dyDescent="0.25">
      <c r="B13" s="13" t="s">
        <v>103</v>
      </c>
      <c r="C13" s="57">
        <v>0.30299999999999999</v>
      </c>
      <c r="D13" s="57">
        <v>0.158</v>
      </c>
      <c r="E13" s="57">
        <v>1.4999999999999999E-2</v>
      </c>
      <c r="F13" s="57">
        <v>0.40799999999999997</v>
      </c>
    </row>
    <row r="16" spans="2:12" x14ac:dyDescent="0.25">
      <c r="B16" s="12" t="s">
        <v>127</v>
      </c>
    </row>
    <row r="18" spans="2:7" x14ac:dyDescent="0.25">
      <c r="B18" s="15" t="s">
        <v>1</v>
      </c>
      <c r="C18" s="15" t="s">
        <v>2</v>
      </c>
      <c r="D18" s="15" t="s">
        <v>128</v>
      </c>
    </row>
    <row r="19" spans="2:7" x14ac:dyDescent="0.25">
      <c r="B19" s="15" t="s">
        <v>35</v>
      </c>
      <c r="C19" s="15"/>
      <c r="D19" s="15">
        <v>8.6</v>
      </c>
    </row>
    <row r="20" spans="2:7" x14ac:dyDescent="0.25">
      <c r="B20" s="15" t="s">
        <v>129</v>
      </c>
      <c r="C20" s="15" t="s">
        <v>130</v>
      </c>
      <c r="D20" s="15">
        <v>5.7</v>
      </c>
    </row>
    <row r="21" spans="2:7" x14ac:dyDescent="0.25">
      <c r="B21" s="15" t="s">
        <v>11</v>
      </c>
      <c r="C21" s="15" t="s">
        <v>131</v>
      </c>
      <c r="D21" s="15">
        <v>8.6999999999999993</v>
      </c>
      <c r="G21" s="82"/>
    </row>
    <row r="22" spans="2:7" x14ac:dyDescent="0.25">
      <c r="B22" s="15" t="s">
        <v>132</v>
      </c>
      <c r="C22" s="15" t="s">
        <v>131</v>
      </c>
      <c r="D22" s="15">
        <v>5.7</v>
      </c>
    </row>
    <row r="23" spans="2:7" x14ac:dyDescent="0.25">
      <c r="B23" s="15" t="s">
        <v>133</v>
      </c>
      <c r="C23" s="15" t="s">
        <v>131</v>
      </c>
      <c r="D23" s="15">
        <v>8.6999999999999993</v>
      </c>
    </row>
    <row r="24" spans="2:7" x14ac:dyDescent="0.25">
      <c r="B24" s="15" t="s">
        <v>134</v>
      </c>
      <c r="C24" s="15" t="s">
        <v>135</v>
      </c>
      <c r="D24" s="15">
        <v>6.9</v>
      </c>
      <c r="G24" s="82"/>
    </row>
    <row r="25" spans="2:7" x14ac:dyDescent="0.25">
      <c r="B25" s="15" t="s">
        <v>136</v>
      </c>
      <c r="C25" s="15" t="s">
        <v>137</v>
      </c>
      <c r="D25" s="15">
        <v>6.6</v>
      </c>
      <c r="G25" s="82"/>
    </row>
    <row r="26" spans="2:7" x14ac:dyDescent="0.25">
      <c r="B26" s="15" t="s">
        <v>138</v>
      </c>
      <c r="C26" s="15" t="s">
        <v>131</v>
      </c>
      <c r="D26" s="15">
        <v>129</v>
      </c>
    </row>
    <row r="27" spans="2:7" x14ac:dyDescent="0.25">
      <c r="B27" s="15" t="s">
        <v>139</v>
      </c>
      <c r="C27" s="15" t="s">
        <v>131</v>
      </c>
      <c r="D27" s="15">
        <v>50.6</v>
      </c>
    </row>
    <row r="28" spans="2:7" x14ac:dyDescent="0.25">
      <c r="B28" s="15" t="s">
        <v>140</v>
      </c>
      <c r="C28" s="15" t="s">
        <v>131</v>
      </c>
      <c r="D28" s="15">
        <v>91.2</v>
      </c>
    </row>
    <row r="29" spans="2:7" x14ac:dyDescent="0.25">
      <c r="B29" s="15" t="s">
        <v>141</v>
      </c>
      <c r="C29" s="15"/>
      <c r="D29" s="15">
        <v>5.8</v>
      </c>
    </row>
    <row r="30" spans="2:7" x14ac:dyDescent="0.25">
      <c r="B30" s="15" t="s">
        <v>189</v>
      </c>
      <c r="C30" s="15" t="s">
        <v>190</v>
      </c>
      <c r="D30" s="15">
        <f>D21*D29</f>
        <v>50.459999999999994</v>
      </c>
      <c r="G30" s="81" t="s">
        <v>197</v>
      </c>
    </row>
    <row r="31" spans="2:7" x14ac:dyDescent="0.25">
      <c r="B31" s="15" t="s">
        <v>142</v>
      </c>
      <c r="C31" s="15"/>
      <c r="D31" s="15">
        <v>0.19</v>
      </c>
    </row>
    <row r="32" spans="2:7" x14ac:dyDescent="0.25">
      <c r="B32" s="15" t="s">
        <v>143</v>
      </c>
      <c r="C32" s="15" t="s">
        <v>144</v>
      </c>
      <c r="D32" s="15">
        <v>7.8</v>
      </c>
    </row>
    <row r="33" spans="2:6" x14ac:dyDescent="0.25">
      <c r="B33" s="15" t="s">
        <v>145</v>
      </c>
      <c r="C33" s="15" t="s">
        <v>0</v>
      </c>
      <c r="D33" s="15">
        <v>13.44</v>
      </c>
    </row>
    <row r="34" spans="2:6" x14ac:dyDescent="0.25">
      <c r="B34" s="15" t="s">
        <v>146</v>
      </c>
      <c r="C34" s="15" t="s">
        <v>147</v>
      </c>
      <c r="D34" s="15" t="s">
        <v>148</v>
      </c>
    </row>
    <row r="35" spans="2:6" x14ac:dyDescent="0.25">
      <c r="B35" s="15" t="s">
        <v>149</v>
      </c>
      <c r="C35" s="15" t="s">
        <v>150</v>
      </c>
      <c r="D35" s="15" t="s">
        <v>151</v>
      </c>
    </row>
    <row r="36" spans="2:6" x14ac:dyDescent="0.25">
      <c r="B36" s="15" t="s">
        <v>152</v>
      </c>
      <c r="C36" s="15" t="s">
        <v>150</v>
      </c>
      <c r="D36" s="15" t="s">
        <v>153</v>
      </c>
    </row>
    <row r="37" spans="2:6" x14ac:dyDescent="0.25">
      <c r="B37" s="15" t="s">
        <v>34</v>
      </c>
      <c r="C37" s="15"/>
      <c r="D37" s="15" t="s">
        <v>154</v>
      </c>
    </row>
    <row r="38" spans="2:6" x14ac:dyDescent="0.25">
      <c r="B38" s="15" t="s">
        <v>155</v>
      </c>
      <c r="C38" s="15" t="s">
        <v>156</v>
      </c>
      <c r="D38" s="15" t="s">
        <v>157</v>
      </c>
    </row>
    <row r="39" spans="2:6" x14ac:dyDescent="0.25">
      <c r="B39" s="15" t="s">
        <v>158</v>
      </c>
      <c r="C39" s="15" t="s">
        <v>0</v>
      </c>
      <c r="D39" s="15" t="s">
        <v>159</v>
      </c>
    </row>
    <row r="40" spans="2:6" x14ac:dyDescent="0.25">
      <c r="B40" s="15" t="s">
        <v>160</v>
      </c>
      <c r="C40" s="15" t="s">
        <v>161</v>
      </c>
      <c r="D40" s="15" t="s">
        <v>162</v>
      </c>
    </row>
    <row r="41" spans="2:6" x14ac:dyDescent="0.25">
      <c r="B41" s="15" t="s">
        <v>155</v>
      </c>
      <c r="C41" s="15" t="s">
        <v>163</v>
      </c>
      <c r="D41" s="15"/>
    </row>
    <row r="45" spans="2:6" ht="15.75" thickBot="1" x14ac:dyDescent="0.3"/>
    <row r="46" spans="2:6" ht="29.25" thickBot="1" x14ac:dyDescent="0.3">
      <c r="B46" s="88" t="s">
        <v>1</v>
      </c>
      <c r="C46" s="89" t="s">
        <v>2</v>
      </c>
      <c r="D46" s="89" t="s">
        <v>198</v>
      </c>
      <c r="E46" s="89" t="s">
        <v>199</v>
      </c>
      <c r="F46" s="89" t="s">
        <v>200</v>
      </c>
    </row>
    <row r="47" spans="2:6" ht="15.75" thickBot="1" x14ac:dyDescent="0.3">
      <c r="B47" s="90" t="s">
        <v>35</v>
      </c>
      <c r="C47" s="91"/>
      <c r="D47" s="91" t="s">
        <v>201</v>
      </c>
      <c r="E47" s="91" t="s">
        <v>202</v>
      </c>
      <c r="F47" s="91">
        <v>5.14</v>
      </c>
    </row>
    <row r="48" spans="2:6" ht="15.75" thickBot="1" x14ac:dyDescent="0.3">
      <c r="B48" s="90" t="s">
        <v>203</v>
      </c>
      <c r="C48" s="92" t="s">
        <v>130</v>
      </c>
      <c r="D48" s="91" t="s">
        <v>204</v>
      </c>
      <c r="E48" s="91" t="s">
        <v>205</v>
      </c>
      <c r="F48" s="91" t="s">
        <v>206</v>
      </c>
    </row>
    <row r="49" spans="2:6" ht="15.75" thickBot="1" x14ac:dyDescent="0.3">
      <c r="B49" s="90" t="s">
        <v>11</v>
      </c>
      <c r="C49" s="92" t="s">
        <v>131</v>
      </c>
      <c r="D49" s="91" t="s">
        <v>207</v>
      </c>
      <c r="E49" s="91" t="s">
        <v>208</v>
      </c>
      <c r="F49" s="91" t="s">
        <v>209</v>
      </c>
    </row>
    <row r="50" spans="2:6" ht="15.75" thickBot="1" x14ac:dyDescent="0.3">
      <c r="B50" s="90" t="s">
        <v>132</v>
      </c>
      <c r="C50" s="92" t="s">
        <v>131</v>
      </c>
      <c r="D50" s="91" t="s">
        <v>210</v>
      </c>
      <c r="E50" s="91" t="s">
        <v>211</v>
      </c>
      <c r="F50" s="91"/>
    </row>
    <row r="51" spans="2:6" ht="15.75" thickBot="1" x14ac:dyDescent="0.3">
      <c r="B51" s="90" t="s">
        <v>133</v>
      </c>
      <c r="C51" s="92" t="s">
        <v>131</v>
      </c>
      <c r="D51" s="91" t="s">
        <v>212</v>
      </c>
      <c r="E51" s="91" t="s">
        <v>213</v>
      </c>
      <c r="F51" s="91"/>
    </row>
    <row r="52" spans="2:6" ht="15.75" thickBot="1" x14ac:dyDescent="0.3">
      <c r="B52" s="90" t="s">
        <v>134</v>
      </c>
      <c r="C52" s="92" t="s">
        <v>135</v>
      </c>
      <c r="D52" s="91" t="s">
        <v>214</v>
      </c>
      <c r="E52" s="91" t="s">
        <v>215</v>
      </c>
      <c r="F52" s="91"/>
    </row>
    <row r="53" spans="2:6" ht="15.75" thickBot="1" x14ac:dyDescent="0.3">
      <c r="B53" s="90" t="s">
        <v>136</v>
      </c>
      <c r="C53" s="92" t="s">
        <v>137</v>
      </c>
      <c r="D53" s="91" t="s">
        <v>216</v>
      </c>
      <c r="E53" s="91" t="s">
        <v>217</v>
      </c>
      <c r="F53" s="91" t="s">
        <v>218</v>
      </c>
    </row>
    <row r="54" spans="2:6" ht="15.75" thickBot="1" x14ac:dyDescent="0.3">
      <c r="B54" s="90" t="s">
        <v>138</v>
      </c>
      <c r="C54" s="92" t="s">
        <v>0</v>
      </c>
      <c r="D54" s="91" t="s">
        <v>219</v>
      </c>
      <c r="E54" s="91" t="s">
        <v>220</v>
      </c>
      <c r="F54" s="91" t="s">
        <v>221</v>
      </c>
    </row>
    <row r="55" spans="2:6" ht="15.75" thickBot="1" x14ac:dyDescent="0.3">
      <c r="B55" s="90" t="s">
        <v>139</v>
      </c>
      <c r="C55" s="92" t="s">
        <v>131</v>
      </c>
      <c r="D55" s="91" t="s">
        <v>222</v>
      </c>
      <c r="E55" s="91" t="s">
        <v>223</v>
      </c>
      <c r="F55" s="91" t="s">
        <v>224</v>
      </c>
    </row>
    <row r="56" spans="2:6" ht="21.75" thickBot="1" x14ac:dyDescent="0.3">
      <c r="B56" s="90" t="s">
        <v>225</v>
      </c>
      <c r="C56" s="92" t="s">
        <v>131</v>
      </c>
      <c r="D56" s="91" t="s">
        <v>226</v>
      </c>
      <c r="E56" s="91" t="s">
        <v>227</v>
      </c>
      <c r="F56" s="91" t="s">
        <v>228</v>
      </c>
    </row>
    <row r="57" spans="2:6" ht="15.75" thickBot="1" x14ac:dyDescent="0.3">
      <c r="B57" s="90" t="s">
        <v>141</v>
      </c>
      <c r="C57" s="91"/>
      <c r="D57" s="91" t="s">
        <v>229</v>
      </c>
      <c r="E57" s="91" t="s">
        <v>230</v>
      </c>
      <c r="F57" s="91"/>
    </row>
    <row r="58" spans="2:6" ht="21.75" thickBot="1" x14ac:dyDescent="0.3">
      <c r="B58" s="90" t="s">
        <v>231</v>
      </c>
      <c r="C58" s="92" t="s">
        <v>232</v>
      </c>
      <c r="D58" s="91" t="s">
        <v>233</v>
      </c>
      <c r="E58" s="91" t="s">
        <v>234</v>
      </c>
      <c r="F58" s="91"/>
    </row>
    <row r="59" spans="2:6" ht="21.75" thickBot="1" x14ac:dyDescent="0.3">
      <c r="B59" s="90" t="s">
        <v>235</v>
      </c>
      <c r="C59" s="92" t="s">
        <v>236</v>
      </c>
      <c r="D59" s="91" t="s">
        <v>237</v>
      </c>
      <c r="E59" s="91" t="s">
        <v>238</v>
      </c>
      <c r="F59" s="91"/>
    </row>
    <row r="60" spans="2:6" ht="15.75" thickBot="1" x14ac:dyDescent="0.3">
      <c r="B60" s="90" t="s">
        <v>142</v>
      </c>
      <c r="C60" s="91"/>
      <c r="D60" s="91" t="s">
        <v>239</v>
      </c>
      <c r="E60" s="91">
        <v>0.21</v>
      </c>
      <c r="F60" s="91"/>
    </row>
    <row r="61" spans="2:6" ht="15.75" thickBot="1" x14ac:dyDescent="0.3">
      <c r="B61" s="90" t="s">
        <v>152</v>
      </c>
      <c r="C61" s="93" t="s">
        <v>240</v>
      </c>
      <c r="D61" s="91" t="s">
        <v>241</v>
      </c>
      <c r="E61" s="91" t="s">
        <v>242</v>
      </c>
      <c r="F61" s="91">
        <v>35.4</v>
      </c>
    </row>
    <row r="62" spans="2:6" ht="15.75" thickBot="1" x14ac:dyDescent="0.3">
      <c r="B62" s="90" t="s">
        <v>149</v>
      </c>
      <c r="C62" s="93" t="s">
        <v>240</v>
      </c>
      <c r="D62" s="91" t="s">
        <v>243</v>
      </c>
      <c r="E62" s="91" t="s">
        <v>244</v>
      </c>
      <c r="F62" s="91">
        <v>14.6</v>
      </c>
    </row>
    <row r="63" spans="2:6" ht="15.75" thickBot="1" x14ac:dyDescent="0.3">
      <c r="B63" s="90" t="s">
        <v>34</v>
      </c>
      <c r="C63" s="93" t="s">
        <v>240</v>
      </c>
      <c r="D63" s="91" t="s">
        <v>245</v>
      </c>
      <c r="E63" s="91" t="s">
        <v>246</v>
      </c>
      <c r="F63" s="91" t="s">
        <v>247</v>
      </c>
    </row>
    <row r="64" spans="2:6" ht="15.75" thickBot="1" x14ac:dyDescent="0.3">
      <c r="B64" s="90" t="s">
        <v>158</v>
      </c>
      <c r="C64" s="93" t="s">
        <v>0</v>
      </c>
      <c r="D64" s="91" t="s">
        <v>248</v>
      </c>
      <c r="E64" s="91" t="s">
        <v>249</v>
      </c>
      <c r="F64" s="91" t="s">
        <v>250</v>
      </c>
    </row>
    <row r="65" spans="2:6" ht="15.75" thickBot="1" x14ac:dyDescent="0.3">
      <c r="B65" s="90" t="s">
        <v>160</v>
      </c>
      <c r="C65" s="93" t="s">
        <v>251</v>
      </c>
      <c r="D65" s="91" t="s">
        <v>252</v>
      </c>
      <c r="E65" s="91" t="s">
        <v>253</v>
      </c>
      <c r="F65" s="91" t="s">
        <v>254</v>
      </c>
    </row>
    <row r="66" spans="2:6" ht="21.75" thickBot="1" x14ac:dyDescent="0.3">
      <c r="B66" s="94" t="s">
        <v>155</v>
      </c>
      <c r="C66" s="95" t="s">
        <v>163</v>
      </c>
      <c r="D66" s="96" t="s">
        <v>255</v>
      </c>
      <c r="E66" s="96" t="s">
        <v>256</v>
      </c>
      <c r="F66" s="96" t="s">
        <v>257</v>
      </c>
    </row>
  </sheetData>
  <mergeCells count="2">
    <mergeCell ref="B3:B4"/>
    <mergeCell ref="H3:I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46"/>
  <sheetViews>
    <sheetView topLeftCell="A22" workbookViewId="0">
      <selection activeCell="E7" sqref="E7"/>
    </sheetView>
  </sheetViews>
  <sheetFormatPr defaultRowHeight="15" x14ac:dyDescent="0.25"/>
  <cols>
    <col min="2" max="2" width="35" customWidth="1"/>
    <col min="3" max="3" width="33.28515625" customWidth="1"/>
    <col min="4" max="4" width="11.85546875" customWidth="1"/>
    <col min="5" max="5" width="13.42578125" customWidth="1"/>
    <col min="6" max="6" width="12.85546875" customWidth="1"/>
    <col min="7" max="7" width="8.42578125" customWidth="1"/>
    <col min="8" max="8" width="13" customWidth="1"/>
    <col min="9" max="9" width="14.7109375" customWidth="1"/>
    <col min="10" max="10" width="16.85546875" customWidth="1"/>
    <col min="11" max="11" width="20.85546875" customWidth="1"/>
    <col min="12" max="12" width="26" customWidth="1"/>
    <col min="13" max="13" width="23.140625" customWidth="1"/>
    <col min="14" max="14" width="27.42578125" customWidth="1"/>
    <col min="21" max="21" width="10.85546875" customWidth="1"/>
  </cols>
  <sheetData>
    <row r="1" spans="2:14" ht="23.25" x14ac:dyDescent="0.35">
      <c r="B1" s="54" t="s">
        <v>82</v>
      </c>
    </row>
    <row r="3" spans="2:14" x14ac:dyDescent="0.25">
      <c r="B3" s="19" t="s">
        <v>17</v>
      </c>
      <c r="C3" s="20"/>
      <c r="D3" s="21"/>
      <c r="E3" s="21"/>
      <c r="F3" s="22"/>
      <c r="G3" s="22"/>
      <c r="H3" s="22"/>
      <c r="I3" s="21"/>
      <c r="J3" s="21"/>
      <c r="K3" s="21"/>
      <c r="L3" s="21"/>
      <c r="M3" s="21"/>
      <c r="N3" s="23"/>
    </row>
    <row r="4" spans="2:14" x14ac:dyDescent="0.25">
      <c r="B4" s="44" t="s">
        <v>55</v>
      </c>
      <c r="C4" s="25" t="s">
        <v>60</v>
      </c>
      <c r="D4" s="25" t="s">
        <v>2</v>
      </c>
      <c r="E4" s="26" t="s">
        <v>3</v>
      </c>
      <c r="F4" s="26" t="s">
        <v>62</v>
      </c>
      <c r="G4" s="26" t="s">
        <v>63</v>
      </c>
      <c r="H4" s="26" t="s">
        <v>18</v>
      </c>
      <c r="I4" s="26" t="s">
        <v>58</v>
      </c>
      <c r="J4" s="25" t="s">
        <v>54</v>
      </c>
      <c r="K4" s="25" t="s">
        <v>19</v>
      </c>
      <c r="L4" s="27"/>
      <c r="M4" s="27"/>
      <c r="N4" s="28"/>
    </row>
    <row r="5" spans="2:14" x14ac:dyDescent="0.25">
      <c r="B5" s="45" t="s">
        <v>67</v>
      </c>
      <c r="C5" s="51" t="s">
        <v>20</v>
      </c>
      <c r="D5" s="52" t="s">
        <v>4</v>
      </c>
      <c r="E5" s="52">
        <v>1000</v>
      </c>
      <c r="F5" s="47"/>
      <c r="G5" s="18"/>
      <c r="H5" s="47"/>
      <c r="I5" s="47"/>
      <c r="J5" s="46"/>
      <c r="K5" s="46"/>
      <c r="L5" s="31"/>
      <c r="M5" s="31"/>
      <c r="N5" s="34"/>
    </row>
    <row r="6" spans="2:14" x14ac:dyDescent="0.25">
      <c r="B6" s="29" t="s">
        <v>24</v>
      </c>
      <c r="C6" s="30"/>
      <c r="D6" s="32"/>
      <c r="E6" s="32"/>
      <c r="F6" s="32"/>
      <c r="G6" s="18"/>
      <c r="H6" s="33"/>
      <c r="I6" s="33"/>
      <c r="J6" s="31"/>
      <c r="K6" s="31"/>
      <c r="L6" s="31"/>
      <c r="M6" s="31"/>
      <c r="N6" s="34"/>
    </row>
    <row r="7" spans="2:14" ht="30" x14ac:dyDescent="0.25">
      <c r="B7" s="35"/>
      <c r="C7" s="49" t="s">
        <v>65</v>
      </c>
      <c r="D7" s="33" t="s">
        <v>66</v>
      </c>
      <c r="E7" s="33">
        <v>0.35</v>
      </c>
      <c r="F7" s="32">
        <v>-1.04</v>
      </c>
      <c r="G7" s="18">
        <v>0.28000000000000003</v>
      </c>
      <c r="H7" s="33"/>
      <c r="I7" s="33" t="s">
        <v>64</v>
      </c>
      <c r="J7" s="31" t="s">
        <v>57</v>
      </c>
      <c r="K7" s="31"/>
      <c r="L7" s="31"/>
      <c r="M7" s="31"/>
      <c r="N7" s="34"/>
    </row>
    <row r="8" spans="2:14" x14ac:dyDescent="0.25">
      <c r="B8" s="35"/>
      <c r="C8" s="30" t="s">
        <v>21</v>
      </c>
      <c r="D8" s="32" t="s">
        <v>13</v>
      </c>
      <c r="E8" s="33">
        <v>123.33</v>
      </c>
      <c r="F8" s="32"/>
      <c r="G8" s="18"/>
      <c r="H8" s="1" t="s">
        <v>23</v>
      </c>
      <c r="I8" s="1" t="s">
        <v>59</v>
      </c>
      <c r="J8" s="31"/>
      <c r="K8" s="31"/>
      <c r="L8" s="31"/>
      <c r="M8" s="31"/>
      <c r="N8" s="34"/>
    </row>
    <row r="9" spans="2:14" x14ac:dyDescent="0.25">
      <c r="B9" s="35"/>
      <c r="C9" s="30" t="s">
        <v>22</v>
      </c>
      <c r="D9" s="32" t="s">
        <v>15</v>
      </c>
      <c r="E9" s="32">
        <v>50</v>
      </c>
      <c r="F9" s="32"/>
      <c r="G9" s="18"/>
      <c r="H9" s="33"/>
      <c r="I9" s="33"/>
      <c r="J9" s="31"/>
      <c r="K9" s="31"/>
      <c r="L9" s="31"/>
      <c r="M9" s="31"/>
      <c r="N9" s="34"/>
    </row>
    <row r="10" spans="2:14" x14ac:dyDescent="0.25">
      <c r="B10" s="29" t="s">
        <v>25</v>
      </c>
      <c r="C10" s="30"/>
      <c r="D10" s="32"/>
      <c r="E10" s="31"/>
      <c r="F10" s="32"/>
      <c r="G10" s="18"/>
      <c r="H10" s="33"/>
      <c r="I10" s="33"/>
      <c r="J10" s="31"/>
      <c r="K10" s="31"/>
      <c r="L10" s="31"/>
      <c r="M10" s="31"/>
      <c r="N10" s="34"/>
    </row>
    <row r="11" spans="2:14" x14ac:dyDescent="0.25">
      <c r="B11" s="35"/>
      <c r="C11" s="30" t="s">
        <v>69</v>
      </c>
      <c r="D11" s="32" t="s">
        <v>4</v>
      </c>
      <c r="E11" s="32">
        <f>E40</f>
        <v>495</v>
      </c>
      <c r="F11" s="32"/>
      <c r="G11" s="18"/>
      <c r="H11" s="33"/>
      <c r="I11" s="33"/>
      <c r="J11" s="31"/>
      <c r="K11" s="31"/>
      <c r="L11" s="31"/>
      <c r="M11" s="31"/>
      <c r="N11" s="34"/>
    </row>
    <row r="12" spans="2:14" x14ac:dyDescent="0.25">
      <c r="B12" s="35" t="s">
        <v>26</v>
      </c>
      <c r="C12" s="30" t="s">
        <v>165</v>
      </c>
      <c r="D12" s="32" t="s">
        <v>46</v>
      </c>
      <c r="E12" s="43">
        <f>F46-(2.24%*F46)*(44/12)</f>
        <v>64.122165333333342</v>
      </c>
      <c r="F12" s="32"/>
      <c r="G12" s="18"/>
      <c r="H12" s="18"/>
      <c r="I12" s="18"/>
      <c r="J12" s="31"/>
      <c r="K12" s="31" t="s">
        <v>258</v>
      </c>
      <c r="L12" s="31"/>
      <c r="M12" s="31"/>
      <c r="N12" s="34"/>
    </row>
    <row r="13" spans="2:14" x14ac:dyDescent="0.25">
      <c r="B13" s="35"/>
      <c r="C13" s="30" t="s">
        <v>193</v>
      </c>
      <c r="D13" s="32" t="s">
        <v>46</v>
      </c>
      <c r="E13" s="43">
        <f>83%*F43*1.21</f>
        <v>0.3508019900000004</v>
      </c>
      <c r="F13" s="32"/>
      <c r="G13" s="18"/>
      <c r="H13" s="18"/>
      <c r="I13" s="18"/>
      <c r="J13" s="31"/>
      <c r="K13" t="s">
        <v>265</v>
      </c>
      <c r="L13" s="31"/>
      <c r="M13" s="31"/>
      <c r="N13" s="34"/>
    </row>
    <row r="14" spans="2:14" x14ac:dyDescent="0.25">
      <c r="B14" s="35"/>
      <c r="C14" s="30" t="s">
        <v>78</v>
      </c>
      <c r="D14" s="32" t="s">
        <v>46</v>
      </c>
      <c r="E14" s="43">
        <f>15%*F43*1.57</f>
        <v>8.2260150000000101E-2</v>
      </c>
      <c r="F14" s="32"/>
      <c r="G14" s="18"/>
      <c r="H14" s="18"/>
      <c r="I14" s="18"/>
      <c r="J14" s="31"/>
      <c r="K14" s="31" t="s">
        <v>259</v>
      </c>
      <c r="L14" s="31"/>
      <c r="M14" s="31"/>
      <c r="N14" s="34"/>
    </row>
    <row r="15" spans="2:14" x14ac:dyDescent="0.25">
      <c r="B15" s="35"/>
      <c r="C15" s="30" t="s">
        <v>52</v>
      </c>
      <c r="D15" s="32" t="s">
        <v>46</v>
      </c>
      <c r="E15" s="43">
        <f>2.24%*F46*(16/12)</f>
        <v>2.086485333333334</v>
      </c>
      <c r="F15" s="32"/>
      <c r="G15" s="18"/>
      <c r="H15" s="18"/>
      <c r="I15" s="18"/>
      <c r="J15" s="31"/>
      <c r="K15" s="31" t="s">
        <v>260</v>
      </c>
      <c r="L15" s="31"/>
      <c r="M15" s="31"/>
      <c r="N15" s="34"/>
    </row>
    <row r="16" spans="2:14" x14ac:dyDescent="0.25">
      <c r="B16" s="35"/>
      <c r="C16" s="30" t="s">
        <v>261</v>
      </c>
      <c r="D16" s="32" t="s">
        <v>46</v>
      </c>
      <c r="E16" s="99">
        <f>F46*0.34%</f>
        <v>0.23752400000000007</v>
      </c>
      <c r="F16" s="32"/>
      <c r="G16" s="18"/>
      <c r="H16" s="18"/>
      <c r="I16" s="18"/>
      <c r="K16" s="31" t="s">
        <v>262</v>
      </c>
      <c r="N16" s="34"/>
    </row>
    <row r="17" spans="2:14" x14ac:dyDescent="0.25">
      <c r="B17" s="35"/>
      <c r="C17" s="30"/>
      <c r="D17" s="32"/>
      <c r="E17" s="43"/>
      <c r="F17" s="32"/>
      <c r="G17" s="18"/>
      <c r="H17" s="18"/>
      <c r="I17" s="18"/>
      <c r="J17" s="33"/>
      <c r="L17" s="32"/>
      <c r="M17" s="33"/>
      <c r="N17" s="42"/>
    </row>
    <row r="18" spans="2:14" x14ac:dyDescent="0.25">
      <c r="B18" s="44" t="s">
        <v>68</v>
      </c>
      <c r="C18" s="30"/>
      <c r="D18" s="32"/>
      <c r="E18" s="43"/>
      <c r="F18" s="32"/>
      <c r="G18" s="18"/>
      <c r="H18" s="18"/>
      <c r="I18" s="18"/>
      <c r="J18" s="33"/>
      <c r="K18" s="43"/>
      <c r="L18" s="32"/>
      <c r="M18" s="33"/>
      <c r="N18" s="42"/>
    </row>
    <row r="19" spans="2:14" x14ac:dyDescent="0.25">
      <c r="B19" s="29" t="s">
        <v>24</v>
      </c>
      <c r="C19" s="30"/>
      <c r="D19" s="32"/>
      <c r="E19" s="32"/>
      <c r="F19" s="32"/>
      <c r="G19" s="18"/>
      <c r="H19" s="33"/>
      <c r="I19" s="33"/>
      <c r="J19" s="31"/>
      <c r="K19" s="43"/>
      <c r="L19" s="32"/>
      <c r="M19" s="33"/>
      <c r="N19" s="42"/>
    </row>
    <row r="20" spans="2:14" x14ac:dyDescent="0.25">
      <c r="B20" s="24"/>
      <c r="C20" t="s">
        <v>69</v>
      </c>
      <c r="D20" s="1" t="s">
        <v>4</v>
      </c>
      <c r="E20" s="53">
        <v>495</v>
      </c>
      <c r="F20" s="32"/>
      <c r="G20" s="18"/>
      <c r="H20" s="33"/>
      <c r="I20" s="33"/>
      <c r="J20" s="31"/>
      <c r="K20" s="31"/>
      <c r="L20" s="31"/>
      <c r="M20" s="31"/>
      <c r="N20" s="34"/>
    </row>
    <row r="21" spans="2:14" ht="30" x14ac:dyDescent="0.25">
      <c r="B21" s="35"/>
      <c r="C21" s="49" t="s">
        <v>70</v>
      </c>
      <c r="D21" s="33" t="s">
        <v>4</v>
      </c>
      <c r="E21" s="33">
        <v>495</v>
      </c>
      <c r="F21" s="32"/>
      <c r="G21" s="18"/>
      <c r="H21" s="33"/>
      <c r="I21" s="33"/>
      <c r="J21" s="31"/>
      <c r="K21" s="31" t="s">
        <v>71</v>
      </c>
      <c r="L21" s="31"/>
      <c r="M21" s="31"/>
      <c r="N21" s="34"/>
    </row>
    <row r="22" spans="2:14" x14ac:dyDescent="0.25">
      <c r="B22" s="35"/>
      <c r="C22" s="30" t="s">
        <v>72</v>
      </c>
      <c r="D22" s="32" t="s">
        <v>4</v>
      </c>
      <c r="E22" s="33">
        <v>-5.65</v>
      </c>
      <c r="F22" s="32"/>
      <c r="G22" s="18"/>
      <c r="H22" s="1"/>
      <c r="I22" s="1"/>
      <c r="J22" s="31"/>
      <c r="K22" s="31"/>
      <c r="L22" s="31"/>
      <c r="M22" s="31"/>
      <c r="N22" s="34"/>
    </row>
    <row r="23" spans="2:14" x14ac:dyDescent="0.25">
      <c r="B23" s="35"/>
      <c r="C23" s="30" t="s">
        <v>73</v>
      </c>
      <c r="D23" s="32" t="s">
        <v>4</v>
      </c>
      <c r="E23" s="32">
        <v>-10</v>
      </c>
      <c r="F23" s="32"/>
      <c r="G23" s="18"/>
      <c r="H23" s="33"/>
      <c r="I23" s="33"/>
      <c r="J23" s="31"/>
      <c r="K23" s="31"/>
      <c r="L23" s="31"/>
      <c r="M23" s="31"/>
      <c r="N23" s="34"/>
    </row>
    <row r="24" spans="2:14" x14ac:dyDescent="0.25">
      <c r="B24" s="35"/>
      <c r="C24" s="30" t="s">
        <v>74</v>
      </c>
      <c r="D24" s="32" t="s">
        <v>4</v>
      </c>
      <c r="E24" s="32">
        <v>-1.96</v>
      </c>
      <c r="F24" s="32"/>
      <c r="G24" s="18"/>
      <c r="H24" s="33"/>
      <c r="I24" s="33"/>
      <c r="J24" s="31" t="s">
        <v>75</v>
      </c>
      <c r="K24" s="31" t="s">
        <v>76</v>
      </c>
      <c r="L24" s="31"/>
      <c r="M24" s="31"/>
      <c r="N24" s="34"/>
    </row>
    <row r="25" spans="2:14" x14ac:dyDescent="0.25">
      <c r="B25" s="35"/>
      <c r="C25" s="30" t="s">
        <v>93</v>
      </c>
      <c r="D25" s="32" t="s">
        <v>94</v>
      </c>
      <c r="E25" s="32">
        <f>(E20/1000)*100</f>
        <v>49.5</v>
      </c>
      <c r="F25" s="32"/>
      <c r="G25" s="18"/>
      <c r="H25" s="33"/>
      <c r="I25" s="33"/>
      <c r="J25" s="31"/>
      <c r="K25" s="31" t="s">
        <v>95</v>
      </c>
      <c r="L25" s="31"/>
      <c r="M25" s="31"/>
      <c r="N25" s="34"/>
    </row>
    <row r="26" spans="2:14" x14ac:dyDescent="0.25">
      <c r="B26" s="35"/>
      <c r="C26" s="30"/>
      <c r="D26" s="32"/>
      <c r="E26" s="32"/>
      <c r="F26" s="32"/>
      <c r="G26" s="18"/>
      <c r="H26" s="33"/>
      <c r="I26" s="33"/>
      <c r="J26" s="31"/>
      <c r="K26" s="31"/>
      <c r="L26" s="31"/>
      <c r="M26" s="31"/>
      <c r="N26" s="34"/>
    </row>
    <row r="27" spans="2:14" x14ac:dyDescent="0.25">
      <c r="B27" s="29" t="s">
        <v>25</v>
      </c>
      <c r="C27" s="30"/>
      <c r="D27" s="32"/>
      <c r="E27" s="32"/>
      <c r="F27" s="32"/>
      <c r="G27" s="18"/>
      <c r="H27" s="33"/>
      <c r="I27" s="33"/>
      <c r="J27" s="31"/>
      <c r="K27" s="31"/>
      <c r="L27" s="31"/>
      <c r="M27" s="31"/>
      <c r="N27" s="34"/>
    </row>
    <row r="28" spans="2:14" x14ac:dyDescent="0.25">
      <c r="B28" s="35"/>
      <c r="C28" s="30" t="s">
        <v>77</v>
      </c>
      <c r="D28" s="32" t="s">
        <v>4</v>
      </c>
      <c r="E28" s="43">
        <f>E46*(44/12)-E31</f>
        <v>223.22116299999993</v>
      </c>
      <c r="F28" s="32"/>
      <c r="G28" s="18"/>
      <c r="H28" s="33"/>
      <c r="I28" s="33"/>
      <c r="J28" s="31" t="s">
        <v>75</v>
      </c>
      <c r="K28" s="31"/>
      <c r="L28" s="31"/>
      <c r="M28" s="31"/>
      <c r="N28" s="34"/>
    </row>
    <row r="29" spans="2:14" x14ac:dyDescent="0.25">
      <c r="B29" s="35"/>
      <c r="C29" s="30" t="s">
        <v>78</v>
      </c>
      <c r="D29" s="32" t="s">
        <v>4</v>
      </c>
      <c r="E29" s="43">
        <v>0.03</v>
      </c>
      <c r="F29" s="32"/>
      <c r="G29" s="18"/>
      <c r="H29" s="33"/>
      <c r="I29" s="33"/>
      <c r="J29" s="31" t="s">
        <v>75</v>
      </c>
      <c r="K29" s="31"/>
      <c r="L29" s="31"/>
      <c r="M29" s="31"/>
      <c r="N29" s="34"/>
    </row>
    <row r="30" spans="2:14" x14ac:dyDescent="0.25">
      <c r="B30" s="35"/>
      <c r="C30" s="30" t="s">
        <v>79</v>
      </c>
      <c r="D30" s="32" t="s">
        <v>4</v>
      </c>
      <c r="E30" s="43">
        <v>0.52</v>
      </c>
      <c r="F30" s="32"/>
      <c r="G30" s="18"/>
      <c r="H30" s="33"/>
      <c r="I30" s="33"/>
      <c r="J30" s="31" t="s">
        <v>75</v>
      </c>
      <c r="K30" s="31"/>
      <c r="L30" s="31"/>
      <c r="M30" s="31"/>
      <c r="N30" s="34"/>
    </row>
    <row r="31" spans="2:14" x14ac:dyDescent="0.25">
      <c r="B31" s="35"/>
      <c r="C31" s="30" t="s">
        <v>80</v>
      </c>
      <c r="D31" s="32" t="s">
        <v>4</v>
      </c>
      <c r="E31" s="43">
        <f>-10.91%*E46*(44/12)</f>
        <v>-21.957829666666658</v>
      </c>
      <c r="F31" s="32"/>
      <c r="H31" s="33"/>
      <c r="I31" s="33"/>
      <c r="J31" s="31" t="s">
        <v>75</v>
      </c>
      <c r="K31" s="31" t="s">
        <v>81</v>
      </c>
      <c r="L31" s="31"/>
      <c r="M31" s="31"/>
      <c r="N31" s="34"/>
    </row>
    <row r="32" spans="2:14" x14ac:dyDescent="0.25">
      <c r="B32" s="36"/>
      <c r="C32" s="37"/>
      <c r="D32" s="38"/>
      <c r="E32" s="38"/>
      <c r="F32" s="39"/>
      <c r="G32" s="40"/>
      <c r="H32" s="40"/>
      <c r="I32" s="38"/>
      <c r="J32" s="38"/>
      <c r="K32" s="38"/>
      <c r="L32" s="38"/>
      <c r="M32" s="38"/>
      <c r="N32" s="41"/>
    </row>
    <row r="36" spans="2:14" x14ac:dyDescent="0.25">
      <c r="B36" s="9" t="s">
        <v>53</v>
      </c>
      <c r="C36" s="6"/>
      <c r="D36" s="7"/>
      <c r="E36" s="7"/>
      <c r="F36" s="8"/>
      <c r="G36" s="8"/>
      <c r="H36" s="8"/>
      <c r="I36" s="7"/>
      <c r="J36" s="7"/>
      <c r="K36" s="7"/>
      <c r="L36" s="7"/>
      <c r="M36" s="7"/>
      <c r="N36" s="7"/>
    </row>
    <row r="38" spans="2:14" ht="30" x14ac:dyDescent="0.25">
      <c r="B38" s="114" t="s">
        <v>1</v>
      </c>
      <c r="C38" s="116" t="s">
        <v>51</v>
      </c>
      <c r="D38" s="2" t="s">
        <v>16</v>
      </c>
      <c r="E38" s="2" t="s">
        <v>8</v>
      </c>
      <c r="F38" s="2" t="s">
        <v>264</v>
      </c>
      <c r="G38" s="119" t="s">
        <v>263</v>
      </c>
      <c r="H38" s="118"/>
    </row>
    <row r="39" spans="2:14" x14ac:dyDescent="0.25">
      <c r="B39" s="115"/>
      <c r="C39" s="117"/>
      <c r="D39" s="10" t="s">
        <v>9</v>
      </c>
      <c r="E39" s="97" t="s">
        <v>4</v>
      </c>
      <c r="F39" s="97" t="s">
        <v>4</v>
      </c>
      <c r="G39" s="119"/>
      <c r="H39" s="118"/>
    </row>
    <row r="40" spans="2:14" x14ac:dyDescent="0.25">
      <c r="B40" s="10" t="s">
        <v>10</v>
      </c>
      <c r="C40" s="10"/>
      <c r="D40" s="10">
        <v>1000</v>
      </c>
      <c r="E40" s="98">
        <f>(D40-50.5%*D40)</f>
        <v>495</v>
      </c>
      <c r="F40" s="98">
        <f>D40-E40</f>
        <v>505</v>
      </c>
      <c r="G40" s="119"/>
      <c r="H40" s="118"/>
    </row>
    <row r="41" spans="2:14" x14ac:dyDescent="0.25">
      <c r="B41" s="3" t="s">
        <v>50</v>
      </c>
      <c r="C41" s="5">
        <v>0.34100000000000003</v>
      </c>
      <c r="D41" s="4">
        <f>C41*D40</f>
        <v>341</v>
      </c>
      <c r="E41" s="98">
        <f>D41-41%*D41</f>
        <v>201.19</v>
      </c>
      <c r="F41" s="98">
        <f t="shared" ref="F41:F46" si="0">D41-E41</f>
        <v>139.81</v>
      </c>
      <c r="G41" s="119"/>
      <c r="H41" s="118"/>
    </row>
    <row r="42" spans="2:14" x14ac:dyDescent="0.25">
      <c r="B42" s="3" t="s">
        <v>49</v>
      </c>
      <c r="C42" s="5">
        <f>'Grass characteristics'!D8</f>
        <v>0.755</v>
      </c>
      <c r="D42" s="4">
        <f>D41*C42</f>
        <v>257.45499999999998</v>
      </c>
      <c r="E42" s="98">
        <f>D42-55%*D42</f>
        <v>115.85474999999997</v>
      </c>
      <c r="F42" s="98">
        <f t="shared" si="0"/>
        <v>141.60025000000002</v>
      </c>
      <c r="G42" s="119"/>
      <c r="H42" s="118"/>
    </row>
    <row r="43" spans="2:14" x14ac:dyDescent="0.25">
      <c r="B43" s="3" t="s">
        <v>11</v>
      </c>
      <c r="C43" s="3"/>
      <c r="D43" s="4">
        <v>4.99</v>
      </c>
      <c r="E43" s="98">
        <f>D43-7%*D43</f>
        <v>4.6406999999999998</v>
      </c>
      <c r="F43" s="98">
        <f t="shared" si="0"/>
        <v>0.34930000000000039</v>
      </c>
      <c r="G43" s="119"/>
      <c r="H43" s="118"/>
    </row>
    <row r="44" spans="2:14" x14ac:dyDescent="0.25">
      <c r="B44" s="3" t="s">
        <v>47</v>
      </c>
      <c r="C44" s="3"/>
      <c r="D44" s="4">
        <v>5.65</v>
      </c>
      <c r="E44" s="4">
        <v>5.65</v>
      </c>
      <c r="F44" s="98">
        <f t="shared" si="0"/>
        <v>0</v>
      </c>
      <c r="G44" s="119"/>
      <c r="H44" s="118"/>
    </row>
    <row r="45" spans="2:14" x14ac:dyDescent="0.25">
      <c r="B45" s="3" t="s">
        <v>48</v>
      </c>
      <c r="C45" s="3"/>
      <c r="D45" s="4">
        <v>10</v>
      </c>
      <c r="E45" s="4">
        <v>10</v>
      </c>
      <c r="F45" s="98">
        <f t="shared" si="0"/>
        <v>0</v>
      </c>
      <c r="G45" s="119"/>
      <c r="H45" s="118"/>
    </row>
    <row r="46" spans="2:14" x14ac:dyDescent="0.25">
      <c r="B46" s="3" t="s">
        <v>12</v>
      </c>
      <c r="C46" s="3"/>
      <c r="D46" s="4">
        <v>124.75</v>
      </c>
      <c r="E46" s="98">
        <f>D46-56%*D46</f>
        <v>54.889999999999986</v>
      </c>
      <c r="F46" s="98">
        <f t="shared" si="0"/>
        <v>69.860000000000014</v>
      </c>
      <c r="G46" s="119"/>
      <c r="H46" s="118"/>
    </row>
  </sheetData>
  <mergeCells count="4">
    <mergeCell ref="B38:B39"/>
    <mergeCell ref="C38:C39"/>
    <mergeCell ref="H38:H46"/>
    <mergeCell ref="G38:G46"/>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EF59-C639-4419-8938-7E8FDB48424A}">
  <dimension ref="B1:AH92"/>
  <sheetViews>
    <sheetView workbookViewId="0">
      <pane ySplit="4" topLeftCell="A5" activePane="bottomLeft" state="frozen"/>
      <selection pane="bottomLeft" activeCell="AK62" sqref="AK62"/>
    </sheetView>
  </sheetViews>
  <sheetFormatPr defaultRowHeight="15" x14ac:dyDescent="0.25"/>
  <cols>
    <col min="2" max="2" width="35" customWidth="1"/>
    <col min="3" max="3" width="33.28515625" customWidth="1"/>
    <col min="4" max="4" width="21" customWidth="1"/>
    <col min="5" max="5" width="15.85546875" customWidth="1"/>
    <col min="6" max="6" width="14.7109375" customWidth="1"/>
    <col min="7" max="7" width="12" customWidth="1"/>
    <col min="8" max="8" width="13.7109375" customWidth="1"/>
    <col min="9" max="9" width="16" customWidth="1"/>
    <col min="10" max="10" width="26.5703125" customWidth="1"/>
    <col min="11" max="11" width="20.85546875" customWidth="1"/>
    <col min="12" max="12" width="26" customWidth="1"/>
    <col min="13" max="13" width="23.140625" customWidth="1"/>
    <col min="14" max="14" width="27.42578125" customWidth="1"/>
    <col min="21" max="21" width="10.85546875" customWidth="1"/>
    <col min="27" max="27" width="38" style="128" bestFit="1" customWidth="1"/>
    <col min="28" max="28" width="37.28515625" style="128" bestFit="1" customWidth="1"/>
    <col min="29" max="29" width="19.28515625" style="128" bestFit="1" customWidth="1"/>
    <col min="30" max="34" width="9.140625" style="128"/>
  </cols>
  <sheetData>
    <row r="1" spans="2:29" ht="23.25" x14ac:dyDescent="0.35">
      <c r="B1" s="54" t="s">
        <v>83</v>
      </c>
      <c r="C1" t="s">
        <v>96</v>
      </c>
      <c r="AA1" s="127"/>
    </row>
    <row r="2" spans="2:29" ht="21" x14ac:dyDescent="0.35">
      <c r="AA2" s="127"/>
    </row>
    <row r="3" spans="2:29" x14ac:dyDescent="0.25">
      <c r="B3" s="19" t="s">
        <v>17</v>
      </c>
      <c r="C3" s="20"/>
      <c r="D3" s="21"/>
      <c r="E3" s="21"/>
      <c r="F3" s="22"/>
      <c r="G3" s="22"/>
      <c r="H3" s="22"/>
      <c r="I3" s="21"/>
      <c r="J3" s="21"/>
      <c r="K3" s="21"/>
      <c r="L3" s="21"/>
      <c r="M3" s="21"/>
      <c r="N3" s="23"/>
      <c r="AA3" s="129"/>
      <c r="AB3" s="129"/>
      <c r="AC3" s="129"/>
    </row>
    <row r="4" spans="2:29" x14ac:dyDescent="0.25">
      <c r="B4" s="44" t="s">
        <v>84</v>
      </c>
      <c r="C4" s="25" t="s">
        <v>60</v>
      </c>
      <c r="D4" s="25" t="s">
        <v>2</v>
      </c>
      <c r="E4" s="26" t="s">
        <v>110</v>
      </c>
      <c r="F4" s="26" t="s">
        <v>62</v>
      </c>
      <c r="G4" s="26" t="s">
        <v>63</v>
      </c>
      <c r="H4" s="26" t="s">
        <v>18</v>
      </c>
      <c r="I4" s="26" t="s">
        <v>58</v>
      </c>
      <c r="J4" s="26" t="s">
        <v>54</v>
      </c>
      <c r="K4" s="25" t="s">
        <v>19</v>
      </c>
      <c r="L4" s="27"/>
      <c r="M4" s="27"/>
      <c r="N4" s="28"/>
      <c r="AA4" s="130"/>
      <c r="AB4" s="131"/>
      <c r="AC4" s="131"/>
    </row>
    <row r="5" spans="2:29" x14ac:dyDescent="0.25">
      <c r="B5" s="45" t="s">
        <v>67</v>
      </c>
      <c r="C5" s="51" t="s">
        <v>20</v>
      </c>
      <c r="D5" s="52" t="s">
        <v>4</v>
      </c>
      <c r="E5" s="52">
        <v>1000</v>
      </c>
      <c r="F5" s="47"/>
      <c r="G5" s="18"/>
      <c r="H5" s="47"/>
      <c r="I5" s="47"/>
      <c r="J5" s="46"/>
      <c r="K5" s="46"/>
      <c r="L5" s="31"/>
      <c r="M5" s="31"/>
      <c r="N5" s="34"/>
      <c r="AA5" s="132"/>
      <c r="AB5" s="131"/>
      <c r="AC5" s="131"/>
    </row>
    <row r="6" spans="2:29" x14ac:dyDescent="0.25">
      <c r="B6" s="29" t="s">
        <v>24</v>
      </c>
      <c r="C6" s="51"/>
      <c r="D6" s="52"/>
      <c r="E6" s="52"/>
      <c r="F6" s="47"/>
      <c r="G6" s="18"/>
      <c r="H6" s="47"/>
      <c r="I6" s="47"/>
      <c r="J6" s="46"/>
      <c r="K6" s="46"/>
      <c r="L6" s="31"/>
      <c r="M6" s="31"/>
      <c r="N6" s="34"/>
      <c r="AA6" s="130"/>
      <c r="AB6" s="131"/>
      <c r="AC6" s="131"/>
    </row>
    <row r="7" spans="2:29" x14ac:dyDescent="0.25">
      <c r="B7" s="45"/>
      <c r="C7" s="55" t="s">
        <v>85</v>
      </c>
      <c r="D7" s="56" t="s">
        <v>61</v>
      </c>
      <c r="E7" s="56" t="s">
        <v>86</v>
      </c>
      <c r="F7" s="47"/>
      <c r="G7" s="18"/>
      <c r="H7" s="47"/>
      <c r="I7" s="47"/>
      <c r="J7" s="31" t="s">
        <v>97</v>
      </c>
      <c r="K7" s="31" t="s">
        <v>87</v>
      </c>
      <c r="L7" s="31"/>
      <c r="M7" s="31"/>
      <c r="N7" s="34"/>
      <c r="AA7" s="130"/>
      <c r="AB7" s="131"/>
      <c r="AC7" s="131"/>
    </row>
    <row r="8" spans="2:29" x14ac:dyDescent="0.25">
      <c r="B8" s="45"/>
      <c r="C8" s="55" t="s">
        <v>20</v>
      </c>
      <c r="D8" s="56" t="s">
        <v>4</v>
      </c>
      <c r="E8" s="32">
        <v>1000</v>
      </c>
      <c r="F8" s="47"/>
      <c r="G8" s="18"/>
      <c r="H8" s="47"/>
      <c r="I8" s="47"/>
      <c r="J8" s="46"/>
      <c r="K8" s="46"/>
      <c r="L8" s="31"/>
      <c r="M8" s="31"/>
      <c r="N8" s="34"/>
      <c r="AA8" s="130"/>
      <c r="AB8" s="131"/>
      <c r="AC8" s="131"/>
    </row>
    <row r="9" spans="2:29" x14ac:dyDescent="0.25">
      <c r="B9" s="45"/>
      <c r="E9" s="32"/>
      <c r="F9" s="47"/>
      <c r="G9" s="18"/>
      <c r="H9" s="47"/>
      <c r="I9" s="32" t="s">
        <v>64</v>
      </c>
      <c r="J9" s="46"/>
      <c r="K9" s="46"/>
      <c r="L9" s="31"/>
      <c r="M9" s="31"/>
      <c r="N9" s="34"/>
      <c r="AA9" s="130"/>
      <c r="AB9" s="131"/>
      <c r="AC9" s="131"/>
    </row>
    <row r="10" spans="2:29" x14ac:dyDescent="0.25">
      <c r="B10" s="45" t="s">
        <v>25</v>
      </c>
      <c r="C10" s="55"/>
      <c r="D10" s="32"/>
      <c r="E10" s="32"/>
      <c r="F10" s="47"/>
      <c r="G10" s="18"/>
      <c r="H10" s="47"/>
      <c r="I10" s="47"/>
      <c r="J10" s="46"/>
      <c r="K10" s="46"/>
      <c r="L10" s="31"/>
      <c r="M10" s="31"/>
      <c r="N10" s="34"/>
      <c r="AA10" s="130"/>
      <c r="AB10" s="131"/>
      <c r="AC10" s="131"/>
    </row>
    <row r="11" spans="2:29" x14ac:dyDescent="0.25">
      <c r="B11" s="45"/>
      <c r="C11" s="55" t="s">
        <v>88</v>
      </c>
      <c r="D11" s="32" t="s">
        <v>5</v>
      </c>
      <c r="E11" s="32">
        <f>0.4*241</f>
        <v>96.4</v>
      </c>
      <c r="F11" s="47"/>
      <c r="G11" s="18">
        <f>0.3*241</f>
        <v>72.3</v>
      </c>
      <c r="H11" s="47"/>
      <c r="I11" s="47"/>
      <c r="J11" s="31" t="s">
        <v>99</v>
      </c>
      <c r="K11" s="31" t="s">
        <v>100</v>
      </c>
      <c r="L11" s="31"/>
      <c r="M11" s="31"/>
      <c r="N11" s="34"/>
      <c r="AA11" s="130"/>
      <c r="AB11" s="131"/>
      <c r="AC11" s="131"/>
    </row>
    <row r="12" spans="2:29" x14ac:dyDescent="0.25">
      <c r="B12" s="45"/>
      <c r="C12" s="55" t="s">
        <v>14</v>
      </c>
      <c r="D12" s="32" t="s">
        <v>4</v>
      </c>
      <c r="E12" s="32">
        <v>752</v>
      </c>
      <c r="F12" s="47"/>
      <c r="G12" s="18"/>
      <c r="H12" s="47"/>
      <c r="I12" s="47"/>
      <c r="J12" s="31" t="s">
        <v>99</v>
      </c>
      <c r="K12" s="31" t="s">
        <v>90</v>
      </c>
      <c r="L12" s="31"/>
      <c r="M12" s="31"/>
      <c r="N12" s="34"/>
      <c r="AA12" s="130"/>
      <c r="AB12" s="131"/>
      <c r="AC12" s="131"/>
    </row>
    <row r="13" spans="2:29" x14ac:dyDescent="0.25">
      <c r="B13" s="45"/>
      <c r="C13" s="55" t="s">
        <v>91</v>
      </c>
      <c r="D13" s="32" t="s">
        <v>5</v>
      </c>
      <c r="E13" s="32">
        <v>4.8000000000000001E-2</v>
      </c>
      <c r="F13" s="47"/>
      <c r="G13" s="18"/>
      <c r="H13" s="47"/>
      <c r="I13" s="47"/>
      <c r="J13" s="31" t="s">
        <v>99</v>
      </c>
      <c r="K13" s="31" t="s">
        <v>92</v>
      </c>
      <c r="L13" s="31"/>
      <c r="M13" s="31"/>
      <c r="N13" s="34"/>
      <c r="AA13" s="130"/>
      <c r="AB13" s="131"/>
      <c r="AC13" s="131"/>
    </row>
    <row r="14" spans="2:29" x14ac:dyDescent="0.25">
      <c r="B14" s="35" t="s">
        <v>26</v>
      </c>
      <c r="C14" s="55" t="s">
        <v>89</v>
      </c>
      <c r="D14" s="32" t="s">
        <v>5</v>
      </c>
      <c r="E14" s="32">
        <f>1%*E11*60%</f>
        <v>0.57840000000000003</v>
      </c>
      <c r="F14" s="47"/>
      <c r="G14" s="18"/>
      <c r="H14" s="47"/>
      <c r="I14" s="47"/>
      <c r="J14" s="46"/>
      <c r="K14" s="31" t="s">
        <v>101</v>
      </c>
      <c r="L14" s="31"/>
      <c r="M14" s="31"/>
      <c r="N14" s="34"/>
      <c r="AA14" s="130"/>
      <c r="AB14" s="131"/>
      <c r="AC14" s="131"/>
    </row>
    <row r="15" spans="2:29" x14ac:dyDescent="0.25">
      <c r="B15" s="45"/>
      <c r="C15" s="55"/>
      <c r="D15" s="32"/>
      <c r="E15" s="32"/>
      <c r="F15" s="47"/>
      <c r="G15" s="18"/>
      <c r="H15" s="47"/>
      <c r="I15" s="47"/>
      <c r="J15" s="46"/>
      <c r="K15" s="46"/>
      <c r="L15" s="31"/>
      <c r="M15" s="31"/>
      <c r="N15" s="34"/>
      <c r="AA15" s="130"/>
      <c r="AB15" s="131"/>
      <c r="AC15" s="131"/>
    </row>
    <row r="16" spans="2:29" x14ac:dyDescent="0.25">
      <c r="B16" s="45"/>
      <c r="C16" s="55"/>
      <c r="D16" s="32"/>
      <c r="E16" s="32"/>
      <c r="F16" s="47"/>
      <c r="G16" s="18"/>
      <c r="H16" s="47"/>
      <c r="I16" s="47"/>
      <c r="J16" s="46"/>
      <c r="K16" s="46"/>
      <c r="L16" s="31"/>
      <c r="M16" s="31"/>
      <c r="N16" s="34"/>
      <c r="AA16" s="130"/>
      <c r="AB16" s="131"/>
      <c r="AC16" s="131"/>
    </row>
    <row r="17" spans="2:29" x14ac:dyDescent="0.25">
      <c r="B17" s="44" t="s">
        <v>113</v>
      </c>
      <c r="C17" s="55"/>
      <c r="D17" s="32"/>
      <c r="E17" s="52"/>
      <c r="F17" s="47"/>
      <c r="G17" s="18"/>
      <c r="H17" s="47"/>
      <c r="I17" s="47"/>
      <c r="L17" s="31"/>
      <c r="M17" s="31"/>
      <c r="N17" s="34"/>
      <c r="AA17" s="130"/>
      <c r="AB17" s="131"/>
      <c r="AC17" s="131"/>
    </row>
    <row r="18" spans="2:29" x14ac:dyDescent="0.25">
      <c r="B18" s="29" t="s">
        <v>24</v>
      </c>
      <c r="C18" s="55"/>
      <c r="D18" s="52"/>
      <c r="E18" s="52"/>
      <c r="F18" s="47"/>
      <c r="G18" s="18"/>
      <c r="H18" s="47"/>
      <c r="I18" s="47"/>
      <c r="J18" s="46"/>
      <c r="K18" s="46"/>
      <c r="L18" s="31"/>
      <c r="M18" s="31"/>
      <c r="N18" s="34"/>
      <c r="AA18" s="130"/>
      <c r="AB18" s="131"/>
      <c r="AC18" s="131"/>
    </row>
    <row r="19" spans="2:29" x14ac:dyDescent="0.25">
      <c r="B19" s="45"/>
      <c r="C19" s="55" t="s">
        <v>88</v>
      </c>
      <c r="D19" s="56" t="s">
        <v>5</v>
      </c>
      <c r="E19" s="32">
        <f>E11-E15-(2%*E11)</f>
        <v>94.472000000000008</v>
      </c>
      <c r="F19" s="47"/>
      <c r="G19" s="18">
        <f>0.3*241</f>
        <v>72.3</v>
      </c>
      <c r="H19" s="47"/>
      <c r="I19" s="47"/>
      <c r="J19" s="31"/>
      <c r="K19" s="31" t="s">
        <v>102</v>
      </c>
      <c r="L19" s="31"/>
      <c r="M19" s="31"/>
      <c r="N19" s="34"/>
      <c r="AA19" s="130"/>
      <c r="AB19" s="131"/>
      <c r="AC19" s="131"/>
    </row>
    <row r="20" spans="2:29" x14ac:dyDescent="0.25">
      <c r="B20" s="45" t="s">
        <v>25</v>
      </c>
      <c r="C20" s="55"/>
      <c r="D20" s="52"/>
      <c r="E20" s="52"/>
      <c r="F20" s="47"/>
      <c r="G20" s="18"/>
      <c r="H20" s="47"/>
      <c r="I20" s="47"/>
      <c r="J20" s="31"/>
      <c r="K20" s="46"/>
      <c r="L20" s="31"/>
      <c r="M20" s="31"/>
      <c r="N20" s="34"/>
      <c r="AA20" s="130"/>
      <c r="AB20" s="131"/>
      <c r="AC20" s="131"/>
    </row>
    <row r="21" spans="2:29" x14ac:dyDescent="0.25">
      <c r="B21" s="45"/>
      <c r="C21" s="55" t="s">
        <v>107</v>
      </c>
      <c r="D21" s="56" t="s">
        <v>15</v>
      </c>
      <c r="E21" s="32">
        <f>E11/0.42</f>
        <v>229.52380952380955</v>
      </c>
      <c r="F21" s="32">
        <v>5.85</v>
      </c>
      <c r="G21" s="18">
        <f>G11/0.41</f>
        <v>176.34146341463415</v>
      </c>
      <c r="H21" s="47"/>
      <c r="I21" s="47"/>
      <c r="J21" s="31" t="s">
        <v>111</v>
      </c>
      <c r="K21" s="31" t="s">
        <v>109</v>
      </c>
      <c r="L21" s="31"/>
      <c r="M21" s="31"/>
      <c r="N21" s="34"/>
      <c r="AA21" s="130"/>
      <c r="AB21" s="131"/>
      <c r="AC21" s="131"/>
    </row>
    <row r="22" spans="2:29" x14ac:dyDescent="0.25">
      <c r="B22" s="45"/>
      <c r="C22" s="55" t="s">
        <v>112</v>
      </c>
      <c r="D22" s="56" t="s">
        <v>7</v>
      </c>
      <c r="E22" s="32">
        <f>5.1568*E21</f>
        <v>1183.6083809523809</v>
      </c>
      <c r="F22" s="47"/>
      <c r="G22" s="18">
        <f>5.168*G21</f>
        <v>911.33268292682931</v>
      </c>
      <c r="H22" s="47"/>
      <c r="I22" s="47"/>
      <c r="J22" s="31"/>
      <c r="K22" s="46"/>
      <c r="L22" s="31"/>
      <c r="M22" s="31"/>
      <c r="N22" s="34"/>
      <c r="AA22" s="130"/>
      <c r="AB22" s="131"/>
      <c r="AC22" s="131"/>
    </row>
    <row r="23" spans="2:29" x14ac:dyDescent="0.25">
      <c r="B23" s="45"/>
      <c r="C23" s="55" t="s">
        <v>170</v>
      </c>
      <c r="D23" s="56" t="s">
        <v>7</v>
      </c>
      <c r="E23" s="52">
        <f>0.75*E22</f>
        <v>887.70628571428574</v>
      </c>
      <c r="F23" s="47"/>
      <c r="G23" s="18">
        <f>0.75*G22</f>
        <v>683.49951219512195</v>
      </c>
      <c r="H23" s="32" t="s">
        <v>172</v>
      </c>
      <c r="I23" s="47"/>
      <c r="J23" s="31"/>
      <c r="K23" s="46"/>
      <c r="L23" s="31"/>
      <c r="M23" s="31"/>
      <c r="N23" s="34"/>
      <c r="AA23" s="130"/>
      <c r="AB23" s="131"/>
      <c r="AC23" s="131"/>
    </row>
    <row r="24" spans="2:29" x14ac:dyDescent="0.25">
      <c r="B24" s="45"/>
      <c r="C24" s="55" t="s">
        <v>171</v>
      </c>
      <c r="D24" s="56" t="s">
        <v>7</v>
      </c>
      <c r="E24" s="52">
        <f>E22-E23</f>
        <v>295.90209523809517</v>
      </c>
      <c r="F24" s="47"/>
      <c r="G24" s="18">
        <f>G22-G23</f>
        <v>227.83317073170736</v>
      </c>
      <c r="H24" s="47"/>
      <c r="I24" s="47"/>
      <c r="J24" s="31"/>
      <c r="K24" s="46"/>
      <c r="L24" s="31"/>
      <c r="M24" s="31"/>
      <c r="N24" s="34"/>
      <c r="AA24" s="130"/>
      <c r="AB24" s="131"/>
      <c r="AC24" s="131"/>
    </row>
    <row r="25" spans="2:29" x14ac:dyDescent="0.25">
      <c r="B25" s="45"/>
      <c r="C25" s="55"/>
      <c r="D25" s="56"/>
      <c r="E25" s="52"/>
      <c r="F25" s="47"/>
      <c r="G25" s="18"/>
      <c r="H25" s="47"/>
      <c r="I25" s="47"/>
      <c r="J25" s="31"/>
      <c r="K25" s="46"/>
      <c r="L25" s="31"/>
      <c r="M25" s="31"/>
      <c r="N25" s="34"/>
      <c r="AA25" s="130"/>
      <c r="AB25" s="131"/>
      <c r="AC25" s="131"/>
    </row>
    <row r="26" spans="2:29" x14ac:dyDescent="0.25">
      <c r="B26" s="44" t="s">
        <v>114</v>
      </c>
      <c r="C26" s="55"/>
      <c r="D26" s="32"/>
      <c r="E26" s="52"/>
      <c r="F26" s="47"/>
      <c r="G26" s="18"/>
      <c r="H26" s="47"/>
      <c r="I26" s="47"/>
      <c r="L26" s="31"/>
      <c r="M26" s="31"/>
      <c r="N26" s="34"/>
      <c r="AA26" s="130"/>
      <c r="AB26" s="131"/>
      <c r="AC26" s="131"/>
    </row>
    <row r="27" spans="2:29" x14ac:dyDescent="0.25">
      <c r="B27" s="29" t="s">
        <v>24</v>
      </c>
      <c r="C27" s="55"/>
      <c r="D27" s="52"/>
      <c r="E27" s="52"/>
      <c r="F27" s="47"/>
      <c r="G27" s="18"/>
      <c r="H27" s="47"/>
      <c r="I27" s="47"/>
      <c r="J27" s="46"/>
      <c r="K27" s="46"/>
      <c r="L27" s="31"/>
      <c r="M27" s="31"/>
      <c r="N27" s="34"/>
      <c r="AA27" s="130"/>
      <c r="AB27" s="131"/>
      <c r="AC27" s="131"/>
    </row>
    <row r="28" spans="2:29" x14ac:dyDescent="0.25">
      <c r="B28" s="45"/>
      <c r="C28" s="55" t="s">
        <v>88</v>
      </c>
      <c r="D28" s="56" t="s">
        <v>5</v>
      </c>
      <c r="E28" s="32">
        <f>E19</f>
        <v>94.472000000000008</v>
      </c>
      <c r="F28" s="47"/>
      <c r="G28" s="18">
        <v>72.3</v>
      </c>
      <c r="H28" s="47"/>
      <c r="I28" s="47"/>
      <c r="J28" s="31"/>
      <c r="K28" s="31" t="s">
        <v>102</v>
      </c>
      <c r="L28" s="31"/>
      <c r="M28" s="31"/>
      <c r="N28" s="34"/>
      <c r="AA28" s="130"/>
      <c r="AB28" s="131"/>
      <c r="AC28" s="131"/>
    </row>
    <row r="29" spans="2:29" x14ac:dyDescent="0.25">
      <c r="B29" s="45"/>
      <c r="C29" s="55"/>
      <c r="D29" s="52"/>
      <c r="E29" s="52"/>
      <c r="F29" s="47"/>
      <c r="G29" s="18"/>
      <c r="H29" s="47"/>
      <c r="I29" s="47"/>
      <c r="J29" s="31"/>
      <c r="K29" s="46"/>
      <c r="L29" s="31"/>
      <c r="M29" s="31"/>
      <c r="N29" s="34"/>
      <c r="AA29" s="130"/>
      <c r="AB29" s="131"/>
      <c r="AC29" s="131"/>
    </row>
    <row r="30" spans="2:29" x14ac:dyDescent="0.25">
      <c r="B30" s="45" t="s">
        <v>25</v>
      </c>
      <c r="C30" s="55"/>
      <c r="D30" s="52"/>
      <c r="E30" s="52"/>
      <c r="F30" s="47"/>
      <c r="G30" s="18"/>
      <c r="H30" s="47"/>
      <c r="I30" s="47"/>
      <c r="J30" s="31"/>
      <c r="K30" s="46"/>
      <c r="L30" s="31"/>
      <c r="M30" s="31"/>
      <c r="N30" s="34"/>
      <c r="AA30" s="130"/>
      <c r="AB30" s="131"/>
      <c r="AC30" s="131"/>
    </row>
    <row r="31" spans="2:29" x14ac:dyDescent="0.25">
      <c r="B31" s="45"/>
      <c r="C31" s="55" t="s">
        <v>120</v>
      </c>
      <c r="D31" s="56" t="s">
        <v>5</v>
      </c>
      <c r="E31" s="32">
        <f>E19*0.65</f>
        <v>61.406800000000004</v>
      </c>
      <c r="F31" s="32"/>
      <c r="G31" s="18">
        <f>G28*0.65</f>
        <v>46.994999999999997</v>
      </c>
      <c r="H31" s="47"/>
      <c r="I31" s="47"/>
      <c r="J31" s="31" t="s">
        <v>121</v>
      </c>
      <c r="K31" s="31" t="s">
        <v>167</v>
      </c>
      <c r="L31" s="31"/>
      <c r="M31" s="31"/>
      <c r="N31" s="34"/>
      <c r="AA31" s="130"/>
      <c r="AB31" s="131"/>
      <c r="AC31" s="131"/>
    </row>
    <row r="32" spans="2:29" x14ac:dyDescent="0.25">
      <c r="B32" s="45"/>
      <c r="C32" s="55" t="s">
        <v>122</v>
      </c>
      <c r="D32" s="56" t="s">
        <v>5</v>
      </c>
      <c r="E32" s="32">
        <v>-61.4</v>
      </c>
      <c r="F32" s="47"/>
      <c r="G32" s="18">
        <v>-46.994999999999997</v>
      </c>
      <c r="H32" s="47"/>
      <c r="I32" s="47"/>
      <c r="J32" s="31" t="s">
        <v>97</v>
      </c>
      <c r="K32" s="46"/>
      <c r="L32" s="31"/>
      <c r="M32" s="31"/>
      <c r="N32" s="34"/>
      <c r="AA32" s="130"/>
      <c r="AB32" s="131"/>
      <c r="AC32" s="131"/>
    </row>
    <row r="33" spans="2:29" x14ac:dyDescent="0.25">
      <c r="B33" s="45"/>
      <c r="C33" s="55"/>
      <c r="D33" s="52"/>
      <c r="E33" s="52"/>
      <c r="F33" s="47"/>
      <c r="G33" s="18"/>
      <c r="H33" s="47"/>
      <c r="I33" s="47"/>
      <c r="J33" s="31"/>
      <c r="K33" s="46"/>
      <c r="L33" s="31"/>
      <c r="M33" s="31"/>
      <c r="N33" s="34"/>
      <c r="AA33" s="130"/>
      <c r="AB33" s="131"/>
      <c r="AC33" s="131"/>
    </row>
    <row r="34" spans="2:29" x14ac:dyDescent="0.25">
      <c r="B34" s="45"/>
      <c r="C34" s="55"/>
      <c r="D34" s="52"/>
      <c r="E34" s="52"/>
      <c r="F34" s="47"/>
      <c r="G34" s="18"/>
      <c r="H34" s="47"/>
      <c r="I34" s="47"/>
      <c r="J34" s="31"/>
      <c r="K34" s="46"/>
      <c r="L34" s="31"/>
      <c r="M34" s="31"/>
      <c r="N34" s="34"/>
      <c r="AA34" s="130"/>
      <c r="AB34" s="131"/>
      <c r="AC34" s="131"/>
    </row>
    <row r="35" spans="2:29" x14ac:dyDescent="0.25">
      <c r="B35" s="44" t="s">
        <v>55</v>
      </c>
      <c r="C35" s="55"/>
      <c r="D35" s="52"/>
      <c r="E35" s="52"/>
      <c r="F35" s="47"/>
      <c r="G35" s="18"/>
      <c r="H35" s="77"/>
      <c r="I35" s="77"/>
      <c r="J35" s="31"/>
      <c r="K35" s="46"/>
      <c r="L35" s="31"/>
      <c r="M35" s="31"/>
      <c r="N35" s="34"/>
      <c r="AA35" s="130"/>
      <c r="AB35" s="131"/>
      <c r="AC35" s="131"/>
    </row>
    <row r="36" spans="2:29" x14ac:dyDescent="0.25">
      <c r="B36" s="45"/>
      <c r="C36" s="55"/>
      <c r="D36" s="52"/>
      <c r="E36" s="52"/>
      <c r="F36" s="47"/>
      <c r="G36" s="18"/>
      <c r="H36" s="77"/>
      <c r="I36" s="77"/>
      <c r="J36" s="31"/>
      <c r="K36" s="46"/>
      <c r="L36" s="31"/>
      <c r="M36" s="31"/>
      <c r="N36" s="34"/>
      <c r="AA36" s="130"/>
      <c r="AB36" s="131"/>
      <c r="AC36" s="131"/>
    </row>
    <row r="37" spans="2:29" x14ac:dyDescent="0.25">
      <c r="B37" s="29" t="s">
        <v>24</v>
      </c>
      <c r="C37" s="55"/>
      <c r="D37" s="32"/>
      <c r="E37" s="32"/>
      <c r="F37" s="32"/>
      <c r="G37" s="18"/>
      <c r="H37" s="33"/>
      <c r="I37" s="33"/>
      <c r="J37" s="31"/>
      <c r="K37" s="31"/>
      <c r="L37" s="31"/>
      <c r="M37" s="31"/>
      <c r="N37" s="34"/>
      <c r="AA37" s="130"/>
      <c r="AB37" s="131"/>
      <c r="AC37" s="131"/>
    </row>
    <row r="38" spans="2:29" x14ac:dyDescent="0.25">
      <c r="B38" s="29"/>
      <c r="C38" s="55" t="s">
        <v>14</v>
      </c>
      <c r="D38" s="32" t="s">
        <v>4</v>
      </c>
      <c r="E38" s="32">
        <v>742</v>
      </c>
      <c r="F38" s="32"/>
      <c r="G38" s="18"/>
      <c r="H38" s="33"/>
      <c r="I38" s="33"/>
      <c r="J38" s="31"/>
      <c r="K38" s="31"/>
      <c r="L38" s="31"/>
      <c r="M38" s="31"/>
      <c r="N38" s="34"/>
      <c r="AA38" s="130"/>
      <c r="AB38" s="131"/>
      <c r="AC38" s="131"/>
    </row>
    <row r="39" spans="2:29" x14ac:dyDescent="0.25">
      <c r="B39" s="24"/>
      <c r="C39" s="55" t="s">
        <v>56</v>
      </c>
      <c r="D39" s="1" t="s">
        <v>61</v>
      </c>
      <c r="E39" s="50">
        <f>7.41*10^-6</f>
        <v>7.4100000000000002E-6</v>
      </c>
      <c r="F39" s="32">
        <v>-11.814</v>
      </c>
      <c r="G39" s="18">
        <v>0.22</v>
      </c>
      <c r="H39" s="33"/>
      <c r="I39" s="33" t="s">
        <v>64</v>
      </c>
      <c r="J39" s="31" t="s">
        <v>57</v>
      </c>
      <c r="L39" s="31"/>
      <c r="M39" s="31"/>
      <c r="N39" s="34"/>
      <c r="AA39" s="130"/>
      <c r="AB39" s="131"/>
      <c r="AC39" s="131"/>
    </row>
    <row r="40" spans="2:29" x14ac:dyDescent="0.25">
      <c r="B40" s="35"/>
      <c r="C40" s="55" t="s">
        <v>65</v>
      </c>
      <c r="D40" s="33" t="s">
        <v>66</v>
      </c>
      <c r="E40" s="33">
        <v>0.35</v>
      </c>
      <c r="F40" s="32">
        <v>-1.04</v>
      </c>
      <c r="G40" s="18">
        <v>0.28000000000000003</v>
      </c>
      <c r="H40" s="33"/>
      <c r="I40" s="33" t="s">
        <v>64</v>
      </c>
      <c r="J40" s="31" t="s">
        <v>57</v>
      </c>
      <c r="K40" s="31"/>
      <c r="L40" s="31"/>
      <c r="M40" s="31"/>
      <c r="N40" s="34"/>
      <c r="AA40" s="130"/>
      <c r="AB40" s="131"/>
      <c r="AC40" s="131"/>
    </row>
    <row r="41" spans="2:29" x14ac:dyDescent="0.25">
      <c r="B41" s="35"/>
      <c r="C41" s="55" t="s">
        <v>21</v>
      </c>
      <c r="D41" s="32" t="s">
        <v>13</v>
      </c>
      <c r="E41" s="33">
        <f>123.33*(E38/1000)</f>
        <v>91.510859999999994</v>
      </c>
      <c r="F41" s="32"/>
      <c r="G41" s="18"/>
      <c r="H41" s="1" t="s">
        <v>23</v>
      </c>
      <c r="I41" s="1" t="s">
        <v>59</v>
      </c>
      <c r="J41" s="31"/>
      <c r="K41" s="31"/>
      <c r="L41" s="31"/>
      <c r="M41" s="31"/>
      <c r="N41" s="34"/>
      <c r="AA41" s="130"/>
      <c r="AB41" s="131"/>
      <c r="AC41" s="131"/>
    </row>
    <row r="42" spans="2:29" x14ac:dyDescent="0.25">
      <c r="B42" s="35"/>
      <c r="C42" s="55" t="s">
        <v>22</v>
      </c>
      <c r="D42" s="32" t="s">
        <v>15</v>
      </c>
      <c r="E42" s="32">
        <f>(50*(E38/1000))</f>
        <v>37.1</v>
      </c>
      <c r="F42" s="32"/>
      <c r="G42" s="18"/>
      <c r="H42" s="33"/>
      <c r="I42" s="33"/>
      <c r="J42" s="31"/>
      <c r="K42" s="31"/>
      <c r="L42" s="31"/>
      <c r="M42" s="31"/>
      <c r="N42" s="34"/>
      <c r="AA42" s="130"/>
      <c r="AB42" s="131"/>
      <c r="AC42" s="131"/>
    </row>
    <row r="43" spans="2:29" x14ac:dyDescent="0.25">
      <c r="B43" s="29" t="s">
        <v>25</v>
      </c>
      <c r="C43" s="55"/>
      <c r="D43" s="32"/>
      <c r="E43" s="31"/>
      <c r="F43" s="32"/>
      <c r="G43" s="18"/>
      <c r="H43" s="33"/>
      <c r="I43" s="33"/>
      <c r="J43" s="31"/>
      <c r="K43" s="31"/>
      <c r="L43" s="31"/>
      <c r="M43" s="31"/>
      <c r="N43" s="34"/>
      <c r="AA43" s="130"/>
      <c r="AB43" s="133"/>
      <c r="AC43" s="133"/>
    </row>
    <row r="44" spans="2:29" x14ac:dyDescent="0.25">
      <c r="B44" s="35"/>
      <c r="C44" s="55" t="s">
        <v>69</v>
      </c>
      <c r="D44" s="32" t="s">
        <v>4</v>
      </c>
      <c r="E44" s="32">
        <f>E73</f>
        <v>367.29</v>
      </c>
      <c r="F44" s="32"/>
      <c r="G44" s="18"/>
      <c r="H44" s="33"/>
      <c r="I44" s="33"/>
      <c r="J44" s="31"/>
      <c r="K44" s="31"/>
      <c r="L44" s="31"/>
      <c r="M44" s="31"/>
      <c r="N44" s="34"/>
      <c r="AA44" s="130"/>
      <c r="AB44" s="133"/>
      <c r="AC44" s="133"/>
    </row>
    <row r="45" spans="2:29" x14ac:dyDescent="0.25">
      <c r="B45" s="35" t="s">
        <v>26</v>
      </c>
      <c r="C45" s="30" t="s">
        <v>165</v>
      </c>
      <c r="D45" s="32" t="s">
        <v>46</v>
      </c>
      <c r="E45" s="43">
        <f>F79-(2.24%*F79)*(44/12)</f>
        <v>43.478683136000001</v>
      </c>
      <c r="F45" s="32"/>
      <c r="G45" s="18"/>
      <c r="H45" s="18"/>
      <c r="I45" s="18"/>
      <c r="J45" s="120"/>
      <c r="K45" s="31" t="s">
        <v>258</v>
      </c>
      <c r="L45" s="32"/>
      <c r="M45" s="33"/>
      <c r="N45" s="100" t="s">
        <v>27</v>
      </c>
      <c r="AA45" s="130"/>
      <c r="AB45" s="133"/>
      <c r="AC45" s="133"/>
    </row>
    <row r="46" spans="2:29" x14ac:dyDescent="0.25">
      <c r="B46" s="35"/>
      <c r="C46" s="30" t="s">
        <v>193</v>
      </c>
      <c r="D46" s="32" t="s">
        <v>46</v>
      </c>
      <c r="E46" s="43">
        <f>83%*F76*1.21</f>
        <v>0.21908603640000021</v>
      </c>
      <c r="F46" s="32"/>
      <c r="G46" s="18"/>
      <c r="H46" s="18"/>
      <c r="I46" s="18"/>
      <c r="J46" s="120"/>
      <c r="K46" t="s">
        <v>265</v>
      </c>
      <c r="L46" s="32"/>
      <c r="M46" s="33"/>
      <c r="N46" s="100" t="s">
        <v>28</v>
      </c>
      <c r="AA46" s="130"/>
      <c r="AB46" s="131"/>
      <c r="AC46" s="131"/>
    </row>
    <row r="47" spans="2:29" x14ac:dyDescent="0.25">
      <c r="B47" s="35"/>
      <c r="C47" s="30" t="s">
        <v>78</v>
      </c>
      <c r="D47" s="32" t="s">
        <v>46</v>
      </c>
      <c r="E47" s="43">
        <f>15%*F76*1.57</f>
        <v>5.1373854000000059E-2</v>
      </c>
      <c r="F47" s="32"/>
      <c r="G47" s="18"/>
      <c r="H47" s="18"/>
      <c r="I47" s="18"/>
      <c r="J47" s="120"/>
      <c r="K47" s="31" t="s">
        <v>259</v>
      </c>
      <c r="L47" s="32"/>
      <c r="M47" s="33"/>
      <c r="N47" s="100" t="s">
        <v>29</v>
      </c>
      <c r="AA47" s="130"/>
      <c r="AB47" s="131"/>
      <c r="AC47" s="131"/>
    </row>
    <row r="48" spans="2:29" x14ac:dyDescent="0.25">
      <c r="B48" s="35"/>
      <c r="C48" s="30" t="s">
        <v>52</v>
      </c>
      <c r="D48" s="32" t="s">
        <v>46</v>
      </c>
      <c r="E48" s="43">
        <f>2.24%*F79*(16/12)</f>
        <v>1.4147624960000003</v>
      </c>
      <c r="F48" s="32"/>
      <c r="G48" s="18"/>
      <c r="H48" s="18"/>
      <c r="I48" s="18"/>
      <c r="J48" s="120"/>
      <c r="K48" s="31" t="s">
        <v>260</v>
      </c>
      <c r="L48" s="32"/>
      <c r="M48" s="33"/>
      <c r="N48" s="100" t="s">
        <v>30</v>
      </c>
      <c r="AA48" s="130"/>
      <c r="AB48" s="131"/>
      <c r="AC48" s="131"/>
    </row>
    <row r="49" spans="2:29" x14ac:dyDescent="0.25">
      <c r="B49" s="35"/>
      <c r="C49" s="30" t="s">
        <v>261</v>
      </c>
      <c r="D49" s="32" t="s">
        <v>46</v>
      </c>
      <c r="E49" s="99">
        <f>F79*0.34%</f>
        <v>0.16105555200000002</v>
      </c>
      <c r="F49" s="32"/>
      <c r="G49" s="18"/>
      <c r="H49" s="18"/>
      <c r="I49" s="18"/>
      <c r="J49" s="33"/>
      <c r="K49" s="31" t="s">
        <v>262</v>
      </c>
      <c r="L49" s="32"/>
      <c r="M49" s="33"/>
      <c r="N49" s="42"/>
      <c r="AA49" s="130"/>
      <c r="AB49" s="133"/>
      <c r="AC49" s="133"/>
    </row>
    <row r="50" spans="2:29" x14ac:dyDescent="0.25">
      <c r="B50" s="44" t="s">
        <v>68</v>
      </c>
      <c r="C50" s="55"/>
      <c r="D50" s="32"/>
      <c r="E50" s="43"/>
      <c r="F50" s="32"/>
      <c r="G50" s="18"/>
      <c r="H50" s="18"/>
      <c r="I50" s="18"/>
      <c r="J50" s="33"/>
      <c r="K50" s="43"/>
      <c r="L50" s="32"/>
      <c r="M50" s="33"/>
      <c r="N50" s="42"/>
      <c r="AA50" s="130"/>
      <c r="AB50" s="133"/>
      <c r="AC50" s="133"/>
    </row>
    <row r="51" spans="2:29" x14ac:dyDescent="0.25">
      <c r="B51" s="29" t="s">
        <v>24</v>
      </c>
      <c r="C51" s="55"/>
      <c r="D51" s="32"/>
      <c r="E51" s="32"/>
      <c r="F51" s="32"/>
      <c r="G51" s="18"/>
      <c r="H51" s="33"/>
      <c r="I51" s="33"/>
      <c r="J51" s="31"/>
      <c r="K51" s="43"/>
      <c r="L51" s="32"/>
      <c r="M51" s="33"/>
      <c r="N51" s="42"/>
      <c r="AA51" s="130"/>
      <c r="AB51" s="133"/>
      <c r="AC51" s="133"/>
    </row>
    <row r="52" spans="2:29" x14ac:dyDescent="0.25">
      <c r="B52" s="24"/>
      <c r="C52" s="55" t="s">
        <v>69</v>
      </c>
      <c r="D52" s="1" t="s">
        <v>4</v>
      </c>
      <c r="E52" s="53">
        <f>E44</f>
        <v>367.29</v>
      </c>
      <c r="F52" s="32"/>
      <c r="G52" s="18"/>
      <c r="H52" s="33"/>
      <c r="I52" s="33"/>
      <c r="J52" s="31"/>
      <c r="K52" s="31"/>
      <c r="L52" s="31"/>
      <c r="M52" s="31"/>
      <c r="N52" s="34"/>
      <c r="AA52" s="130"/>
      <c r="AB52" s="133"/>
      <c r="AC52" s="133"/>
    </row>
    <row r="53" spans="2:29" x14ac:dyDescent="0.25">
      <c r="B53" s="35"/>
      <c r="C53" s="55" t="s">
        <v>70</v>
      </c>
      <c r="D53" s="33" t="s">
        <v>4</v>
      </c>
      <c r="E53" s="33">
        <f>E44</f>
        <v>367.29</v>
      </c>
      <c r="F53" s="32"/>
      <c r="G53" s="18"/>
      <c r="H53" s="33"/>
      <c r="I53" s="33"/>
      <c r="J53" s="31"/>
      <c r="K53" s="31" t="s">
        <v>71</v>
      </c>
      <c r="L53" s="31"/>
      <c r="M53" s="31"/>
      <c r="N53" s="34"/>
      <c r="AA53" s="130"/>
      <c r="AB53" s="133"/>
      <c r="AC53" s="133"/>
    </row>
    <row r="54" spans="2:29" x14ac:dyDescent="0.25">
      <c r="B54" s="35"/>
      <c r="C54" s="55" t="s">
        <v>72</v>
      </c>
      <c r="D54" s="32" t="s">
        <v>4</v>
      </c>
      <c r="E54" s="33">
        <v>-5.65</v>
      </c>
      <c r="F54" s="32"/>
      <c r="G54" s="18"/>
      <c r="H54" s="1"/>
      <c r="I54" s="1"/>
      <c r="J54" s="31"/>
      <c r="K54" s="31"/>
      <c r="L54" s="31"/>
      <c r="M54" s="31"/>
      <c r="N54" s="34"/>
      <c r="AA54" s="130"/>
      <c r="AB54" s="131"/>
      <c r="AC54" s="131"/>
    </row>
    <row r="55" spans="2:29" x14ac:dyDescent="0.25">
      <c r="B55" s="35"/>
      <c r="C55" s="55" t="s">
        <v>73</v>
      </c>
      <c r="D55" s="32" t="s">
        <v>4</v>
      </c>
      <c r="E55" s="32">
        <v>-10</v>
      </c>
      <c r="F55" s="32"/>
      <c r="G55" s="18"/>
      <c r="H55" s="33"/>
      <c r="I55" s="33"/>
      <c r="J55" s="31"/>
      <c r="K55" s="31"/>
      <c r="L55" s="31"/>
      <c r="M55" s="31"/>
      <c r="N55" s="34"/>
      <c r="AA55" s="130"/>
      <c r="AB55" s="131"/>
      <c r="AC55" s="131"/>
    </row>
    <row r="56" spans="2:29" x14ac:dyDescent="0.25">
      <c r="B56" s="35"/>
      <c r="C56" s="55" t="s">
        <v>74</v>
      </c>
      <c r="D56" s="32" t="s">
        <v>4</v>
      </c>
      <c r="E56" s="32">
        <v>-1.39</v>
      </c>
      <c r="F56" s="32"/>
      <c r="G56" s="18"/>
      <c r="H56" s="33"/>
      <c r="I56" s="33"/>
      <c r="J56" s="31" t="s">
        <v>75</v>
      </c>
      <c r="K56" s="31" t="s">
        <v>76</v>
      </c>
      <c r="L56" s="31"/>
      <c r="M56" s="31"/>
      <c r="N56" s="34"/>
      <c r="AA56" s="130"/>
      <c r="AB56" s="131"/>
      <c r="AC56" s="131"/>
    </row>
    <row r="57" spans="2:29" x14ac:dyDescent="0.25">
      <c r="B57" s="35"/>
      <c r="C57" s="55" t="s">
        <v>93</v>
      </c>
      <c r="D57" s="32" t="s">
        <v>94</v>
      </c>
      <c r="E57" s="32">
        <f>100*(E52/1000)</f>
        <v>36.728999999999999</v>
      </c>
      <c r="F57" s="32"/>
      <c r="G57" s="18"/>
      <c r="H57" s="33"/>
      <c r="I57" s="33"/>
      <c r="J57" s="31"/>
      <c r="K57" s="31" t="s">
        <v>95</v>
      </c>
      <c r="L57" s="31"/>
      <c r="M57" s="31"/>
      <c r="N57" s="34"/>
      <c r="AA57" s="130"/>
      <c r="AB57" s="133"/>
      <c r="AC57" s="133"/>
    </row>
    <row r="58" spans="2:29" x14ac:dyDescent="0.25">
      <c r="B58" s="35"/>
      <c r="C58" s="55"/>
      <c r="D58" s="32"/>
      <c r="E58" s="32"/>
      <c r="F58" s="32"/>
      <c r="G58" s="18"/>
      <c r="H58" s="33"/>
      <c r="I58" s="33"/>
      <c r="J58" s="31"/>
      <c r="K58" s="31"/>
      <c r="L58" s="31"/>
      <c r="M58" s="31"/>
      <c r="N58" s="34"/>
      <c r="AA58" s="130"/>
      <c r="AB58" s="133"/>
      <c r="AC58" s="133"/>
    </row>
    <row r="59" spans="2:29" x14ac:dyDescent="0.25">
      <c r="B59" s="29" t="s">
        <v>25</v>
      </c>
      <c r="C59" s="55"/>
      <c r="D59" s="32"/>
      <c r="E59" s="32"/>
      <c r="F59" s="32"/>
      <c r="G59" s="18"/>
      <c r="H59" s="33"/>
      <c r="I59" s="33"/>
      <c r="J59" s="31"/>
      <c r="K59" s="31"/>
      <c r="L59" s="31"/>
      <c r="M59" s="31"/>
      <c r="N59" s="34"/>
      <c r="AA59" s="130"/>
      <c r="AB59" s="131"/>
      <c r="AC59" s="131"/>
    </row>
    <row r="60" spans="2:29" x14ac:dyDescent="0.25">
      <c r="B60" s="35"/>
      <c r="C60" s="55" t="s">
        <v>77</v>
      </c>
      <c r="D60" s="32" t="s">
        <v>4</v>
      </c>
      <c r="E60" s="43">
        <f>E79*(44/12)-E63</f>
        <v>105.08085279999997</v>
      </c>
      <c r="F60" s="32"/>
      <c r="G60" s="18"/>
      <c r="H60" s="33"/>
      <c r="I60" s="33"/>
      <c r="J60" s="31" t="s">
        <v>75</v>
      </c>
      <c r="K60" s="31"/>
      <c r="L60" s="31"/>
      <c r="M60" s="31"/>
      <c r="N60" s="34"/>
      <c r="AA60" s="130"/>
      <c r="AB60" s="131"/>
      <c r="AC60" s="131"/>
    </row>
    <row r="61" spans="2:29" x14ac:dyDescent="0.25">
      <c r="B61" s="35"/>
      <c r="C61" s="55" t="s">
        <v>78</v>
      </c>
      <c r="D61" s="32" t="s">
        <v>4</v>
      </c>
      <c r="E61" s="43">
        <v>0.03</v>
      </c>
      <c r="F61" s="32"/>
      <c r="G61" s="18"/>
      <c r="H61" s="33"/>
      <c r="I61" s="33"/>
      <c r="J61" s="31" t="s">
        <v>75</v>
      </c>
      <c r="K61" s="31"/>
      <c r="L61" s="31"/>
      <c r="M61" s="31"/>
      <c r="N61" s="34"/>
      <c r="AA61" s="130"/>
      <c r="AB61" s="131"/>
      <c r="AC61" s="131"/>
    </row>
    <row r="62" spans="2:29" x14ac:dyDescent="0.25">
      <c r="B62" s="35"/>
      <c r="C62" s="55" t="s">
        <v>79</v>
      </c>
      <c r="D62" s="32" t="s">
        <v>4</v>
      </c>
      <c r="E62" s="43">
        <v>0.52</v>
      </c>
      <c r="F62" s="32"/>
      <c r="G62" s="18"/>
      <c r="H62" s="33"/>
      <c r="I62" s="33"/>
      <c r="J62" s="31" t="s">
        <v>75</v>
      </c>
      <c r="K62" s="31"/>
      <c r="L62" s="31"/>
      <c r="M62" s="31"/>
      <c r="N62" s="34"/>
      <c r="AA62" s="130"/>
      <c r="AB62" s="131"/>
      <c r="AC62" s="131"/>
    </row>
    <row r="63" spans="2:29" x14ac:dyDescent="0.25">
      <c r="B63" s="35"/>
      <c r="C63" s="55" t="s">
        <v>80</v>
      </c>
      <c r="D63" s="32" t="s">
        <v>4</v>
      </c>
      <c r="E63" s="43">
        <f>23%*E79*(44/12)</f>
        <v>31.387787199999991</v>
      </c>
      <c r="F63" s="32"/>
      <c r="H63" s="33"/>
      <c r="I63" s="33"/>
      <c r="J63" s="31" t="s">
        <v>75</v>
      </c>
      <c r="K63" s="31" t="s">
        <v>106</v>
      </c>
      <c r="L63" s="31"/>
      <c r="M63" s="31"/>
      <c r="N63" s="34"/>
      <c r="AA63" s="130"/>
      <c r="AB63" s="131"/>
      <c r="AC63" s="131"/>
    </row>
    <row r="64" spans="2:29" x14ac:dyDescent="0.25">
      <c r="B64" s="36"/>
      <c r="C64" s="37"/>
      <c r="D64" s="38"/>
      <c r="E64" s="38"/>
      <c r="F64" s="39"/>
      <c r="G64" s="40"/>
      <c r="H64" s="40"/>
      <c r="I64" s="38"/>
      <c r="J64" s="38"/>
      <c r="K64" s="38"/>
      <c r="L64" s="38"/>
      <c r="M64" s="38"/>
      <c r="N64" s="41"/>
      <c r="AA64" s="130"/>
      <c r="AB64" s="131"/>
      <c r="AC64" s="131"/>
    </row>
    <row r="65" spans="2:29" x14ac:dyDescent="0.25">
      <c r="AA65" s="130"/>
      <c r="AB65" s="131"/>
      <c r="AC65" s="131"/>
    </row>
    <row r="66" spans="2:29" x14ac:dyDescent="0.25">
      <c r="AA66" s="130"/>
      <c r="AB66" s="131"/>
      <c r="AC66" s="131"/>
    </row>
    <row r="67" spans="2:29" x14ac:dyDescent="0.25">
      <c r="AA67" s="130"/>
      <c r="AB67" s="133"/>
      <c r="AC67" s="133"/>
    </row>
    <row r="68" spans="2:29" x14ac:dyDescent="0.25">
      <c r="B68" s="9" t="s">
        <v>53</v>
      </c>
      <c r="C68" s="6"/>
      <c r="D68" s="7"/>
      <c r="E68" s="7"/>
      <c r="F68" s="8"/>
      <c r="G68" s="8"/>
      <c r="H68" s="8"/>
      <c r="I68" s="7"/>
      <c r="J68" s="7"/>
      <c r="K68" s="7"/>
      <c r="L68" s="7"/>
      <c r="M68" s="7"/>
      <c r="N68" s="7"/>
      <c r="AA68" s="130"/>
      <c r="AB68" s="131"/>
      <c r="AC68" s="131"/>
    </row>
    <row r="69" spans="2:29" x14ac:dyDescent="0.25">
      <c r="AA69" s="130"/>
      <c r="AB69" s="131"/>
      <c r="AC69" s="131"/>
    </row>
    <row r="70" spans="2:29" x14ac:dyDescent="0.25">
      <c r="AA70" s="130"/>
      <c r="AB70" s="131"/>
      <c r="AC70" s="131"/>
    </row>
    <row r="71" spans="2:29" ht="30" x14ac:dyDescent="0.25">
      <c r="B71" s="114" t="s">
        <v>1</v>
      </c>
      <c r="C71" s="116" t="s">
        <v>51</v>
      </c>
      <c r="D71" s="2" t="s">
        <v>266</v>
      </c>
      <c r="E71" s="2" t="s">
        <v>8</v>
      </c>
      <c r="F71" s="2" t="s">
        <v>264</v>
      </c>
      <c r="G71" s="119" t="s">
        <v>263</v>
      </c>
      <c r="AA71" s="130"/>
      <c r="AB71" s="131"/>
      <c r="AC71" s="131"/>
    </row>
    <row r="72" spans="2:29" x14ac:dyDescent="0.25">
      <c r="B72" s="115"/>
      <c r="C72" s="117"/>
      <c r="D72" s="10" t="s">
        <v>9</v>
      </c>
      <c r="E72" s="97" t="s">
        <v>4</v>
      </c>
      <c r="F72" s="97" t="s">
        <v>4</v>
      </c>
      <c r="G72" s="119"/>
      <c r="AA72" s="130"/>
      <c r="AB72" s="131"/>
      <c r="AC72" s="131"/>
    </row>
    <row r="73" spans="2:29" x14ac:dyDescent="0.25">
      <c r="B73" s="10" t="s">
        <v>10</v>
      </c>
      <c r="C73" s="10"/>
      <c r="D73" s="10">
        <v>742</v>
      </c>
      <c r="E73" s="98">
        <f>(D73-50.5%*D73)</f>
        <v>367.29</v>
      </c>
      <c r="F73" s="98">
        <f>D73-E73</f>
        <v>374.71</v>
      </c>
      <c r="G73" s="119"/>
      <c r="AA73" s="130"/>
      <c r="AB73" s="131"/>
      <c r="AC73" s="131"/>
    </row>
    <row r="74" spans="2:29" x14ac:dyDescent="0.25">
      <c r="B74" s="3" t="s">
        <v>50</v>
      </c>
      <c r="C74" s="5">
        <v>0.3</v>
      </c>
      <c r="D74" s="4">
        <f>C74*D73</f>
        <v>222.6</v>
      </c>
      <c r="E74" s="98">
        <f>D74-41%*D74</f>
        <v>131.334</v>
      </c>
      <c r="F74" s="98">
        <f t="shared" ref="F74:F79" si="0">D74-E74</f>
        <v>91.265999999999991</v>
      </c>
      <c r="G74" s="119"/>
      <c r="AA74" s="130"/>
      <c r="AB74" s="133"/>
      <c r="AC74" s="133"/>
    </row>
    <row r="75" spans="2:29" x14ac:dyDescent="0.25">
      <c r="B75" s="3" t="s">
        <v>49</v>
      </c>
      <c r="C75" s="5">
        <v>0.16</v>
      </c>
      <c r="D75" s="4">
        <f>D74*C75</f>
        <v>35.616</v>
      </c>
      <c r="E75" s="98">
        <f>D75-55%*D75</f>
        <v>16.027199999999997</v>
      </c>
      <c r="F75" s="98">
        <f t="shared" si="0"/>
        <v>19.588800000000003</v>
      </c>
      <c r="G75" s="119"/>
      <c r="AA75" s="130"/>
      <c r="AB75" s="133"/>
      <c r="AC75" s="133"/>
    </row>
    <row r="76" spans="2:29" x14ac:dyDescent="0.25">
      <c r="B76" s="3" t="s">
        <v>11</v>
      </c>
      <c r="C76" s="59">
        <v>1.4E-2</v>
      </c>
      <c r="D76" s="4">
        <f>C76*D74</f>
        <v>3.1164000000000001</v>
      </c>
      <c r="E76" s="98">
        <f>D76-7%*D76</f>
        <v>2.8982519999999998</v>
      </c>
      <c r="F76" s="98">
        <f t="shared" si="0"/>
        <v>0.21814800000000023</v>
      </c>
      <c r="G76" s="119"/>
      <c r="AA76" s="130"/>
      <c r="AB76" s="133"/>
      <c r="AC76" s="133"/>
    </row>
    <row r="77" spans="2:29" x14ac:dyDescent="0.25">
      <c r="B77" s="3" t="s">
        <v>47</v>
      </c>
      <c r="C77" s="3"/>
      <c r="D77" s="4">
        <v>5.65</v>
      </c>
      <c r="E77" s="4">
        <v>5.65</v>
      </c>
      <c r="F77" s="98">
        <f t="shared" si="0"/>
        <v>0</v>
      </c>
      <c r="G77" s="119"/>
      <c r="AA77" s="130"/>
      <c r="AB77" s="133"/>
      <c r="AC77" s="131"/>
    </row>
    <row r="78" spans="2:29" x14ac:dyDescent="0.25">
      <c r="B78" s="3" t="s">
        <v>48</v>
      </c>
      <c r="C78" s="3"/>
      <c r="D78" s="4">
        <v>10</v>
      </c>
      <c r="E78" s="4">
        <v>10</v>
      </c>
      <c r="F78" s="98">
        <f t="shared" si="0"/>
        <v>0</v>
      </c>
      <c r="G78" s="119"/>
      <c r="AA78" s="130"/>
      <c r="AB78" s="133"/>
      <c r="AC78" s="133"/>
    </row>
    <row r="79" spans="2:29" x14ac:dyDescent="0.25">
      <c r="B79" s="3" t="s">
        <v>12</v>
      </c>
      <c r="C79" s="60">
        <v>0.38</v>
      </c>
      <c r="D79" s="4">
        <f>C79*D74</f>
        <v>84.587999999999994</v>
      </c>
      <c r="E79" s="98">
        <f>D79-56%*D79</f>
        <v>37.21871999999999</v>
      </c>
      <c r="F79" s="98">
        <f t="shared" si="0"/>
        <v>47.369280000000003</v>
      </c>
      <c r="G79" s="119"/>
      <c r="AA79" s="130"/>
      <c r="AB79" s="131"/>
      <c r="AC79" s="131"/>
    </row>
    <row r="80" spans="2:29" x14ac:dyDescent="0.25">
      <c r="AA80" s="130"/>
      <c r="AB80" s="133"/>
      <c r="AC80" s="133"/>
    </row>
    <row r="81" spans="27:29" x14ac:dyDescent="0.25">
      <c r="AA81" s="130"/>
      <c r="AB81" s="133"/>
      <c r="AC81" s="133"/>
    </row>
    <row r="82" spans="27:29" x14ac:dyDescent="0.25">
      <c r="AA82" s="130"/>
      <c r="AB82" s="133"/>
      <c r="AC82" s="133"/>
    </row>
    <row r="83" spans="27:29" x14ac:dyDescent="0.25">
      <c r="AA83" s="130"/>
      <c r="AB83" s="133"/>
      <c r="AC83" s="131"/>
    </row>
    <row r="84" spans="27:29" x14ac:dyDescent="0.25">
      <c r="AA84" s="130"/>
      <c r="AB84" s="133"/>
      <c r="AC84" s="133"/>
    </row>
    <row r="85" spans="27:29" x14ac:dyDescent="0.25">
      <c r="AA85" s="130"/>
      <c r="AB85" s="133"/>
      <c r="AC85" s="133"/>
    </row>
    <row r="86" spans="27:29" x14ac:dyDescent="0.25">
      <c r="AA86" s="130"/>
      <c r="AB86" s="131"/>
      <c r="AC86" s="131"/>
    </row>
    <row r="87" spans="27:29" x14ac:dyDescent="0.25">
      <c r="AA87" s="130"/>
      <c r="AB87" s="131"/>
      <c r="AC87" s="131"/>
    </row>
    <row r="88" spans="27:29" x14ac:dyDescent="0.25">
      <c r="AA88" s="130"/>
      <c r="AB88" s="131"/>
      <c r="AC88" s="131"/>
    </row>
    <row r="89" spans="27:29" x14ac:dyDescent="0.25">
      <c r="AA89" s="130"/>
      <c r="AB89" s="131"/>
      <c r="AC89" s="131"/>
    </row>
    <row r="90" spans="27:29" x14ac:dyDescent="0.25">
      <c r="AA90" s="130"/>
      <c r="AB90" s="131"/>
      <c r="AC90" s="131"/>
    </row>
    <row r="91" spans="27:29" x14ac:dyDescent="0.25">
      <c r="AA91" s="130"/>
      <c r="AB91" s="131"/>
      <c r="AC91" s="131"/>
    </row>
    <row r="92" spans="27:29" x14ac:dyDescent="0.25">
      <c r="AA92" s="130"/>
      <c r="AB92" s="131"/>
      <c r="AC92" s="131"/>
    </row>
  </sheetData>
  <mergeCells count="4">
    <mergeCell ref="B71:B72"/>
    <mergeCell ref="C71:C72"/>
    <mergeCell ref="G71:G79"/>
    <mergeCell ref="J45:J4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F554F-554B-450C-8BA6-0B316BACB71E}">
  <dimension ref="B1:N115"/>
  <sheetViews>
    <sheetView tabSelected="1" workbookViewId="0">
      <pane ySplit="4" topLeftCell="A71" activePane="bottomLeft" state="frozen"/>
      <selection pane="bottomLeft" activeCell="AL77" sqref="AL77"/>
    </sheetView>
  </sheetViews>
  <sheetFormatPr defaultRowHeight="15" x14ac:dyDescent="0.25"/>
  <cols>
    <col min="2" max="2" width="35" customWidth="1"/>
    <col min="3" max="3" width="65.140625" customWidth="1"/>
    <col min="4" max="4" width="21" customWidth="1"/>
    <col min="5" max="5" width="15.85546875" customWidth="1"/>
    <col min="6" max="6" width="14.7109375" customWidth="1"/>
    <col min="7" max="7" width="12" customWidth="1"/>
    <col min="8" max="8" width="13.7109375" customWidth="1"/>
    <col min="9" max="9" width="16" customWidth="1"/>
    <col min="10" max="10" width="26.5703125" customWidth="1"/>
    <col min="11" max="11" width="20.85546875" customWidth="1"/>
    <col min="12" max="12" width="26" customWidth="1"/>
    <col min="13" max="13" width="23.140625" customWidth="1"/>
    <col min="14" max="14" width="27.42578125" customWidth="1"/>
    <col min="21" max="21" width="10.85546875" customWidth="1"/>
  </cols>
  <sheetData>
    <row r="1" spans="2:14" ht="23.25" x14ac:dyDescent="0.35">
      <c r="B1" s="54" t="s">
        <v>115</v>
      </c>
      <c r="C1" t="s">
        <v>116</v>
      </c>
    </row>
    <row r="3" spans="2:14" x14ac:dyDescent="0.25">
      <c r="B3" s="19" t="s">
        <v>17</v>
      </c>
      <c r="C3" s="20"/>
      <c r="D3" s="21"/>
      <c r="E3" s="21"/>
      <c r="F3" s="22"/>
      <c r="G3" s="22"/>
      <c r="H3" s="22"/>
      <c r="I3" s="21"/>
      <c r="J3" s="21"/>
      <c r="K3" s="21"/>
      <c r="L3" s="21"/>
      <c r="M3" s="21"/>
      <c r="N3" s="23"/>
    </row>
    <row r="4" spans="2:14" x14ac:dyDescent="0.25">
      <c r="B4" s="44" t="s">
        <v>117</v>
      </c>
      <c r="C4" s="25" t="s">
        <v>60</v>
      </c>
      <c r="D4" s="25" t="s">
        <v>2</v>
      </c>
      <c r="E4" s="26" t="s">
        <v>110</v>
      </c>
      <c r="F4" s="26" t="s">
        <v>62</v>
      </c>
      <c r="G4" s="26" t="s">
        <v>63</v>
      </c>
      <c r="H4" s="26" t="s">
        <v>18</v>
      </c>
      <c r="I4" s="26" t="s">
        <v>58</v>
      </c>
      <c r="J4" s="26" t="s">
        <v>54</v>
      </c>
      <c r="K4" s="25" t="s">
        <v>19</v>
      </c>
      <c r="L4" s="27"/>
      <c r="M4" s="27"/>
      <c r="N4" s="28"/>
    </row>
    <row r="5" spans="2:14" x14ac:dyDescent="0.25">
      <c r="B5" s="45" t="s">
        <v>67</v>
      </c>
      <c r="C5" s="51" t="s">
        <v>20</v>
      </c>
      <c r="D5" s="52" t="s">
        <v>4</v>
      </c>
      <c r="E5" s="52">
        <v>1000</v>
      </c>
      <c r="F5" s="47"/>
      <c r="G5" s="18"/>
      <c r="H5" s="47"/>
      <c r="I5" s="47"/>
      <c r="J5" s="46"/>
      <c r="K5" s="46"/>
      <c r="L5" s="31"/>
      <c r="M5" s="31"/>
      <c r="N5" s="34"/>
    </row>
    <row r="6" spans="2:14" x14ac:dyDescent="0.25">
      <c r="B6" s="29" t="s">
        <v>24</v>
      </c>
      <c r="C6" s="51"/>
      <c r="D6" s="52"/>
      <c r="E6" s="52"/>
      <c r="F6" s="47"/>
      <c r="G6" s="18"/>
      <c r="H6" s="47"/>
      <c r="I6" s="47"/>
      <c r="J6" s="46"/>
      <c r="K6" s="46"/>
      <c r="L6" s="31"/>
      <c r="M6" s="31"/>
      <c r="N6" s="34"/>
    </row>
    <row r="7" spans="2:14" x14ac:dyDescent="0.25">
      <c r="B7" s="45"/>
      <c r="C7" s="55" t="s">
        <v>85</v>
      </c>
      <c r="D7" s="56" t="s">
        <v>61</v>
      </c>
      <c r="E7" s="56" t="s">
        <v>86</v>
      </c>
      <c r="F7" s="47"/>
      <c r="G7" s="18"/>
      <c r="H7" s="47"/>
      <c r="I7" s="47"/>
      <c r="J7" s="31" t="s">
        <v>97</v>
      </c>
      <c r="K7" s="31" t="s">
        <v>87</v>
      </c>
      <c r="L7" s="31"/>
      <c r="M7" s="31"/>
      <c r="N7" s="34"/>
    </row>
    <row r="8" spans="2:14" x14ac:dyDescent="0.25">
      <c r="B8" s="45"/>
      <c r="C8" s="55"/>
      <c r="D8" s="56"/>
      <c r="E8" s="56"/>
      <c r="F8" s="47"/>
      <c r="G8" s="18"/>
      <c r="H8" s="47"/>
      <c r="I8" s="47"/>
      <c r="J8" s="31"/>
      <c r="K8" s="31"/>
      <c r="L8" s="31"/>
      <c r="M8" s="31"/>
      <c r="N8" s="34"/>
    </row>
    <row r="9" spans="2:14" x14ac:dyDescent="0.25">
      <c r="B9" s="45"/>
      <c r="C9" s="55" t="s">
        <v>20</v>
      </c>
      <c r="D9" s="56" t="s">
        <v>4</v>
      </c>
      <c r="E9" s="32">
        <v>1000</v>
      </c>
      <c r="F9" s="47"/>
      <c r="G9" s="18"/>
      <c r="H9" s="47"/>
      <c r="I9" s="47"/>
      <c r="J9" s="46"/>
      <c r="K9" s="46"/>
      <c r="L9" s="31"/>
      <c r="M9" s="31"/>
      <c r="N9" s="34"/>
    </row>
    <row r="10" spans="2:14" x14ac:dyDescent="0.25">
      <c r="B10" s="45"/>
      <c r="C10" s="73" t="s">
        <v>118</v>
      </c>
      <c r="D10" s="56" t="s">
        <v>4</v>
      </c>
      <c r="E10" s="32">
        <v>3117.64</v>
      </c>
      <c r="F10" s="47"/>
      <c r="G10" s="18"/>
      <c r="H10" s="47"/>
      <c r="I10" s="47"/>
      <c r="J10" s="46"/>
      <c r="K10" s="46"/>
      <c r="L10" s="31"/>
      <c r="M10" s="31"/>
      <c r="N10" s="34"/>
    </row>
    <row r="11" spans="2:14" x14ac:dyDescent="0.25">
      <c r="B11" s="45"/>
      <c r="C11" s="55" t="s">
        <v>119</v>
      </c>
      <c r="D11" s="56" t="s">
        <v>4</v>
      </c>
      <c r="E11" s="32">
        <v>1176.46</v>
      </c>
      <c r="F11" s="47"/>
      <c r="G11" s="18"/>
      <c r="H11" s="47"/>
      <c r="I11" s="32" t="s">
        <v>64</v>
      </c>
      <c r="J11" s="46"/>
      <c r="K11" s="46"/>
      <c r="L11" s="31"/>
      <c r="M11" s="31"/>
      <c r="N11" s="34"/>
    </row>
    <row r="12" spans="2:14" x14ac:dyDescent="0.25">
      <c r="B12" s="45"/>
      <c r="C12" s="55" t="s">
        <v>123</v>
      </c>
      <c r="D12" s="56" t="s">
        <v>4</v>
      </c>
      <c r="E12" s="32">
        <v>549.47</v>
      </c>
      <c r="F12" s="47"/>
      <c r="G12" s="18"/>
      <c r="H12" s="47"/>
      <c r="I12" s="32"/>
      <c r="J12" s="31" t="s">
        <v>124</v>
      </c>
      <c r="K12" s="46"/>
      <c r="L12" s="31"/>
      <c r="M12" s="31"/>
      <c r="N12" s="34"/>
    </row>
    <row r="13" spans="2:14" x14ac:dyDescent="0.25">
      <c r="B13" s="45" t="s">
        <v>25</v>
      </c>
      <c r="C13" s="55"/>
      <c r="D13" s="32"/>
      <c r="E13" s="32"/>
      <c r="F13" s="47"/>
      <c r="G13" s="18"/>
      <c r="H13" s="47"/>
      <c r="I13" s="47"/>
      <c r="J13" s="46"/>
      <c r="K13" s="46"/>
      <c r="L13" s="31"/>
      <c r="M13" s="31"/>
      <c r="N13" s="34"/>
    </row>
    <row r="14" spans="2:14" x14ac:dyDescent="0.25">
      <c r="B14" s="45"/>
      <c r="C14" s="55" t="s">
        <v>88</v>
      </c>
      <c r="D14" s="32" t="s">
        <v>5</v>
      </c>
      <c r="E14" s="32">
        <v>97.38</v>
      </c>
      <c r="F14" s="78">
        <v>2.97</v>
      </c>
      <c r="G14" s="78">
        <v>33.979999999999997</v>
      </c>
      <c r="H14" s="47"/>
      <c r="I14" s="32" t="s">
        <v>175</v>
      </c>
      <c r="J14" s="31" t="s">
        <v>173</v>
      </c>
      <c r="K14" s="31" t="s">
        <v>174</v>
      </c>
      <c r="L14" s="31"/>
      <c r="M14" s="31"/>
      <c r="N14" s="34"/>
    </row>
    <row r="15" spans="2:14" x14ac:dyDescent="0.25">
      <c r="B15" s="45"/>
      <c r="C15" s="55" t="s">
        <v>14</v>
      </c>
      <c r="D15" s="32" t="s">
        <v>4</v>
      </c>
      <c r="E15" s="32">
        <v>4235.28</v>
      </c>
      <c r="F15" s="47"/>
      <c r="G15" s="18"/>
      <c r="H15" s="47"/>
      <c r="I15" s="47"/>
      <c r="J15" s="31" t="s">
        <v>173</v>
      </c>
      <c r="K15" s="31" t="s">
        <v>90</v>
      </c>
      <c r="L15" s="31"/>
      <c r="M15" s="31"/>
      <c r="N15" s="34"/>
    </row>
    <row r="16" spans="2:14" x14ac:dyDescent="0.25">
      <c r="B16" s="35" t="s">
        <v>26</v>
      </c>
      <c r="C16" s="55" t="s">
        <v>89</v>
      </c>
      <c r="D16" s="32" t="s">
        <v>5</v>
      </c>
      <c r="E16" s="32">
        <f>1%*E14*60%</f>
        <v>0.58428000000000002</v>
      </c>
      <c r="F16" s="47"/>
      <c r="G16" s="18"/>
      <c r="H16" s="47"/>
      <c r="I16" s="47"/>
      <c r="J16" s="46"/>
      <c r="K16" s="31" t="s">
        <v>101</v>
      </c>
      <c r="L16" s="31"/>
      <c r="M16" s="31"/>
      <c r="N16" s="34"/>
    </row>
    <row r="17" spans="2:14" x14ac:dyDescent="0.25">
      <c r="B17" s="45"/>
      <c r="C17" s="55"/>
      <c r="D17" s="32"/>
      <c r="E17" s="32"/>
      <c r="F17" s="47"/>
      <c r="G17" s="18"/>
      <c r="H17" s="47"/>
      <c r="I17" s="47"/>
      <c r="J17" s="46"/>
      <c r="K17" s="46"/>
      <c r="L17" s="31"/>
      <c r="M17" s="31"/>
      <c r="N17" s="34"/>
    </row>
    <row r="18" spans="2:14" x14ac:dyDescent="0.25">
      <c r="B18" s="121" t="s">
        <v>270</v>
      </c>
      <c r="C18" s="122"/>
      <c r="D18" s="122"/>
      <c r="E18" s="52"/>
      <c r="F18" s="47"/>
      <c r="G18" s="18"/>
      <c r="H18" s="47"/>
      <c r="I18" s="47"/>
      <c r="L18" s="31"/>
      <c r="M18" s="31"/>
      <c r="N18" s="34"/>
    </row>
    <row r="19" spans="2:14" x14ac:dyDescent="0.25">
      <c r="B19" s="61" t="s">
        <v>24</v>
      </c>
      <c r="C19" s="62"/>
      <c r="D19" s="63"/>
      <c r="E19" s="63"/>
      <c r="F19" s="64"/>
      <c r="G19" s="65"/>
      <c r="H19" s="64"/>
      <c r="I19" s="64"/>
      <c r="J19" s="66"/>
      <c r="K19" s="66"/>
      <c r="L19" s="67"/>
      <c r="M19" s="67"/>
      <c r="N19" s="68"/>
    </row>
    <row r="20" spans="2:14" x14ac:dyDescent="0.25">
      <c r="B20" s="61" t="s">
        <v>118</v>
      </c>
      <c r="C20" s="62"/>
      <c r="D20" s="63"/>
      <c r="E20" s="63"/>
      <c r="F20" s="64"/>
      <c r="G20" s="65"/>
      <c r="H20" s="64"/>
      <c r="I20" s="64"/>
      <c r="J20" s="66"/>
      <c r="K20" s="66"/>
      <c r="L20" s="67"/>
      <c r="M20" s="67"/>
      <c r="N20" s="68"/>
    </row>
    <row r="21" spans="2:14" x14ac:dyDescent="0.25">
      <c r="B21" s="61" t="s">
        <v>196</v>
      </c>
      <c r="C21" s="62" t="s">
        <v>118</v>
      </c>
      <c r="D21" s="70" t="s">
        <v>4</v>
      </c>
      <c r="E21" s="72">
        <v>-3117.64</v>
      </c>
      <c r="F21" s="64"/>
      <c r="G21" s="65"/>
      <c r="H21" s="64"/>
      <c r="I21" s="64"/>
      <c r="J21" s="66"/>
      <c r="K21" s="66"/>
      <c r="L21" s="67"/>
      <c r="M21" s="67"/>
      <c r="N21" s="68"/>
    </row>
    <row r="22" spans="2:14" x14ac:dyDescent="0.25">
      <c r="B22" s="61"/>
      <c r="C22" s="80" t="s">
        <v>193</v>
      </c>
      <c r="D22" s="70" t="s">
        <v>4</v>
      </c>
      <c r="E22" s="107">
        <f>0.9%*E21*2%*1.21</f>
        <v>-0.67902199200000013</v>
      </c>
      <c r="F22" s="64"/>
      <c r="G22" s="65"/>
      <c r="H22" s="64"/>
      <c r="I22" s="64"/>
      <c r="J22" s="66"/>
      <c r="K22" s="66"/>
      <c r="L22" s="67"/>
      <c r="M22" s="67"/>
      <c r="N22" s="68"/>
    </row>
    <row r="23" spans="2:14" x14ac:dyDescent="0.25">
      <c r="B23" s="61"/>
      <c r="C23" s="80" t="s">
        <v>52</v>
      </c>
      <c r="D23" s="70" t="s">
        <v>4</v>
      </c>
      <c r="E23" s="107">
        <f>0.17%*E21</f>
        <v>-5.2999879999999999</v>
      </c>
      <c r="F23" s="64"/>
      <c r="G23" s="65"/>
      <c r="H23" s="64"/>
      <c r="I23" s="64"/>
      <c r="J23" s="66"/>
      <c r="K23" s="66"/>
      <c r="L23" s="67"/>
      <c r="M23" s="67"/>
      <c r="N23" s="68"/>
    </row>
    <row r="24" spans="2:14" x14ac:dyDescent="0.25">
      <c r="B24" s="69" t="s">
        <v>176</v>
      </c>
      <c r="C24" s="62"/>
      <c r="D24" s="63"/>
      <c r="E24" s="63"/>
      <c r="F24" s="64"/>
      <c r="G24" s="65"/>
      <c r="H24" s="64"/>
      <c r="I24" s="64"/>
      <c r="J24" s="66"/>
      <c r="K24" s="66"/>
      <c r="L24" s="67"/>
      <c r="M24" s="67"/>
      <c r="N24" s="68"/>
    </row>
    <row r="25" spans="2:14" x14ac:dyDescent="0.25">
      <c r="B25" s="69" t="s">
        <v>24</v>
      </c>
      <c r="C25" s="62" t="s">
        <v>118</v>
      </c>
      <c r="D25" s="70" t="s">
        <v>4</v>
      </c>
      <c r="E25" s="72">
        <v>-3117.64</v>
      </c>
      <c r="F25" s="64"/>
      <c r="G25" s="65"/>
      <c r="H25" s="64"/>
      <c r="I25" s="64"/>
      <c r="J25" s="67" t="s">
        <v>97</v>
      </c>
      <c r="K25" s="67" t="s">
        <v>98</v>
      </c>
      <c r="L25" s="67"/>
      <c r="M25" s="67"/>
      <c r="N25" s="68"/>
    </row>
    <row r="26" spans="2:14" x14ac:dyDescent="0.25">
      <c r="B26" s="69"/>
      <c r="C26" s="62" t="s">
        <v>125</v>
      </c>
      <c r="D26" s="71" t="s">
        <v>94</v>
      </c>
      <c r="E26" s="70">
        <f>(E25*50)/1000</f>
        <v>-155.88200000000001</v>
      </c>
      <c r="F26" s="64"/>
      <c r="G26" s="65"/>
      <c r="H26" s="64"/>
      <c r="I26" s="64"/>
      <c r="J26" s="67"/>
      <c r="K26" s="67" t="s">
        <v>126</v>
      </c>
      <c r="L26" s="67"/>
      <c r="M26" s="67"/>
      <c r="N26" s="68"/>
    </row>
    <row r="27" spans="2:14" x14ac:dyDescent="0.25">
      <c r="B27" s="69"/>
      <c r="C27" s="62" t="s">
        <v>178</v>
      </c>
      <c r="D27" s="63" t="s">
        <v>4</v>
      </c>
      <c r="E27" s="72">
        <f>E25</f>
        <v>-3117.64</v>
      </c>
      <c r="F27" s="64"/>
      <c r="G27" s="65"/>
      <c r="H27" s="64"/>
      <c r="I27" s="64"/>
      <c r="J27" s="67"/>
      <c r="K27" s="67" t="s">
        <v>177</v>
      </c>
      <c r="L27" s="67"/>
      <c r="M27" s="67"/>
      <c r="N27" s="68"/>
    </row>
    <row r="28" spans="2:14" x14ac:dyDescent="0.25">
      <c r="B28" s="69"/>
      <c r="C28" s="62" t="s">
        <v>73</v>
      </c>
      <c r="D28" s="71" t="s">
        <v>4</v>
      </c>
      <c r="E28" s="70">
        <v>13.9</v>
      </c>
      <c r="F28" s="70"/>
      <c r="G28" s="65"/>
      <c r="H28" s="64"/>
      <c r="I28" s="64"/>
      <c r="J28" s="67"/>
      <c r="K28" s="67"/>
      <c r="L28" s="67"/>
      <c r="M28" s="67"/>
      <c r="N28" s="68"/>
    </row>
    <row r="29" spans="2:14" x14ac:dyDescent="0.25">
      <c r="B29" s="69"/>
      <c r="C29" s="62" t="s">
        <v>74</v>
      </c>
      <c r="D29" s="71" t="s">
        <v>4</v>
      </c>
      <c r="E29" s="70">
        <v>14.31</v>
      </c>
      <c r="F29" s="64"/>
      <c r="G29" s="65"/>
      <c r="H29" s="64"/>
      <c r="I29" s="64"/>
      <c r="J29" s="67"/>
      <c r="K29" s="66"/>
      <c r="L29" s="67"/>
      <c r="M29" s="67"/>
      <c r="N29" s="68"/>
    </row>
    <row r="30" spans="2:14" x14ac:dyDescent="0.25">
      <c r="B30" s="69"/>
      <c r="C30" s="62"/>
      <c r="D30" s="63"/>
      <c r="E30" s="63"/>
      <c r="F30" s="64"/>
      <c r="G30" s="65"/>
      <c r="H30" s="64"/>
      <c r="I30" s="64"/>
      <c r="J30" s="67"/>
      <c r="K30" s="66"/>
      <c r="L30" s="67"/>
      <c r="M30" s="67"/>
      <c r="N30" s="68"/>
    </row>
    <row r="31" spans="2:14" x14ac:dyDescent="0.25">
      <c r="B31" s="69" t="s">
        <v>25</v>
      </c>
      <c r="C31" s="62"/>
      <c r="D31" s="70"/>
      <c r="E31" s="70"/>
      <c r="F31" s="64"/>
      <c r="G31" s="65"/>
      <c r="H31" s="64"/>
      <c r="I31" s="64"/>
      <c r="J31" s="66"/>
      <c r="K31" s="66"/>
      <c r="L31" s="67"/>
      <c r="M31" s="67"/>
      <c r="N31" s="68"/>
    </row>
    <row r="32" spans="2:14" x14ac:dyDescent="0.25">
      <c r="B32" s="69"/>
      <c r="C32" s="80" t="s">
        <v>77</v>
      </c>
      <c r="D32" s="71" t="s">
        <v>4</v>
      </c>
      <c r="E32" s="70">
        <f>-80*3.67</f>
        <v>-293.60000000000002</v>
      </c>
      <c r="F32" s="64"/>
      <c r="G32" s="65"/>
      <c r="H32" s="64"/>
      <c r="I32" s="64"/>
      <c r="J32" s="66"/>
      <c r="K32" s="67" t="s">
        <v>195</v>
      </c>
      <c r="L32" s="67"/>
      <c r="M32" s="67"/>
      <c r="N32" s="68"/>
    </row>
    <row r="33" spans="2:14" x14ac:dyDescent="0.25">
      <c r="B33" s="69"/>
      <c r="C33" s="80" t="s">
        <v>79</v>
      </c>
      <c r="D33" s="71" t="s">
        <v>4</v>
      </c>
      <c r="E33" s="70">
        <v>-5.28</v>
      </c>
      <c r="F33" s="64"/>
      <c r="G33" s="65"/>
      <c r="H33" s="64"/>
      <c r="I33" s="64"/>
      <c r="J33" s="66"/>
      <c r="K33" s="67"/>
      <c r="L33" s="67"/>
      <c r="M33" s="67"/>
      <c r="N33" s="68"/>
    </row>
    <row r="34" spans="2:14" x14ac:dyDescent="0.25">
      <c r="B34" s="69"/>
      <c r="C34" s="80" t="s">
        <v>78</v>
      </c>
      <c r="D34" s="71" t="s">
        <v>4</v>
      </c>
      <c r="E34" s="70">
        <v>-0.26</v>
      </c>
      <c r="F34" s="64"/>
      <c r="G34" s="65"/>
      <c r="H34" s="64"/>
      <c r="I34" s="64"/>
      <c r="J34" s="66"/>
      <c r="K34" s="67"/>
      <c r="L34" s="67"/>
      <c r="M34" s="67"/>
      <c r="N34" s="68"/>
    </row>
    <row r="35" spans="2:14" x14ac:dyDescent="0.25">
      <c r="B35" s="69"/>
      <c r="C35" s="80" t="s">
        <v>193</v>
      </c>
      <c r="D35" s="71" t="s">
        <v>4</v>
      </c>
      <c r="E35" s="106">
        <f>(2.8/1000)*E25*(2/100)*1.215</f>
        <v>-0.21212422559999999</v>
      </c>
      <c r="F35" s="64"/>
      <c r="G35" s="65"/>
      <c r="H35" s="64"/>
      <c r="I35" s="64"/>
      <c r="J35" s="66"/>
      <c r="K35" s="67" t="s">
        <v>267</v>
      </c>
      <c r="L35" s="67"/>
      <c r="M35" s="67"/>
      <c r="N35" s="68"/>
    </row>
    <row r="36" spans="2:14" x14ac:dyDescent="0.25">
      <c r="B36" s="69"/>
      <c r="C36" s="80"/>
      <c r="D36" s="71"/>
      <c r="E36" s="106"/>
      <c r="F36" s="64"/>
      <c r="G36" s="65"/>
      <c r="H36" s="64"/>
      <c r="I36" s="64"/>
      <c r="J36" s="66"/>
      <c r="K36" s="67"/>
      <c r="L36" s="67"/>
      <c r="M36" s="67"/>
      <c r="N36" s="68"/>
    </row>
    <row r="37" spans="2:14" x14ac:dyDescent="0.25">
      <c r="B37" s="69" t="s">
        <v>119</v>
      </c>
      <c r="C37" s="80"/>
      <c r="D37" s="71"/>
      <c r="E37" s="70"/>
      <c r="F37" s="64"/>
      <c r="G37" s="65"/>
      <c r="H37" s="64"/>
      <c r="I37" s="64"/>
      <c r="J37" s="66"/>
      <c r="K37" s="67"/>
      <c r="L37" s="67"/>
      <c r="M37" s="67"/>
      <c r="N37" s="68"/>
    </row>
    <row r="38" spans="2:14" x14ac:dyDescent="0.25">
      <c r="B38" s="61" t="s">
        <v>196</v>
      </c>
      <c r="C38" s="62" t="s">
        <v>119</v>
      </c>
      <c r="D38" s="70" t="s">
        <v>4</v>
      </c>
      <c r="E38" s="72">
        <v>-1176.46</v>
      </c>
      <c r="F38" s="64"/>
      <c r="G38" s="65"/>
      <c r="H38" s="64"/>
      <c r="I38" s="64"/>
      <c r="J38" s="66"/>
      <c r="K38" s="66"/>
      <c r="L38" s="67"/>
      <c r="M38" s="67"/>
      <c r="N38" s="68"/>
    </row>
    <row r="39" spans="2:14" x14ac:dyDescent="0.25">
      <c r="B39" s="61"/>
      <c r="C39" s="80" t="s">
        <v>193</v>
      </c>
      <c r="D39" s="70" t="s">
        <v>4</v>
      </c>
      <c r="E39" s="107">
        <f>0.9%*E38*2%*1.21</f>
        <v>-0.25623298800000005</v>
      </c>
      <c r="F39" s="64"/>
      <c r="G39" s="65"/>
      <c r="H39" s="64"/>
      <c r="I39" s="64"/>
      <c r="J39" s="66"/>
      <c r="K39" s="66"/>
      <c r="L39" s="67"/>
      <c r="M39" s="67"/>
      <c r="N39" s="68"/>
    </row>
    <row r="40" spans="2:14" x14ac:dyDescent="0.25">
      <c r="B40" s="61"/>
      <c r="C40" s="80" t="s">
        <v>52</v>
      </c>
      <c r="D40" s="70" t="s">
        <v>4</v>
      </c>
      <c r="E40" s="107">
        <f>0.17%*E38</f>
        <v>-1.9999820000000001</v>
      </c>
      <c r="F40" s="64"/>
      <c r="G40" s="65"/>
      <c r="H40" s="64"/>
      <c r="I40" s="64"/>
      <c r="J40" s="66"/>
      <c r="K40" s="66"/>
      <c r="L40" s="67"/>
      <c r="M40" s="67"/>
      <c r="N40" s="68"/>
    </row>
    <row r="41" spans="2:14" ht="14.25" customHeight="1" x14ac:dyDescent="0.25">
      <c r="B41" s="69" t="s">
        <v>176</v>
      </c>
      <c r="C41" s="62"/>
      <c r="D41" s="63"/>
      <c r="E41" s="63"/>
      <c r="F41" s="64"/>
      <c r="G41" s="65"/>
      <c r="H41" s="64"/>
      <c r="I41" s="64"/>
      <c r="J41" s="66"/>
      <c r="K41" s="66"/>
      <c r="L41" s="67"/>
      <c r="M41" s="67"/>
      <c r="N41" s="68"/>
    </row>
    <row r="42" spans="2:14" x14ac:dyDescent="0.25">
      <c r="B42" s="69" t="s">
        <v>24</v>
      </c>
      <c r="C42" s="62" t="s">
        <v>118</v>
      </c>
      <c r="D42" s="70" t="s">
        <v>4</v>
      </c>
      <c r="E42" s="72">
        <v>-1176.46</v>
      </c>
      <c r="F42" s="64"/>
      <c r="G42" s="65"/>
      <c r="H42" s="64"/>
      <c r="I42" s="64"/>
      <c r="J42" s="67" t="s">
        <v>97</v>
      </c>
      <c r="K42" s="67" t="s">
        <v>98</v>
      </c>
      <c r="L42" s="67"/>
      <c r="M42" s="67"/>
      <c r="N42" s="68"/>
    </row>
    <row r="43" spans="2:14" x14ac:dyDescent="0.25">
      <c r="B43" s="69"/>
      <c r="C43" s="62" t="s">
        <v>125</v>
      </c>
      <c r="D43" s="71" t="s">
        <v>94</v>
      </c>
      <c r="E43" s="70">
        <v>-235.2</v>
      </c>
      <c r="F43" s="64"/>
      <c r="G43" s="65"/>
      <c r="H43" s="64"/>
      <c r="I43" s="64"/>
      <c r="J43" s="67"/>
      <c r="K43" s="67" t="s">
        <v>164</v>
      </c>
      <c r="L43" s="67"/>
      <c r="M43" s="67"/>
      <c r="N43" s="68"/>
    </row>
    <row r="44" spans="2:14" x14ac:dyDescent="0.25">
      <c r="B44" s="69"/>
      <c r="C44" s="62" t="s">
        <v>178</v>
      </c>
      <c r="D44" s="63" t="s">
        <v>4</v>
      </c>
      <c r="E44" s="72">
        <f>E42</f>
        <v>-1176.46</v>
      </c>
      <c r="F44" s="64"/>
      <c r="G44" s="65"/>
      <c r="H44" s="64"/>
      <c r="I44" s="64"/>
      <c r="J44" s="67"/>
      <c r="K44" s="67" t="s">
        <v>177</v>
      </c>
      <c r="L44" s="67"/>
      <c r="M44" s="67"/>
      <c r="N44" s="68"/>
    </row>
    <row r="45" spans="2:14" x14ac:dyDescent="0.25">
      <c r="B45" s="69"/>
      <c r="C45" s="62" t="s">
        <v>73</v>
      </c>
      <c r="D45" s="71" t="s">
        <v>4</v>
      </c>
      <c r="E45" s="70">
        <v>13.9</v>
      </c>
      <c r="F45" s="70"/>
      <c r="G45" s="65"/>
      <c r="H45" s="64"/>
      <c r="I45" s="64"/>
      <c r="J45" s="67"/>
      <c r="K45" s="67"/>
      <c r="L45" s="67"/>
      <c r="M45" s="67"/>
      <c r="N45" s="68"/>
    </row>
    <row r="46" spans="2:14" x14ac:dyDescent="0.25">
      <c r="B46" s="69"/>
      <c r="C46" s="62" t="s">
        <v>268</v>
      </c>
      <c r="D46" s="71" t="s">
        <v>4</v>
      </c>
      <c r="E46" s="70">
        <v>10.45</v>
      </c>
      <c r="F46" s="64"/>
      <c r="G46" s="65"/>
      <c r="H46" s="64"/>
      <c r="I46" s="64"/>
      <c r="J46" s="67"/>
      <c r="K46" s="66"/>
      <c r="L46" s="67"/>
      <c r="M46" s="67"/>
      <c r="N46" s="68"/>
    </row>
    <row r="47" spans="2:14" x14ac:dyDescent="0.25">
      <c r="B47" s="69" t="s">
        <v>25</v>
      </c>
      <c r="C47" s="62"/>
      <c r="D47" s="70"/>
      <c r="E47" s="70"/>
      <c r="F47" s="64"/>
      <c r="G47" s="65"/>
      <c r="H47" s="64"/>
      <c r="I47" s="64"/>
      <c r="J47" s="66"/>
      <c r="K47" s="66"/>
      <c r="L47" s="67"/>
      <c r="M47" s="67"/>
      <c r="N47" s="68"/>
    </row>
    <row r="48" spans="2:14" x14ac:dyDescent="0.25">
      <c r="B48" s="69"/>
      <c r="C48" s="80" t="s">
        <v>77</v>
      </c>
      <c r="D48" s="71" t="s">
        <v>4</v>
      </c>
      <c r="E48" s="70">
        <f>-137.65*3.67</f>
        <v>-505.1755</v>
      </c>
      <c r="F48" s="64"/>
      <c r="G48" s="65"/>
      <c r="H48" s="64"/>
      <c r="I48" s="64"/>
      <c r="J48" s="66"/>
      <c r="K48" s="67" t="s">
        <v>195</v>
      </c>
      <c r="L48" s="67"/>
      <c r="M48" s="67"/>
      <c r="N48" s="68"/>
    </row>
    <row r="49" spans="2:14" x14ac:dyDescent="0.25">
      <c r="B49" s="69"/>
      <c r="C49" s="80" t="s">
        <v>79</v>
      </c>
      <c r="D49" s="71" t="s">
        <v>4</v>
      </c>
      <c r="E49" s="70">
        <v>-4.53</v>
      </c>
      <c r="F49" s="64"/>
      <c r="G49" s="65"/>
      <c r="H49" s="64"/>
      <c r="I49" s="64"/>
      <c r="J49" s="66"/>
      <c r="K49" s="67"/>
      <c r="L49" s="67"/>
      <c r="M49" s="67"/>
      <c r="N49" s="68"/>
    </row>
    <row r="50" spans="2:14" x14ac:dyDescent="0.25">
      <c r="B50" s="69"/>
      <c r="C50" s="80" t="s">
        <v>193</v>
      </c>
      <c r="D50" s="71" t="s">
        <v>4</v>
      </c>
      <c r="E50" s="105">
        <f>(1.53/1000)*E38*(2/100)*1.215</f>
        <v>-4.3739606340000008E-2</v>
      </c>
      <c r="F50" s="64"/>
      <c r="G50" s="65"/>
      <c r="H50" s="64"/>
      <c r="I50" s="64"/>
      <c r="J50" s="66"/>
      <c r="K50" s="67"/>
      <c r="L50" s="67"/>
      <c r="M50" s="67"/>
      <c r="N50" s="68"/>
    </row>
    <row r="51" spans="2:14" x14ac:dyDescent="0.25">
      <c r="B51" s="69"/>
      <c r="C51" s="62" t="s">
        <v>78</v>
      </c>
      <c r="D51" s="71" t="s">
        <v>4</v>
      </c>
      <c r="E51" s="70">
        <v>-0.22</v>
      </c>
      <c r="F51" s="64"/>
      <c r="G51" s="65"/>
      <c r="H51" s="64"/>
      <c r="I51" s="64"/>
      <c r="J51" s="66"/>
      <c r="K51" s="66"/>
      <c r="L51" s="67"/>
      <c r="M51" s="67"/>
      <c r="N51" s="68"/>
    </row>
    <row r="52" spans="2:14" x14ac:dyDescent="0.25">
      <c r="B52" s="44" t="s">
        <v>168</v>
      </c>
      <c r="D52" s="32"/>
      <c r="E52" s="52"/>
      <c r="F52" s="47"/>
      <c r="G52" s="18"/>
      <c r="H52" s="47"/>
      <c r="I52" s="47"/>
      <c r="L52" s="31"/>
      <c r="M52" s="31"/>
      <c r="N52" s="34"/>
    </row>
    <row r="53" spans="2:14" x14ac:dyDescent="0.25">
      <c r="B53" s="29" t="s">
        <v>24</v>
      </c>
      <c r="D53" s="52"/>
      <c r="E53" s="52"/>
      <c r="F53" s="47"/>
      <c r="G53" s="18"/>
      <c r="H53" s="47"/>
      <c r="I53" s="47"/>
      <c r="J53" s="46"/>
      <c r="K53" s="46"/>
      <c r="L53" s="31"/>
      <c r="M53" s="31"/>
      <c r="N53" s="34"/>
    </row>
    <row r="54" spans="2:14" x14ac:dyDescent="0.25">
      <c r="B54" s="45"/>
      <c r="C54" s="55" t="s">
        <v>88</v>
      </c>
      <c r="D54" s="32"/>
      <c r="E54" s="52"/>
      <c r="F54" s="47"/>
      <c r="G54" s="18"/>
      <c r="H54" s="47"/>
      <c r="I54" s="47"/>
      <c r="J54" s="31" t="s">
        <v>97</v>
      </c>
      <c r="K54" s="31" t="s">
        <v>98</v>
      </c>
      <c r="L54" s="31"/>
      <c r="M54" s="31"/>
      <c r="N54" s="34"/>
    </row>
    <row r="55" spans="2:14" x14ac:dyDescent="0.25">
      <c r="B55" s="45"/>
      <c r="C55" s="55"/>
      <c r="D55" s="56" t="s">
        <v>5</v>
      </c>
      <c r="E55" s="32">
        <f>E14-E16-(2%*E14)</f>
        <v>94.848119999999994</v>
      </c>
      <c r="F55" s="32">
        <v>2.97</v>
      </c>
      <c r="G55" s="18">
        <v>33.979999999999997</v>
      </c>
      <c r="H55" s="47"/>
      <c r="I55" s="47"/>
      <c r="J55" s="31"/>
      <c r="K55" s="31" t="s">
        <v>102</v>
      </c>
      <c r="L55" s="31"/>
      <c r="M55" s="31"/>
      <c r="N55" s="34"/>
    </row>
    <row r="56" spans="2:14" x14ac:dyDescent="0.25">
      <c r="B56" s="45" t="s">
        <v>25</v>
      </c>
      <c r="C56" s="55"/>
      <c r="D56" s="52"/>
      <c r="E56" s="52"/>
      <c r="F56" s="47"/>
      <c r="G56" s="18"/>
      <c r="H56" s="47"/>
      <c r="I56" s="47"/>
      <c r="J56" s="31"/>
      <c r="K56" s="46"/>
      <c r="L56" s="31"/>
      <c r="M56" s="31"/>
      <c r="N56" s="34"/>
    </row>
    <row r="57" spans="2:14" x14ac:dyDescent="0.25">
      <c r="B57" s="45"/>
      <c r="C57" s="55" t="s">
        <v>107</v>
      </c>
      <c r="D57" s="56" t="s">
        <v>15</v>
      </c>
      <c r="E57" s="43">
        <f>E55/0.42</f>
        <v>225.82885714285715</v>
      </c>
      <c r="F57" s="43">
        <f>F55/0.42</f>
        <v>7.0714285714285721</v>
      </c>
      <c r="G57" s="79">
        <f>G55/0.42</f>
        <v>80.904761904761898</v>
      </c>
      <c r="H57" s="47"/>
      <c r="I57" s="47"/>
      <c r="J57" s="31" t="s">
        <v>111</v>
      </c>
      <c r="K57" s="31" t="s">
        <v>109</v>
      </c>
      <c r="L57" s="31"/>
      <c r="M57" s="31"/>
      <c r="N57" s="34"/>
    </row>
    <row r="58" spans="2:14" x14ac:dyDescent="0.25">
      <c r="B58" s="45"/>
      <c r="C58" s="55" t="s">
        <v>112</v>
      </c>
      <c r="D58" s="56" t="s">
        <v>7</v>
      </c>
      <c r="E58" s="43">
        <f>5.1568*E57</f>
        <v>1164.5542505142857</v>
      </c>
      <c r="F58" s="43">
        <f>5.1568*F57</f>
        <v>36.465942857142856</v>
      </c>
      <c r="G58" s="43">
        <f t="shared" ref="G58" si="0">5.1568*G57</f>
        <v>417.2096761904761</v>
      </c>
      <c r="H58" s="47"/>
      <c r="I58" s="47"/>
      <c r="J58" s="31"/>
      <c r="K58" s="46"/>
      <c r="L58" s="31"/>
      <c r="M58" s="31"/>
      <c r="N58" s="34"/>
    </row>
    <row r="59" spans="2:14" x14ac:dyDescent="0.25">
      <c r="B59" s="45"/>
      <c r="C59" s="55" t="s">
        <v>170</v>
      </c>
      <c r="D59" s="56" t="s">
        <v>7</v>
      </c>
      <c r="E59" s="43">
        <f>0.75*E58</f>
        <v>873.41568788571431</v>
      </c>
      <c r="F59" s="43">
        <f>0.75*F58</f>
        <v>27.34945714285714</v>
      </c>
      <c r="G59" s="43">
        <f t="shared" ref="G59" si="1">0.75*G58</f>
        <v>312.90725714285708</v>
      </c>
      <c r="H59" s="47"/>
      <c r="I59" s="47"/>
      <c r="J59" s="31"/>
      <c r="K59" s="46"/>
      <c r="L59" s="31"/>
      <c r="M59" s="31"/>
      <c r="N59" s="34"/>
    </row>
    <row r="60" spans="2:14" x14ac:dyDescent="0.25">
      <c r="B60" s="45"/>
      <c r="C60" s="55" t="s">
        <v>171</v>
      </c>
      <c r="D60" s="56" t="s">
        <v>7</v>
      </c>
      <c r="E60" s="43">
        <f>E58-E59</f>
        <v>291.13856262857144</v>
      </c>
      <c r="F60" s="43">
        <f>F58-F59</f>
        <v>9.1164857142857159</v>
      </c>
      <c r="G60" s="43">
        <f t="shared" ref="G60" si="2">G58-G59</f>
        <v>104.30241904761903</v>
      </c>
      <c r="H60" s="47"/>
      <c r="I60" s="47"/>
      <c r="J60" s="31"/>
      <c r="K60" s="46"/>
      <c r="L60" s="31"/>
      <c r="M60" s="31"/>
      <c r="N60" s="34"/>
    </row>
    <row r="61" spans="2:14" x14ac:dyDescent="0.25">
      <c r="B61" s="44" t="s">
        <v>169</v>
      </c>
      <c r="D61" s="32"/>
      <c r="E61" s="52"/>
      <c r="F61" s="47"/>
      <c r="G61" s="18"/>
      <c r="H61" s="47"/>
      <c r="I61" s="47"/>
      <c r="L61" s="31"/>
      <c r="M61" s="31"/>
      <c r="N61" s="34"/>
    </row>
    <row r="62" spans="2:14" x14ac:dyDescent="0.25">
      <c r="B62" s="29" t="s">
        <v>24</v>
      </c>
      <c r="D62" s="52"/>
      <c r="E62" s="52"/>
      <c r="F62" s="47"/>
      <c r="G62" s="18"/>
      <c r="H62" s="47"/>
      <c r="I62" s="47"/>
      <c r="J62" s="46"/>
      <c r="K62" s="46"/>
      <c r="L62" s="31"/>
      <c r="M62" s="31"/>
      <c r="N62" s="34"/>
    </row>
    <row r="63" spans="2:14" x14ac:dyDescent="0.25">
      <c r="B63" s="45"/>
      <c r="C63" s="55" t="s">
        <v>88</v>
      </c>
      <c r="D63" s="56" t="s">
        <v>5</v>
      </c>
      <c r="E63" s="32">
        <f>E55</f>
        <v>94.848119999999994</v>
      </c>
      <c r="F63" s="32">
        <v>2.97</v>
      </c>
      <c r="G63" s="18">
        <f>G55</f>
        <v>33.979999999999997</v>
      </c>
      <c r="H63" s="47"/>
      <c r="I63" s="47"/>
      <c r="J63" s="31"/>
      <c r="K63" s="31" t="s">
        <v>102</v>
      </c>
      <c r="L63" s="31"/>
      <c r="M63" s="31"/>
      <c r="N63" s="34"/>
    </row>
    <row r="64" spans="2:14" x14ac:dyDescent="0.25">
      <c r="B64" s="45"/>
      <c r="D64" s="52"/>
      <c r="E64" s="52"/>
      <c r="F64" s="47"/>
      <c r="G64" s="18"/>
      <c r="H64" s="47"/>
      <c r="I64" s="47"/>
      <c r="J64" s="31"/>
      <c r="K64" s="46"/>
      <c r="L64" s="31"/>
      <c r="M64" s="31"/>
      <c r="N64" s="34"/>
    </row>
    <row r="65" spans="2:14" x14ac:dyDescent="0.25">
      <c r="B65" s="45" t="s">
        <v>25</v>
      </c>
      <c r="C65" s="55"/>
      <c r="D65" s="52"/>
      <c r="E65" s="52"/>
      <c r="F65" s="47"/>
      <c r="G65" s="18"/>
      <c r="H65" s="47"/>
      <c r="I65" s="47"/>
      <c r="J65" s="31"/>
      <c r="K65" s="46"/>
      <c r="L65" s="31"/>
      <c r="M65" s="31"/>
      <c r="N65" s="34"/>
    </row>
    <row r="66" spans="2:14" x14ac:dyDescent="0.25">
      <c r="B66" s="45"/>
      <c r="C66" s="55" t="s">
        <v>120</v>
      </c>
      <c r="D66" s="56" t="s">
        <v>5</v>
      </c>
      <c r="E66" s="32">
        <f>E55*0.65</f>
        <v>61.651277999999998</v>
      </c>
      <c r="F66" s="32">
        <f>F55*0.65</f>
        <v>1.9305000000000001</v>
      </c>
      <c r="G66" s="32">
        <f t="shared" ref="G66" si="3">G55*0.65</f>
        <v>22.087</v>
      </c>
      <c r="H66" s="47"/>
      <c r="I66" s="47"/>
      <c r="J66" s="31" t="s">
        <v>111</v>
      </c>
      <c r="K66" s="31" t="s">
        <v>109</v>
      </c>
      <c r="L66" s="31"/>
      <c r="M66" s="31"/>
      <c r="N66" s="34"/>
    </row>
    <row r="67" spans="2:14" x14ac:dyDescent="0.25">
      <c r="B67" s="45"/>
      <c r="C67" s="55" t="s">
        <v>122</v>
      </c>
      <c r="D67" s="56" t="s">
        <v>5</v>
      </c>
      <c r="E67" s="32">
        <f>-E66</f>
        <v>-61.651277999999998</v>
      </c>
      <c r="F67" s="32">
        <f>-F66</f>
        <v>-1.9305000000000001</v>
      </c>
      <c r="G67" s="78">
        <v>-22.087</v>
      </c>
      <c r="H67" s="47"/>
      <c r="I67" s="47"/>
      <c r="J67" s="31"/>
      <c r="K67" s="46"/>
      <c r="L67" s="31"/>
      <c r="M67" s="31"/>
      <c r="N67" s="34"/>
    </row>
    <row r="68" spans="2:14" x14ac:dyDescent="0.25">
      <c r="B68" s="45"/>
      <c r="C68" s="55"/>
      <c r="D68" s="52"/>
      <c r="E68" s="52"/>
      <c r="F68" s="47"/>
      <c r="G68" s="18"/>
      <c r="H68" s="47"/>
      <c r="I68" s="47"/>
      <c r="J68" s="47"/>
      <c r="K68" s="46"/>
      <c r="L68" s="31"/>
      <c r="M68" s="31"/>
      <c r="N68" s="34"/>
    </row>
    <row r="69" spans="2:14" x14ac:dyDescent="0.25">
      <c r="B69" s="44" t="s">
        <v>55</v>
      </c>
      <c r="D69" s="52"/>
      <c r="E69" s="52"/>
      <c r="G69" s="18"/>
      <c r="H69" s="47">
        <v>1</v>
      </c>
      <c r="I69" s="47"/>
      <c r="J69" s="31"/>
      <c r="K69" s="46"/>
      <c r="L69" s="31"/>
      <c r="M69" s="31"/>
      <c r="N69" s="34"/>
    </row>
    <row r="70" spans="2:14" x14ac:dyDescent="0.25">
      <c r="B70" s="45"/>
      <c r="D70" s="52"/>
      <c r="E70" s="52"/>
      <c r="F70" s="47"/>
      <c r="G70" s="18"/>
      <c r="H70" s="47"/>
      <c r="I70" s="47"/>
      <c r="J70" s="31"/>
      <c r="K70" s="110"/>
      <c r="L70" s="111"/>
      <c r="M70" s="31"/>
      <c r="N70" s="34"/>
    </row>
    <row r="71" spans="2:14" x14ac:dyDescent="0.25">
      <c r="B71" s="29" t="s">
        <v>24</v>
      </c>
      <c r="C71" s="55"/>
      <c r="D71" s="32"/>
      <c r="E71" s="32"/>
      <c r="F71" s="32"/>
      <c r="G71" s="18"/>
      <c r="H71" s="33"/>
      <c r="I71" s="33"/>
      <c r="J71" s="31"/>
      <c r="K71" s="31"/>
      <c r="L71" s="31"/>
      <c r="M71" s="31"/>
      <c r="N71" s="34"/>
    </row>
    <row r="72" spans="2:14" x14ac:dyDescent="0.25">
      <c r="B72" s="29"/>
      <c r="C72" s="55" t="s">
        <v>14</v>
      </c>
      <c r="D72" s="32" t="s">
        <v>4</v>
      </c>
      <c r="E72" s="32">
        <v>4235.28</v>
      </c>
      <c r="F72" s="32"/>
      <c r="G72" s="18"/>
      <c r="H72" s="33"/>
      <c r="I72" s="33"/>
      <c r="J72" s="31"/>
      <c r="K72" s="31"/>
      <c r="L72" s="31"/>
      <c r="M72" s="31"/>
      <c r="N72" s="34"/>
    </row>
    <row r="73" spans="2:14" x14ac:dyDescent="0.25">
      <c r="B73" s="24"/>
      <c r="C73" s="55" t="s">
        <v>56</v>
      </c>
      <c r="D73" s="1" t="s">
        <v>61</v>
      </c>
      <c r="E73" s="50">
        <f>7.41*10^-6</f>
        <v>7.4100000000000002E-6</v>
      </c>
      <c r="F73" s="32"/>
      <c r="G73" s="18"/>
      <c r="H73" s="33"/>
      <c r="I73" s="33" t="s">
        <v>64</v>
      </c>
      <c r="J73" s="31" t="s">
        <v>57</v>
      </c>
      <c r="L73" s="31"/>
      <c r="M73" s="31"/>
      <c r="N73" s="34"/>
    </row>
    <row r="74" spans="2:14" x14ac:dyDescent="0.25">
      <c r="B74" s="35"/>
      <c r="C74" s="55" t="s">
        <v>65</v>
      </c>
      <c r="D74" s="33" t="s">
        <v>66</v>
      </c>
      <c r="E74" s="33">
        <v>0.35</v>
      </c>
      <c r="F74" s="32"/>
      <c r="G74" s="18"/>
      <c r="H74" s="33"/>
      <c r="I74" s="33" t="s">
        <v>64</v>
      </c>
      <c r="J74" s="31" t="s">
        <v>57</v>
      </c>
      <c r="K74" s="31"/>
      <c r="L74" s="31"/>
      <c r="M74" s="31"/>
      <c r="N74" s="34"/>
    </row>
    <row r="75" spans="2:14" x14ac:dyDescent="0.25">
      <c r="B75" s="35"/>
      <c r="C75" s="55" t="s">
        <v>21</v>
      </c>
      <c r="D75" s="32" t="s">
        <v>13</v>
      </c>
      <c r="E75" s="33">
        <f>123.33*(E72/1000)</f>
        <v>522.33708239999999</v>
      </c>
      <c r="F75" s="32"/>
      <c r="G75" s="18"/>
      <c r="H75" s="1" t="s">
        <v>23</v>
      </c>
      <c r="I75" s="1" t="s">
        <v>59</v>
      </c>
      <c r="J75" s="31"/>
      <c r="K75" s="31"/>
      <c r="L75" s="31"/>
      <c r="M75" s="31"/>
      <c r="N75" s="34"/>
    </row>
    <row r="76" spans="2:14" x14ac:dyDescent="0.25">
      <c r="B76" s="35"/>
      <c r="C76" s="55" t="s">
        <v>93</v>
      </c>
      <c r="D76" s="32" t="s">
        <v>94</v>
      </c>
      <c r="E76" s="33">
        <v>211.5</v>
      </c>
      <c r="F76" s="32"/>
      <c r="G76" s="18"/>
      <c r="H76" s="1"/>
      <c r="I76" s="1"/>
      <c r="J76" s="31"/>
      <c r="K76" s="31" t="s">
        <v>194</v>
      </c>
      <c r="L76" s="31"/>
      <c r="M76" s="31"/>
      <c r="N76" s="34"/>
    </row>
    <row r="77" spans="2:14" x14ac:dyDescent="0.25">
      <c r="B77" s="35"/>
      <c r="C77" s="55" t="s">
        <v>22</v>
      </c>
      <c r="D77" s="32" t="s">
        <v>15</v>
      </c>
      <c r="E77" s="32">
        <f>(50*(E72/1000))</f>
        <v>211.76399999999998</v>
      </c>
      <c r="F77" s="32"/>
      <c r="G77" s="18"/>
      <c r="H77" s="33"/>
      <c r="I77" s="33"/>
      <c r="J77" s="31"/>
      <c r="K77" s="31"/>
      <c r="L77" s="31"/>
      <c r="M77" s="31"/>
      <c r="N77" s="34"/>
    </row>
    <row r="78" spans="2:14" x14ac:dyDescent="0.25">
      <c r="B78" s="29" t="s">
        <v>25</v>
      </c>
      <c r="D78" s="32"/>
      <c r="E78" s="31"/>
      <c r="F78" s="32"/>
      <c r="G78" s="18"/>
      <c r="H78" s="33"/>
      <c r="I78" s="33"/>
      <c r="J78" s="31"/>
      <c r="K78" s="31"/>
      <c r="L78" s="31"/>
      <c r="M78" s="31"/>
      <c r="N78" s="34"/>
    </row>
    <row r="79" spans="2:14" ht="30" x14ac:dyDescent="0.25">
      <c r="B79" s="35"/>
      <c r="C79" s="55" t="s">
        <v>69</v>
      </c>
      <c r="D79" s="32" t="s">
        <v>4</v>
      </c>
      <c r="E79" s="32">
        <f>E72-(0.41*E72)</f>
        <v>2498.8152</v>
      </c>
      <c r="F79" s="32"/>
      <c r="G79" s="18"/>
      <c r="H79" s="33"/>
      <c r="I79" s="33"/>
      <c r="J79" s="87" t="s">
        <v>192</v>
      </c>
      <c r="K79" s="83" t="s">
        <v>180</v>
      </c>
      <c r="L79" s="84"/>
      <c r="M79" s="84" t="s">
        <v>181</v>
      </c>
      <c r="N79" s="34"/>
    </row>
    <row r="80" spans="2:14" x14ac:dyDescent="0.25">
      <c r="B80" s="35" t="s">
        <v>26</v>
      </c>
      <c r="C80" s="55" t="s">
        <v>165</v>
      </c>
      <c r="D80" s="32" t="s">
        <v>4</v>
      </c>
      <c r="E80" s="43">
        <f>(5%*E72)*(L81/100)*3.67</f>
        <v>270.45651024</v>
      </c>
      <c r="F80" s="32"/>
      <c r="G80" s="18"/>
      <c r="H80" s="18"/>
      <c r="I80" s="18"/>
      <c r="J80" s="120" t="s">
        <v>269</v>
      </c>
      <c r="K80" s="84" t="s">
        <v>182</v>
      </c>
      <c r="L80" s="85">
        <v>0.9</v>
      </c>
      <c r="M80" s="86" t="s">
        <v>183</v>
      </c>
      <c r="N80" s="34"/>
    </row>
    <row r="81" spans="2:14" x14ac:dyDescent="0.25">
      <c r="B81" s="35"/>
      <c r="C81" s="55" t="s">
        <v>193</v>
      </c>
      <c r="D81" s="32" t="s">
        <v>4</v>
      </c>
      <c r="E81" s="43">
        <f>(0.9%*E72)*(L84/100)*1.215</f>
        <v>1.1578196700000001</v>
      </c>
      <c r="F81" s="32"/>
      <c r="G81" s="18"/>
      <c r="H81" s="18"/>
      <c r="I81" s="18"/>
      <c r="J81" s="120"/>
      <c r="K81" s="84" t="s">
        <v>184</v>
      </c>
      <c r="L81" s="85">
        <v>34.799999999999997</v>
      </c>
      <c r="M81" s="86" t="s">
        <v>183</v>
      </c>
      <c r="N81" s="34"/>
    </row>
    <row r="82" spans="2:14" x14ac:dyDescent="0.25">
      <c r="B82" s="35"/>
      <c r="C82" s="55" t="s">
        <v>78</v>
      </c>
      <c r="D82" s="32" t="s">
        <v>4</v>
      </c>
      <c r="E82" s="43">
        <f>(0.9%*E72)*(L85/100)*1.57</f>
        <v>0.47875605120000003</v>
      </c>
      <c r="F82" s="32"/>
      <c r="G82" s="18"/>
      <c r="H82" s="18"/>
      <c r="I82" s="18"/>
      <c r="J82" s="120"/>
      <c r="K82" s="84"/>
      <c r="L82" s="85"/>
      <c r="M82" s="86"/>
      <c r="N82" s="34"/>
    </row>
    <row r="83" spans="2:14" x14ac:dyDescent="0.25">
      <c r="B83" s="35"/>
      <c r="C83" s="55" t="s">
        <v>52</v>
      </c>
      <c r="D83" s="32" t="s">
        <v>4</v>
      </c>
      <c r="E83" s="43">
        <f>(5%*E72)*(L80/100)*1.33</f>
        <v>2.5348150800000004</v>
      </c>
      <c r="F83" s="32"/>
      <c r="G83" s="18"/>
      <c r="H83" s="18"/>
      <c r="I83" s="18"/>
      <c r="J83" s="120"/>
      <c r="K83" s="83" t="s">
        <v>185</v>
      </c>
      <c r="L83" s="85"/>
      <c r="M83" s="86"/>
      <c r="N83" s="34"/>
    </row>
    <row r="84" spans="2:14" x14ac:dyDescent="0.25">
      <c r="B84" s="35"/>
      <c r="C84" s="55"/>
      <c r="D84" s="32"/>
      <c r="E84" s="43"/>
      <c r="F84" s="32"/>
      <c r="G84" s="18"/>
      <c r="H84" s="18"/>
      <c r="I84" s="18"/>
      <c r="J84" s="31"/>
      <c r="K84" s="84" t="s">
        <v>186</v>
      </c>
      <c r="L84" s="85">
        <v>2.5</v>
      </c>
      <c r="M84" s="86" t="s">
        <v>187</v>
      </c>
      <c r="N84" s="34"/>
    </row>
    <row r="85" spans="2:14" x14ac:dyDescent="0.25">
      <c r="B85" s="35"/>
      <c r="C85" s="18"/>
      <c r="E85" s="43"/>
      <c r="F85" s="32"/>
      <c r="G85" s="18"/>
      <c r="H85" s="18"/>
      <c r="I85" s="18"/>
      <c r="J85" s="31"/>
      <c r="K85" s="84" t="s">
        <v>188</v>
      </c>
      <c r="L85" s="85">
        <v>0.8</v>
      </c>
      <c r="M85" s="86" t="s">
        <v>187</v>
      </c>
      <c r="N85" s="34"/>
    </row>
    <row r="86" spans="2:14" x14ac:dyDescent="0.25">
      <c r="B86" s="44" t="s">
        <v>68</v>
      </c>
      <c r="C86" s="18"/>
      <c r="D86" s="32"/>
      <c r="E86" s="43"/>
      <c r="F86" s="32"/>
      <c r="G86" s="18"/>
      <c r="H86" s="18"/>
      <c r="I86" s="18"/>
      <c r="J86" s="33"/>
      <c r="K86" s="43"/>
      <c r="L86" s="32"/>
      <c r="M86" s="33"/>
      <c r="N86" s="42"/>
    </row>
    <row r="87" spans="2:14" x14ac:dyDescent="0.25">
      <c r="B87" s="29" t="s">
        <v>24</v>
      </c>
      <c r="D87" s="32"/>
      <c r="E87" s="32"/>
      <c r="F87" s="32"/>
      <c r="G87" s="18"/>
      <c r="H87" s="33"/>
      <c r="I87" s="33"/>
      <c r="J87" s="31"/>
      <c r="K87" s="43"/>
      <c r="L87" s="32"/>
      <c r="M87" s="33"/>
      <c r="N87" s="42"/>
    </row>
    <row r="88" spans="2:14" x14ac:dyDescent="0.25">
      <c r="B88" s="24"/>
      <c r="C88" s="55" t="s">
        <v>69</v>
      </c>
      <c r="D88" s="1" t="s">
        <v>4</v>
      </c>
      <c r="E88" s="53">
        <f>E79</f>
        <v>2498.8152</v>
      </c>
      <c r="F88" s="32"/>
      <c r="G88" s="18"/>
      <c r="H88" s="33"/>
      <c r="I88" s="33"/>
      <c r="J88" s="31"/>
      <c r="K88" s="31"/>
      <c r="L88" s="31"/>
      <c r="M88" s="31"/>
      <c r="N88" s="34"/>
    </row>
    <row r="89" spans="2:14" x14ac:dyDescent="0.25">
      <c r="B89" s="35"/>
      <c r="C89" s="55" t="s">
        <v>70</v>
      </c>
      <c r="D89" s="33" t="s">
        <v>4</v>
      </c>
      <c r="E89" s="33">
        <f>E79</f>
        <v>2498.8152</v>
      </c>
      <c r="F89" s="32"/>
      <c r="G89" s="18"/>
      <c r="H89" s="33"/>
      <c r="I89" s="33"/>
      <c r="J89" s="31"/>
      <c r="K89" s="31" t="s">
        <v>71</v>
      </c>
      <c r="L89" s="31"/>
      <c r="M89" s="31"/>
      <c r="N89" s="34"/>
    </row>
    <row r="90" spans="2:14" x14ac:dyDescent="0.25">
      <c r="B90" s="35"/>
      <c r="C90" s="55" t="s">
        <v>72</v>
      </c>
      <c r="D90" s="32" t="s">
        <v>4</v>
      </c>
      <c r="E90" s="33">
        <v>-29</v>
      </c>
      <c r="F90" s="32"/>
      <c r="G90" s="18"/>
      <c r="H90" s="1"/>
      <c r="I90" s="1"/>
      <c r="J90" s="31"/>
      <c r="K90" s="31"/>
      <c r="L90" s="31"/>
      <c r="M90" s="31"/>
      <c r="N90" s="34"/>
    </row>
    <row r="91" spans="2:14" x14ac:dyDescent="0.25">
      <c r="B91" s="35"/>
      <c r="C91" s="55" t="s">
        <v>73</v>
      </c>
      <c r="D91" s="32" t="s">
        <v>4</v>
      </c>
      <c r="E91" s="32">
        <v>-29</v>
      </c>
      <c r="F91" s="32"/>
      <c r="G91" s="18"/>
      <c r="H91" s="33"/>
      <c r="I91" s="33"/>
      <c r="J91" s="31"/>
      <c r="K91" s="31"/>
      <c r="L91" s="31"/>
      <c r="M91" s="31"/>
      <c r="N91" s="34"/>
    </row>
    <row r="92" spans="2:14" x14ac:dyDescent="0.25">
      <c r="B92" s="35"/>
      <c r="C92" s="55" t="s">
        <v>74</v>
      </c>
      <c r="D92" s="32" t="s">
        <v>4</v>
      </c>
      <c r="E92" s="32">
        <v>-17.09</v>
      </c>
      <c r="F92" s="32"/>
      <c r="G92" s="18"/>
      <c r="H92" s="33"/>
      <c r="I92" s="33"/>
      <c r="J92" s="31" t="s">
        <v>75</v>
      </c>
      <c r="K92" s="31" t="s">
        <v>76</v>
      </c>
      <c r="L92" s="31"/>
      <c r="M92" s="31"/>
      <c r="N92" s="34"/>
    </row>
    <row r="93" spans="2:14" x14ac:dyDescent="0.25">
      <c r="B93" s="35"/>
      <c r="C93" s="55" t="s">
        <v>93</v>
      </c>
      <c r="D93" s="32" t="s">
        <v>94</v>
      </c>
      <c r="E93" s="32">
        <f>200*(E88/1000)</f>
        <v>499.76304000000005</v>
      </c>
      <c r="F93" s="32"/>
      <c r="G93" s="18"/>
      <c r="H93" s="33"/>
      <c r="I93" s="33"/>
      <c r="J93" s="31"/>
      <c r="K93" s="31" t="s">
        <v>164</v>
      </c>
      <c r="L93" s="31"/>
      <c r="M93" s="31"/>
      <c r="N93" s="34"/>
    </row>
    <row r="94" spans="2:14" x14ac:dyDescent="0.25">
      <c r="B94" s="29" t="s">
        <v>25</v>
      </c>
      <c r="C94" s="104"/>
      <c r="D94" s="32"/>
      <c r="E94" s="32"/>
      <c r="F94" s="32"/>
      <c r="G94" s="18"/>
      <c r="H94" s="33"/>
      <c r="I94" s="33"/>
      <c r="J94" s="31"/>
      <c r="K94" s="31"/>
      <c r="L94" s="31"/>
      <c r="M94" s="31"/>
      <c r="N94" s="34"/>
    </row>
    <row r="95" spans="2:14" x14ac:dyDescent="0.25">
      <c r="B95" s="35"/>
      <c r="C95" s="55" t="s">
        <v>77</v>
      </c>
      <c r="D95" s="32" t="s">
        <v>4</v>
      </c>
      <c r="E95" s="108">
        <f>(E114*3.67)-E98</f>
        <v>409.79891463199993</v>
      </c>
      <c r="F95" s="32"/>
      <c r="G95" s="18"/>
      <c r="H95" s="33"/>
      <c r="I95" s="33"/>
      <c r="J95" s="31" t="s">
        <v>75</v>
      </c>
      <c r="K95" s="31"/>
      <c r="L95" s="31"/>
      <c r="M95" s="31"/>
      <c r="N95" s="34"/>
    </row>
    <row r="96" spans="2:14" x14ac:dyDescent="0.25">
      <c r="B96" s="35"/>
      <c r="C96" s="55" t="s">
        <v>78</v>
      </c>
      <c r="D96" s="32" t="s">
        <v>4</v>
      </c>
      <c r="E96" s="43">
        <v>0.26</v>
      </c>
      <c r="F96" s="32"/>
      <c r="G96" s="18"/>
      <c r="H96" s="33"/>
      <c r="I96" s="33"/>
      <c r="J96" s="31" t="s">
        <v>75</v>
      </c>
      <c r="K96" s="31"/>
      <c r="L96" s="31"/>
      <c r="M96" s="31"/>
      <c r="N96" s="34"/>
    </row>
    <row r="97" spans="2:14" x14ac:dyDescent="0.25">
      <c r="B97" s="35"/>
      <c r="C97" s="55" t="s">
        <v>79</v>
      </c>
      <c r="D97" s="32" t="s">
        <v>4</v>
      </c>
      <c r="E97" s="43">
        <v>5.28</v>
      </c>
      <c r="F97" s="32"/>
      <c r="G97" s="18"/>
      <c r="H97" s="33"/>
      <c r="I97" s="33"/>
      <c r="J97" s="31" t="s">
        <v>75</v>
      </c>
      <c r="K97" s="31"/>
      <c r="L97" s="31"/>
      <c r="M97" s="31"/>
      <c r="N97" s="34"/>
    </row>
    <row r="98" spans="2:14" x14ac:dyDescent="0.25">
      <c r="B98" s="35"/>
      <c r="C98" s="55" t="s">
        <v>80</v>
      </c>
      <c r="D98" s="32" t="s">
        <v>4</v>
      </c>
      <c r="E98" s="43">
        <f>5%*E114*3.67</f>
        <v>21.568363927999997</v>
      </c>
      <c r="F98" s="32"/>
      <c r="H98" s="33"/>
      <c r="I98" s="33"/>
      <c r="J98" s="31" t="s">
        <v>75</v>
      </c>
      <c r="K98" s="31" t="s">
        <v>166</v>
      </c>
      <c r="L98" s="31"/>
      <c r="M98" s="31"/>
      <c r="N98" s="34"/>
    </row>
    <row r="99" spans="2:14" x14ac:dyDescent="0.25">
      <c r="B99" s="36"/>
      <c r="C99" s="103"/>
      <c r="D99" s="38"/>
      <c r="E99" s="39"/>
      <c r="F99" s="39"/>
      <c r="G99" s="40"/>
      <c r="H99" s="40"/>
      <c r="I99" s="38"/>
      <c r="J99" s="38"/>
      <c r="K99" s="38"/>
      <c r="L99" s="38"/>
      <c r="M99" s="38"/>
      <c r="N99" s="41"/>
    </row>
    <row r="103" spans="2:14" x14ac:dyDescent="0.25">
      <c r="B103" s="9" t="s">
        <v>53</v>
      </c>
      <c r="C103" s="6"/>
      <c r="D103" s="7"/>
      <c r="E103" s="7"/>
      <c r="F103" s="8"/>
      <c r="G103" s="8"/>
      <c r="H103" s="8"/>
      <c r="I103" s="7"/>
      <c r="J103" s="7"/>
      <c r="K103" s="7"/>
      <c r="L103" s="7"/>
      <c r="M103" s="7"/>
      <c r="N103" s="7"/>
    </row>
    <row r="105" spans="2:14" ht="30" customHeight="1" x14ac:dyDescent="0.25">
      <c r="B105" s="114" t="s">
        <v>1</v>
      </c>
      <c r="C105" s="74" t="s">
        <v>51</v>
      </c>
      <c r="D105" s="124" t="s">
        <v>179</v>
      </c>
      <c r="E105" s="124" t="s">
        <v>108</v>
      </c>
      <c r="F105" s="119" t="s">
        <v>191</v>
      </c>
      <c r="G105" s="48"/>
    </row>
    <row r="106" spans="2:14" x14ac:dyDescent="0.25">
      <c r="B106" s="115"/>
      <c r="C106" s="75"/>
      <c r="D106" s="125"/>
      <c r="E106" s="125"/>
      <c r="F106" s="119"/>
      <c r="G106" s="48"/>
    </row>
    <row r="107" spans="2:14" x14ac:dyDescent="0.25">
      <c r="B107" s="123"/>
      <c r="C107" s="76"/>
      <c r="D107" s="126"/>
      <c r="E107" s="126"/>
      <c r="F107" s="119"/>
      <c r="G107" s="48"/>
    </row>
    <row r="108" spans="2:14" x14ac:dyDescent="0.25">
      <c r="B108" s="10" t="s">
        <v>10</v>
      </c>
      <c r="C108" s="10"/>
      <c r="D108" s="101">
        <f>E72</f>
        <v>4235.28</v>
      </c>
      <c r="E108" s="101">
        <f>E79</f>
        <v>2498.8152</v>
      </c>
      <c r="F108" s="119"/>
      <c r="G108" s="48"/>
    </row>
    <row r="109" spans="2:14" x14ac:dyDescent="0.25">
      <c r="B109" s="3" t="s">
        <v>50</v>
      </c>
      <c r="C109" s="5">
        <v>0.12</v>
      </c>
      <c r="D109" s="102">
        <f>C109*D108</f>
        <v>508.23359999999997</v>
      </c>
      <c r="E109" s="101">
        <f>(D109-(0.29*D109))</f>
        <v>360.84585600000003</v>
      </c>
      <c r="F109" s="119"/>
      <c r="G109" s="48"/>
    </row>
    <row r="110" spans="2:14" x14ac:dyDescent="0.25">
      <c r="B110" s="3" t="s">
        <v>49</v>
      </c>
      <c r="C110" s="5">
        <v>0.74</v>
      </c>
      <c r="D110" s="102">
        <f>D109*C110</f>
        <v>376.09286399999996</v>
      </c>
      <c r="E110" s="101">
        <f>(D110-(0.4*D110))</f>
        <v>225.65571839999998</v>
      </c>
      <c r="F110" s="119"/>
      <c r="G110" s="48"/>
    </row>
    <row r="111" spans="2:14" x14ac:dyDescent="0.25">
      <c r="B111" s="3" t="s">
        <v>11</v>
      </c>
      <c r="C111" s="59">
        <v>8.9999999999999993E-3</v>
      </c>
      <c r="D111" s="102">
        <f>C111*D108</f>
        <v>38.117519999999992</v>
      </c>
      <c r="E111" s="101">
        <f>D111-6.52-0.57</f>
        <v>31.027519999999992</v>
      </c>
      <c r="F111" s="119"/>
      <c r="G111" s="48"/>
    </row>
    <row r="112" spans="2:14" x14ac:dyDescent="0.25">
      <c r="B112" s="3" t="s">
        <v>47</v>
      </c>
      <c r="C112" s="59">
        <v>7.0000000000000001E-3</v>
      </c>
      <c r="D112" s="102">
        <f>C112*D108</f>
        <v>29.64696</v>
      </c>
      <c r="E112" s="101">
        <f>D112</f>
        <v>29.64696</v>
      </c>
      <c r="F112" s="119"/>
      <c r="G112" s="48"/>
    </row>
    <row r="113" spans="2:11" x14ac:dyDescent="0.25">
      <c r="B113" s="3" t="s">
        <v>48</v>
      </c>
      <c r="C113" s="59">
        <v>7.0000000000000001E-3</v>
      </c>
      <c r="D113" s="102">
        <f>C113*D108</f>
        <v>29.64696</v>
      </c>
      <c r="E113" s="101">
        <f>D113</f>
        <v>29.64696</v>
      </c>
      <c r="F113" s="119"/>
      <c r="G113" s="48"/>
    </row>
    <row r="114" spans="2:11" x14ac:dyDescent="0.25">
      <c r="B114" s="3" t="s">
        <v>12</v>
      </c>
      <c r="C114" s="60">
        <v>0.38</v>
      </c>
      <c r="D114" s="102">
        <f>C114*D109</f>
        <v>193.12876799999998</v>
      </c>
      <c r="E114" s="101">
        <f>D114-73.69-1.9</f>
        <v>117.53876799999998</v>
      </c>
      <c r="F114" s="119"/>
      <c r="G114" s="48"/>
    </row>
    <row r="115" spans="2:11" x14ac:dyDescent="0.25">
      <c r="K115" s="109"/>
    </row>
  </sheetData>
  <mergeCells count="6">
    <mergeCell ref="B18:D18"/>
    <mergeCell ref="J80:J83"/>
    <mergeCell ref="B105:B107"/>
    <mergeCell ref="D105:D107"/>
    <mergeCell ref="E105:E107"/>
    <mergeCell ref="F105:F114"/>
  </mergeCells>
  <hyperlinks>
    <hyperlink ref="C10" location="'Scenario 3'!C20" display="Raw pig manure" xr:uid="{CF7E4FA5-E263-4752-B5AD-FE78F118B31B}"/>
  </hyperlink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0AAF57E57AEB479E1999DDFE90B0EF" ma:contentTypeVersion="12" ma:contentTypeDescription="Een nieuw document maken." ma:contentTypeScope="" ma:versionID="63db85d0069171137e2eaea43bf3b32d">
  <xsd:schema xmlns:xsd="http://www.w3.org/2001/XMLSchema" xmlns:xs="http://www.w3.org/2001/XMLSchema" xmlns:p="http://schemas.microsoft.com/office/2006/metadata/properties" xmlns:ns3="17404173-5104-49a7-8f9c-6f2906e9e7b8" xmlns:ns4="b1ba26d1-4121-4ecd-8ec2-80d4cb0b628a" targetNamespace="http://schemas.microsoft.com/office/2006/metadata/properties" ma:root="true" ma:fieldsID="2a08fd0b82946b176cdabd4f87b32f2c" ns3:_="" ns4:_="">
    <xsd:import namespace="17404173-5104-49a7-8f9c-6f2906e9e7b8"/>
    <xsd:import namespace="b1ba26d1-4121-4ecd-8ec2-80d4cb0b628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404173-5104-49a7-8f9c-6f2906e9e7b8" elementFormDefault="qualified">
    <xsd:import namespace="http://schemas.microsoft.com/office/2006/documentManagement/types"/>
    <xsd:import namespace="http://schemas.microsoft.com/office/infopath/2007/PartnerControls"/>
    <xsd:element name="SharedWithUsers" ma:index="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internalName="SharedWithDetails" ma:readOnly="true">
      <xsd:simpleType>
        <xsd:restriction base="dms:Note">
          <xsd:maxLength value="255"/>
        </xsd:restriction>
      </xsd:simpleType>
    </xsd:element>
    <xsd:element name="SharingHintHash" ma:index="10" nillable="true" ma:displayName="Hint-hash dele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ba26d1-4121-4ecd-8ec2-80d4cb0b628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E65DFB-D36C-415D-8A7F-5E6F30E6D8AC}">
  <ds:schemaRefs>
    <ds:schemaRef ds:uri="http://schemas.microsoft.com/sharepoint/v3/contenttype/forms"/>
  </ds:schemaRefs>
</ds:datastoreItem>
</file>

<file path=customXml/itemProps2.xml><?xml version="1.0" encoding="utf-8"?>
<ds:datastoreItem xmlns:ds="http://schemas.openxmlformats.org/officeDocument/2006/customXml" ds:itemID="{80670DE1-3D49-449C-98C2-8C5F787F4BBC}">
  <ds:schemaRefs>
    <ds:schemaRef ds:uri="http://purl.org/dc/dcmitype/"/>
    <ds:schemaRef ds:uri="http://www.w3.org/XML/1998/namespace"/>
    <ds:schemaRef ds:uri="http://purl.org/dc/elements/1.1/"/>
    <ds:schemaRef ds:uri="17404173-5104-49a7-8f9c-6f2906e9e7b8"/>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b1ba26d1-4121-4ecd-8ec2-80d4cb0b628a"/>
  </ds:schemaRefs>
</ds:datastoreItem>
</file>

<file path=customXml/itemProps3.xml><?xml version="1.0" encoding="utf-8"?>
<ds:datastoreItem xmlns:ds="http://schemas.openxmlformats.org/officeDocument/2006/customXml" ds:itemID="{20B4A9AC-1D63-40B8-91DF-58422CD16D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404173-5104-49a7-8f9c-6f2906e9e7b8"/>
    <ds:schemaRef ds:uri="b1ba26d1-4121-4ecd-8ec2-80d4cb0b62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Grass characteristics</vt:lpstr>
      <vt:lpstr>Scenario 1</vt:lpstr>
      <vt:lpstr>Scenario 2</vt:lpstr>
      <vt:lpstr>Scenario 3</vt:lpstr>
    </vt:vector>
  </TitlesOfParts>
  <Company>VITO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Dael Miet</dc:creator>
  <cp:lastModifiedBy>Rahul Ravi</cp:lastModifiedBy>
  <dcterms:created xsi:type="dcterms:W3CDTF">2020-04-06T06:26:55Z</dcterms:created>
  <dcterms:modified xsi:type="dcterms:W3CDTF">2022-10-11T12:55:34Z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0x010100BB0AAF57E57AEB479E1999DDFE90B0EF</vt:lpwstr>
  </property>
</Properties>
</file>