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kka\OneDrive\Desktop\Data Analyst Portfolio\Personal Budget - Excel Project\"/>
    </mc:Choice>
  </mc:AlternateContent>
  <xr:revisionPtr revIDLastSave="0" documentId="13_ncr:1_{95149466-41CB-4FA1-BC14-841630F82362}" xr6:coauthVersionLast="47" xr6:coauthVersionMax="47" xr10:uidLastSave="{00000000-0000-0000-0000-000000000000}"/>
  <bookViews>
    <workbookView xWindow="-108" yWindow="-108" windowWidth="23256" windowHeight="12456" xr2:uid="{173CCC2D-84B6-46EB-9B27-658EEE403149}"/>
  </bookViews>
  <sheets>
    <sheet name="Dashboard" sheetId="2" r:id="rId1"/>
    <sheet name="Transactions &amp; Calculations" sheetId="4" r:id="rId2"/>
  </sheets>
  <definedNames>
    <definedName name="cell">'Transactions &amp; Calculations'!$J$25</definedName>
  </definedNames>
  <calcPr calcId="191029"/>
</workbook>
</file>

<file path=xl/calcChain.xml><?xml version="1.0" encoding="utf-8"?>
<calcChain xmlns="http://schemas.openxmlformats.org/spreadsheetml/2006/main">
  <c r="T10" i="4" l="1"/>
  <c r="H6" i="4"/>
  <c r="G14" i="4"/>
  <c r="C6" i="4" s="1"/>
  <c r="C17" i="4" s="1"/>
  <c r="K14" i="4"/>
  <c r="C7" i="4" s="1"/>
  <c r="E42" i="4"/>
  <c r="L7" i="4" s="1"/>
  <c r="S14" i="4"/>
  <c r="C9" i="4" s="1"/>
  <c r="O14" i="4"/>
  <c r="C8" i="4" s="1"/>
  <c r="L9" i="4"/>
  <c r="T11" i="4"/>
  <c r="L11" i="4"/>
  <c r="T8" i="4"/>
  <c r="P9" i="4"/>
  <c r="L10" i="4"/>
  <c r="H9" i="4"/>
  <c r="T9" i="4"/>
  <c r="P7" i="4"/>
  <c r="L8" i="4"/>
  <c r="T7" i="4"/>
  <c r="P8" i="4"/>
  <c r="L6" i="4"/>
  <c r="H7" i="4"/>
  <c r="T6" i="4"/>
  <c r="P6" i="4"/>
  <c r="C14" i="4" l="1"/>
  <c r="C15" i="4"/>
  <c r="C16" i="4"/>
  <c r="T14" i="4"/>
  <c r="H14" i="4"/>
  <c r="C10" i="4"/>
  <c r="I24" i="4"/>
  <c r="J30" i="4"/>
  <c r="I25" i="4"/>
  <c r="L14" i="4"/>
  <c r="P14" i="4"/>
  <c r="N27" i="4" s="1"/>
  <c r="D6" i="4" l="1"/>
  <c r="D15" i="4" s="1"/>
  <c r="O28" i="4"/>
  <c r="O30" i="4" s="1"/>
  <c r="O27" i="4"/>
  <c r="P27" i="4" s="1"/>
  <c r="O26" i="4"/>
  <c r="D7" i="4"/>
  <c r="K30" i="4" s="1"/>
  <c r="N26" i="4"/>
  <c r="D9" i="4"/>
  <c r="N28" i="4"/>
  <c r="R27" i="4"/>
  <c r="D8" i="4"/>
  <c r="D14" i="4"/>
  <c r="D16" i="4"/>
  <c r="D17" i="4"/>
  <c r="J28" i="4"/>
  <c r="J25" i="4" l="1"/>
  <c r="P28" i="4"/>
  <c r="R28" i="4"/>
  <c r="P26" i="4"/>
  <c r="R26" i="4"/>
  <c r="N29" i="4"/>
  <c r="D10" i="4"/>
  <c r="J24" i="4"/>
  <c r="R29" i="4" l="1"/>
</calcChain>
</file>

<file path=xl/sharedStrings.xml><?xml version="1.0" encoding="utf-8"?>
<sst xmlns="http://schemas.openxmlformats.org/spreadsheetml/2006/main" count="194" uniqueCount="73">
  <si>
    <t>DATE</t>
  </si>
  <si>
    <t>TYPE</t>
  </si>
  <si>
    <t>CATEGORY</t>
  </si>
  <si>
    <t>AMOUNT</t>
  </si>
  <si>
    <t>DESCRIPTION</t>
  </si>
  <si>
    <t>Income</t>
  </si>
  <si>
    <t>Savings</t>
  </si>
  <si>
    <t>Salary</t>
  </si>
  <si>
    <t>Street Food</t>
  </si>
  <si>
    <t>Entertainment</t>
  </si>
  <si>
    <t>Rent</t>
  </si>
  <si>
    <t>Movies</t>
  </si>
  <si>
    <t>Healthcare</t>
  </si>
  <si>
    <t>Emergency Fund</t>
  </si>
  <si>
    <t>BUDGET</t>
  </si>
  <si>
    <t>ACTUAL</t>
  </si>
  <si>
    <t>Food &amp; Groceries</t>
  </si>
  <si>
    <t>Transportation</t>
  </si>
  <si>
    <t>Personal Care</t>
  </si>
  <si>
    <t>Insurance</t>
  </si>
  <si>
    <t>Total</t>
  </si>
  <si>
    <t>House Rent</t>
  </si>
  <si>
    <t>Recurring Deposits</t>
  </si>
  <si>
    <t>Mutual Funds</t>
  </si>
  <si>
    <t>Stocks</t>
  </si>
  <si>
    <t>Electricity</t>
  </si>
  <si>
    <t>Water</t>
  </si>
  <si>
    <t>Gas</t>
  </si>
  <si>
    <t>Phone</t>
  </si>
  <si>
    <t>Internet</t>
  </si>
  <si>
    <t>Freelancing</t>
  </si>
  <si>
    <t>Teaching</t>
  </si>
  <si>
    <t>Side Income</t>
  </si>
  <si>
    <t>Cash Flow Summary</t>
  </si>
  <si>
    <t>Income Summary</t>
  </si>
  <si>
    <t>Savings Summary</t>
  </si>
  <si>
    <t>Bill Summary</t>
  </si>
  <si>
    <t>Expenses Summary</t>
  </si>
  <si>
    <t>Budget Summary</t>
  </si>
  <si>
    <t>Transactions List</t>
  </si>
  <si>
    <t>Saving Rate</t>
  </si>
  <si>
    <t>Others</t>
  </si>
  <si>
    <t>Bills</t>
  </si>
  <si>
    <t>Expenses</t>
  </si>
  <si>
    <t>Salary Credited</t>
  </si>
  <si>
    <t>Freelancing Amount</t>
  </si>
  <si>
    <t>Side Hustle</t>
  </si>
  <si>
    <t>SIP</t>
  </si>
  <si>
    <t>Grocerry Shopping</t>
  </si>
  <si>
    <t>Vegetables</t>
  </si>
  <si>
    <t>Restaurant</t>
  </si>
  <si>
    <t>Fruits</t>
  </si>
  <si>
    <t>Petrol</t>
  </si>
  <si>
    <t>Travel Hometown</t>
  </si>
  <si>
    <t>Cab Service</t>
  </si>
  <si>
    <t>Bus Card</t>
  </si>
  <si>
    <t>Bike Service</t>
  </si>
  <si>
    <t>Face Care</t>
  </si>
  <si>
    <t>Body Care</t>
  </si>
  <si>
    <t>LIC</t>
  </si>
  <si>
    <t>Medicines</t>
  </si>
  <si>
    <t>Concert</t>
  </si>
  <si>
    <t>Cricket Match</t>
  </si>
  <si>
    <t>Wifi Bill</t>
  </si>
  <si>
    <t>Recharge</t>
  </si>
  <si>
    <t>FD</t>
  </si>
  <si>
    <t>Water Bill</t>
  </si>
  <si>
    <t>Gas Bill</t>
  </si>
  <si>
    <t>Future Savings</t>
  </si>
  <si>
    <t>Power Bill</t>
  </si>
  <si>
    <t>Trading</t>
  </si>
  <si>
    <t>Fun Zone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</si>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</sst>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64" formatCode="_ [$₹-4009]\ * #,##0_ ;_ [$₹-4009]\ * \-#,##0_ ;_ [$₹-4009]\ * &quot;-&quot;??_ ;_ @_ "/>
    <numFmt numFmtId="165" formatCode="&quot;₹&quot;\ 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0" borderId="0" xfId="0" applyFont="1"/>
    <xf numFmtId="164" fontId="6" fillId="0" borderId="0" xfId="0" applyNumberFormat="1" applyFont="1"/>
    <xf numFmtId="165" fontId="6" fillId="0" borderId="0" xfId="1" applyNumberFormat="1" applyFont="1"/>
    <xf numFmtId="10" fontId="6" fillId="0" borderId="0" xfId="2" applyNumberFormat="1" applyFont="1"/>
    <xf numFmtId="0" fontId="2" fillId="3" borderId="0" xfId="0" applyFont="1" applyFill="1"/>
    <xf numFmtId="14" fontId="0" fillId="0" borderId="0" xfId="0" applyNumberFormat="1"/>
    <xf numFmtId="9" fontId="6" fillId="0" borderId="0" xfId="2" applyFont="1"/>
    <xf numFmtId="49" fontId="0" fillId="4" borderId="0" xfId="0" applyNumberFormat="1" applyFill="1"/>
    <xf numFmtId="0" fontId="0" fillId="4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8">
    <dxf>
      <numFmt numFmtId="164" formatCode="_ [$₹-4009]\ * #,##0_ ;_ [$₹-4009]\ * \-#,##0_ ;_ [$₹-4009]\ * &quot;-&quot;??_ ;_ @_ "/>
    </dxf>
    <dxf>
      <numFmt numFmtId="19" formatCode="dd/mm/yyyy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numFmt numFmtId="14" formatCode="0.00%"/>
    </dxf>
    <dxf>
      <numFmt numFmtId="14" formatCode="0.00%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font>
        <b/>
      </font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font>
        <b/>
      </font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font>
        <b/>
      </font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font>
        <b/>
      </font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font>
        <b/>
      </font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theme="1"/>
        </patternFill>
      </fill>
    </dxf>
  </dxfs>
  <tableStyles count="2" defaultTableStyle="TableStyleMedium9" defaultPivotStyle="PivotStyleLight16">
    <tableStyle name="Table Style 1" pivot="0" count="1" xr9:uid="{E2A59378-C144-4629-82CE-26B17CF6A892}">
      <tableStyleElement type="headerRow" dxfId="27"/>
    </tableStyle>
    <tableStyle name="Table Style 2" pivot="0" count="1" xr9:uid="{EE33D626-E069-4D6E-9D01-672A94E178F8}">
      <tableStyleElement type="wholeTable" dxfId="26"/>
    </tableStyle>
  </tableStyles>
  <colors>
    <mruColors>
      <color rgb="FFFFFFFF"/>
      <color rgb="FFC88800"/>
      <color rgb="FFE8B252"/>
      <color rgb="FFF9C76D"/>
      <color rgb="FFFFD700"/>
      <color rgb="FFF6D1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1" u="none" strike="noStrike" kern="1200" spc="0" baseline="0">
                <a:solidFill>
                  <a:sysClr val="windowText" lastClr="000000"/>
                </a:solidFill>
              </a:rPr>
              <a:t>Expenses - Actual vs Planned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'Transactions &amp; Calculations'!$J$6:$J$11</c:f>
              <c:strCache>
                <c:ptCount val="6"/>
                <c:pt idx="0">
                  <c:v>Transportation</c:v>
                </c:pt>
                <c:pt idx="1">
                  <c:v>Food &amp; Groceries</c:v>
                </c:pt>
                <c:pt idx="2">
                  <c:v>Personal Care</c:v>
                </c:pt>
                <c:pt idx="3">
                  <c:v>Entertainment</c:v>
                </c:pt>
                <c:pt idx="4">
                  <c:v>Healthcare</c:v>
                </c:pt>
                <c:pt idx="5">
                  <c:v>Insurance</c:v>
                </c:pt>
              </c:strCache>
            </c:strRef>
          </c:cat>
          <c:val>
            <c:numRef>
              <c:f>'Transactions &amp; Calculations'!$K$6:$K$11</c:f>
              <c:numCache>
                <c:formatCode>_ [$₹-4009]\ * #,##0_ ;_ [$₹-4009]\ * \-#,##0_ ;_ [$₹-4009]\ * "-"??_ ;_ @_ </c:formatCode>
                <c:ptCount val="6"/>
                <c:pt idx="0">
                  <c:v>6000</c:v>
                </c:pt>
                <c:pt idx="1">
                  <c:v>5000</c:v>
                </c:pt>
                <c:pt idx="2">
                  <c:v>3500</c:v>
                </c:pt>
                <c:pt idx="3">
                  <c:v>3000</c:v>
                </c:pt>
                <c:pt idx="4">
                  <c:v>2500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B-4B98-BCD9-5A1F0C79303D}"/>
            </c:ext>
          </c:extLst>
        </c:ser>
        <c:ser>
          <c:idx val="1"/>
          <c:order val="1"/>
          <c:tx>
            <c:v>Planned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'Transactions &amp; Calculations'!$J$6:$J$11</c:f>
              <c:strCache>
                <c:ptCount val="6"/>
                <c:pt idx="0">
                  <c:v>Transportation</c:v>
                </c:pt>
                <c:pt idx="1">
                  <c:v>Food &amp; Groceries</c:v>
                </c:pt>
                <c:pt idx="2">
                  <c:v>Personal Care</c:v>
                </c:pt>
                <c:pt idx="3">
                  <c:v>Entertainment</c:v>
                </c:pt>
                <c:pt idx="4">
                  <c:v>Healthcare</c:v>
                </c:pt>
                <c:pt idx="5">
                  <c:v>Insurance</c:v>
                </c:pt>
              </c:strCache>
            </c:strRef>
          </c:cat>
          <c:val>
            <c:numRef>
              <c:f>'Transactions &amp; Calculations'!$L$6:$L$11</c:f>
              <c:numCache>
                <c:formatCode>_ [$₹-4009]\ * #,##0_ ;_ [$₹-4009]\ * \-#,##0_ ;_ [$₹-4009]\ * "-"??_ ;_ @_ </c:formatCode>
                <c:ptCount val="6"/>
                <c:pt idx="0">
                  <c:v>6937</c:v>
                </c:pt>
                <c:pt idx="1">
                  <c:v>6584</c:v>
                </c:pt>
                <c:pt idx="2">
                  <c:v>3769</c:v>
                </c:pt>
                <c:pt idx="3">
                  <c:v>3045</c:v>
                </c:pt>
                <c:pt idx="4">
                  <c:v>2534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B-4B98-BCD9-5A1F0C7930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2010304"/>
        <c:axId val="532010784"/>
      </c:barChart>
      <c:catAx>
        <c:axId val="53201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10784"/>
        <c:crosses val="autoZero"/>
        <c:auto val="1"/>
        <c:lblAlgn val="ctr"/>
        <c:lblOffset val="100"/>
        <c:noMultiLvlLbl val="0"/>
      </c:catAx>
      <c:valAx>
        <c:axId val="5320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rnd" cmpd="sng" algn="ctr">
      <a:solidFill>
        <a:schemeClr val="accent1">
          <a:shade val="15000"/>
        </a:schemeClr>
      </a:solidFill>
      <a:round/>
    </a:ln>
    <a:effectLst/>
    <a:scene3d>
      <a:camera prst="orthographicFront"/>
      <a:lightRig rig="threePt" dir="t"/>
    </a:scene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i="1">
                <a:solidFill>
                  <a:sysClr val="windowText" lastClr="000000"/>
                </a:solidFill>
              </a:rPr>
              <a:t>Sources</a:t>
            </a:r>
            <a:r>
              <a:rPr lang="en-IN" b="1" i="1" baseline="0">
                <a:solidFill>
                  <a:sysClr val="windowText" lastClr="000000"/>
                </a:solidFill>
              </a:rPr>
              <a:t> of Income</a:t>
            </a:r>
          </a:p>
        </c:rich>
      </c:tx>
      <c:layout>
        <c:manualLayout>
          <c:xMode val="edge"/>
          <c:yMode val="edge"/>
          <c:x val="0.36517961230346141"/>
          <c:y val="3.4894334518301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414569259281396"/>
          <c:y val="0.18921140550995821"/>
          <c:w val="0.53189222527488433"/>
          <c:h val="0.78661998287340129"/>
        </c:manualLayout>
      </c:layout>
      <c:pieChart>
        <c:varyColors val="1"/>
        <c:ser>
          <c:idx val="1"/>
          <c:order val="0"/>
          <c:spPr>
            <a:solidFill>
              <a:schemeClr val="accent6"/>
            </a:solidFill>
          </c:spPr>
          <c:explosion val="11"/>
          <c:dPt>
            <c:idx val="0"/>
            <c:bubble3D val="0"/>
            <c:explosion val="13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BBB-4D32-A32E-5352B52BC047}"/>
              </c:ext>
            </c:extLst>
          </c:dPt>
          <c:dPt>
            <c:idx val="1"/>
            <c:bubble3D val="0"/>
            <c:explosion val="18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BB-4D32-A32E-5352B52BC047}"/>
              </c:ext>
            </c:extLst>
          </c:dPt>
          <c:dPt>
            <c:idx val="2"/>
            <c:bubble3D val="0"/>
            <c:explosion val="19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BBB-4D32-A32E-5352B52BC047}"/>
              </c:ext>
            </c:extLst>
          </c:dPt>
          <c:dLbls>
            <c:dLbl>
              <c:idx val="0"/>
              <c:layout>
                <c:manualLayout>
                  <c:x val="-7.7243122964878952E-2"/>
                  <c:y val="-7.8459711057705592E-2"/>
                </c:manualLayout>
              </c:layout>
              <c:spPr>
                <a:solidFill>
                  <a:schemeClr val="tx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020851743164711"/>
                      <c:h val="0.122681417640396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BBB-4D32-A32E-5352B52BC047}"/>
                </c:ext>
              </c:extLst>
            </c:dLbl>
            <c:dLbl>
              <c:idx val="1"/>
              <c:layout>
                <c:manualLayout>
                  <c:x val="3.5258901299395552E-2"/>
                  <c:y val="-0.1296642357945913"/>
                </c:manualLayout>
              </c:layout>
              <c:spPr>
                <a:solidFill>
                  <a:schemeClr val="tx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562748083276224"/>
                      <c:h val="0.108648656114471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BBB-4D32-A32E-5352B52BC047}"/>
                </c:ext>
              </c:extLst>
            </c:dLbl>
            <c:dLbl>
              <c:idx val="2"/>
              <c:layout>
                <c:manualLayout>
                  <c:x val="2.4641950376527166E-2"/>
                  <c:y val="0.1212739979558575"/>
                </c:manualLayout>
              </c:layout>
              <c:spPr>
                <a:solidFill>
                  <a:schemeClr val="tx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730142737948413"/>
                      <c:h val="0.119173227258915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BBB-4D32-A32E-5352B52BC047}"/>
                </c:ext>
              </c:extLst>
            </c:dLbl>
            <c:spPr>
              <a:solidFill>
                <a:schemeClr val="tx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('Transactions &amp; Calculations'!$F$6:$F$7,'Transactions &amp; Calculations'!$F$9)</c:f>
              <c:strCache>
                <c:ptCount val="3"/>
                <c:pt idx="0">
                  <c:v>Salary</c:v>
                </c:pt>
                <c:pt idx="1">
                  <c:v>Freelancing</c:v>
                </c:pt>
                <c:pt idx="2">
                  <c:v>Side Income</c:v>
                </c:pt>
              </c:strCache>
            </c:strRef>
          </c:cat>
          <c:val>
            <c:numRef>
              <c:f>('Transactions &amp; Calculations'!$H$6:$H$7,'Transactions &amp; Calculations'!$H$9)</c:f>
              <c:numCache>
                <c:formatCode>_ [$₹-4009]\ * #,##0_ ;_ [$₹-4009]\ * \-#,##0_ ;_ [$₹-4009]\ * "-"??_ ;_ @_ </c:formatCode>
                <c:ptCount val="3"/>
                <c:pt idx="0">
                  <c:v>50000</c:v>
                </c:pt>
                <c:pt idx="1">
                  <c:v>3000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B-4D32-A32E-5352B52BC04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81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ysClr val="windowText" lastClr="000000"/>
                </a:solidFill>
              </a:rPr>
              <a:t>Expenses</a:t>
            </a:r>
            <a:r>
              <a:rPr lang="en-US" b="1" i="1" baseline="0">
                <a:solidFill>
                  <a:sysClr val="windowText" lastClr="000000"/>
                </a:solidFill>
              </a:rPr>
              <a:t> Summary</a:t>
            </a:r>
          </a:p>
        </c:rich>
      </c:tx>
      <c:layout>
        <c:manualLayout>
          <c:xMode val="edge"/>
          <c:yMode val="edge"/>
          <c:x val="4.1159667541557303E-2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464716880341883"/>
          <c:y val="0.18125676802517032"/>
          <c:w val="0.60012847222222221"/>
          <c:h val="0.67250180929628101"/>
        </c:manualLayout>
      </c:layout>
      <c:doughnutChart>
        <c:varyColors val="1"/>
        <c:ser>
          <c:idx val="1"/>
          <c:order val="0"/>
          <c:tx>
            <c:strRef>
              <c:f>'Transactions &amp; Calculations'!$L$5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73B-4F91-89A6-D2A4D4470A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73B-4F91-89A6-D2A4D4470A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73B-4F91-89A6-D2A4D4470A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73B-4F91-89A6-D2A4D4470A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73B-4F91-89A6-D2A4D4470A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73B-4F91-89A6-D2A4D4470A76}"/>
              </c:ext>
            </c:extLst>
          </c:dPt>
          <c:dLbls>
            <c:spPr>
              <a:solidFill>
                <a:schemeClr val="tx1"/>
              </a:solidFill>
              <a:ln cap="rnd">
                <a:solidFill>
                  <a:schemeClr val="tx1"/>
                </a:solidFill>
              </a:ln>
              <a:effectLst>
                <a:softEdge rad="381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'Transactions &amp; Calculations'!$J$6:$J$11</c:f>
              <c:strCache>
                <c:ptCount val="6"/>
                <c:pt idx="0">
                  <c:v>Transportation</c:v>
                </c:pt>
                <c:pt idx="1">
                  <c:v>Food &amp; Groceries</c:v>
                </c:pt>
                <c:pt idx="2">
                  <c:v>Personal Care</c:v>
                </c:pt>
                <c:pt idx="3">
                  <c:v>Entertainment</c:v>
                </c:pt>
                <c:pt idx="4">
                  <c:v>Healthcare</c:v>
                </c:pt>
                <c:pt idx="5">
                  <c:v>Insurance</c:v>
                </c:pt>
              </c:strCache>
            </c:strRef>
          </c:cat>
          <c:val>
            <c:numRef>
              <c:f>'Transactions &amp; Calculations'!$L$6:$L$11</c:f>
              <c:numCache>
                <c:formatCode>_ [$₹-4009]\ * #,##0_ ;_ [$₹-4009]\ * \-#,##0_ ;_ [$₹-4009]\ * "-"??_ ;_ @_ </c:formatCode>
                <c:ptCount val="6"/>
                <c:pt idx="0">
                  <c:v>6937</c:v>
                </c:pt>
                <c:pt idx="1">
                  <c:v>6584</c:v>
                </c:pt>
                <c:pt idx="2">
                  <c:v>3769</c:v>
                </c:pt>
                <c:pt idx="3">
                  <c:v>3045</c:v>
                </c:pt>
                <c:pt idx="4">
                  <c:v>2534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D-4681-AE43-5970E2B7DCD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 w="0" cap="rnd"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'Transactions &amp; Calculations'!$P$5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'Transactions &amp; Calculations'!$N$6:$N$9</c:f>
              <c:strCache>
                <c:ptCount val="4"/>
                <c:pt idx="0">
                  <c:v>Mutual Funds</c:v>
                </c:pt>
                <c:pt idx="1">
                  <c:v>Emergency Fund</c:v>
                </c:pt>
                <c:pt idx="2">
                  <c:v>Recurring Deposits</c:v>
                </c:pt>
                <c:pt idx="3">
                  <c:v>Stocks</c:v>
                </c:pt>
              </c:strCache>
            </c:strRef>
          </c:cat>
          <c:val>
            <c:numRef>
              <c:f>'Transactions &amp; Calculations'!$P$6:$P$9</c:f>
              <c:numCache>
                <c:formatCode>_ [$₹-4009]\ * #,##0_ ;_ [$₹-4009]\ * \-#,##0_ ;_ [$₹-4009]\ * "-"??_ ;_ @_ </c:formatCode>
                <c:ptCount val="4"/>
                <c:pt idx="0">
                  <c:v>6526</c:v>
                </c:pt>
                <c:pt idx="1">
                  <c:v>3500</c:v>
                </c:pt>
                <c:pt idx="2">
                  <c:v>3000</c:v>
                </c:pt>
                <c:pt idx="3">
                  <c:v>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B-4196-A219-611511C77C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0965776"/>
        <c:axId val="300977776"/>
      </c:barChart>
      <c:catAx>
        <c:axId val="30096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77776"/>
        <c:crosses val="autoZero"/>
        <c:auto val="1"/>
        <c:lblAlgn val="ctr"/>
        <c:lblOffset val="100"/>
        <c:noMultiLvlLbl val="0"/>
      </c:catAx>
      <c:valAx>
        <c:axId val="30097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6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kern="1200" cap="all" spc="50" baseline="0">
                <a:solidFill>
                  <a:sysClr val="windowText" lastClr="000000"/>
                </a:solidFill>
              </a:rPr>
              <a:t>Bills Actual vs Planned</a:t>
            </a:r>
          </a:p>
        </c:rich>
      </c:tx>
      <c:layout>
        <c:manualLayout>
          <c:xMode val="edge"/>
          <c:yMode val="edge"/>
          <c:x val="0.28774970339339573"/>
          <c:y val="3.8118420707419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'Transactions &amp; Calculations'!$S$5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'Transactions &amp; Calculations'!$R$6:$R$11</c:f>
              <c:strCache>
                <c:ptCount val="6"/>
                <c:pt idx="0">
                  <c:v>House Rent</c:v>
                </c:pt>
                <c:pt idx="1">
                  <c:v>Electricity</c:v>
                </c:pt>
                <c:pt idx="2">
                  <c:v>Gas</c:v>
                </c:pt>
                <c:pt idx="3">
                  <c:v>Water</c:v>
                </c:pt>
                <c:pt idx="4">
                  <c:v>Internet</c:v>
                </c:pt>
                <c:pt idx="5">
                  <c:v>Phone</c:v>
                </c:pt>
              </c:strCache>
            </c:strRef>
          </c:cat>
          <c:val>
            <c:numRef>
              <c:f>'Transactions &amp; Calculations'!$S$6:$S$11</c:f>
              <c:numCache>
                <c:formatCode>_ [$₹-4009]\ * #,##0_ ;_ [$₹-4009]\ * \-#,##0_ ;_ [$₹-4009]\ * "-"??_ ;_ @_ </c:formatCode>
                <c:ptCount val="6"/>
                <c:pt idx="0">
                  <c:v>8500</c:v>
                </c:pt>
                <c:pt idx="1">
                  <c:v>1200</c:v>
                </c:pt>
                <c:pt idx="2">
                  <c:v>800</c:v>
                </c:pt>
                <c:pt idx="3">
                  <c:v>700</c:v>
                </c:pt>
                <c:pt idx="4">
                  <c:v>500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B-4458-B72C-819E2BA0BD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705200"/>
        <c:axId val="254689360"/>
      </c:barChart>
      <c:lineChart>
        <c:grouping val="standard"/>
        <c:varyColors val="0"/>
        <c:ser>
          <c:idx val="1"/>
          <c:order val="1"/>
          <c:tx>
            <c:strRef>
              <c:f>'Transactions &amp; Calculations'!$T$5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'Transactions &amp; Calculations'!$R$6:$R$11</c:f>
              <c:strCache>
                <c:ptCount val="6"/>
                <c:pt idx="0">
                  <c:v>House Rent</c:v>
                </c:pt>
                <c:pt idx="1">
                  <c:v>Electricity</c:v>
                </c:pt>
                <c:pt idx="2">
                  <c:v>Gas</c:v>
                </c:pt>
                <c:pt idx="3">
                  <c:v>Water</c:v>
                </c:pt>
                <c:pt idx="4">
                  <c:v>Internet</c:v>
                </c:pt>
                <c:pt idx="5">
                  <c:v>Phone</c:v>
                </c:pt>
              </c:strCache>
            </c:strRef>
          </c:cat>
          <c:val>
            <c:numRef>
              <c:f>'Transactions &amp; Calculations'!$T$6:$T$11</c:f>
              <c:numCache>
                <c:formatCode>_ [$₹-4009]\ * #,##0_ ;_ [$₹-4009]\ * \-#,##0_ ;_ [$₹-4009]\ * "-"??_ ;_ @_ </c:formatCode>
                <c:ptCount val="6"/>
                <c:pt idx="0">
                  <c:v>8500</c:v>
                </c:pt>
                <c:pt idx="1">
                  <c:v>1167</c:v>
                </c:pt>
                <c:pt idx="2">
                  <c:v>824</c:v>
                </c:pt>
                <c:pt idx="3">
                  <c:v>667</c:v>
                </c:pt>
                <c:pt idx="4">
                  <c:v>812</c:v>
                </c:pt>
                <c:pt idx="5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458-B72C-819E2BA0BD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4705200"/>
        <c:axId val="254689360"/>
      </c:lineChart>
      <c:catAx>
        <c:axId val="2547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89360"/>
        <c:crosses val="autoZero"/>
        <c:auto val="1"/>
        <c:lblAlgn val="ctr"/>
        <c:lblOffset val="100"/>
        <c:noMultiLvlLbl val="0"/>
      </c:catAx>
      <c:valAx>
        <c:axId val="2546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0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F7-4661-A8F1-99F07D61EE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F7-4661-A8F1-99F07D61EE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F7-4661-A8F1-99F07D61EE2C}"/>
              </c:ext>
            </c:extLst>
          </c:dPt>
          <c:dLbls>
            <c:dLbl>
              <c:idx val="0"/>
              <c:layout>
                <c:manualLayout>
                  <c:x val="0.13522258460034073"/>
                  <c:y val="-0.2118103374940509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F7-4661-A8F1-99F07D61EE2C}"/>
                </c:ext>
              </c:extLst>
            </c:dLbl>
            <c:dLbl>
              <c:idx val="1"/>
              <c:layout>
                <c:manualLayout>
                  <c:x val="-0.13888888888888892"/>
                  <c:y val="0.129629629629629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F7-4661-A8F1-99F07D61EE2C}"/>
                </c:ext>
              </c:extLst>
            </c:dLbl>
            <c:dLbl>
              <c:idx val="2"/>
              <c:layout>
                <c:manualLayout>
                  <c:x val="-0.16405899709486874"/>
                  <c:y val="-0.1066926318742082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F7-4661-A8F1-99F07D61E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'Transactions &amp; Calculations'!$O$33:$O$35</c:f>
              <c:strCache>
                <c:ptCount val="3"/>
                <c:pt idx="0">
                  <c:v>Expenses</c:v>
                </c:pt>
                <c:pt idx="1">
                  <c:v>Savings</c:v>
                </c:pt>
                <c:pt idx="2">
                  <c:v>Bills</c:v>
                </c:pt>
              </c:strCache>
            </c:strRef>
          </c:cat>
          <c:val>
            <c:numRef>
              <c:f>'Transactions &amp; Calculations'!$P$33:$P$35</c:f>
              <c:numCache>
                <c:formatCode>0%</c:formatCode>
                <c:ptCount val="3"/>
                <c:pt idx="0">
                  <c:v>0.45216363636363638</c:v>
                </c:pt>
                <c:pt idx="1">
                  <c:v>0.26489090909090907</c:v>
                </c:pt>
                <c:pt idx="2">
                  <c:v>0.22307272727272728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F7-4661-A8F1-99F07D61EE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8.svg"/><Relationship Id="rId3" Type="http://schemas.openxmlformats.org/officeDocument/2006/relationships/chart" Target="../charts/chart3.xml"/><Relationship Id="rId7" Type="http://schemas.openxmlformats.org/officeDocument/2006/relationships/image" Target="../media/image2.svg"/><Relationship Id="rId12" Type="http://schemas.openxmlformats.org/officeDocument/2006/relationships/image" Target="../media/image7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image" Target="../media/image6.svg"/><Relationship Id="rId5" Type="http://schemas.openxmlformats.org/officeDocument/2006/relationships/chart" Target="../charts/chart5.xml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svg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115200</xdr:rowOff>
    </xdr:from>
    <xdr:to>
      <xdr:col>18</xdr:col>
      <xdr:colOff>1225243</xdr:colOff>
      <xdr:row>63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8297030-563D-FB04-BE9B-093387B3326B}"/>
            </a:ext>
          </a:extLst>
        </xdr:cNvPr>
        <xdr:cNvSpPr/>
      </xdr:nvSpPr>
      <xdr:spPr>
        <a:xfrm>
          <a:off x="288568" y="2333567"/>
          <a:ext cx="18882000" cy="8943131"/>
        </a:xfrm>
        <a:prstGeom prst="roundRect">
          <a:avLst>
            <a:gd name="adj" fmla="val 2946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</a:t>
          </a:r>
        </a:p>
      </xdr:txBody>
    </xdr:sp>
    <xdr:clientData/>
  </xdr:twoCellAnchor>
  <xdr:twoCellAnchor>
    <xdr:from>
      <xdr:col>10</xdr:col>
      <xdr:colOff>914399</xdr:colOff>
      <xdr:row>42</xdr:row>
      <xdr:rowOff>4175</xdr:rowOff>
    </xdr:from>
    <xdr:to>
      <xdr:col>18</xdr:col>
      <xdr:colOff>882214</xdr:colOff>
      <xdr:row>61</xdr:row>
      <xdr:rowOff>102600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BDB6CB-16E3-8886-695A-F599691A6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18</xdr:col>
      <xdr:colOff>1225243</xdr:colOff>
      <xdr:row>16</xdr:row>
      <xdr:rowOff>99373</xdr:rowOff>
    </xdr:to>
    <xdr:sp macro="" textlink="">
      <xdr:nvSpPr>
        <xdr:cNvPr id="7" name="Rectangle: Top Corners Rounded 6">
          <a:extLst>
            <a:ext uri="{FF2B5EF4-FFF2-40B4-BE49-F238E27FC236}">
              <a16:creationId xmlns:a16="http://schemas.microsoft.com/office/drawing/2014/main" id="{AD49800D-F388-EA10-F5AB-174672319A21}"/>
            </a:ext>
          </a:extLst>
        </xdr:cNvPr>
        <xdr:cNvSpPr/>
      </xdr:nvSpPr>
      <xdr:spPr>
        <a:xfrm>
          <a:off x="421532" y="356681"/>
          <a:ext cx="18864732" cy="2596139"/>
        </a:xfrm>
        <a:prstGeom prst="round2SameRect">
          <a:avLst/>
        </a:prstGeom>
        <a:gradFill flip="none" rotWithShape="1">
          <a:gsLst>
            <a:gs pos="0">
              <a:srgbClr val="C88800">
                <a:shade val="30000"/>
                <a:satMod val="115000"/>
              </a:srgbClr>
            </a:gs>
            <a:gs pos="50000">
              <a:srgbClr val="C88800">
                <a:shade val="67500"/>
                <a:satMod val="115000"/>
              </a:srgbClr>
            </a:gs>
            <a:gs pos="100000">
              <a:srgbClr val="C88800">
                <a:shade val="100000"/>
                <a:satMod val="115000"/>
              </a:srgbClr>
            </a:gs>
          </a:gsLst>
          <a:lin ang="16200000" scaled="1"/>
          <a:tileRect/>
        </a:gradFill>
        <a:ln>
          <a:noFill/>
        </a:ln>
        <a:effectLst>
          <a:glow rad="127000">
            <a:schemeClr val="accent1">
              <a:alpha val="0"/>
            </a:schemeClr>
          </a:glow>
          <a:reflection stA="0" endPos="65000" dist="508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solidFill>
                <a:srgbClr val="E8B252"/>
              </a:solidFill>
            </a:ln>
          </a:endParaRPr>
        </a:p>
      </xdr:txBody>
    </xdr:sp>
    <xdr:clientData/>
  </xdr:twoCellAnchor>
  <xdr:twoCellAnchor>
    <xdr:from>
      <xdr:col>5</xdr:col>
      <xdr:colOff>457200</xdr:colOff>
      <xdr:row>42</xdr:row>
      <xdr:rowOff>4175</xdr:rowOff>
    </xdr:from>
    <xdr:to>
      <xdr:col>10</xdr:col>
      <xdr:colOff>724132</xdr:colOff>
      <xdr:row>61</xdr:row>
      <xdr:rowOff>102600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E4627BA-E9F6-64A1-470E-D63137D07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939799</xdr:colOff>
      <xdr:row>22</xdr:row>
      <xdr:rowOff>114755</xdr:rowOff>
    </xdr:from>
    <xdr:to>
      <xdr:col>14</xdr:col>
      <xdr:colOff>219261</xdr:colOff>
      <xdr:row>40</xdr:row>
      <xdr:rowOff>114756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3E76F08-38D8-9149-79AA-3C514D19C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457200</xdr:colOff>
      <xdr:row>22</xdr:row>
      <xdr:rowOff>114756</xdr:rowOff>
    </xdr:from>
    <xdr:to>
      <xdr:col>10</xdr:col>
      <xdr:colOff>773223</xdr:colOff>
      <xdr:row>40</xdr:row>
      <xdr:rowOff>114756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86CF77-4978-FC1D-3F93-06FC0020D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372076</xdr:colOff>
      <xdr:row>22</xdr:row>
      <xdr:rowOff>114754</xdr:rowOff>
    </xdr:from>
    <xdr:to>
      <xdr:col>18</xdr:col>
      <xdr:colOff>882214</xdr:colOff>
      <xdr:row>40</xdr:row>
      <xdr:rowOff>114756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E55114-205A-B754-6267-1DB4317EA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457200</xdr:colOff>
      <xdr:row>11</xdr:row>
      <xdr:rowOff>60273</xdr:rowOff>
    </xdr:from>
    <xdr:to>
      <xdr:col>9</xdr:col>
      <xdr:colOff>144721</xdr:colOff>
      <xdr:row>21</xdr:row>
      <xdr:rowOff>86673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7B6D4F33-C9F7-6430-61FA-BDB89BE01CCF}"/>
            </a:ext>
          </a:extLst>
        </xdr:cNvPr>
        <xdr:cNvSpPr/>
      </xdr:nvSpPr>
      <xdr:spPr>
        <a:xfrm>
          <a:off x="3842657" y="1725787"/>
          <a:ext cx="3704350" cy="1876972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1231900</xdr:colOff>
      <xdr:row>11</xdr:row>
      <xdr:rowOff>60273</xdr:rowOff>
    </xdr:from>
    <xdr:to>
      <xdr:col>16</xdr:col>
      <xdr:colOff>462221</xdr:colOff>
      <xdr:row>21</xdr:row>
      <xdr:rowOff>86673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64DCC31F-EBB2-4210-9B32-9524D213345A}"/>
            </a:ext>
          </a:extLst>
        </xdr:cNvPr>
        <xdr:cNvSpPr/>
      </xdr:nvSpPr>
      <xdr:spPr>
        <a:xfrm>
          <a:off x="11725729" y="1725787"/>
          <a:ext cx="3704349" cy="2247086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401379</xdr:colOff>
      <xdr:row>11</xdr:row>
      <xdr:rowOff>60273</xdr:rowOff>
    </xdr:from>
    <xdr:to>
      <xdr:col>12</xdr:col>
      <xdr:colOff>1016000</xdr:colOff>
      <xdr:row>21</xdr:row>
      <xdr:rowOff>86673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70C4E86B-83DF-4143-BD7C-490E249F4EF4}"/>
            </a:ext>
          </a:extLst>
        </xdr:cNvPr>
        <xdr:cNvSpPr/>
      </xdr:nvSpPr>
      <xdr:spPr>
        <a:xfrm>
          <a:off x="7803665" y="1725787"/>
          <a:ext cx="3706164" cy="2247086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652114</xdr:colOff>
      <xdr:row>5</xdr:row>
      <xdr:rowOff>62000</xdr:rowOff>
    </xdr:from>
    <xdr:to>
      <xdr:col>18</xdr:col>
      <xdr:colOff>920314</xdr:colOff>
      <xdr:row>21</xdr:row>
      <xdr:rowOff>101600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FCC4B788-AA5B-469D-B999-E84B15B96E9B}"/>
            </a:ext>
          </a:extLst>
        </xdr:cNvPr>
        <xdr:cNvSpPr/>
      </xdr:nvSpPr>
      <xdr:spPr>
        <a:xfrm>
          <a:off x="15619971" y="617171"/>
          <a:ext cx="3250886" cy="3370629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59872</xdr:colOff>
      <xdr:row>11</xdr:row>
      <xdr:rowOff>60273</xdr:rowOff>
    </xdr:from>
    <xdr:to>
      <xdr:col>5</xdr:col>
      <xdr:colOff>72572</xdr:colOff>
      <xdr:row>21</xdr:row>
      <xdr:rowOff>86673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A2C6622D-29F0-4715-AF85-D5E4BE1111D6}"/>
            </a:ext>
          </a:extLst>
        </xdr:cNvPr>
        <xdr:cNvSpPr/>
      </xdr:nvSpPr>
      <xdr:spPr>
        <a:xfrm>
          <a:off x="650811" y="1739783"/>
          <a:ext cx="2796332" cy="1892523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50801</xdr:colOff>
      <xdr:row>22</xdr:row>
      <xdr:rowOff>101600</xdr:rowOff>
    </xdr:from>
    <xdr:to>
      <xdr:col>5</xdr:col>
      <xdr:colOff>101601</xdr:colOff>
      <xdr:row>47</xdr:row>
      <xdr:rowOff>101600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679FC332-787F-43AE-AD0C-CD78BD2103DD}"/>
            </a:ext>
          </a:extLst>
        </xdr:cNvPr>
        <xdr:cNvSpPr/>
      </xdr:nvSpPr>
      <xdr:spPr>
        <a:xfrm>
          <a:off x="636955" y="3852985"/>
          <a:ext cx="2840892" cy="468923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38101</xdr:colOff>
      <xdr:row>49</xdr:row>
      <xdr:rowOff>76200</xdr:rowOff>
    </xdr:from>
    <xdr:to>
      <xdr:col>5</xdr:col>
      <xdr:colOff>101601</xdr:colOff>
      <xdr:row>61</xdr:row>
      <xdr:rowOff>102600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36F2B4F5-35B5-4CE9-8390-2136899284D1}"/>
            </a:ext>
          </a:extLst>
        </xdr:cNvPr>
        <xdr:cNvSpPr/>
      </xdr:nvSpPr>
      <xdr:spPr>
        <a:xfrm>
          <a:off x="631582" y="8685335"/>
          <a:ext cx="2855057" cy="2224477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272145</xdr:colOff>
      <xdr:row>12</xdr:row>
      <xdr:rowOff>21772</xdr:rowOff>
    </xdr:from>
    <xdr:to>
      <xdr:col>4</xdr:col>
      <xdr:colOff>1317173</xdr:colOff>
      <xdr:row>15</xdr:row>
      <xdr:rowOff>87086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BC15219-B6AC-5F00-E1AD-A73698E10558}"/>
            </a:ext>
          </a:extLst>
        </xdr:cNvPr>
        <xdr:cNvSpPr txBox="1"/>
      </xdr:nvSpPr>
      <xdr:spPr>
        <a:xfrm>
          <a:off x="1534888" y="1872343"/>
          <a:ext cx="1807028" cy="620486"/>
        </a:xfrm>
        <a:prstGeom prst="rect">
          <a:avLst/>
        </a:prstGeom>
        <a:solidFill>
          <a:schemeClr val="bg2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i="1"/>
            <a:t>Current Balance</a:t>
          </a:r>
        </a:p>
        <a:p>
          <a:r>
            <a:rPr lang="en-IN" sz="1200" b="0" i="1"/>
            <a:t>Money</a:t>
          </a:r>
          <a:r>
            <a:rPr lang="en-IN" sz="1200" b="0" i="1" baseline="0"/>
            <a:t> Available to Spend</a:t>
          </a:r>
          <a:endParaRPr lang="en-IN" sz="1200" b="0" i="1"/>
        </a:p>
      </xdr:txBody>
    </xdr:sp>
    <xdr:clientData/>
  </xdr:twoCellAnchor>
  <xdr:twoCellAnchor editAs="oneCell">
    <xdr:from>
      <xdr:col>9</xdr:col>
      <xdr:colOff>555171</xdr:colOff>
      <xdr:row>11</xdr:row>
      <xdr:rowOff>60273</xdr:rowOff>
    </xdr:from>
    <xdr:to>
      <xdr:col>10</xdr:col>
      <xdr:colOff>413657</xdr:colOff>
      <xdr:row>16</xdr:row>
      <xdr:rowOff>49386</xdr:rowOff>
    </xdr:to>
    <xdr:pic>
      <xdr:nvPicPr>
        <xdr:cNvPr id="16" name="Graphic 15" descr="Wallet">
          <a:extLst>
            <a:ext uri="{FF2B5EF4-FFF2-40B4-BE49-F238E27FC236}">
              <a16:creationId xmlns:a16="http://schemas.microsoft.com/office/drawing/2014/main" id="{FF2CAAC9-FFF7-64E4-1785-D31B1F6D6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957457" y="1725787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792258</xdr:colOff>
      <xdr:row>11</xdr:row>
      <xdr:rowOff>60273</xdr:rowOff>
    </xdr:from>
    <xdr:to>
      <xdr:col>6</xdr:col>
      <xdr:colOff>650744</xdr:colOff>
      <xdr:row>16</xdr:row>
      <xdr:rowOff>49386</xdr:rowOff>
    </xdr:to>
    <xdr:pic>
      <xdr:nvPicPr>
        <xdr:cNvPr id="18" name="Graphic 17" descr="Money">
          <a:extLst>
            <a:ext uri="{FF2B5EF4-FFF2-40B4-BE49-F238E27FC236}">
              <a16:creationId xmlns:a16="http://schemas.microsoft.com/office/drawing/2014/main" id="{CBD59319-199D-813D-56F8-87B130E5F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177715" y="1725787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112543</xdr:colOff>
      <xdr:row>11</xdr:row>
      <xdr:rowOff>60273</xdr:rowOff>
    </xdr:from>
    <xdr:to>
      <xdr:col>3</xdr:col>
      <xdr:colOff>352028</xdr:colOff>
      <xdr:row>16</xdr:row>
      <xdr:rowOff>49386</xdr:rowOff>
    </xdr:to>
    <xdr:pic>
      <xdr:nvPicPr>
        <xdr:cNvPr id="29" name="Graphic 28" descr="Coins">
          <a:extLst>
            <a:ext uri="{FF2B5EF4-FFF2-40B4-BE49-F238E27FC236}">
              <a16:creationId xmlns:a16="http://schemas.microsoft.com/office/drawing/2014/main" id="{09C15C21-B384-9AC7-3A9C-A518EF85F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700372" y="1725787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1337831</xdr:colOff>
      <xdr:row>11</xdr:row>
      <xdr:rowOff>60273</xdr:rowOff>
    </xdr:from>
    <xdr:to>
      <xdr:col>13</xdr:col>
      <xdr:colOff>869746</xdr:colOff>
      <xdr:row>16</xdr:row>
      <xdr:rowOff>49386</xdr:rowOff>
    </xdr:to>
    <xdr:pic>
      <xdr:nvPicPr>
        <xdr:cNvPr id="33" name="Graphic 32" descr="Monthly calendar">
          <a:extLst>
            <a:ext uri="{FF2B5EF4-FFF2-40B4-BE49-F238E27FC236}">
              <a16:creationId xmlns:a16="http://schemas.microsoft.com/office/drawing/2014/main" id="{F6DC76C7-561C-593D-47DC-F5D292AF6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1831660" y="1725787"/>
          <a:ext cx="914400" cy="914400"/>
        </a:xfrm>
        <a:prstGeom prst="rect">
          <a:avLst/>
        </a:prstGeom>
      </xdr:spPr>
    </xdr:pic>
    <xdr:clientData/>
  </xdr:twoCellAnchor>
  <xdr:twoCellAnchor>
    <xdr:from>
      <xdr:col>6</xdr:col>
      <xdr:colOff>874486</xdr:colOff>
      <xdr:row>12</xdr:row>
      <xdr:rowOff>21772</xdr:rowOff>
    </xdr:from>
    <xdr:to>
      <xdr:col>8</xdr:col>
      <xdr:colOff>1037771</xdr:colOff>
      <xdr:row>15</xdr:row>
      <xdr:rowOff>87086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CC19FAA-B33F-4EF3-AF3A-E607A3D7C079}"/>
            </a:ext>
          </a:extLst>
        </xdr:cNvPr>
        <xdr:cNvSpPr txBox="1"/>
      </xdr:nvSpPr>
      <xdr:spPr>
        <a:xfrm>
          <a:off x="5315857" y="1872343"/>
          <a:ext cx="1807028" cy="620486"/>
        </a:xfrm>
        <a:prstGeom prst="rect">
          <a:avLst/>
        </a:prstGeom>
        <a:solidFill>
          <a:schemeClr val="bg2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i="1"/>
            <a:t>Monthly Income</a:t>
          </a:r>
        </a:p>
        <a:p>
          <a:r>
            <a:rPr lang="en-IN" sz="1200" b="0" i="1"/>
            <a:t>The Actual Income</a:t>
          </a:r>
        </a:p>
      </xdr:txBody>
    </xdr:sp>
    <xdr:clientData/>
  </xdr:twoCellAnchor>
  <xdr:twoCellAnchor>
    <xdr:from>
      <xdr:col>10</xdr:col>
      <xdr:colOff>553779</xdr:colOff>
      <xdr:row>12</xdr:row>
      <xdr:rowOff>21772</xdr:rowOff>
    </xdr:from>
    <xdr:to>
      <xdr:col>12</xdr:col>
      <xdr:colOff>457199</xdr:colOff>
      <xdr:row>15</xdr:row>
      <xdr:rowOff>87086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8E92C9E-6EA0-4AD6-99E7-C5CE29861C38}"/>
            </a:ext>
          </a:extLst>
        </xdr:cNvPr>
        <xdr:cNvSpPr txBox="1"/>
      </xdr:nvSpPr>
      <xdr:spPr>
        <a:xfrm>
          <a:off x="9011979" y="1872343"/>
          <a:ext cx="1939049" cy="620486"/>
        </a:xfrm>
        <a:prstGeom prst="rect">
          <a:avLst/>
        </a:prstGeom>
        <a:solidFill>
          <a:schemeClr val="bg2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i="1"/>
            <a:t>Monthly</a:t>
          </a:r>
          <a:r>
            <a:rPr lang="en-IN" sz="1800" b="1" i="1" baseline="0"/>
            <a:t> Expenses</a:t>
          </a:r>
          <a:endParaRPr lang="en-IN" sz="1800" b="1" i="1"/>
        </a:p>
        <a:p>
          <a:r>
            <a:rPr lang="en-IN" sz="1200" b="0" i="1"/>
            <a:t>The</a:t>
          </a:r>
          <a:r>
            <a:rPr lang="en-IN" sz="1200" b="0" i="1" baseline="0"/>
            <a:t> Actual Expenses</a:t>
          </a:r>
          <a:endParaRPr lang="en-IN" sz="1200" b="0" i="1"/>
        </a:p>
      </xdr:txBody>
    </xdr:sp>
    <xdr:clientData/>
  </xdr:twoCellAnchor>
  <xdr:twoCellAnchor>
    <xdr:from>
      <xdr:col>14</xdr:col>
      <xdr:colOff>112486</xdr:colOff>
      <xdr:row>12</xdr:row>
      <xdr:rowOff>21772</xdr:rowOff>
    </xdr:from>
    <xdr:to>
      <xdr:col>15</xdr:col>
      <xdr:colOff>885372</xdr:colOff>
      <xdr:row>15</xdr:row>
      <xdr:rowOff>87086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C197B6D-3156-483C-BA29-54670DE48E89}"/>
            </a:ext>
          </a:extLst>
        </xdr:cNvPr>
        <xdr:cNvSpPr txBox="1"/>
      </xdr:nvSpPr>
      <xdr:spPr>
        <a:xfrm>
          <a:off x="13044715" y="1872343"/>
          <a:ext cx="1807028" cy="620486"/>
        </a:xfrm>
        <a:prstGeom prst="rect">
          <a:avLst/>
        </a:prstGeom>
        <a:solidFill>
          <a:schemeClr val="bg2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i="1"/>
            <a:t>Monthly</a:t>
          </a:r>
          <a:r>
            <a:rPr lang="en-IN" sz="1800" b="1" i="1" baseline="0"/>
            <a:t> Bills</a:t>
          </a:r>
          <a:endParaRPr lang="en-IN" sz="1800" b="1" i="1"/>
        </a:p>
        <a:p>
          <a:r>
            <a:rPr lang="en-IN" sz="1200" b="0" i="1"/>
            <a:t>The</a:t>
          </a:r>
          <a:r>
            <a:rPr lang="en-IN" sz="1200" b="0" i="1" baseline="0"/>
            <a:t> Actual Bills</a:t>
          </a:r>
          <a:endParaRPr lang="en-IN" sz="1200" b="0" i="1"/>
        </a:p>
      </xdr:txBody>
    </xdr:sp>
    <xdr:clientData/>
  </xdr:twoCellAnchor>
  <xdr:twoCellAnchor>
    <xdr:from>
      <xdr:col>16</xdr:col>
      <xdr:colOff>1157513</xdr:colOff>
      <xdr:row>6</xdr:row>
      <xdr:rowOff>24399</xdr:rowOff>
    </xdr:from>
    <xdr:to>
      <xdr:col>18</xdr:col>
      <xdr:colOff>348342</xdr:colOff>
      <xdr:row>9</xdr:row>
      <xdr:rowOff>89714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420A1DE-0926-4487-8304-CC51AFD94369}"/>
            </a:ext>
          </a:extLst>
        </xdr:cNvPr>
        <xdr:cNvSpPr txBox="1"/>
      </xdr:nvSpPr>
      <xdr:spPr>
        <a:xfrm>
          <a:off x="16125370" y="764628"/>
          <a:ext cx="2173515" cy="620486"/>
        </a:xfrm>
        <a:prstGeom prst="rect">
          <a:avLst/>
        </a:prstGeom>
        <a:solidFill>
          <a:schemeClr val="bg2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i="1"/>
            <a:t>Allocation</a:t>
          </a:r>
          <a:r>
            <a:rPr lang="en-IN" sz="1800" b="1" i="1" baseline="0"/>
            <a:t> Summary</a:t>
          </a:r>
          <a:endParaRPr lang="en-IN" sz="1800" b="1" i="1"/>
        </a:p>
        <a:p>
          <a:r>
            <a:rPr lang="en-IN" sz="1200" b="0" i="1"/>
            <a:t>Actual</a:t>
          </a:r>
          <a:r>
            <a:rPr lang="en-IN" sz="1200" b="0" i="1" baseline="0"/>
            <a:t> Allocation of the Income</a:t>
          </a:r>
          <a:endParaRPr lang="en-IN" sz="1200" b="0" i="1"/>
        </a:p>
      </xdr:txBody>
    </xdr:sp>
    <xdr:clientData/>
  </xdr:twoCellAnchor>
  <xdr:twoCellAnchor>
    <xdr:from>
      <xdr:col>3</xdr:col>
      <xdr:colOff>44014</xdr:colOff>
      <xdr:row>16</xdr:row>
      <xdr:rowOff>10886</xdr:rowOff>
    </xdr:from>
    <xdr:to>
      <xdr:col>4</xdr:col>
      <xdr:colOff>1325217</xdr:colOff>
      <xdr:row>19</xdr:row>
      <xdr:rowOff>175715</xdr:rowOff>
    </xdr:to>
    <xdr:sp macro="" textlink="cell">
      <xdr:nvSpPr>
        <xdr:cNvPr id="50" name="TextBox 49">
          <a:extLst>
            <a:ext uri="{FF2B5EF4-FFF2-40B4-BE49-F238E27FC236}">
              <a16:creationId xmlns:a16="http://schemas.microsoft.com/office/drawing/2014/main" id="{835FA9C8-7B93-A0DC-D627-167F17F0CB1C}"/>
            </a:ext>
          </a:extLst>
        </xdr:cNvPr>
        <xdr:cNvSpPr txBox="1"/>
      </xdr:nvSpPr>
      <xdr:spPr>
        <a:xfrm>
          <a:off x="1418927" y="2926364"/>
          <a:ext cx="2043203" cy="711481"/>
        </a:xfrm>
        <a:prstGeom prst="rect">
          <a:avLst/>
        </a:prstGeom>
        <a:solidFill>
          <a:schemeClr val="bg2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7BECAD-69D4-49A4-A7B1-2C7A03C5ADC9}" type="TxLink">
            <a:rPr lang="en-US" sz="4000" b="1" i="1" u="none" strike="noStrike">
              <a:solidFill>
                <a:srgbClr val="000000"/>
              </a:solidFill>
              <a:latin typeface="Aptos Narrow" panose="020B0004020202020204" pitchFamily="34" charset="0"/>
              <a:ea typeface="Calibri"/>
              <a:cs typeface="Times New Roman" panose="02020603050405020304" pitchFamily="18" charset="0"/>
            </a:rPr>
            <a:pPr/>
            <a:t>₹ 3,293</a:t>
          </a:fld>
          <a:endParaRPr lang="en-IN" sz="4000" b="1" i="1">
            <a:latin typeface="Aptos Narrow" panose="020B000402020202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239482</xdr:colOff>
      <xdr:row>16</xdr:row>
      <xdr:rowOff>10886</xdr:rowOff>
    </xdr:from>
    <xdr:to>
      <xdr:col>8</xdr:col>
      <xdr:colOff>755739</xdr:colOff>
      <xdr:row>19</xdr:row>
      <xdr:rowOff>175715</xdr:rowOff>
    </xdr:to>
    <xdr:sp macro="" textlink="'Transactions &amp; Calculations'!D6">
      <xdr:nvSpPr>
        <xdr:cNvPr id="51" name="TextBox 50">
          <a:extLst>
            <a:ext uri="{FF2B5EF4-FFF2-40B4-BE49-F238E27FC236}">
              <a16:creationId xmlns:a16="http://schemas.microsoft.com/office/drawing/2014/main" id="{2F5ED0EE-0CEC-919D-99B6-1D49DE17D108}"/>
            </a:ext>
          </a:extLst>
        </xdr:cNvPr>
        <xdr:cNvSpPr txBox="1"/>
      </xdr:nvSpPr>
      <xdr:spPr>
        <a:xfrm>
          <a:off x="4794917" y="2926364"/>
          <a:ext cx="2172779" cy="711481"/>
        </a:xfrm>
        <a:prstGeom prst="rect">
          <a:avLst/>
        </a:prstGeom>
        <a:solidFill>
          <a:schemeClr val="bg2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30CEF74-32A5-42FF-A497-1F2DC453DF94}" type="TxLink">
            <a:rPr lang="en-US" sz="4000" b="1" i="1" u="none" strike="noStrike">
              <a:solidFill>
                <a:srgbClr val="000000"/>
              </a:solidFill>
              <a:latin typeface="Aptos Narrow" panose="020B0004020202020204" pitchFamily="34" charset="0"/>
              <a:ea typeface="Calibri"/>
              <a:cs typeface="Times New Roman" panose="02020603050405020304" pitchFamily="18" charset="0"/>
            </a:rPr>
            <a:pPr marL="0" indent="0"/>
            <a:t> ₹ 55,000 </a:t>
          </a:fld>
          <a:endParaRPr lang="en-IN" sz="4000" b="1" i="1" u="none" strike="noStrike">
            <a:solidFill>
              <a:srgbClr val="000000"/>
            </a:solidFill>
            <a:latin typeface="Aptos Narrow" panose="020B0004020202020204" pitchFamily="34" charset="0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435428</xdr:colOff>
      <xdr:row>16</xdr:row>
      <xdr:rowOff>10886</xdr:rowOff>
    </xdr:from>
    <xdr:to>
      <xdr:col>12</xdr:col>
      <xdr:colOff>559799</xdr:colOff>
      <xdr:row>19</xdr:row>
      <xdr:rowOff>175715</xdr:rowOff>
    </xdr:to>
    <xdr:sp macro="" textlink="'Transactions &amp; Calculations'!D7">
      <xdr:nvSpPr>
        <xdr:cNvPr id="52" name="TextBox 51">
          <a:extLst>
            <a:ext uri="{FF2B5EF4-FFF2-40B4-BE49-F238E27FC236}">
              <a16:creationId xmlns:a16="http://schemas.microsoft.com/office/drawing/2014/main" id="{F7149934-6265-9EDC-C0F3-31A8BBE4403A}"/>
            </a:ext>
          </a:extLst>
        </xdr:cNvPr>
        <xdr:cNvSpPr txBox="1"/>
      </xdr:nvSpPr>
      <xdr:spPr>
        <a:xfrm>
          <a:off x="8893628" y="2601686"/>
          <a:ext cx="2160000" cy="720000"/>
        </a:xfrm>
        <a:prstGeom prst="rect">
          <a:avLst/>
        </a:prstGeom>
        <a:solidFill>
          <a:schemeClr val="bg2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248A162-2C48-47F8-AE1C-84E994B847F3}" type="TxLink">
            <a:rPr lang="en-US" sz="4000" b="1" i="1" u="none" strike="noStrike">
              <a:solidFill>
                <a:srgbClr val="000000"/>
              </a:solidFill>
              <a:latin typeface="Aptos Narrow" panose="020B0004020202020204" pitchFamily="34" charset="0"/>
              <a:ea typeface="Calibri"/>
              <a:cs typeface="Times New Roman" panose="02020603050405020304" pitchFamily="18" charset="0"/>
            </a:rPr>
            <a:pPr marL="0" indent="0"/>
            <a:t> ₹ 24,869 </a:t>
          </a:fld>
          <a:endParaRPr lang="en-IN" sz="4000" b="1" i="1" u="none" strike="noStrike">
            <a:solidFill>
              <a:srgbClr val="000000"/>
            </a:solidFill>
            <a:latin typeface="Aptos Narrow" panose="020B0004020202020204" pitchFamily="34" charset="0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631371</xdr:colOff>
      <xdr:row>16</xdr:row>
      <xdr:rowOff>10886</xdr:rowOff>
    </xdr:from>
    <xdr:to>
      <xdr:col>15</xdr:col>
      <xdr:colOff>701314</xdr:colOff>
      <xdr:row>19</xdr:row>
      <xdr:rowOff>175715</xdr:rowOff>
    </xdr:to>
    <xdr:sp macro="" textlink="'Transactions &amp; Calculations'!D9">
      <xdr:nvSpPr>
        <xdr:cNvPr id="53" name="TextBox 52">
          <a:extLst>
            <a:ext uri="{FF2B5EF4-FFF2-40B4-BE49-F238E27FC236}">
              <a16:creationId xmlns:a16="http://schemas.microsoft.com/office/drawing/2014/main" id="{EC287FEF-7750-AF1B-4C1D-282735EEBD76}"/>
            </a:ext>
          </a:extLst>
        </xdr:cNvPr>
        <xdr:cNvSpPr txBox="1"/>
      </xdr:nvSpPr>
      <xdr:spPr>
        <a:xfrm>
          <a:off x="12507685" y="2601686"/>
          <a:ext cx="2160000" cy="720000"/>
        </a:xfrm>
        <a:prstGeom prst="rect">
          <a:avLst/>
        </a:prstGeom>
        <a:solidFill>
          <a:schemeClr val="bg2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E14FDC2-B67B-4F09-9F5A-FE153A5F2E52}" type="TxLink">
            <a:rPr lang="en-US" sz="4000" b="1" i="1" u="none" strike="noStrike">
              <a:solidFill>
                <a:srgbClr val="000000"/>
              </a:solidFill>
              <a:latin typeface="Aptos Narrow" panose="020B0004020202020204" pitchFamily="34" charset="0"/>
              <a:ea typeface="Calibri"/>
              <a:cs typeface="Times New Roman" panose="02020603050405020304" pitchFamily="18" charset="0"/>
            </a:rPr>
            <a:pPr marL="0" indent="0"/>
            <a:t> ₹ 12,269 </a:t>
          </a:fld>
          <a:endParaRPr lang="en-IN" sz="4000" b="1" i="1" u="none" strike="noStrike">
            <a:solidFill>
              <a:srgbClr val="000000"/>
            </a:solidFill>
            <a:latin typeface="Aptos Narrow" panose="020B0004020202020204" pitchFamily="34" charset="0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211592</xdr:colOff>
      <xdr:row>41</xdr:row>
      <xdr:rowOff>2358</xdr:rowOff>
    </xdr:from>
    <xdr:to>
      <xdr:col>4</xdr:col>
      <xdr:colOff>349592</xdr:colOff>
      <xdr:row>42</xdr:row>
      <xdr:rowOff>176826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E4C7B0DE-D1C9-3C78-45F8-416E58A50CF2}"/>
            </a:ext>
          </a:extLst>
        </xdr:cNvPr>
        <xdr:cNvSpPr txBox="1"/>
      </xdr:nvSpPr>
      <xdr:spPr>
        <a:xfrm>
          <a:off x="1464372" y="7054087"/>
          <a:ext cx="900000" cy="355281"/>
        </a:xfrm>
        <a:prstGeom prst="rect">
          <a:avLst/>
        </a:prstGeom>
        <a:solidFill>
          <a:schemeClr val="bg2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800">
              <a:solidFill>
                <a:schemeClr val="tx1"/>
              </a:solidFill>
            </a:rPr>
            <a:t>Budget</a:t>
          </a:r>
        </a:p>
      </xdr:txBody>
    </xdr:sp>
    <xdr:clientData/>
  </xdr:twoCellAnchor>
  <xdr:twoCellAnchor>
    <xdr:from>
      <xdr:col>3</xdr:col>
      <xdr:colOff>210704</xdr:colOff>
      <xdr:row>32</xdr:row>
      <xdr:rowOff>50242</xdr:rowOff>
    </xdr:from>
    <xdr:to>
      <xdr:col>4</xdr:col>
      <xdr:colOff>348704</xdr:colOff>
      <xdr:row>34</xdr:row>
      <xdr:rowOff>43896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A5ABF902-671B-44B7-967F-AEB172D62602}"/>
            </a:ext>
          </a:extLst>
        </xdr:cNvPr>
        <xdr:cNvSpPr txBox="1"/>
      </xdr:nvSpPr>
      <xdr:spPr>
        <a:xfrm>
          <a:off x="1478262" y="5545434"/>
          <a:ext cx="900000" cy="360000"/>
        </a:xfrm>
        <a:prstGeom prst="rect">
          <a:avLst/>
        </a:prstGeom>
        <a:solidFill>
          <a:schemeClr val="bg2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800">
              <a:solidFill>
                <a:schemeClr val="tx1"/>
              </a:solidFill>
            </a:rPr>
            <a:t>Budget</a:t>
          </a:r>
        </a:p>
      </xdr:txBody>
    </xdr:sp>
    <xdr:clientData/>
  </xdr:twoCellAnchor>
  <xdr:twoCellAnchor>
    <xdr:from>
      <xdr:col>3</xdr:col>
      <xdr:colOff>211592</xdr:colOff>
      <xdr:row>34</xdr:row>
      <xdr:rowOff>98429</xdr:rowOff>
    </xdr:from>
    <xdr:to>
      <xdr:col>4</xdr:col>
      <xdr:colOff>349592</xdr:colOff>
      <xdr:row>36</xdr:row>
      <xdr:rowOff>92082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C9E43D47-73A4-4E25-BE62-27E079D00CA2}"/>
            </a:ext>
          </a:extLst>
        </xdr:cNvPr>
        <xdr:cNvSpPr txBox="1"/>
      </xdr:nvSpPr>
      <xdr:spPr>
        <a:xfrm>
          <a:off x="1479150" y="5959967"/>
          <a:ext cx="900000" cy="360000"/>
        </a:xfrm>
        <a:prstGeom prst="rect">
          <a:avLst/>
        </a:prstGeom>
        <a:solidFill>
          <a:schemeClr val="bg2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800">
              <a:solidFill>
                <a:schemeClr val="tx1"/>
              </a:solidFill>
            </a:rPr>
            <a:t>Actual</a:t>
          </a:r>
        </a:p>
      </xdr:txBody>
    </xdr:sp>
    <xdr:clientData/>
  </xdr:twoCellAnchor>
  <xdr:twoCellAnchor>
    <xdr:from>
      <xdr:col>3</xdr:col>
      <xdr:colOff>213795</xdr:colOff>
      <xdr:row>43</xdr:row>
      <xdr:rowOff>45545</xdr:rowOff>
    </xdr:from>
    <xdr:to>
      <xdr:col>4</xdr:col>
      <xdr:colOff>351795</xdr:colOff>
      <xdr:row>45</xdr:row>
      <xdr:rowOff>39199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1A9A1986-00E9-4708-AC89-DBB1FE0D6FE7}"/>
            </a:ext>
          </a:extLst>
        </xdr:cNvPr>
        <xdr:cNvSpPr txBox="1"/>
      </xdr:nvSpPr>
      <xdr:spPr>
        <a:xfrm>
          <a:off x="1459983" y="7530608"/>
          <a:ext cx="900000" cy="358779"/>
        </a:xfrm>
        <a:prstGeom prst="rect">
          <a:avLst/>
        </a:prstGeom>
        <a:solidFill>
          <a:schemeClr val="bg2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800">
              <a:solidFill>
                <a:schemeClr val="tx1"/>
              </a:solidFill>
            </a:rPr>
            <a:t>Actual</a:t>
          </a:r>
        </a:p>
      </xdr:txBody>
    </xdr:sp>
    <xdr:clientData/>
  </xdr:twoCellAnchor>
  <xdr:twoCellAnchor>
    <xdr:from>
      <xdr:col>2</xdr:col>
      <xdr:colOff>165826</xdr:colOff>
      <xdr:row>23</xdr:row>
      <xdr:rowOff>142067</xdr:rowOff>
    </xdr:from>
    <xdr:to>
      <xdr:col>5</xdr:col>
      <xdr:colOff>5691</xdr:colOff>
      <xdr:row>29</xdr:row>
      <xdr:rowOff>33866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B9F60FE5-7001-4F3D-9B63-34417C85F3E1}"/>
            </a:ext>
          </a:extLst>
        </xdr:cNvPr>
        <xdr:cNvSpPr txBox="1"/>
      </xdr:nvSpPr>
      <xdr:spPr>
        <a:xfrm>
          <a:off x="893959" y="4426200"/>
          <a:ext cx="2633865" cy="1009399"/>
        </a:xfrm>
        <a:prstGeom prst="rect">
          <a:avLst/>
        </a:prstGeom>
        <a:solidFill>
          <a:schemeClr val="bg2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 b="1">
              <a:solidFill>
                <a:schemeClr val="tx1"/>
              </a:solidFill>
            </a:rPr>
            <a:t>Budget</a:t>
          </a:r>
          <a:r>
            <a:rPr lang="en-IN" sz="2400" b="1" baseline="0">
              <a:solidFill>
                <a:schemeClr val="tx1"/>
              </a:solidFill>
            </a:rPr>
            <a:t> vs Actual</a:t>
          </a:r>
        </a:p>
        <a:p>
          <a:pPr algn="ctr"/>
          <a:r>
            <a:rPr lang="en-IN" sz="1600" baseline="0">
              <a:solidFill>
                <a:schemeClr val="tx1"/>
              </a:solidFill>
            </a:rPr>
            <a:t>Comparison between</a:t>
          </a:r>
        </a:p>
        <a:p>
          <a:pPr algn="ctr"/>
          <a:r>
            <a:rPr lang="en-IN" sz="1600" baseline="0">
              <a:solidFill>
                <a:schemeClr val="tx1"/>
              </a:solidFill>
            </a:rPr>
            <a:t>Budget and Actual Elements</a:t>
          </a:r>
          <a:endParaRPr lang="en-IN" sz="16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480411</xdr:colOff>
      <xdr:row>30</xdr:row>
      <xdr:rowOff>49050</xdr:rowOff>
    </xdr:from>
    <xdr:to>
      <xdr:col>4</xdr:col>
      <xdr:colOff>125188</xdr:colOff>
      <xdr:row>32</xdr:row>
      <xdr:rowOff>39147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46AD8274-7749-4F15-A1B5-D5C02854338D}"/>
            </a:ext>
          </a:extLst>
        </xdr:cNvPr>
        <xdr:cNvSpPr txBox="1"/>
      </xdr:nvSpPr>
      <xdr:spPr>
        <a:xfrm>
          <a:off x="1064858" y="5227691"/>
          <a:ext cx="1080000" cy="360000"/>
        </a:xfrm>
        <a:prstGeom prst="rect">
          <a:avLst/>
        </a:prstGeom>
        <a:solidFill>
          <a:schemeClr val="bg2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tx2"/>
              </a:solidFill>
            </a:rPr>
            <a:t>Savings</a:t>
          </a:r>
        </a:p>
      </xdr:txBody>
    </xdr:sp>
    <xdr:clientData/>
  </xdr:twoCellAnchor>
  <xdr:twoCellAnchor>
    <xdr:from>
      <xdr:col>2</xdr:col>
      <xdr:colOff>305238</xdr:colOff>
      <xdr:row>30</xdr:row>
      <xdr:rowOff>175174</xdr:rowOff>
    </xdr:from>
    <xdr:to>
      <xdr:col>2</xdr:col>
      <xdr:colOff>413238</xdr:colOff>
      <xdr:row>31</xdr:row>
      <xdr:rowOff>99243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A35FD9A1-6E1E-1582-F27F-9E30B178840B}"/>
            </a:ext>
          </a:extLst>
        </xdr:cNvPr>
        <xdr:cNvSpPr/>
      </xdr:nvSpPr>
      <xdr:spPr>
        <a:xfrm>
          <a:off x="892066" y="5325243"/>
          <a:ext cx="108000" cy="108000"/>
        </a:xfrm>
        <a:prstGeom prst="ellipse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270202</xdr:colOff>
      <xdr:row>38</xdr:row>
      <xdr:rowOff>154153</xdr:rowOff>
    </xdr:from>
    <xdr:to>
      <xdr:col>2</xdr:col>
      <xdr:colOff>378202</xdr:colOff>
      <xdr:row>39</xdr:row>
      <xdr:rowOff>78222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1B6F2F19-80CB-4242-9AE8-986DD82155EF}"/>
            </a:ext>
          </a:extLst>
        </xdr:cNvPr>
        <xdr:cNvSpPr/>
      </xdr:nvSpPr>
      <xdr:spPr>
        <a:xfrm>
          <a:off x="857030" y="6775670"/>
          <a:ext cx="108000" cy="108000"/>
        </a:xfrm>
        <a:prstGeom prst="ellipse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480411</xdr:colOff>
      <xdr:row>38</xdr:row>
      <xdr:rowOff>31532</xdr:rowOff>
    </xdr:from>
    <xdr:to>
      <xdr:col>4</xdr:col>
      <xdr:colOff>125188</xdr:colOff>
      <xdr:row>40</xdr:row>
      <xdr:rowOff>21629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DDCC007-D369-49D1-B320-2E902EDBD81B}"/>
            </a:ext>
          </a:extLst>
        </xdr:cNvPr>
        <xdr:cNvSpPr txBox="1"/>
      </xdr:nvSpPr>
      <xdr:spPr>
        <a:xfrm>
          <a:off x="1064858" y="6689784"/>
          <a:ext cx="1080000" cy="360000"/>
        </a:xfrm>
        <a:prstGeom prst="rect">
          <a:avLst/>
        </a:prstGeom>
        <a:solidFill>
          <a:schemeClr val="bg2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tx2"/>
              </a:solidFill>
            </a:rPr>
            <a:t>Expenses</a:t>
          </a:r>
        </a:p>
      </xdr:txBody>
    </xdr:sp>
    <xdr:clientData/>
  </xdr:twoCellAnchor>
  <xdr:twoCellAnchor>
    <xdr:from>
      <xdr:col>4</xdr:col>
      <xdr:colOff>349592</xdr:colOff>
      <xdr:row>32</xdr:row>
      <xdr:rowOff>50242</xdr:rowOff>
    </xdr:from>
    <xdr:to>
      <xdr:col>4</xdr:col>
      <xdr:colOff>1285592</xdr:colOff>
      <xdr:row>34</xdr:row>
      <xdr:rowOff>43896</xdr:rowOff>
    </xdr:to>
    <xdr:sp macro="" textlink="'Transactions &amp; Calculations'!C14">
      <xdr:nvSpPr>
        <xdr:cNvPr id="66" name="TextBox 65">
          <a:extLst>
            <a:ext uri="{FF2B5EF4-FFF2-40B4-BE49-F238E27FC236}">
              <a16:creationId xmlns:a16="http://schemas.microsoft.com/office/drawing/2014/main" id="{AACC66A8-0C2B-1D61-C59D-4E2FD4549D7D}"/>
            </a:ext>
          </a:extLst>
        </xdr:cNvPr>
        <xdr:cNvSpPr txBox="1"/>
      </xdr:nvSpPr>
      <xdr:spPr>
        <a:xfrm>
          <a:off x="2362637" y="5509346"/>
          <a:ext cx="936000" cy="357595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F3EE972-D7CD-41C8-8373-82A0306C490B}" type="TxLink">
            <a:rPr lang="en-US" sz="18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30.00%</a:t>
          </a:fld>
          <a:endParaRPr lang="en-IN" sz="18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349592</xdr:colOff>
      <xdr:row>34</xdr:row>
      <xdr:rowOff>98429</xdr:rowOff>
    </xdr:from>
    <xdr:to>
      <xdr:col>4</xdr:col>
      <xdr:colOff>1285592</xdr:colOff>
      <xdr:row>36</xdr:row>
      <xdr:rowOff>92082</xdr:rowOff>
    </xdr:to>
    <xdr:sp macro="" textlink="'Transactions &amp; Calculations'!D14">
      <xdr:nvSpPr>
        <xdr:cNvPr id="67" name="TextBox 66">
          <a:extLst>
            <a:ext uri="{FF2B5EF4-FFF2-40B4-BE49-F238E27FC236}">
              <a16:creationId xmlns:a16="http://schemas.microsoft.com/office/drawing/2014/main" id="{2DF58683-F6C3-4FA2-AF15-764B9667C37D}"/>
            </a:ext>
          </a:extLst>
        </xdr:cNvPr>
        <xdr:cNvSpPr txBox="1"/>
      </xdr:nvSpPr>
      <xdr:spPr>
        <a:xfrm>
          <a:off x="2379150" y="5959967"/>
          <a:ext cx="936000" cy="36000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293FD18-EDAA-4101-92D7-1E06B3F18FF0}" type="TxLink">
            <a:rPr lang="en-US" sz="18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26.49%</a:t>
          </a:fld>
          <a:endParaRPr lang="en-IN" sz="18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349592</xdr:colOff>
      <xdr:row>40</xdr:row>
      <xdr:rowOff>183172</xdr:rowOff>
    </xdr:from>
    <xdr:to>
      <xdr:col>4</xdr:col>
      <xdr:colOff>1285592</xdr:colOff>
      <xdr:row>42</xdr:row>
      <xdr:rowOff>176826</xdr:rowOff>
    </xdr:to>
    <xdr:sp macro="" textlink="'Transactions &amp; Calculations'!J30">
      <xdr:nvSpPr>
        <xdr:cNvPr id="70" name="TextBox 69">
          <a:extLst>
            <a:ext uri="{FF2B5EF4-FFF2-40B4-BE49-F238E27FC236}">
              <a16:creationId xmlns:a16="http://schemas.microsoft.com/office/drawing/2014/main" id="{41D9A7E6-6445-457F-AD50-3D487DB8B60D}"/>
            </a:ext>
          </a:extLst>
        </xdr:cNvPr>
        <xdr:cNvSpPr txBox="1"/>
      </xdr:nvSpPr>
      <xdr:spPr>
        <a:xfrm>
          <a:off x="2379150" y="7143749"/>
          <a:ext cx="936000" cy="36000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72EA5D9-4A52-4BEF-93CB-E9351B116D8F}" type="TxLink">
            <a:rPr lang="en-US" sz="18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44.00%</a:t>
          </a:fld>
          <a:endParaRPr lang="en-IN" sz="18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349592</xdr:colOff>
      <xdr:row>43</xdr:row>
      <xdr:rowOff>45545</xdr:rowOff>
    </xdr:from>
    <xdr:to>
      <xdr:col>4</xdr:col>
      <xdr:colOff>1285592</xdr:colOff>
      <xdr:row>45</xdr:row>
      <xdr:rowOff>39199</xdr:rowOff>
    </xdr:to>
    <xdr:sp macro="" textlink="'Transactions &amp; Calculations'!K30">
      <xdr:nvSpPr>
        <xdr:cNvPr id="71" name="TextBox 70">
          <a:extLst>
            <a:ext uri="{FF2B5EF4-FFF2-40B4-BE49-F238E27FC236}">
              <a16:creationId xmlns:a16="http://schemas.microsoft.com/office/drawing/2014/main" id="{1E12FA5E-FD98-407A-9736-469CA4584155}"/>
            </a:ext>
          </a:extLst>
        </xdr:cNvPr>
        <xdr:cNvSpPr txBox="1"/>
      </xdr:nvSpPr>
      <xdr:spPr>
        <a:xfrm>
          <a:off x="2379150" y="7555641"/>
          <a:ext cx="936000" cy="36000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8273E7E-E55D-4D5A-BF57-4EE104F1C83A}" type="TxLink">
            <a:rPr lang="en-US" sz="18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45.22%</a:t>
          </a:fld>
          <a:endParaRPr lang="en-IN" sz="18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157695</xdr:colOff>
      <xdr:row>50</xdr:row>
      <xdr:rowOff>30762</xdr:rowOff>
    </xdr:from>
    <xdr:to>
      <xdr:col>5</xdr:col>
      <xdr:colOff>0</xdr:colOff>
      <xdr:row>53</xdr:row>
      <xdr:rowOff>8054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62CAF771-E8B3-4703-ACA1-4D14CFD639DA}"/>
            </a:ext>
          </a:extLst>
        </xdr:cNvPr>
        <xdr:cNvSpPr txBox="1"/>
      </xdr:nvSpPr>
      <xdr:spPr>
        <a:xfrm>
          <a:off x="751176" y="8823070"/>
          <a:ext cx="2633862" cy="526811"/>
        </a:xfrm>
        <a:prstGeom prst="rect">
          <a:avLst/>
        </a:prstGeom>
        <a:solidFill>
          <a:schemeClr val="bg2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 b="1" baseline="0">
              <a:solidFill>
                <a:schemeClr val="tx1"/>
              </a:solidFill>
            </a:rPr>
            <a:t>Highest Expenses</a:t>
          </a:r>
        </a:p>
      </xdr:txBody>
    </xdr:sp>
    <xdr:clientData/>
  </xdr:twoCellAnchor>
  <xdr:twoCellAnchor>
    <xdr:from>
      <xdr:col>2</xdr:col>
      <xdr:colOff>496471</xdr:colOff>
      <xdr:row>53</xdr:row>
      <xdr:rowOff>38607</xdr:rowOff>
    </xdr:from>
    <xdr:to>
      <xdr:col>4</xdr:col>
      <xdr:colOff>349592</xdr:colOff>
      <xdr:row>55</xdr:row>
      <xdr:rowOff>32261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87F68C9C-E5CF-4342-B1F6-746F480AB044}"/>
            </a:ext>
          </a:extLst>
        </xdr:cNvPr>
        <xdr:cNvSpPr txBox="1"/>
      </xdr:nvSpPr>
      <xdr:spPr>
        <a:xfrm>
          <a:off x="1089952" y="9380434"/>
          <a:ext cx="1289198" cy="360000"/>
        </a:xfrm>
        <a:prstGeom prst="rect">
          <a:avLst/>
        </a:prstGeom>
        <a:solidFill>
          <a:schemeClr val="bg2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IN" sz="1800">
              <a:solidFill>
                <a:schemeClr val="tx1"/>
              </a:solidFill>
              <a:latin typeface="+mn-lt"/>
              <a:ea typeface="+mn-ea"/>
              <a:cs typeface="+mn-cs"/>
            </a:rPr>
            <a:t>House</a:t>
          </a:r>
          <a:r>
            <a:rPr lang="en-I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Rent</a:t>
          </a:r>
          <a:r>
            <a:rPr lang="en-IN" sz="1800"/>
            <a:t> </a:t>
          </a:r>
          <a:endParaRPr lang="en-IN" sz="18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59872</xdr:colOff>
      <xdr:row>57</xdr:row>
      <xdr:rowOff>146539</xdr:rowOff>
    </xdr:from>
    <xdr:to>
      <xdr:col>4</xdr:col>
      <xdr:colOff>349592</xdr:colOff>
      <xdr:row>59</xdr:row>
      <xdr:rowOff>140193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FAA380BE-5F45-4A35-A8AC-FC3E57E28027}"/>
            </a:ext>
          </a:extLst>
        </xdr:cNvPr>
        <xdr:cNvSpPr txBox="1"/>
      </xdr:nvSpPr>
      <xdr:spPr>
        <a:xfrm>
          <a:off x="639310" y="10187477"/>
          <a:ext cx="1718470" cy="358779"/>
        </a:xfrm>
        <a:prstGeom prst="rect">
          <a:avLst/>
        </a:prstGeom>
        <a:solidFill>
          <a:schemeClr val="bg2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IN" sz="1700">
              <a:solidFill>
                <a:schemeClr val="tx1"/>
              </a:solidFill>
              <a:latin typeface="+mn-lt"/>
              <a:ea typeface="+mn-ea"/>
              <a:cs typeface="+mn-cs"/>
            </a:rPr>
            <a:t>Food</a:t>
          </a:r>
          <a:r>
            <a:rPr lang="en-IN" sz="17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&amp; </a:t>
          </a:r>
          <a:r>
            <a:rPr lang="en-IN" sz="1700">
              <a:solidFill>
                <a:schemeClr val="tx1"/>
              </a:solidFill>
              <a:latin typeface="+mn-lt"/>
              <a:ea typeface="+mn-ea"/>
              <a:cs typeface="+mn-cs"/>
            </a:rPr>
            <a:t>Groceries</a:t>
          </a:r>
        </a:p>
      </xdr:txBody>
    </xdr:sp>
    <xdr:clientData/>
  </xdr:twoCellAnchor>
  <xdr:twoCellAnchor>
    <xdr:from>
      <xdr:col>2</xdr:col>
      <xdr:colOff>59872</xdr:colOff>
      <xdr:row>55</xdr:row>
      <xdr:rowOff>87923</xdr:rowOff>
    </xdr:from>
    <xdr:to>
      <xdr:col>4</xdr:col>
      <xdr:colOff>351795</xdr:colOff>
      <xdr:row>57</xdr:row>
      <xdr:rowOff>81577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80350029-9C3A-42F5-9021-C02FC7D02C35}"/>
            </a:ext>
          </a:extLst>
        </xdr:cNvPr>
        <xdr:cNvSpPr txBox="1"/>
      </xdr:nvSpPr>
      <xdr:spPr>
        <a:xfrm>
          <a:off x="639310" y="9763736"/>
          <a:ext cx="1720673" cy="358779"/>
        </a:xfrm>
        <a:prstGeom prst="rect">
          <a:avLst/>
        </a:prstGeom>
        <a:solidFill>
          <a:schemeClr val="bg2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IN" sz="1800">
              <a:solidFill>
                <a:schemeClr val="tx1"/>
              </a:solidFill>
              <a:latin typeface="+mn-lt"/>
              <a:ea typeface="+mn-ea"/>
              <a:cs typeface="+mn-cs"/>
            </a:rPr>
            <a:t>Transportation</a:t>
          </a:r>
        </a:p>
      </xdr:txBody>
    </xdr:sp>
    <xdr:clientData/>
  </xdr:twoCellAnchor>
  <xdr:twoCellAnchor>
    <xdr:from>
      <xdr:col>4</xdr:col>
      <xdr:colOff>349592</xdr:colOff>
      <xdr:row>57</xdr:row>
      <xdr:rowOff>146539</xdr:rowOff>
    </xdr:from>
    <xdr:to>
      <xdr:col>4</xdr:col>
      <xdr:colOff>1285592</xdr:colOff>
      <xdr:row>59</xdr:row>
      <xdr:rowOff>140193</xdr:rowOff>
    </xdr:to>
    <xdr:sp macro="" textlink="'Transactions &amp; Calculations'!D17">
      <xdr:nvSpPr>
        <xdr:cNvPr id="76" name="TextBox 75">
          <a:extLst>
            <a:ext uri="{FF2B5EF4-FFF2-40B4-BE49-F238E27FC236}">
              <a16:creationId xmlns:a16="http://schemas.microsoft.com/office/drawing/2014/main" id="{4CE204EE-3B89-4A51-9FCA-AE3E98A03514}"/>
            </a:ext>
          </a:extLst>
        </xdr:cNvPr>
        <xdr:cNvSpPr txBox="1"/>
      </xdr:nvSpPr>
      <xdr:spPr>
        <a:xfrm>
          <a:off x="2357780" y="10187477"/>
          <a:ext cx="936000" cy="358779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B76D050-A550-4BFA-8BFF-A70E9F423A21}" type="TxLink">
            <a:rPr lang="en-US" sz="18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11.97%</a:t>
          </a:fld>
          <a:endParaRPr lang="en-IN" sz="18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349592</xdr:colOff>
      <xdr:row>55</xdr:row>
      <xdr:rowOff>87923</xdr:rowOff>
    </xdr:from>
    <xdr:to>
      <xdr:col>4</xdr:col>
      <xdr:colOff>1285592</xdr:colOff>
      <xdr:row>57</xdr:row>
      <xdr:rowOff>81577</xdr:rowOff>
    </xdr:to>
    <xdr:sp macro="" textlink="'Transactions &amp; Calculations'!D16">
      <xdr:nvSpPr>
        <xdr:cNvPr id="77" name="TextBox 76">
          <a:extLst>
            <a:ext uri="{FF2B5EF4-FFF2-40B4-BE49-F238E27FC236}">
              <a16:creationId xmlns:a16="http://schemas.microsoft.com/office/drawing/2014/main" id="{FA08FA6A-0B7A-4F0B-8CB0-6A7882AF1C01}"/>
            </a:ext>
          </a:extLst>
        </xdr:cNvPr>
        <xdr:cNvSpPr txBox="1"/>
      </xdr:nvSpPr>
      <xdr:spPr>
        <a:xfrm>
          <a:off x="2357780" y="9763736"/>
          <a:ext cx="936000" cy="358779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033E05F-8637-4A29-9493-937155152F51}" type="TxLink">
            <a:rPr lang="en-US" sz="18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12.61%</a:t>
          </a:fld>
          <a:endParaRPr lang="en-IN" sz="18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349592</xdr:colOff>
      <xdr:row>53</xdr:row>
      <xdr:rowOff>38607</xdr:rowOff>
    </xdr:from>
    <xdr:to>
      <xdr:col>4</xdr:col>
      <xdr:colOff>1285592</xdr:colOff>
      <xdr:row>55</xdr:row>
      <xdr:rowOff>32261</xdr:rowOff>
    </xdr:to>
    <xdr:sp macro="" textlink="'Transactions &amp; Calculations'!D15">
      <xdr:nvSpPr>
        <xdr:cNvPr id="78" name="TextBox 77">
          <a:extLst>
            <a:ext uri="{FF2B5EF4-FFF2-40B4-BE49-F238E27FC236}">
              <a16:creationId xmlns:a16="http://schemas.microsoft.com/office/drawing/2014/main" id="{0277FBB7-E8CA-4F4A-A472-D9FB1798A5C1}"/>
            </a:ext>
          </a:extLst>
        </xdr:cNvPr>
        <xdr:cNvSpPr txBox="1"/>
      </xdr:nvSpPr>
      <xdr:spPr>
        <a:xfrm>
          <a:off x="2379150" y="9380434"/>
          <a:ext cx="936000" cy="36000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310DC4C-37BD-45D6-BE54-8BCA8E8F5A07}" type="TxLink">
            <a:rPr lang="en-US" sz="18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15.45%</a:t>
          </a:fld>
          <a:endParaRPr lang="en-IN" sz="18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59872</xdr:colOff>
      <xdr:row>3</xdr:row>
      <xdr:rowOff>20160</xdr:rowOff>
    </xdr:from>
    <xdr:to>
      <xdr:col>4</xdr:col>
      <xdr:colOff>349592</xdr:colOff>
      <xdr:row>8</xdr:row>
      <xdr:rowOff>115333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F18C92FC-E7E3-E573-5AD8-F180439B2BF6}"/>
            </a:ext>
          </a:extLst>
        </xdr:cNvPr>
        <xdr:cNvSpPr txBox="1"/>
      </xdr:nvSpPr>
      <xdr:spPr>
        <a:xfrm>
          <a:off x="650811" y="206772"/>
          <a:ext cx="1720414" cy="1028234"/>
        </a:xfrm>
        <a:prstGeom prst="roundRect">
          <a:avLst/>
        </a:prstGeom>
        <a:solidFill>
          <a:schemeClr val="tx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2400" b="1" i="1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Month </a:t>
          </a:r>
        </a:p>
        <a:p>
          <a:r>
            <a:rPr lang="en-IN" sz="2400" b="1" i="1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January</a:t>
          </a:r>
        </a:p>
      </xdr:txBody>
    </xdr:sp>
    <xdr:clientData/>
  </xdr:twoCellAnchor>
  <xdr:twoCellAnchor>
    <xdr:from>
      <xdr:col>7</xdr:col>
      <xdr:colOff>50799</xdr:colOff>
      <xdr:row>3</xdr:row>
      <xdr:rowOff>20160</xdr:rowOff>
    </xdr:from>
    <xdr:to>
      <xdr:col>14</xdr:col>
      <xdr:colOff>114300</xdr:colOff>
      <xdr:row>10</xdr:row>
      <xdr:rowOff>19050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AA8834A-ACEF-F9CB-A86A-182305261841}"/>
            </a:ext>
          </a:extLst>
        </xdr:cNvPr>
        <xdr:cNvSpPr txBox="1"/>
      </xdr:nvSpPr>
      <xdr:spPr>
        <a:xfrm>
          <a:off x="5651499" y="591660"/>
          <a:ext cx="7512051" cy="1332390"/>
        </a:xfrm>
        <a:prstGeom prst="roundRect">
          <a:avLst/>
        </a:prstGeom>
        <a:solidFill>
          <a:schemeClr val="tx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600" b="1" i="1" cap="all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Budget</a:t>
          </a:r>
          <a:r>
            <a:rPr lang="en-IN" sz="3600" b="1" i="1" cap="all" baseline="0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Planner Dashboard</a:t>
          </a:r>
        </a:p>
        <a:p>
          <a:pPr algn="ctr"/>
          <a:r>
            <a:rPr lang="en-IN" sz="2000" b="1" i="1" cap="all" baseline="0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pErsonal Monthly Budget </a:t>
          </a:r>
          <a:r>
            <a:rPr lang="en-IN" sz="1800" b="1" i="1" cap="all" baseline="0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Planner</a:t>
          </a:r>
          <a:endParaRPr lang="en-IN" sz="1800" b="1" i="1" cap="all">
            <a:solidFill>
              <a:schemeClr val="bg2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975644</xdr:colOff>
      <xdr:row>9</xdr:row>
      <xdr:rowOff>1</xdr:rowOff>
    </xdr:from>
    <xdr:to>
      <xdr:col>18</xdr:col>
      <xdr:colOff>633812</xdr:colOff>
      <xdr:row>20</xdr:row>
      <xdr:rowOff>172339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06C85-55EC-473C-AA39-D1C1530CA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142429</xdr:colOff>
      <xdr:row>14</xdr:row>
      <xdr:rowOff>7122</xdr:rowOff>
    </xdr:from>
    <xdr:to>
      <xdr:col>17</xdr:col>
      <xdr:colOff>1258429</xdr:colOff>
      <xdr:row>15</xdr:row>
      <xdr:rowOff>37963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31CEC76-02DC-410C-8335-58E44359BB4C}"/>
            </a:ext>
          </a:extLst>
        </xdr:cNvPr>
        <xdr:cNvSpPr txBox="1"/>
      </xdr:nvSpPr>
      <xdr:spPr>
        <a:xfrm>
          <a:off x="16828093" y="2599346"/>
          <a:ext cx="1116000" cy="216000"/>
        </a:xfrm>
        <a:prstGeom prst="rect">
          <a:avLst/>
        </a:prstGeom>
        <a:solidFill>
          <a:schemeClr val="bg2"/>
        </a:solidFill>
        <a:ln w="9525" cap="rnd" cmpd="sng">
          <a:solidFill>
            <a:schemeClr val="bg2"/>
          </a:solidFill>
        </a:ln>
        <a:effectLst>
          <a:softEdge rad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0" i="1"/>
            <a:t>Allocation</a:t>
          </a:r>
          <a:r>
            <a:rPr lang="en-IN" sz="1200" b="0" i="1" baseline="0"/>
            <a:t> in %</a:t>
          </a:r>
          <a:endParaRPr lang="en-IN" sz="1200" b="0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152400</xdr:rowOff>
    </xdr:from>
    <xdr:to>
      <xdr:col>20</xdr:col>
      <xdr:colOff>0</xdr:colOff>
      <xdr:row>1</xdr:row>
      <xdr:rowOff>167640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FB5335F-1D8E-45FB-93A1-81C08A62C85D}"/>
            </a:ext>
          </a:extLst>
        </xdr:cNvPr>
        <xdr:cNvCxnSpPr>
          <a:cxnSpLocks/>
        </xdr:cNvCxnSpPr>
      </xdr:nvCxnSpPr>
      <xdr:spPr>
        <a:xfrm flipV="1">
          <a:off x="2667000" y="12222480"/>
          <a:ext cx="19781520" cy="1524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726210</xdr:colOff>
      <xdr:row>19</xdr:row>
      <xdr:rowOff>138063</xdr:rowOff>
    </xdr:from>
    <xdr:to>
      <xdr:col>20</xdr:col>
      <xdr:colOff>0</xdr:colOff>
      <xdr:row>19</xdr:row>
      <xdr:rowOff>144780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B676ACA-C5D9-486C-B9B6-499C338250D3}"/>
            </a:ext>
          </a:extLst>
        </xdr:cNvPr>
        <xdr:cNvCxnSpPr>
          <a:cxnSpLocks/>
        </xdr:cNvCxnSpPr>
      </xdr:nvCxnSpPr>
      <xdr:spPr>
        <a:xfrm flipV="1">
          <a:off x="2412168" y="3794070"/>
          <a:ext cx="14001365" cy="6717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85E794-1940-471E-AF26-7A2865BD7A15}" name="Table1" displayName="Table1" ref="B5:D11" headerRowDxfId="25">
  <autoFilter ref="B5:D11" xr:uid="{8F85E794-1940-471E-AF26-7A2865BD7A15}"/>
  <tableColumns count="3">
    <tableColumn id="1" xr3:uid="{5A6E9F0A-D530-4C22-ABB3-02D95B8DDD5B}" name="CATEGORY" totalsRowLabel="Total"/>
    <tableColumn id="2" xr3:uid="{1085963C-6B9E-4D89-8797-72D1143A7AC9}" name="BUDGET" dataDxfId="24">
      <calculatedColumnFormula>G11</calculatedColumnFormula>
    </tableColumn>
    <tableColumn id="3" xr3:uid="{7A0517BA-BB97-44AA-8A57-39A978913FF2}" name="ACTUAL" totalsRowFunction="sum" dataDxfId="23">
      <calculatedColumnFormula>H11</calculatedColumnFormula>
    </tableColumn>
  </tableColumns>
  <tableStyleInfo name="TableStyleDark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ECE680-3471-4041-A369-DB625A40D6EA}" name="Table13" displayName="Table13" ref="F5:H14" totalsRowCount="1" headerRowDxfId="22">
  <autoFilter ref="F5:H13" xr:uid="{D7ECE680-3471-4041-A369-DB625A40D6EA}"/>
  <tableColumns count="3">
    <tableColumn id="1" xr3:uid="{AF81B9EA-C64F-4EC3-9A2C-AAAF29338B32}" name="CATEGORY" totalsRowLabel="Total"/>
    <tableColumn id="2" xr3:uid="{C43D8135-729D-4425-A983-DC9621CF4E8E}" name="BUDGET" totalsRowFunction="custom" dataDxfId="21" totalsRowDxfId="20">
      <totalsRowFormula>SUM(Table13[BUDGET])</totalsRowFormula>
    </tableColumn>
    <tableColumn id="3" xr3:uid="{1F698C93-C3EA-4281-BAA9-98B4861980D1}" name="ACTUAL" totalsRowFunction="custom" dataDxfId="19" totalsRowDxfId="18">
      <totalsRowFormula>SUM(Table13[ACTUAL])</totalsRowFormula>
    </tableColumn>
  </tableColumns>
  <tableStyleInfo name="TableStyleDark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6C3236-17EF-4873-8A47-123C5A60198F}" name="Table134" displayName="Table134" ref="J5:L14" totalsRowCount="1" headerRowDxfId="17">
  <autoFilter ref="J5:L13" xr:uid="{716C3236-17EF-4873-8A47-123C5A60198F}"/>
  <tableColumns count="3">
    <tableColumn id="1" xr3:uid="{51AFCB16-82F3-46C3-8855-706B08005BFB}" name="CATEGORY" totalsRowLabel="Total"/>
    <tableColumn id="2" xr3:uid="{0BFCA81B-350A-4D3A-939F-104C8D8FE43D}" name="BUDGET" totalsRowFunction="custom" dataDxfId="16" totalsRowDxfId="15">
      <totalsRowFormula>SUM(Table134[BUDGET])</totalsRowFormula>
    </tableColumn>
    <tableColumn id="3" xr3:uid="{E697F4A9-955B-4867-9059-10F5276934FC}" name="ACTUAL" totalsRowFunction="custom" dataDxfId="14" totalsRowDxfId="13">
      <totalsRowFormula>SUM(Table134[ACTUAL])</totalsRowFormula>
    </tableColumn>
  </tableColumns>
  <tableStyleInfo name="TableStyleDark8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BEE50F-845F-4942-95A5-88573A08CAE8}" name="Table1345" displayName="Table1345" ref="N5:P14" totalsRowCount="1" headerRowDxfId="12">
  <autoFilter ref="N5:P13" xr:uid="{4ABEE50F-845F-4942-95A5-88573A08CAE8}"/>
  <tableColumns count="3">
    <tableColumn id="1" xr3:uid="{F80A99AF-1525-43AA-9320-75237251E783}" name="CATEGORY" totalsRowLabel="Total"/>
    <tableColumn id="2" xr3:uid="{00D92884-8005-42A1-9554-4409B6120115}" name="BUDGET" totalsRowFunction="custom" dataDxfId="11">
      <totalsRowFormula>SUM(Table1345[BUDGET])</totalsRowFormula>
    </tableColumn>
    <tableColumn id="3" xr3:uid="{3C1C4AE6-5292-436E-930D-C8395865652C}" name="ACTUAL" totalsRowFunction="custom" dataDxfId="10">
      <totalsRowFormula>SUM(Table1345[ACTUAL])</totalsRowFormula>
    </tableColumn>
  </tableColumns>
  <tableStyleInfo name="TableStyleDark8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D80C5A-86BD-499C-B78E-9030589B7E36}" name="Table13456" displayName="Table13456" ref="R5:T14" totalsRowCount="1" headerRowDxfId="9">
  <autoFilter ref="R5:T13" xr:uid="{78D80C5A-86BD-499C-B78E-9030589B7E36}"/>
  <tableColumns count="3">
    <tableColumn id="1" xr3:uid="{78674686-EA68-40A1-B825-1423C1D6BB90}" name="CATEGORY" totalsRowLabel="Total"/>
    <tableColumn id="2" xr3:uid="{8D8929C3-06FC-4947-94FE-7904FF2169DA}" name="BUDGET" totalsRowFunction="custom" dataDxfId="8">
      <totalsRowFormula>SUM(Table13456[BUDGET])</totalsRowFormula>
    </tableColumn>
    <tableColumn id="3" xr3:uid="{2308F60F-6CB4-49C5-AF12-4191AFDD5C13}" name="ACTUAL" totalsRowFunction="custom" dataDxfId="7">
      <totalsRowFormula>SUM(Table13456[ACTUAL])</totalsRowFormula>
    </tableColumn>
  </tableColumns>
  <tableStyleInfo name="TableStyleDark8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455BA25-DEF1-424E-A7E4-48F338D677F4}" name="Table7" displayName="Table7" ref="B13:D17" totalsRowShown="0" headerRowDxfId="6" headerRowBorderDxfId="5">
  <autoFilter ref="B13:D17" xr:uid="{2455BA25-DEF1-424E-A7E4-48F338D677F4}"/>
  <tableColumns count="3">
    <tableColumn id="1" xr3:uid="{91AE05C4-4CCD-417B-86F3-3AF82DA59E76}" name="CATEGORY"/>
    <tableColumn id="2" xr3:uid="{0DAC95EE-CE3B-401A-8A92-375EF227559F}" name="BUDGET" dataDxfId="4"/>
    <tableColumn id="3" xr3:uid="{080B2039-4AA4-477B-A6A3-DF5360913D82}" name="ACTUAL" dataDxfId="3"/>
  </tableColumns>
  <tableStyleInfo name="TableStyleDark8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FD4E15-0F60-4069-84F1-E13153904E81}" name="Table8" displayName="Table8" ref="B22:F63" headerRowDxfId="2">
  <autoFilter ref="B22:F63" xr:uid="{E0FD4E15-0F60-4069-84F1-E13153904E81}"/>
  <tableColumns count="5">
    <tableColumn id="1" xr3:uid="{26270E70-1DF7-4783-A6A1-A00E3A6DA9EC}" name="DATE" dataDxfId="1"/>
    <tableColumn id="2" xr3:uid="{A025FC95-1ECC-4077-A44C-1DC96EF0D274}" name="TYPE"/>
    <tableColumn id="3" xr3:uid="{53BD843A-D101-4539-9DB7-E14A2EDA40DD}" name="CATEGORY"/>
    <tableColumn id="4" xr3:uid="{D461E5D9-2840-4E9A-8697-1F6E0BE323BD}" name="AMOUNT" dataDxfId="0"/>
    <tableColumn id="5" xr3:uid="{D12F2CF8-974B-448F-B501-D600CBB9424F}" name="DESCRIPTION"/>
  </tableColumns>
  <tableStyleInfo name="TableStyleDark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2905-5F88-4D8E-9717-944619F4D389}">
  <dimension ref="T15:T16"/>
  <sheetViews>
    <sheetView tabSelected="1" zoomScale="45" zoomScaleNormal="45" workbookViewId="0">
      <selection activeCell="T42" sqref="T42"/>
    </sheetView>
  </sheetViews>
  <sheetFormatPr defaultRowHeight="14.4" x14ac:dyDescent="0.3"/>
  <cols>
    <col min="1" max="1" width="6.109375" style="16" customWidth="1"/>
    <col min="2" max="2" width="4.33203125" style="16" customWidth="1"/>
    <col min="3" max="3" width="9.77734375" style="16" customWidth="1"/>
    <col min="4" max="4" width="11.109375" style="16" customWidth="1"/>
    <col min="5" max="5" width="19.77734375" style="16" customWidth="1"/>
    <col min="6" max="6" width="15.44140625" style="16" bestFit="1" customWidth="1"/>
    <col min="7" max="7" width="15.109375" style="16" bestFit="1" customWidth="1"/>
    <col min="8" max="8" width="8.88671875" style="16"/>
    <col min="9" max="9" width="19.21875" style="16" customWidth="1"/>
    <col min="10" max="10" width="15.44140625" style="16" bestFit="1" customWidth="1"/>
    <col min="11" max="11" width="15.109375" style="16" bestFit="1" customWidth="1"/>
    <col min="12" max="12" width="14.5546875" style="16" bestFit="1" customWidth="1"/>
    <col min="13" max="13" width="20.109375" style="16" bestFit="1" customWidth="1"/>
    <col min="14" max="14" width="15.44140625" style="16" bestFit="1" customWidth="1"/>
    <col min="15" max="15" width="15.109375" style="16" bestFit="1" customWidth="1"/>
    <col min="16" max="16" width="14.5546875" style="16" bestFit="1" customWidth="1"/>
    <col min="17" max="17" width="23" style="16" customWidth="1"/>
    <col min="18" max="18" width="20.44140625" style="16" customWidth="1"/>
    <col min="19" max="19" width="17.88671875" style="16" customWidth="1"/>
    <col min="20" max="20" width="14.5546875" style="16" bestFit="1" customWidth="1"/>
    <col min="21" max="21" width="21.6640625" style="16" bestFit="1" customWidth="1"/>
    <col min="22" max="22" width="21.44140625" style="16" bestFit="1" customWidth="1"/>
    <col min="23" max="23" width="14.88671875" style="16" bestFit="1" customWidth="1"/>
    <col min="24" max="24" width="14.5546875" style="16" bestFit="1" customWidth="1"/>
    <col min="25" max="25" width="21.6640625" style="16" bestFit="1" customWidth="1"/>
    <col min="26" max="26" width="21.44140625" style="16" bestFit="1" customWidth="1"/>
    <col min="27" max="27" width="20" style="16" bestFit="1" customWidth="1"/>
    <col min="28" max="28" width="19.77734375" style="16" bestFit="1" customWidth="1"/>
    <col min="29" max="29" width="19" style="16" bestFit="1" customWidth="1"/>
    <col min="30" max="30" width="18.88671875" style="16" bestFit="1" customWidth="1"/>
    <col min="31" max="31" width="14.44140625" style="16" bestFit="1" customWidth="1"/>
    <col min="32" max="32" width="14.33203125" style="16" bestFit="1" customWidth="1"/>
    <col min="33" max="33" width="19" style="16" bestFit="1" customWidth="1"/>
    <col min="34" max="34" width="18.88671875" style="16" bestFit="1" customWidth="1"/>
    <col min="35" max="35" width="19.21875" style="16" bestFit="1" customWidth="1"/>
    <col min="36" max="36" width="19.109375" style="16" bestFit="1" customWidth="1"/>
    <col min="37" max="37" width="21" style="16" bestFit="1" customWidth="1"/>
    <col min="38" max="38" width="20.88671875" style="16" bestFit="1" customWidth="1"/>
    <col min="39" max="39" width="19.21875" style="16" bestFit="1" customWidth="1"/>
    <col min="40" max="40" width="19.109375" style="16" bestFit="1" customWidth="1"/>
    <col min="41" max="16384" width="8.88671875" style="16"/>
  </cols>
  <sheetData>
    <row r="15" spans="20:20" x14ac:dyDescent="0.3">
      <c r="T15" s="15"/>
    </row>
    <row r="16" spans="20:20" x14ac:dyDescent="0.3">
      <c r="T16" s="15"/>
    </row>
  </sheetData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4177-08E4-486D-901D-E898FB2C8670}">
  <dimension ref="B2:U73"/>
  <sheetViews>
    <sheetView zoomScale="58" zoomScaleNormal="58" workbookViewId="0">
      <selection activeCell="N37" sqref="N37"/>
    </sheetView>
  </sheetViews>
  <sheetFormatPr defaultRowHeight="14.4" x14ac:dyDescent="0.3"/>
  <cols>
    <col min="2" max="2" width="19.88671875" bestFit="1" customWidth="1"/>
    <col min="3" max="3" width="16" bestFit="1" customWidth="1"/>
    <col min="4" max="4" width="20.77734375" bestFit="1" customWidth="1"/>
    <col min="5" max="5" width="16.44140625" bestFit="1" customWidth="1"/>
    <col min="6" max="6" width="22.88671875" bestFit="1" customWidth="1"/>
    <col min="7" max="7" width="16" bestFit="1" customWidth="1"/>
    <col min="8" max="8" width="15.6640625" bestFit="1" customWidth="1"/>
    <col min="9" max="9" width="10.44140625" bestFit="1" customWidth="1"/>
    <col min="10" max="10" width="19.88671875" bestFit="1" customWidth="1"/>
    <col min="11" max="11" width="16" bestFit="1" customWidth="1"/>
    <col min="12" max="12" width="15.6640625" bestFit="1" customWidth="1"/>
    <col min="13" max="13" width="11.21875" bestFit="1" customWidth="1"/>
    <col min="14" max="14" width="20.77734375" bestFit="1" customWidth="1"/>
    <col min="15" max="15" width="16" bestFit="1" customWidth="1"/>
    <col min="16" max="16" width="15.6640625" bestFit="1" customWidth="1"/>
    <col min="17" max="17" width="7" bestFit="1" customWidth="1"/>
    <col min="18" max="18" width="19.88671875" bestFit="1" customWidth="1"/>
    <col min="19" max="19" width="16" bestFit="1" customWidth="1"/>
    <col min="20" max="20" width="15.6640625" bestFit="1" customWidth="1"/>
  </cols>
  <sheetData>
    <row r="2" spans="2:20" ht="23.4" x14ac:dyDescent="0.45">
      <c r="B2" s="18" t="s">
        <v>38</v>
      </c>
      <c r="C2" s="19"/>
    </row>
    <row r="4" spans="2:20" ht="18" x14ac:dyDescent="0.35">
      <c r="B4" s="17" t="s">
        <v>33</v>
      </c>
      <c r="C4" s="17"/>
      <c r="D4" s="17"/>
      <c r="F4" s="17" t="s">
        <v>34</v>
      </c>
      <c r="G4" s="17"/>
      <c r="H4" s="17"/>
      <c r="J4" s="17" t="s">
        <v>37</v>
      </c>
      <c r="K4" s="17"/>
      <c r="L4" s="17"/>
      <c r="N4" s="17" t="s">
        <v>35</v>
      </c>
      <c r="O4" s="17"/>
      <c r="P4" s="17"/>
      <c r="R4" s="17" t="s">
        <v>36</v>
      </c>
      <c r="S4" s="17"/>
      <c r="T4" s="17"/>
    </row>
    <row r="5" spans="2:20" x14ac:dyDescent="0.3">
      <c r="B5" s="4" t="s">
        <v>2</v>
      </c>
      <c r="C5" s="4" t="s">
        <v>14</v>
      </c>
      <c r="D5" s="4" t="s">
        <v>15</v>
      </c>
      <c r="E5" s="4"/>
      <c r="F5" s="4" t="s">
        <v>2</v>
      </c>
      <c r="G5" s="4" t="s">
        <v>14</v>
      </c>
      <c r="H5" s="4" t="s">
        <v>15</v>
      </c>
      <c r="I5" s="4"/>
      <c r="J5" s="4" t="s">
        <v>2</v>
      </c>
      <c r="K5" s="4" t="s">
        <v>14</v>
      </c>
      <c r="L5" s="4" t="s">
        <v>15</v>
      </c>
      <c r="M5" s="4"/>
      <c r="N5" s="4" t="s">
        <v>2</v>
      </c>
      <c r="O5" s="4" t="s">
        <v>14</v>
      </c>
      <c r="P5" s="4" t="s">
        <v>15</v>
      </c>
      <c r="Q5" s="4"/>
      <c r="R5" s="4" t="s">
        <v>2</v>
      </c>
      <c r="S5" s="4" t="s">
        <v>14</v>
      </c>
      <c r="T5" s="4" t="s">
        <v>15</v>
      </c>
    </row>
    <row r="6" spans="2:20" x14ac:dyDescent="0.3">
      <c r="B6" t="s">
        <v>5</v>
      </c>
      <c r="C6" s="6">
        <f>Table13[[#Totals],[BUDGET]]</f>
        <v>50000</v>
      </c>
      <c r="D6" s="6">
        <f>Table13[[#Totals],[ACTUAL]]</f>
        <v>55000</v>
      </c>
      <c r="F6" t="s">
        <v>7</v>
      </c>
      <c r="G6" s="6">
        <v>50000</v>
      </c>
      <c r="H6" s="6">
        <f>SUMIF(Table8[CATEGORY],"Salary",Table8[AMOUNT])</f>
        <v>50000</v>
      </c>
      <c r="J6" t="s">
        <v>17</v>
      </c>
      <c r="K6" s="6">
        <v>6000</v>
      </c>
      <c r="L6" s="6">
        <f>SUMIF(Table8[CATEGORY],"Transportation",Table8[AMOUNT])</f>
        <v>6937</v>
      </c>
      <c r="N6" t="s">
        <v>23</v>
      </c>
      <c r="O6" s="6">
        <v>6000</v>
      </c>
      <c r="P6" s="6">
        <f>SUMIF(Table8[CATEGORY],"Mutual Funds",Table8[AMOUNT])</f>
        <v>6526</v>
      </c>
      <c r="R6" t="s">
        <v>21</v>
      </c>
      <c r="S6" s="6">
        <v>8500</v>
      </c>
      <c r="T6" s="6">
        <f>SUMIF(Table8[CATEGORY],"House Rent",Table8[AMOUNT])</f>
        <v>8500</v>
      </c>
    </row>
    <row r="7" spans="2:20" x14ac:dyDescent="0.3">
      <c r="B7" t="s">
        <v>43</v>
      </c>
      <c r="C7" s="6">
        <f>Table134[[#Totals],[BUDGET]]</f>
        <v>22000</v>
      </c>
      <c r="D7" s="6">
        <f>Table134[[#Totals],[ACTUAL]]</f>
        <v>24869</v>
      </c>
      <c r="F7" t="s">
        <v>30</v>
      </c>
      <c r="G7" s="6"/>
      <c r="H7" s="6">
        <f>SUMIF(Table8[CATEGORY],"Freelancing",Table8[AMOUNT])</f>
        <v>3000</v>
      </c>
      <c r="J7" t="s">
        <v>16</v>
      </c>
      <c r="K7" s="6">
        <v>5000</v>
      </c>
      <c r="L7" s="6">
        <f>SUMIF(Table8[CATEGORY],"Food &amp; Groceries",Table8[AMOUNT])</f>
        <v>6584</v>
      </c>
      <c r="N7" t="s">
        <v>13</v>
      </c>
      <c r="O7" s="6">
        <v>3500</v>
      </c>
      <c r="P7" s="6">
        <f>SUMIF(Table8[CATEGORY],"Emergency Fund",Table8[AMOUNT])</f>
        <v>3500</v>
      </c>
      <c r="R7" t="s">
        <v>25</v>
      </c>
      <c r="S7" s="6">
        <v>1200</v>
      </c>
      <c r="T7" s="6">
        <f>SUMIF(Table8[CATEGORY],"Electricity",Table8[AMOUNT])</f>
        <v>1167</v>
      </c>
    </row>
    <row r="8" spans="2:20" x14ac:dyDescent="0.3">
      <c r="B8" t="s">
        <v>6</v>
      </c>
      <c r="C8" s="6">
        <f>Table1345[[#Totals],[BUDGET]]</f>
        <v>15000</v>
      </c>
      <c r="D8" s="6">
        <f>Table1345[[#Totals],[ACTUAL]]</f>
        <v>14569</v>
      </c>
      <c r="F8" t="s">
        <v>31</v>
      </c>
      <c r="G8" s="6"/>
      <c r="H8" s="6"/>
      <c r="J8" t="s">
        <v>18</v>
      </c>
      <c r="K8" s="6">
        <v>3500</v>
      </c>
      <c r="L8" s="6">
        <f>SUMIF(Table8[CATEGORY],"Personal Care",Table8[AMOUNT])</f>
        <v>3769</v>
      </c>
      <c r="N8" t="s">
        <v>22</v>
      </c>
      <c r="O8" s="6">
        <v>3000</v>
      </c>
      <c r="P8" s="6">
        <f>SUMIF(Table8[CATEGORY],"Recurring Deposits",Table8[AMOUNT])</f>
        <v>3000</v>
      </c>
      <c r="R8" t="s">
        <v>27</v>
      </c>
      <c r="S8" s="6">
        <v>800</v>
      </c>
      <c r="T8" s="6">
        <f>SUMIF(Table8[CATEGORY],"Gas",Table8[AMOUNT])</f>
        <v>824</v>
      </c>
    </row>
    <row r="9" spans="2:20" x14ac:dyDescent="0.3">
      <c r="B9" t="s">
        <v>42</v>
      </c>
      <c r="C9" s="6">
        <f>Table13456[[#Totals],[BUDGET]]</f>
        <v>12000</v>
      </c>
      <c r="D9" s="6">
        <f>Table13456[[#Totals],[ACTUAL]]</f>
        <v>12269</v>
      </c>
      <c r="F9" t="s">
        <v>32</v>
      </c>
      <c r="G9" s="6"/>
      <c r="H9" s="6">
        <f>SUMIF(Table8[CATEGORY],"Side Income",Table8[AMOUNT])</f>
        <v>2000</v>
      </c>
      <c r="J9" t="s">
        <v>9</v>
      </c>
      <c r="K9" s="6">
        <v>3000</v>
      </c>
      <c r="L9" s="6">
        <f>SUMIF(Table8[CATEGORY],"Entertainment",Table8[AMOUNT])</f>
        <v>3045</v>
      </c>
      <c r="N9" t="s">
        <v>24</v>
      </c>
      <c r="O9" s="6">
        <v>2500</v>
      </c>
      <c r="P9" s="6">
        <f>SUMIF(Table8[CATEGORY],"Stocks",Table8[AMOUNT])</f>
        <v>1543</v>
      </c>
      <c r="R9" t="s">
        <v>26</v>
      </c>
      <c r="S9" s="6">
        <v>700</v>
      </c>
      <c r="T9" s="6">
        <f>SUMIF(Table8[CATEGORY],"Water",Table8[AMOUNT])</f>
        <v>667</v>
      </c>
    </row>
    <row r="10" spans="2:20" x14ac:dyDescent="0.3">
      <c r="B10" t="s">
        <v>41</v>
      </c>
      <c r="C10" s="6">
        <f>(C6-C7-C8-C9)</f>
        <v>1000</v>
      </c>
      <c r="D10" s="6">
        <f>D6-D7-D8-D9</f>
        <v>3293</v>
      </c>
      <c r="G10" s="6"/>
      <c r="H10" s="6"/>
      <c r="J10" t="s">
        <v>12</v>
      </c>
      <c r="K10" s="6">
        <v>2500</v>
      </c>
      <c r="L10" s="6">
        <f>SUMIF(Table8[CATEGORY],"Healthcare",Table8[AMOUNT])</f>
        <v>2534</v>
      </c>
      <c r="O10" s="6"/>
      <c r="P10" s="6"/>
      <c r="R10" t="s">
        <v>29</v>
      </c>
      <c r="S10" s="6">
        <v>500</v>
      </c>
      <c r="T10" s="6">
        <f>SUMIF(Table8[CATEGORY],"Internet",Table8[AMOUNT])</f>
        <v>812</v>
      </c>
    </row>
    <row r="11" spans="2:20" x14ac:dyDescent="0.3">
      <c r="C11" s="6"/>
      <c r="D11" s="6"/>
      <c r="G11" s="6"/>
      <c r="H11" s="6"/>
      <c r="J11" t="s">
        <v>19</v>
      </c>
      <c r="K11" s="6">
        <v>2000</v>
      </c>
      <c r="L11" s="6">
        <f>SUMIF(Table8[CATEGORY],"Insurance",Table8[AMOUNT])</f>
        <v>2000</v>
      </c>
      <c r="O11" s="6"/>
      <c r="P11" s="6"/>
      <c r="R11" t="s">
        <v>28</v>
      </c>
      <c r="S11" s="6">
        <v>300</v>
      </c>
      <c r="T11" s="6">
        <f>SUMIF(Table8[CATEGORY],"Phone",Table8[AMOUNT])</f>
        <v>299</v>
      </c>
    </row>
    <row r="12" spans="2:20" x14ac:dyDescent="0.3">
      <c r="G12" s="6"/>
      <c r="H12" s="6"/>
      <c r="K12" s="6"/>
      <c r="L12" s="6"/>
      <c r="O12" s="6"/>
      <c r="P12" s="6"/>
      <c r="S12" s="6"/>
      <c r="T12" s="6"/>
    </row>
    <row r="13" spans="2:20" ht="15" thickBot="1" x14ac:dyDescent="0.35">
      <c r="B13" s="1" t="s">
        <v>2</v>
      </c>
      <c r="C13" s="2" t="s">
        <v>14</v>
      </c>
      <c r="D13" s="3" t="s">
        <v>15</v>
      </c>
      <c r="G13" s="6"/>
      <c r="H13" s="6"/>
      <c r="K13" s="6"/>
      <c r="L13" s="6"/>
      <c r="O13" s="6"/>
      <c r="P13" s="6"/>
      <c r="S13" s="6"/>
      <c r="T13" s="6"/>
    </row>
    <row r="14" spans="2:20" ht="15" thickTop="1" x14ac:dyDescent="0.3">
      <c r="B14" t="s">
        <v>40</v>
      </c>
      <c r="C14" s="5">
        <f>(Table1345[[#Totals],[BUDGET]]/C6)</f>
        <v>0.3</v>
      </c>
      <c r="D14" s="5">
        <f>(Table1345[[#Totals],[ACTUAL]]/D6)</f>
        <v>0.26489090909090907</v>
      </c>
      <c r="F14" t="s">
        <v>20</v>
      </c>
      <c r="G14" s="6">
        <f>SUM(Table13[BUDGET])</f>
        <v>50000</v>
      </c>
      <c r="H14" s="6">
        <f>SUM(Table13[ACTUAL])</f>
        <v>55000</v>
      </c>
      <c r="J14" t="s">
        <v>20</v>
      </c>
      <c r="K14" s="6">
        <f>SUM(Table134[BUDGET])</f>
        <v>22000</v>
      </c>
      <c r="L14" s="6">
        <f>SUM(Table134[ACTUAL])</f>
        <v>24869</v>
      </c>
      <c r="N14" t="s">
        <v>20</v>
      </c>
      <c r="O14" s="6">
        <f>SUM(Table1345[BUDGET])</f>
        <v>15000</v>
      </c>
      <c r="P14" s="6">
        <f>SUM(Table1345[ACTUAL])</f>
        <v>14569</v>
      </c>
      <c r="R14" t="s">
        <v>20</v>
      </c>
      <c r="S14" s="6">
        <f>SUM(Table13456[BUDGET])</f>
        <v>12000</v>
      </c>
      <c r="T14" s="6">
        <f>SUM(Table13456[ACTUAL])</f>
        <v>12269</v>
      </c>
    </row>
    <row r="15" spans="2:20" x14ac:dyDescent="0.3">
      <c r="B15" t="s">
        <v>21</v>
      </c>
      <c r="C15" s="5">
        <f>(S6/C6)</f>
        <v>0.17</v>
      </c>
      <c r="D15" s="5">
        <f>(T6/D6)</f>
        <v>0.15454545454545454</v>
      </c>
    </row>
    <row r="16" spans="2:20" x14ac:dyDescent="0.3">
      <c r="B16" t="s">
        <v>17</v>
      </c>
      <c r="C16" s="5">
        <f>(K6/C6)</f>
        <v>0.12</v>
      </c>
      <c r="D16" s="5">
        <f>(L6/D6)</f>
        <v>0.12612727272727273</v>
      </c>
    </row>
    <row r="17" spans="2:20" x14ac:dyDescent="0.3">
      <c r="B17" t="s">
        <v>16</v>
      </c>
      <c r="C17" s="5">
        <f>(K7/C6)</f>
        <v>0.1</v>
      </c>
      <c r="D17" s="5">
        <f>(L7/D6)</f>
        <v>0.1197090909090909</v>
      </c>
    </row>
    <row r="20" spans="2:20" ht="23.4" x14ac:dyDescent="0.45">
      <c r="B20" s="18" t="s">
        <v>39</v>
      </c>
      <c r="C20" s="19"/>
    </row>
    <row r="22" spans="2:20" x14ac:dyDescent="0.3">
      <c r="B22" s="12" t="s">
        <v>0</v>
      </c>
      <c r="C22" s="12" t="s">
        <v>1</v>
      </c>
      <c r="D22" s="12" t="s">
        <v>2</v>
      </c>
      <c r="E22" s="12" t="s">
        <v>3</v>
      </c>
      <c r="F22" s="12" t="s">
        <v>4</v>
      </c>
      <c r="H22" s="8" t="s">
        <v>72</v>
      </c>
      <c r="I22" s="8"/>
      <c r="J22" s="8"/>
      <c r="K22" s="8"/>
      <c r="L22" s="8"/>
      <c r="N22" s="8"/>
      <c r="O22" s="8"/>
      <c r="P22" s="8"/>
      <c r="Q22" s="8"/>
      <c r="R22" s="8"/>
    </row>
    <row r="23" spans="2:20" x14ac:dyDescent="0.3">
      <c r="B23" s="13">
        <v>45292</v>
      </c>
      <c r="C23" t="s">
        <v>5</v>
      </c>
      <c r="D23" t="s">
        <v>7</v>
      </c>
      <c r="E23" s="6">
        <v>50000</v>
      </c>
      <c r="F23" t="s">
        <v>44</v>
      </c>
      <c r="H23" s="8"/>
      <c r="I23" s="8"/>
      <c r="J23" s="8"/>
      <c r="K23" s="8"/>
      <c r="L23" s="8"/>
      <c r="N23" s="8"/>
      <c r="O23" s="8"/>
      <c r="P23" s="8"/>
      <c r="Q23" s="8"/>
      <c r="R23" s="8"/>
    </row>
    <row r="24" spans="2:20" x14ac:dyDescent="0.3">
      <c r="B24" s="13">
        <v>45292</v>
      </c>
      <c r="C24" t="s">
        <v>42</v>
      </c>
      <c r="D24" t="s">
        <v>21</v>
      </c>
      <c r="E24" s="6">
        <v>8500</v>
      </c>
      <c r="F24" t="s">
        <v>10</v>
      </c>
      <c r="H24" s="8"/>
      <c r="I24" s="9">
        <f>SUM(C7:C9)</f>
        <v>49000</v>
      </c>
      <c r="J24" s="9">
        <f>SUM(D7:D9)</f>
        <v>51707</v>
      </c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2:20" x14ac:dyDescent="0.3">
      <c r="B25" s="13">
        <v>45293</v>
      </c>
      <c r="C25" t="s">
        <v>42</v>
      </c>
      <c r="D25" t="s">
        <v>25</v>
      </c>
      <c r="E25" s="6">
        <v>1167</v>
      </c>
      <c r="F25" t="s">
        <v>69</v>
      </c>
      <c r="H25" s="8"/>
      <c r="I25" s="9">
        <f>C6-C7-C8-C9</f>
        <v>1000</v>
      </c>
      <c r="J25" s="10">
        <f>D6-D7-D8-D9</f>
        <v>3293</v>
      </c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2:20" x14ac:dyDescent="0.3">
      <c r="B26" s="13">
        <v>45294</v>
      </c>
      <c r="C26" t="s">
        <v>6</v>
      </c>
      <c r="D26" t="s">
        <v>23</v>
      </c>
      <c r="E26" s="6">
        <v>6526</v>
      </c>
      <c r="F26" t="s">
        <v>47</v>
      </c>
      <c r="H26" s="8"/>
      <c r="I26" s="8"/>
      <c r="J26" s="8"/>
      <c r="K26" s="8"/>
      <c r="L26" s="8"/>
      <c r="M26" s="8"/>
      <c r="N26" s="8">
        <f>Table134[[#Totals],[ACTUAL]]</f>
        <v>24869</v>
      </c>
      <c r="O26" s="8">
        <f>Table13[[#Totals],[ACTUAL]]</f>
        <v>55000</v>
      </c>
      <c r="P26" s="8">
        <f>N26/O26</f>
        <v>0.45216363636363638</v>
      </c>
      <c r="Q26" s="8">
        <v>51707</v>
      </c>
      <c r="R26" s="8">
        <f>N26/Q26*100</f>
        <v>48.096002475486877</v>
      </c>
      <c r="S26" s="8"/>
      <c r="T26" s="8"/>
    </row>
    <row r="27" spans="2:20" x14ac:dyDescent="0.3">
      <c r="B27" s="13">
        <v>45294</v>
      </c>
      <c r="C27" t="s">
        <v>43</v>
      </c>
      <c r="D27" t="s">
        <v>16</v>
      </c>
      <c r="E27" s="6">
        <v>2135</v>
      </c>
      <c r="F27" t="s">
        <v>48</v>
      </c>
      <c r="H27" s="8"/>
      <c r="I27" s="8"/>
      <c r="J27" s="8"/>
      <c r="K27" s="8"/>
      <c r="L27" s="8"/>
      <c r="M27" s="8"/>
      <c r="N27" s="8">
        <f>Table1345[[#Totals],[ACTUAL]]</f>
        <v>14569</v>
      </c>
      <c r="O27" s="8">
        <f>Table13[[#Totals],[ACTUAL]]</f>
        <v>55000</v>
      </c>
      <c r="P27" s="8">
        <f>N27/O27</f>
        <v>0.26489090909090907</v>
      </c>
      <c r="Q27" s="8">
        <v>51707</v>
      </c>
      <c r="R27" s="8">
        <f>N27/Q27*100</f>
        <v>28.176069004196723</v>
      </c>
      <c r="S27" s="8"/>
      <c r="T27" s="8"/>
    </row>
    <row r="28" spans="2:20" x14ac:dyDescent="0.3">
      <c r="B28" s="13">
        <v>45294</v>
      </c>
      <c r="C28" t="s">
        <v>6</v>
      </c>
      <c r="D28" t="s">
        <v>13</v>
      </c>
      <c r="E28" s="6">
        <v>3500</v>
      </c>
      <c r="F28" t="s">
        <v>68</v>
      </c>
      <c r="H28" s="8"/>
      <c r="I28" s="8"/>
      <c r="J28" s="10">
        <f>D6</f>
        <v>55000</v>
      </c>
      <c r="K28" s="8"/>
      <c r="L28" s="8"/>
      <c r="M28" s="8"/>
      <c r="N28" s="8">
        <f>Table13456[[#Totals],[ACTUAL]]</f>
        <v>12269</v>
      </c>
      <c r="O28" s="8">
        <f>Table13[[#Totals],[ACTUAL]]</f>
        <v>55000</v>
      </c>
      <c r="P28" s="8">
        <f>N28/O28</f>
        <v>0.22307272727272728</v>
      </c>
      <c r="Q28" s="8">
        <v>51707</v>
      </c>
      <c r="R28" s="8">
        <f>N28/Q28*100</f>
        <v>23.7279285203164</v>
      </c>
      <c r="S28" s="8"/>
      <c r="T28" s="8"/>
    </row>
    <row r="29" spans="2:20" x14ac:dyDescent="0.3">
      <c r="B29" s="13">
        <v>45295</v>
      </c>
      <c r="C29" t="s">
        <v>43</v>
      </c>
      <c r="D29" t="s">
        <v>17</v>
      </c>
      <c r="E29" s="6">
        <v>500</v>
      </c>
      <c r="F29" t="s">
        <v>52</v>
      </c>
      <c r="H29" s="8"/>
      <c r="I29" s="8"/>
      <c r="J29" s="8"/>
      <c r="K29" s="8"/>
      <c r="L29" s="8"/>
      <c r="M29" s="8"/>
      <c r="N29" s="8">
        <f>SUM(N26,N27,N28)</f>
        <v>51707</v>
      </c>
      <c r="O29" s="8">
        <v>51707</v>
      </c>
      <c r="P29" s="8"/>
      <c r="Q29" s="8"/>
      <c r="R29" s="8">
        <f>SUM(R26,R27,R28)</f>
        <v>100</v>
      </c>
      <c r="S29" s="8"/>
      <c r="T29" s="8"/>
    </row>
    <row r="30" spans="2:20" x14ac:dyDescent="0.3">
      <c r="B30" s="13">
        <v>45296</v>
      </c>
      <c r="C30" t="s">
        <v>43</v>
      </c>
      <c r="D30" t="s">
        <v>9</v>
      </c>
      <c r="E30" s="6">
        <v>480</v>
      </c>
      <c r="F30" t="s">
        <v>11</v>
      </c>
      <c r="H30" s="8"/>
      <c r="I30" s="8"/>
      <c r="J30" s="11">
        <f>C7/C6</f>
        <v>0.44</v>
      </c>
      <c r="K30" s="11">
        <f>D7/D6</f>
        <v>0.45216363636363638</v>
      </c>
      <c r="L30" s="8"/>
      <c r="M30" s="8"/>
      <c r="N30" s="8"/>
      <c r="O30" s="8">
        <f>O28-O29</f>
        <v>3293</v>
      </c>
      <c r="P30" s="8"/>
      <c r="Q30" s="8"/>
      <c r="R30" s="8"/>
      <c r="S30" s="8"/>
      <c r="T30" s="8"/>
    </row>
    <row r="31" spans="2:20" x14ac:dyDescent="0.3">
      <c r="B31" s="13">
        <v>45296</v>
      </c>
      <c r="C31" t="s">
        <v>42</v>
      </c>
      <c r="D31" t="s">
        <v>27</v>
      </c>
      <c r="E31" s="6">
        <v>824</v>
      </c>
      <c r="F31" t="s">
        <v>67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2:20" x14ac:dyDescent="0.3">
      <c r="B32" s="13">
        <v>45296</v>
      </c>
      <c r="C32" t="s">
        <v>43</v>
      </c>
      <c r="D32" t="s">
        <v>16</v>
      </c>
      <c r="E32" s="6">
        <v>200</v>
      </c>
      <c r="F32" t="s">
        <v>49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2:20" x14ac:dyDescent="0.3">
      <c r="B33" s="13">
        <v>45297</v>
      </c>
      <c r="C33" t="s">
        <v>43</v>
      </c>
      <c r="D33" t="s">
        <v>18</v>
      </c>
      <c r="E33" s="6">
        <v>2500</v>
      </c>
      <c r="F33" t="s">
        <v>57</v>
      </c>
      <c r="M33" s="8"/>
      <c r="N33" s="8"/>
      <c r="O33" s="8" t="s">
        <v>43</v>
      </c>
      <c r="P33" s="14">
        <v>0.45216363636363638</v>
      </c>
      <c r="Q33" s="8"/>
      <c r="R33" s="8"/>
      <c r="S33" s="8"/>
      <c r="T33" s="8"/>
    </row>
    <row r="34" spans="2:20" x14ac:dyDescent="0.3">
      <c r="B34" s="13">
        <v>45297</v>
      </c>
      <c r="C34" t="s">
        <v>43</v>
      </c>
      <c r="D34" t="s">
        <v>17</v>
      </c>
      <c r="E34" s="6">
        <v>724</v>
      </c>
      <c r="F34" t="s">
        <v>54</v>
      </c>
      <c r="M34" s="8"/>
      <c r="N34" s="8"/>
      <c r="O34" s="8" t="s">
        <v>6</v>
      </c>
      <c r="P34" s="14">
        <v>0.26489090909090907</v>
      </c>
      <c r="Q34" s="8"/>
      <c r="R34" s="8"/>
      <c r="S34" s="8"/>
      <c r="T34" s="8"/>
    </row>
    <row r="35" spans="2:20" x14ac:dyDescent="0.3">
      <c r="B35" s="13">
        <v>45298</v>
      </c>
      <c r="C35" t="s">
        <v>43</v>
      </c>
      <c r="D35" t="s">
        <v>12</v>
      </c>
      <c r="E35" s="6">
        <v>2534</v>
      </c>
      <c r="F35" t="s">
        <v>60</v>
      </c>
      <c r="M35" s="8"/>
      <c r="N35" s="8"/>
      <c r="O35" s="8" t="s">
        <v>42</v>
      </c>
      <c r="P35" s="14">
        <v>0.22307272727272728</v>
      </c>
      <c r="Q35" s="8"/>
      <c r="R35" s="8"/>
      <c r="S35" s="8"/>
      <c r="T35" s="8"/>
    </row>
    <row r="36" spans="2:20" x14ac:dyDescent="0.3">
      <c r="B36" s="13">
        <v>45298</v>
      </c>
      <c r="C36" t="s">
        <v>43</v>
      </c>
      <c r="D36" t="s">
        <v>16</v>
      </c>
      <c r="E36" s="6">
        <v>236</v>
      </c>
      <c r="F36" t="s">
        <v>51</v>
      </c>
      <c r="M36" s="8"/>
      <c r="N36" s="8"/>
      <c r="O36" s="8"/>
      <c r="P36" s="8"/>
      <c r="Q36" s="8"/>
      <c r="R36" s="8"/>
      <c r="S36" s="8"/>
      <c r="T36" s="8"/>
    </row>
    <row r="37" spans="2:20" x14ac:dyDescent="0.3">
      <c r="B37" s="13">
        <v>45299</v>
      </c>
      <c r="C37" t="s">
        <v>43</v>
      </c>
      <c r="D37" t="s">
        <v>9</v>
      </c>
      <c r="E37" s="6">
        <v>600</v>
      </c>
      <c r="F37" t="s">
        <v>71</v>
      </c>
      <c r="M37" s="8"/>
      <c r="N37" s="8"/>
      <c r="O37" s="8"/>
      <c r="P37" s="8"/>
      <c r="Q37" s="8"/>
      <c r="R37" s="8"/>
      <c r="S37" s="8"/>
      <c r="T37" s="8"/>
    </row>
    <row r="38" spans="2:20" x14ac:dyDescent="0.3">
      <c r="B38" s="13">
        <v>45299</v>
      </c>
      <c r="C38" t="s">
        <v>43</v>
      </c>
      <c r="D38" t="s">
        <v>17</v>
      </c>
      <c r="E38" s="6">
        <v>1000</v>
      </c>
      <c r="F38" t="s">
        <v>55</v>
      </c>
      <c r="N38" s="8"/>
      <c r="O38" s="8"/>
      <c r="P38" s="8"/>
      <c r="Q38" s="8"/>
      <c r="R38" s="8"/>
    </row>
    <row r="39" spans="2:20" x14ac:dyDescent="0.3">
      <c r="B39" s="13">
        <v>45300</v>
      </c>
      <c r="C39" t="s">
        <v>43</v>
      </c>
      <c r="D39" t="s">
        <v>16</v>
      </c>
      <c r="E39" s="6">
        <v>286</v>
      </c>
      <c r="F39" t="s">
        <v>49</v>
      </c>
      <c r="N39" s="8"/>
      <c r="O39" s="8"/>
      <c r="P39" s="8"/>
      <c r="Q39" s="8"/>
      <c r="R39" s="8"/>
    </row>
    <row r="40" spans="2:20" x14ac:dyDescent="0.3">
      <c r="B40" s="13">
        <v>45300</v>
      </c>
      <c r="C40" t="s">
        <v>42</v>
      </c>
      <c r="D40" t="s">
        <v>26</v>
      </c>
      <c r="E40" s="6">
        <v>667</v>
      </c>
      <c r="F40" t="s">
        <v>66</v>
      </c>
      <c r="L40" s="8"/>
      <c r="M40" s="8" t="s">
        <v>5</v>
      </c>
      <c r="N40" s="8"/>
      <c r="O40" s="8"/>
      <c r="P40" s="8"/>
      <c r="Q40" s="8"/>
      <c r="R40" s="8"/>
    </row>
    <row r="41" spans="2:20" x14ac:dyDescent="0.3">
      <c r="B41" s="13">
        <v>45300</v>
      </c>
      <c r="C41" t="s">
        <v>43</v>
      </c>
      <c r="D41" t="s">
        <v>9</v>
      </c>
      <c r="E41" s="6">
        <v>500</v>
      </c>
      <c r="F41" t="s">
        <v>61</v>
      </c>
      <c r="L41" s="8"/>
      <c r="M41" s="8" t="s">
        <v>42</v>
      </c>
    </row>
    <row r="42" spans="2:20" x14ac:dyDescent="0.3">
      <c r="B42" s="13">
        <v>45301</v>
      </c>
      <c r="C42" t="s">
        <v>43</v>
      </c>
      <c r="D42" t="s">
        <v>16</v>
      </c>
      <c r="E42" s="6">
        <f>SUM(1765,269)</f>
        <v>2034</v>
      </c>
      <c r="F42" t="s">
        <v>50</v>
      </c>
      <c r="L42" s="8"/>
      <c r="M42" s="8" t="s">
        <v>6</v>
      </c>
      <c r="N42" s="8"/>
    </row>
    <row r="43" spans="2:20" x14ac:dyDescent="0.3">
      <c r="B43" s="13">
        <v>45303</v>
      </c>
      <c r="C43" t="s">
        <v>43</v>
      </c>
      <c r="D43" t="s">
        <v>18</v>
      </c>
      <c r="E43" s="6">
        <v>1269</v>
      </c>
      <c r="F43" t="s">
        <v>58</v>
      </c>
      <c r="L43" s="8"/>
      <c r="M43" s="8" t="s">
        <v>43</v>
      </c>
      <c r="N43" s="8"/>
    </row>
    <row r="44" spans="2:20" x14ac:dyDescent="0.3">
      <c r="B44" s="13">
        <v>45303</v>
      </c>
      <c r="C44" t="s">
        <v>43</v>
      </c>
      <c r="D44" t="s">
        <v>17</v>
      </c>
      <c r="E44" s="6">
        <v>2500</v>
      </c>
      <c r="F44" t="s">
        <v>53</v>
      </c>
      <c r="L44" s="8"/>
      <c r="M44" s="8"/>
      <c r="N44" s="8"/>
    </row>
    <row r="45" spans="2:20" x14ac:dyDescent="0.3">
      <c r="B45" s="13">
        <v>45303</v>
      </c>
      <c r="C45" t="s">
        <v>43</v>
      </c>
      <c r="D45" t="s">
        <v>19</v>
      </c>
      <c r="E45" s="6">
        <v>2000</v>
      </c>
      <c r="F45" t="s">
        <v>59</v>
      </c>
    </row>
    <row r="46" spans="2:20" x14ac:dyDescent="0.3">
      <c r="B46" s="13">
        <v>45306</v>
      </c>
      <c r="C46" t="s">
        <v>43</v>
      </c>
      <c r="D46" t="s">
        <v>16</v>
      </c>
      <c r="E46" s="6">
        <v>315</v>
      </c>
      <c r="F46" t="s">
        <v>51</v>
      </c>
    </row>
    <row r="47" spans="2:20" x14ac:dyDescent="0.3">
      <c r="B47" s="13">
        <v>45307</v>
      </c>
      <c r="C47" t="s">
        <v>5</v>
      </c>
      <c r="D47" t="s">
        <v>30</v>
      </c>
      <c r="E47" s="6">
        <v>3000</v>
      </c>
      <c r="F47" t="s">
        <v>45</v>
      </c>
    </row>
    <row r="48" spans="2:20" x14ac:dyDescent="0.3">
      <c r="B48" s="13">
        <v>45309</v>
      </c>
      <c r="C48" t="s">
        <v>43</v>
      </c>
      <c r="D48" t="s">
        <v>9</v>
      </c>
      <c r="E48" s="6">
        <v>480</v>
      </c>
      <c r="F48" t="s">
        <v>11</v>
      </c>
    </row>
    <row r="49" spans="2:6" x14ac:dyDescent="0.3">
      <c r="B49" s="13">
        <v>45310</v>
      </c>
      <c r="C49" t="s">
        <v>6</v>
      </c>
      <c r="D49" t="s">
        <v>22</v>
      </c>
      <c r="E49" s="6">
        <v>3000</v>
      </c>
      <c r="F49" t="s">
        <v>65</v>
      </c>
    </row>
    <row r="50" spans="2:6" x14ac:dyDescent="0.3">
      <c r="B50" s="13">
        <v>45310</v>
      </c>
      <c r="C50" t="s">
        <v>43</v>
      </c>
      <c r="D50" t="s">
        <v>17</v>
      </c>
      <c r="E50" s="6">
        <v>500</v>
      </c>
      <c r="F50" t="s">
        <v>52</v>
      </c>
    </row>
    <row r="51" spans="2:6" x14ac:dyDescent="0.3">
      <c r="B51" s="13">
        <v>45310</v>
      </c>
      <c r="C51" t="s">
        <v>5</v>
      </c>
      <c r="D51" t="s">
        <v>32</v>
      </c>
      <c r="E51" s="6">
        <v>2000</v>
      </c>
      <c r="F51" t="s">
        <v>46</v>
      </c>
    </row>
    <row r="52" spans="2:6" x14ac:dyDescent="0.3">
      <c r="B52" s="13">
        <v>45312</v>
      </c>
      <c r="C52" t="s">
        <v>42</v>
      </c>
      <c r="D52" t="s">
        <v>28</v>
      </c>
      <c r="E52" s="6">
        <v>299</v>
      </c>
      <c r="F52" t="s">
        <v>64</v>
      </c>
    </row>
    <row r="53" spans="2:6" x14ac:dyDescent="0.3">
      <c r="B53" s="13">
        <v>45312</v>
      </c>
      <c r="C53" t="s">
        <v>42</v>
      </c>
      <c r="D53" t="s">
        <v>29</v>
      </c>
      <c r="E53" s="6">
        <v>812</v>
      </c>
      <c r="F53" t="s">
        <v>63</v>
      </c>
    </row>
    <row r="54" spans="2:6" x14ac:dyDescent="0.3">
      <c r="B54" s="13">
        <v>45312</v>
      </c>
      <c r="C54" t="s">
        <v>43</v>
      </c>
      <c r="D54" t="s">
        <v>16</v>
      </c>
      <c r="E54" s="6">
        <v>200</v>
      </c>
      <c r="F54" t="s">
        <v>8</v>
      </c>
    </row>
    <row r="55" spans="2:6" x14ac:dyDescent="0.3">
      <c r="B55" s="13">
        <v>45313</v>
      </c>
      <c r="C55" t="s">
        <v>43</v>
      </c>
      <c r="D55" t="s">
        <v>9</v>
      </c>
      <c r="E55" s="6">
        <v>505</v>
      </c>
      <c r="F55" t="s">
        <v>62</v>
      </c>
    </row>
    <row r="56" spans="2:6" x14ac:dyDescent="0.3">
      <c r="B56" s="13">
        <v>45314</v>
      </c>
      <c r="C56" t="s">
        <v>43</v>
      </c>
      <c r="D56" t="s">
        <v>16</v>
      </c>
      <c r="E56" s="6">
        <v>100</v>
      </c>
      <c r="F56" t="s">
        <v>8</v>
      </c>
    </row>
    <row r="57" spans="2:6" x14ac:dyDescent="0.3">
      <c r="B57" s="13">
        <v>45315</v>
      </c>
      <c r="C57" t="s">
        <v>43</v>
      </c>
      <c r="D57" t="s">
        <v>17</v>
      </c>
      <c r="E57" s="6">
        <v>713</v>
      </c>
      <c r="F57" t="s">
        <v>54</v>
      </c>
    </row>
    <row r="58" spans="2:6" x14ac:dyDescent="0.3">
      <c r="B58" s="13">
        <v>45316</v>
      </c>
      <c r="C58" t="s">
        <v>43</v>
      </c>
      <c r="D58" t="s">
        <v>16</v>
      </c>
      <c r="E58" s="6">
        <v>149</v>
      </c>
      <c r="F58" t="s">
        <v>8</v>
      </c>
    </row>
    <row r="59" spans="2:6" x14ac:dyDescent="0.3">
      <c r="B59" s="13">
        <v>45317</v>
      </c>
      <c r="C59" t="s">
        <v>43</v>
      </c>
      <c r="D59" t="s">
        <v>9</v>
      </c>
      <c r="E59" s="6">
        <v>480</v>
      </c>
      <c r="F59" t="s">
        <v>11</v>
      </c>
    </row>
    <row r="60" spans="2:6" x14ac:dyDescent="0.3">
      <c r="B60" s="13">
        <v>45318</v>
      </c>
      <c r="C60" t="s">
        <v>43</v>
      </c>
      <c r="D60" t="s">
        <v>16</v>
      </c>
      <c r="E60" s="6">
        <v>869</v>
      </c>
      <c r="F60" t="s">
        <v>50</v>
      </c>
    </row>
    <row r="61" spans="2:6" x14ac:dyDescent="0.3">
      <c r="B61" s="13">
        <v>45319</v>
      </c>
      <c r="C61" t="s">
        <v>43</v>
      </c>
      <c r="D61" t="s">
        <v>17</v>
      </c>
      <c r="E61" s="6">
        <v>1000</v>
      </c>
      <c r="F61" t="s">
        <v>56</v>
      </c>
    </row>
    <row r="62" spans="2:6" x14ac:dyDescent="0.3">
      <c r="B62" s="13">
        <v>45320</v>
      </c>
      <c r="C62" t="s">
        <v>43</v>
      </c>
      <c r="D62" t="s">
        <v>16</v>
      </c>
      <c r="E62" s="6">
        <v>60</v>
      </c>
      <c r="F62" t="s">
        <v>8</v>
      </c>
    </row>
    <row r="63" spans="2:6" x14ac:dyDescent="0.3">
      <c r="B63" s="13">
        <v>45320</v>
      </c>
      <c r="C63" t="s">
        <v>6</v>
      </c>
      <c r="D63" t="s">
        <v>24</v>
      </c>
      <c r="E63" s="6">
        <v>1543</v>
      </c>
      <c r="F63" t="s">
        <v>70</v>
      </c>
    </row>
    <row r="73" spans="21:21" x14ac:dyDescent="0.3">
      <c r="U73" s="7"/>
    </row>
  </sheetData>
  <mergeCells count="7">
    <mergeCell ref="N4:P4"/>
    <mergeCell ref="R4:T4"/>
    <mergeCell ref="B20:C20"/>
    <mergeCell ref="B2:C2"/>
    <mergeCell ref="B4:D4"/>
    <mergeCell ref="F4:H4"/>
    <mergeCell ref="J4:L4"/>
  </mergeCells>
  <dataValidations count="1">
    <dataValidation type="list" allowBlank="1" showInputMessage="1" showErrorMessage="1" sqref="C23:C63" xr:uid="{0759D2C5-136E-4B80-8DCE-7151291B22A5}">
      <formula1>$M$40:$M$43</formula1>
    </dataValidation>
  </dataValidations>
  <pageMargins left="0.7" right="0.7" top="0.75" bottom="0.75" header="0.3" footer="0.3"/>
  <ignoredErrors>
    <ignoredError sqref="C11:D11 D6 D7 D8:D10 C6:C10 C14:D17" calculatedColumn="1"/>
    <ignoredError sqref="I24" formulaRange="1"/>
  </ignoredErrors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Dashboard</vt:lpstr>
      <vt:lpstr>Transactions &amp; Calculations</vt:lpstr>
      <vt:lpstr>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Rokkam</dc:creator>
  <cp:lastModifiedBy>Rahul Rokkam</cp:lastModifiedBy>
  <dcterms:created xsi:type="dcterms:W3CDTF">2025-05-26T05:37:18Z</dcterms:created>
  <dcterms:modified xsi:type="dcterms:W3CDTF">2025-07-03T09:16:11Z</dcterms:modified>
</cp:coreProperties>
</file>