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4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65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1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6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 List for Class of 2009-10" sheetId="1" r:id="rId4"/>
    <sheet state="visible" name="Quartely Sales for 2009-10" sheetId="2" r:id="rId5"/>
    <sheet state="visible" name="deep" sheetId="3" r:id="rId6"/>
    <sheet state="visible" name="jay" sheetId="4" r:id="rId7"/>
    <sheet state="visible" name="Calculation of Interest Amt." sheetId="5" r:id="rId8"/>
    <sheet state="visible" name="Metro shoe co." sheetId="6" r:id="rId9"/>
    <sheet state="visible" name="Payroll" sheetId="7" r:id="rId10"/>
    <sheet state="visible" name="Dep. of Assets" sheetId="8" r:id="rId11"/>
    <sheet state="visible" name="Sheet5" sheetId="9" r:id="rId12"/>
    <sheet state="visible" name="Chart4" sheetId="10" r:id="rId13"/>
    <sheet state="visible" name="Sheet6" sheetId="11" r:id="rId14"/>
    <sheet state="visible" name="Chart6" sheetId="12" r:id="rId15"/>
    <sheet state="visible" name="Sheet7" sheetId="13" r:id="rId16"/>
    <sheet state="visible" name="Sheet1" sheetId="14" r:id="rId17"/>
    <sheet state="visible" name="Sheet4" sheetId="15" r:id="rId18"/>
    <sheet state="visible" name="Sheet8" sheetId="16" r:id="rId19"/>
    <sheet state="visible" name="Forecast Sales of Dawn Oil" sheetId="17" r:id="rId20"/>
    <sheet state="visible" name="Status report of Dawn Library" sheetId="18" r:id="rId21"/>
    <sheet state="visible" name="Nested Loops(IF) for Benzar Std" sheetId="19" r:id="rId22"/>
    <sheet state="visible" name="Nested Loops(IF) fo students ma" sheetId="20" r:id="rId23"/>
    <sheet state="visible" name="Linking between word and excel" sheetId="21" r:id="rId24"/>
    <sheet state="visible" name="Calcutta" sheetId="22" r:id="rId25"/>
    <sheet state="visible" name="Madras" sheetId="23" r:id="rId26"/>
    <sheet state="visible" name="Delhi" sheetId="24" r:id="rId27"/>
    <sheet state="visible" name="Banglore" sheetId="25" r:id="rId28"/>
    <sheet state="visible" name="All India Sales" sheetId="26" r:id="rId29"/>
    <sheet state="visible" name="Simple Macro(FLY by Kingfisher)" sheetId="27" r:id="rId30"/>
    <sheet state="visible" name="Countif marks scored" sheetId="28" r:id="rId31"/>
    <sheet state="visible" name="Sumif on Cash Bonus" sheetId="29" r:id="rId32"/>
    <sheet state="visible" name="Countif BPL Mobile Comm. pvt Ld" sheetId="30" r:id="rId33"/>
    <sheet state="visible" name="Pivot Table elisa &amp; mary" sheetId="31" r:id="rId34"/>
    <sheet state="visible" name="Sheet11" sheetId="32" r:id="rId35"/>
    <sheet state="visible" name="Conditional Formatting" sheetId="33" r:id="rId36"/>
    <sheet state="visible" name="Scenario Summary" sheetId="34" r:id="rId37"/>
    <sheet state="visible" name="Sheet10" sheetId="35" r:id="rId38"/>
    <sheet state="visible" name="Scenario Summary 2" sheetId="36" r:id="rId39"/>
    <sheet state="visible" name="Sheet13" sheetId="37" r:id="rId40"/>
    <sheet state="visible" name="Sheet17" sheetId="38" r:id="rId41"/>
    <sheet state="visible" name="Sheet18" sheetId="39" r:id="rId42"/>
    <sheet state="visible" name="Sheet14" sheetId="40" r:id="rId43"/>
    <sheet state="visible" name="Sheet15" sheetId="41" r:id="rId44"/>
    <sheet state="visible" name="Sheet2" sheetId="42" r:id="rId45"/>
    <sheet state="visible" name="Sheet16" sheetId="43" r:id="rId46"/>
    <sheet state="visible" name="Sheet3" sheetId="44" r:id="rId47"/>
    <sheet state="visible" name="Sheet9" sheetId="45" r:id="rId48"/>
    <sheet state="visible" name="Sheet12" sheetId="46" r:id="rId49"/>
    <sheet state="visible" name="Sheet19" sheetId="47" r:id="rId50"/>
    <sheet state="visible" name="Sheet20" sheetId="48" r:id="rId51"/>
    <sheet state="visible" name="Sheet21" sheetId="49" r:id="rId52"/>
    <sheet state="visible" name="Sheet22" sheetId="50" r:id="rId53"/>
    <sheet state="visible" name="Sheet23" sheetId="51" r:id="rId54"/>
    <sheet state="visible" name="Sheet24" sheetId="52" r:id="rId55"/>
    <sheet state="visible" name="Sheet25" sheetId="53" r:id="rId56"/>
    <sheet state="visible" name="Sheet26" sheetId="54" r:id="rId57"/>
    <sheet state="visible" name="Sheet27" sheetId="55" r:id="rId58"/>
    <sheet state="visible" name="Sheet28" sheetId="56" r:id="rId59"/>
    <sheet state="visible" name="Sheet29" sheetId="57" r:id="rId60"/>
    <sheet state="visible" name="Sheet30" sheetId="58" r:id="rId61"/>
    <sheet state="visible" name="Sheet31" sheetId="59" r:id="rId62"/>
    <sheet state="visible" name="Sheet32" sheetId="60" r:id="rId63"/>
    <sheet state="visible" name="Sheet33" sheetId="61" r:id="rId64"/>
    <sheet state="visible" name="Sheet34" sheetId="62" r:id="rId65"/>
    <sheet state="visible" name="Sheet35" sheetId="63" r:id="rId66"/>
    <sheet state="visible" name="Sheet36" sheetId="64" r:id="rId67"/>
    <sheet state="visible" name="Sheet37" sheetId="65" r:id="rId68"/>
    <sheet state="visible" name="Sheet38" sheetId="66" r:id="rId69"/>
    <sheet state="visible" name="Sheet39" sheetId="67" r:id="rId70"/>
    <sheet state="visible" name="Sheet40" sheetId="68" r:id="rId71"/>
  </sheets>
  <definedNames>
    <definedName name="Cookies">Sheet36!$A$1:$A$4</definedName>
    <definedName name="Slicer_Student">#REF!</definedName>
    <definedName name="DEEP">Sheet36!$A$1:$A$4</definedName>
    <definedName name="Slicer_Subject">#REF!</definedName>
    <definedName hidden="1" localSheetId="14" name="_xlnm._FilterDatabase">Sheet4!$A$1:$D$12</definedName>
    <definedName hidden="1" localSheetId="66" name="_xlnm._FilterDatabase">Sheet39!$G$1:$G$12</definedName>
  </definedNames>
  <calcPr/>
  <pivotCaches>
    <pivotCache cacheId="0" r:id="rId72"/>
    <pivotCache cacheId="1" r:id="rId73"/>
    <pivotCache cacheId="2" r:id="rId74"/>
    <pivotCache cacheId="3" r:id="rId75"/>
  </pivotCaches>
</workbook>
</file>

<file path=xl/sharedStrings.xml><?xml version="1.0" encoding="utf-8"?>
<sst xmlns="http://schemas.openxmlformats.org/spreadsheetml/2006/main" count="1486" uniqueCount="627">
  <si>
    <t>NAME</t>
  </si>
  <si>
    <t>SUBJECT 1</t>
  </si>
  <si>
    <t>SUBJECT 2</t>
  </si>
  <si>
    <t>SUBJECT 3</t>
  </si>
  <si>
    <t>TOTAL</t>
  </si>
  <si>
    <t>AVERAGE</t>
  </si>
  <si>
    <t>RESULT</t>
  </si>
  <si>
    <t>RAM</t>
  </si>
  <si>
    <t>SHYAM</t>
  </si>
  <si>
    <t>GITA</t>
  </si>
  <si>
    <t>SITA</t>
  </si>
  <si>
    <t>NITA</t>
  </si>
  <si>
    <t>MITA</t>
  </si>
  <si>
    <t>RITA</t>
  </si>
  <si>
    <t xml:space="preserve"> </t>
  </si>
  <si>
    <t>HIGHEST</t>
  </si>
  <si>
    <t>LOWEST</t>
  </si>
  <si>
    <t>Product</t>
  </si>
  <si>
    <t>Qtr1</t>
  </si>
  <si>
    <t>Qtr2</t>
  </si>
  <si>
    <t>Qtr3</t>
  </si>
  <si>
    <t>Qtr4</t>
  </si>
  <si>
    <t>Total</t>
  </si>
  <si>
    <t>Average</t>
  </si>
  <si>
    <t>Comment</t>
  </si>
  <si>
    <t>Guns</t>
  </si>
  <si>
    <t>Bombs</t>
  </si>
  <si>
    <t>Bullets</t>
  </si>
  <si>
    <t>AirGuns</t>
  </si>
  <si>
    <t>Salesman Code</t>
  </si>
  <si>
    <t>Jan.</t>
  </si>
  <si>
    <t>Feb.</t>
  </si>
  <si>
    <t>Mar</t>
  </si>
  <si>
    <t>Commission</t>
  </si>
  <si>
    <t>S001</t>
  </si>
  <si>
    <t>S002</t>
  </si>
  <si>
    <t>S003</t>
  </si>
  <si>
    <t>S004</t>
  </si>
  <si>
    <t>S005</t>
  </si>
  <si>
    <t>S006</t>
  </si>
  <si>
    <t>Highest</t>
  </si>
  <si>
    <t>Lowest</t>
  </si>
  <si>
    <t>Particulars</t>
  </si>
  <si>
    <t>Amount</t>
  </si>
  <si>
    <t>Sales</t>
  </si>
  <si>
    <t>Variable Exp:-</t>
  </si>
  <si>
    <t>Raw material</t>
  </si>
  <si>
    <t>Miscellaneous</t>
  </si>
  <si>
    <t>Toatl Variable Exp:-</t>
  </si>
  <si>
    <t>Gross Profit</t>
  </si>
  <si>
    <t>Fixed Exp:-</t>
  </si>
  <si>
    <t>Salaries</t>
  </si>
  <si>
    <t>Rent</t>
  </si>
  <si>
    <t>Total Fixed Exp:-</t>
  </si>
  <si>
    <t>Profit Before Tax:-</t>
  </si>
  <si>
    <t>Tax</t>
  </si>
  <si>
    <t>Net Profit</t>
  </si>
  <si>
    <t>Finance Company</t>
  </si>
  <si>
    <t>Loan Amt.</t>
  </si>
  <si>
    <t>Interest Amount</t>
  </si>
  <si>
    <t>Kotak Mahindra</t>
  </si>
  <si>
    <t>Tata Finance</t>
  </si>
  <si>
    <t>Sah &amp; Sanghi</t>
  </si>
  <si>
    <t>Birla Finance</t>
  </si>
  <si>
    <t>Ronak Finance</t>
  </si>
  <si>
    <t>Rizvi Finance</t>
  </si>
  <si>
    <t>CityBank Finance</t>
  </si>
  <si>
    <t>Description</t>
  </si>
  <si>
    <t>Seasonal Sales</t>
  </si>
  <si>
    <t>Discount Amt.</t>
  </si>
  <si>
    <t>Collection</t>
  </si>
  <si>
    <t>Mesco</t>
  </si>
  <si>
    <t>AVI</t>
  </si>
  <si>
    <t>Woodland</t>
  </si>
  <si>
    <t>Bata</t>
  </si>
  <si>
    <t>Puma</t>
  </si>
  <si>
    <t>Nike</t>
  </si>
  <si>
    <t>Reebok</t>
  </si>
  <si>
    <t>Employee Names</t>
  </si>
  <si>
    <t>Basic Salary</t>
  </si>
  <si>
    <t>HRA</t>
  </si>
  <si>
    <t>DA</t>
  </si>
  <si>
    <t>Conv.</t>
  </si>
  <si>
    <t>PF</t>
  </si>
  <si>
    <t>Net Salary</t>
  </si>
  <si>
    <t>Design.</t>
  </si>
  <si>
    <t>Ram</t>
  </si>
  <si>
    <t>Shyam</t>
  </si>
  <si>
    <t>Sita</t>
  </si>
  <si>
    <t>Gita</t>
  </si>
  <si>
    <t>Mita</t>
  </si>
  <si>
    <t>Rajesh</t>
  </si>
  <si>
    <t>Name</t>
  </si>
  <si>
    <t>Asset value of asset</t>
  </si>
  <si>
    <t>Depreciation</t>
  </si>
  <si>
    <t>Net Value Amount</t>
  </si>
  <si>
    <t>Plant &amp; Mach.</t>
  </si>
  <si>
    <t>Furniture</t>
  </si>
  <si>
    <t>Land &amp; Building</t>
  </si>
  <si>
    <t>Computers</t>
  </si>
  <si>
    <t>Vehicles</t>
  </si>
  <si>
    <t>Scripts</t>
  </si>
  <si>
    <t>Market Value</t>
  </si>
  <si>
    <t>ACC</t>
  </si>
  <si>
    <t>RELIANCE</t>
  </si>
  <si>
    <t>LARSAN &amp; TURBO</t>
  </si>
  <si>
    <t>BOMBAY DYING</t>
  </si>
  <si>
    <t>Quarter1</t>
  </si>
  <si>
    <t>Quarter2</t>
  </si>
  <si>
    <t>Quarter3</t>
  </si>
  <si>
    <t>Quarter4</t>
  </si>
  <si>
    <t>Software</t>
  </si>
  <si>
    <t>Hardware</t>
  </si>
  <si>
    <t>Floppy</t>
  </si>
  <si>
    <t>Mouse</t>
  </si>
  <si>
    <t>Salesman</t>
  </si>
  <si>
    <t>Jan</t>
  </si>
  <si>
    <t>Feb</t>
  </si>
  <si>
    <t>Sl001</t>
  </si>
  <si>
    <t>SL002</t>
  </si>
  <si>
    <t>SL003</t>
  </si>
  <si>
    <t>SL004</t>
  </si>
  <si>
    <t xml:space="preserve">SalesMan </t>
  </si>
  <si>
    <t>City</t>
  </si>
  <si>
    <t xml:space="preserve">Sales Value </t>
  </si>
  <si>
    <t>Kumar</t>
  </si>
  <si>
    <t>Agra</t>
  </si>
  <si>
    <t>Cycles</t>
  </si>
  <si>
    <t>Raj</t>
  </si>
  <si>
    <t>Tubes</t>
  </si>
  <si>
    <t>Soni</t>
  </si>
  <si>
    <t>Agra Total</t>
  </si>
  <si>
    <t>Bombay</t>
  </si>
  <si>
    <t>Bombay Total</t>
  </si>
  <si>
    <t>Grand Total</t>
  </si>
  <si>
    <t>Cycles Total</t>
  </si>
  <si>
    <t>Tubes Total</t>
  </si>
  <si>
    <t>Garment</t>
  </si>
  <si>
    <t>Country</t>
  </si>
  <si>
    <t>Value</t>
  </si>
  <si>
    <t>Full shirt</t>
  </si>
  <si>
    <t>CA</t>
  </si>
  <si>
    <t>Full Shirt</t>
  </si>
  <si>
    <t>IND</t>
  </si>
  <si>
    <t>UK</t>
  </si>
  <si>
    <t>Half Pant</t>
  </si>
  <si>
    <t>USA</t>
  </si>
  <si>
    <t>Price</t>
  </si>
  <si>
    <t>Qrty 2015</t>
  </si>
  <si>
    <t>Qty 2016</t>
  </si>
  <si>
    <t>Qty 2017</t>
  </si>
  <si>
    <t>Tot.Sale 2015-17</t>
  </si>
  <si>
    <t>*F.C.Qty of 2018</t>
  </si>
  <si>
    <t>*F.C.Sales 2018</t>
  </si>
  <si>
    <t>Nuts</t>
  </si>
  <si>
    <t>Bolts</t>
  </si>
  <si>
    <t>Holders</t>
  </si>
  <si>
    <t>Sockets</t>
  </si>
  <si>
    <t>Joints</t>
  </si>
  <si>
    <t>Clips</t>
  </si>
  <si>
    <t>Plugs</t>
  </si>
  <si>
    <t>Member Name</t>
  </si>
  <si>
    <t>Book No.</t>
  </si>
  <si>
    <t>Dt. Isued</t>
  </si>
  <si>
    <t>Dt. Returned</t>
  </si>
  <si>
    <t>Days</t>
  </si>
  <si>
    <t>Fine Status</t>
  </si>
  <si>
    <t xml:space="preserve">Asha </t>
  </si>
  <si>
    <t>F001</t>
  </si>
  <si>
    <t>Amit</t>
  </si>
  <si>
    <t>F002</t>
  </si>
  <si>
    <t>F003</t>
  </si>
  <si>
    <t>F004</t>
  </si>
  <si>
    <t>F005</t>
  </si>
  <si>
    <t>Client Name</t>
  </si>
  <si>
    <t>Sales Amt.</t>
  </si>
  <si>
    <t>Discount Card</t>
  </si>
  <si>
    <t>AAA</t>
  </si>
  <si>
    <t>BBB</t>
  </si>
  <si>
    <t>CCC</t>
  </si>
  <si>
    <t>DDD</t>
  </si>
  <si>
    <t>EEE</t>
  </si>
  <si>
    <t>FFF</t>
  </si>
  <si>
    <t>GGG</t>
  </si>
  <si>
    <t>HHH</t>
  </si>
  <si>
    <t>Student</t>
  </si>
  <si>
    <t>Percentage</t>
  </si>
  <si>
    <t>Grade</t>
  </si>
  <si>
    <t>Sam</t>
  </si>
  <si>
    <t>Mina</t>
  </si>
  <si>
    <t>Rina</t>
  </si>
  <si>
    <t>Rita</t>
  </si>
  <si>
    <t>Months</t>
  </si>
  <si>
    <t>Quarters</t>
  </si>
  <si>
    <t>QTR1</t>
  </si>
  <si>
    <t>QTR2</t>
  </si>
  <si>
    <t>QTR3</t>
  </si>
  <si>
    <t>QTR4</t>
  </si>
  <si>
    <t>Total Sales</t>
  </si>
  <si>
    <t>City Name</t>
  </si>
  <si>
    <t>City Sales</t>
  </si>
  <si>
    <t>Calcutta</t>
  </si>
  <si>
    <t>Madras</t>
  </si>
  <si>
    <t>Delhi</t>
  </si>
  <si>
    <t>Banglore</t>
  </si>
  <si>
    <t>Total Sales of All India</t>
  </si>
  <si>
    <t>FLY-BY-KINGFISHER AIRLINES</t>
  </si>
  <si>
    <t>Steven</t>
  </si>
  <si>
    <t>Mary</t>
  </si>
  <si>
    <t>Ann</t>
  </si>
  <si>
    <t>Raymond</t>
  </si>
  <si>
    <t>Mark</t>
  </si>
  <si>
    <t>Paul</t>
  </si>
  <si>
    <t>Eliza</t>
  </si>
  <si>
    <t>Kelly</t>
  </si>
  <si>
    <t>&gt;40</t>
  </si>
  <si>
    <t>&gt;50</t>
  </si>
  <si>
    <t>&gt;60</t>
  </si>
  <si>
    <t>&gt;70</t>
  </si>
  <si>
    <t>&gt;80</t>
  </si>
  <si>
    <t>&gt;90</t>
  </si>
  <si>
    <t>Maths</t>
  </si>
  <si>
    <t>English</t>
  </si>
  <si>
    <t>Science</t>
  </si>
  <si>
    <t>History</t>
  </si>
  <si>
    <t>COUNT</t>
  </si>
  <si>
    <t>Geography</t>
  </si>
  <si>
    <t>COUNTA</t>
  </si>
  <si>
    <t>Art</t>
  </si>
  <si>
    <t>COUNTBLANK</t>
  </si>
  <si>
    <t>Computer Studies</t>
  </si>
  <si>
    <t>French</t>
  </si>
  <si>
    <t>&gt;</t>
  </si>
  <si>
    <t>&lt;</t>
  </si>
  <si>
    <t>Overall Average</t>
  </si>
  <si>
    <t>&gt;=</t>
  </si>
  <si>
    <t>&lt;=</t>
  </si>
  <si>
    <t>A</t>
  </si>
  <si>
    <t>B</t>
  </si>
  <si>
    <t>C</t>
  </si>
  <si>
    <t>D</t>
  </si>
  <si>
    <t>FAIL</t>
  </si>
  <si>
    <t>=</t>
  </si>
  <si>
    <t>&lt;&gt;</t>
  </si>
  <si>
    <t>Fail</t>
  </si>
  <si>
    <t>&gt;70 AVERAGE</t>
  </si>
  <si>
    <t>&gt;80 MATHS</t>
  </si>
  <si>
    <t>&gt;80 HISTORY</t>
  </si>
  <si>
    <t>&gt;80 CS</t>
  </si>
  <si>
    <t>MARY A</t>
  </si>
  <si>
    <t>&gt;90 ALL EXAM</t>
  </si>
  <si>
    <t xml:space="preserve">Arts B </t>
  </si>
  <si>
    <t>Subjects</t>
  </si>
  <si>
    <t>No. of students who have scored more than 70</t>
  </si>
  <si>
    <t>Cash Bonus</t>
  </si>
  <si>
    <t>Arts</t>
  </si>
  <si>
    <t>HR</t>
  </si>
  <si>
    <t>Hindi</t>
  </si>
  <si>
    <t>ADMIN</t>
  </si>
  <si>
    <t>IT</t>
  </si>
  <si>
    <t>Total payment made by school</t>
  </si>
  <si>
    <t>SALES</t>
  </si>
  <si>
    <t>SUM</t>
  </si>
  <si>
    <t>&gt;=4</t>
  </si>
  <si>
    <t>SHORT SUM</t>
  </si>
  <si>
    <t>&gt;=5</t>
  </si>
  <si>
    <t>ALT SUM</t>
  </si>
  <si>
    <t>&gt;=6</t>
  </si>
  <si>
    <t>MULTI SUM</t>
  </si>
  <si>
    <t>&gt;=7</t>
  </si>
  <si>
    <t>MANUAL SUM</t>
  </si>
  <si>
    <t>&gt;=8</t>
  </si>
  <si>
    <t>&gt;=9</t>
  </si>
  <si>
    <t>BPL Mobile Communication Pvt Ltd.</t>
  </si>
  <si>
    <t>Prepaid</t>
  </si>
  <si>
    <t>Postpaid</t>
  </si>
  <si>
    <t>Dhaval</t>
  </si>
  <si>
    <t>Reena</t>
  </si>
  <si>
    <t>Sandeep</t>
  </si>
  <si>
    <t>Beena</t>
  </si>
  <si>
    <t>Hema</t>
  </si>
  <si>
    <t>Vishal</t>
  </si>
  <si>
    <t>Chirag</t>
  </si>
  <si>
    <t>Mehul</t>
  </si>
  <si>
    <t>Total Sales &gt;100000</t>
  </si>
  <si>
    <t>Prepaid Sales &gt;50000</t>
  </si>
  <si>
    <t>Commission &gt;3500</t>
  </si>
  <si>
    <t>Total Sales &lt;75000</t>
  </si>
  <si>
    <t>Month</t>
  </si>
  <si>
    <t>Subject</t>
  </si>
  <si>
    <t>Score</t>
  </si>
  <si>
    <t>February</t>
  </si>
  <si>
    <t>Elisa</t>
  </si>
  <si>
    <t>Sum of Score</t>
  </si>
  <si>
    <t>Grouped Subject</t>
  </si>
  <si>
    <t>Group1</t>
  </si>
  <si>
    <t>Group2</t>
  </si>
  <si>
    <t>Group3</t>
  </si>
  <si>
    <t>Fench</t>
  </si>
  <si>
    <t>Japanese</t>
  </si>
  <si>
    <t>Boa</t>
  </si>
  <si>
    <t>Zoro</t>
  </si>
  <si>
    <t>Itachi</t>
  </si>
  <si>
    <t>Luffy</t>
  </si>
  <si>
    <t>Nezuko</t>
  </si>
  <si>
    <t>January</t>
  </si>
  <si>
    <t>Average of Score</t>
  </si>
  <si>
    <t>March</t>
  </si>
  <si>
    <t>December</t>
  </si>
  <si>
    <t>English Total</t>
  </si>
  <si>
    <t>Fench Total</t>
  </si>
  <si>
    <t>Japanese Total</t>
  </si>
  <si>
    <t>Maths Total</t>
  </si>
  <si>
    <t>Bpl Mobile Services</t>
  </si>
  <si>
    <t>Mumbai</t>
  </si>
  <si>
    <t>Pune</t>
  </si>
  <si>
    <t>Perpaid</t>
  </si>
  <si>
    <t>Prpaid</t>
  </si>
  <si>
    <t>postpaid</t>
  </si>
  <si>
    <t xml:space="preserve">Pune </t>
  </si>
  <si>
    <t>Scenario Summary</t>
  </si>
  <si>
    <t>Current Values:</t>
  </si>
  <si>
    <t>Budget1</t>
  </si>
  <si>
    <t>Fuel Bills</t>
  </si>
  <si>
    <t>Phone Bill</t>
  </si>
  <si>
    <t>Created by softpro on 19-05-2022</t>
  </si>
  <si>
    <t>Changing Cells:</t>
  </si>
  <si>
    <t>$J$3</t>
  </si>
  <si>
    <t>$I$4</t>
  </si>
  <si>
    <t>$I$9</t>
  </si>
  <si>
    <t>Result Cells:</t>
  </si>
  <si>
    <t>$J$13</t>
  </si>
  <si>
    <t>Notes:  Current Values column represents values of changing cells at</t>
  </si>
  <si>
    <t>time Scenario Summary Report was created.  Changing cells for each</t>
  </si>
  <si>
    <t>scenario are highlighted in gray.</t>
  </si>
  <si>
    <t>The Family Budget</t>
  </si>
  <si>
    <t>Outgoings</t>
  </si>
  <si>
    <t>Income</t>
  </si>
  <si>
    <t>Mortgage</t>
  </si>
  <si>
    <t>Council Tax</t>
  </si>
  <si>
    <t>Crediy Cards</t>
  </si>
  <si>
    <t>Food</t>
  </si>
  <si>
    <t>Clothes</t>
  </si>
  <si>
    <t>Direct Debits</t>
  </si>
  <si>
    <t>Total Outgoings</t>
  </si>
  <si>
    <t>Income Left</t>
  </si>
  <si>
    <t>Salary</t>
  </si>
  <si>
    <t>Electricity</t>
  </si>
  <si>
    <t>$J$5</t>
  </si>
  <si>
    <t>$J$4</t>
  </si>
  <si>
    <t>$J$6</t>
  </si>
  <si>
    <t>$K$3</t>
  </si>
  <si>
    <t>$K$15</t>
  </si>
  <si>
    <t>Ajinkya Enterprises</t>
  </si>
  <si>
    <t>Expenses</t>
  </si>
  <si>
    <t>Petrol</t>
  </si>
  <si>
    <t>Telephone</t>
  </si>
  <si>
    <t>Printing &amp; Stationery</t>
  </si>
  <si>
    <t>Advertising</t>
  </si>
  <si>
    <t>Misellaneous</t>
  </si>
  <si>
    <t>Total Expenses</t>
  </si>
  <si>
    <t>Profit/Loss</t>
  </si>
  <si>
    <t>Sasmira Trading Pvt Ltd.</t>
  </si>
  <si>
    <t>Invioce no.</t>
  </si>
  <si>
    <t>Terms of Payment</t>
  </si>
  <si>
    <t>Unit Price(in RS.)</t>
  </si>
  <si>
    <t>COD</t>
  </si>
  <si>
    <t>15Days</t>
  </si>
  <si>
    <t>20Days</t>
  </si>
  <si>
    <t>25Days</t>
  </si>
  <si>
    <t>26Days</t>
  </si>
  <si>
    <t>30Days</t>
  </si>
  <si>
    <t>TYPE</t>
  </si>
  <si>
    <t>SELECT</t>
  </si>
  <si>
    <t>SEARCH</t>
  </si>
  <si>
    <t>Invoice No.</t>
  </si>
  <si>
    <t>Date</t>
  </si>
  <si>
    <t>Age(0)</t>
  </si>
  <si>
    <t>Birth</t>
  </si>
  <si>
    <t>3 Months</t>
  </si>
  <si>
    <t>6 Months</t>
  </si>
  <si>
    <t>9 Months</t>
  </si>
  <si>
    <t>1 Year</t>
  </si>
  <si>
    <t>Height(cm)</t>
  </si>
  <si>
    <t>9 mOnThS</t>
  </si>
  <si>
    <t>Commssion</t>
  </si>
  <si>
    <t>Commission Rate</t>
  </si>
  <si>
    <t>Marks</t>
  </si>
  <si>
    <t>A*</t>
  </si>
  <si>
    <t>Rajeev</t>
  </si>
  <si>
    <t>Office</t>
  </si>
  <si>
    <t>Malad</t>
  </si>
  <si>
    <t>Dadar</t>
  </si>
  <si>
    <t>Fort</t>
  </si>
  <si>
    <t>Thane</t>
  </si>
  <si>
    <t>QTR1Sales</t>
  </si>
  <si>
    <t>QTR2Sales</t>
  </si>
  <si>
    <t>QTR3Sales</t>
  </si>
  <si>
    <t>QTR4Sales</t>
  </si>
  <si>
    <t>Q1</t>
  </si>
  <si>
    <t>Q2</t>
  </si>
  <si>
    <t>Q3</t>
  </si>
  <si>
    <t>Q4</t>
  </si>
  <si>
    <t>Emp No.</t>
  </si>
  <si>
    <t>Experience</t>
  </si>
  <si>
    <t>Annual Salary</t>
  </si>
  <si>
    <t>Bonus</t>
  </si>
  <si>
    <t>Sunil</t>
  </si>
  <si>
    <t>ram</t>
  </si>
  <si>
    <t>Priya</t>
  </si>
  <si>
    <t>Anita</t>
  </si>
  <si>
    <t>Roy</t>
  </si>
  <si>
    <t>Edwin</t>
  </si>
  <si>
    <t>Sean</t>
  </si>
  <si>
    <t>Sunita</t>
  </si>
  <si>
    <t>John</t>
  </si>
  <si>
    <t>Ramesh</t>
  </si>
  <si>
    <t>Retirement Years</t>
  </si>
  <si>
    <t>Age Today</t>
  </si>
  <si>
    <t>Age At Retirement</t>
  </si>
  <si>
    <t>Years to Retirement</t>
  </si>
  <si>
    <t>Day</t>
  </si>
  <si>
    <t>Arrive</t>
  </si>
  <si>
    <t>Lunch Out</t>
  </si>
  <si>
    <t>Lunch In</t>
  </si>
  <si>
    <t>Depart</t>
  </si>
  <si>
    <t>Mon</t>
  </si>
  <si>
    <t>Tue</t>
  </si>
  <si>
    <t>Wed</t>
  </si>
  <si>
    <t>Thu</t>
  </si>
  <si>
    <t>Fri</t>
  </si>
  <si>
    <t>Sat</t>
  </si>
  <si>
    <t>SUNDAY</t>
  </si>
  <si>
    <t>MONDAY</t>
  </si>
  <si>
    <t>TUESDAY</t>
  </si>
  <si>
    <t>WEDNESDAY</t>
  </si>
  <si>
    <t>THURSDAY</t>
  </si>
  <si>
    <t>FRIDAY</t>
  </si>
  <si>
    <t>SATURDAY</t>
  </si>
  <si>
    <t>Joe</t>
  </si>
  <si>
    <t>Apples</t>
  </si>
  <si>
    <t>Chris</t>
  </si>
  <si>
    <t>Oranges</t>
  </si>
  <si>
    <t>Bananas</t>
  </si>
  <si>
    <t>Charlie</t>
  </si>
  <si>
    <t>April</t>
  </si>
  <si>
    <t>Bob</t>
  </si>
  <si>
    <t>Old Salary</t>
  </si>
  <si>
    <t>Increase</t>
  </si>
  <si>
    <t>Alan</t>
  </si>
  <si>
    <t>Carol</t>
  </si>
  <si>
    <t>David</t>
  </si>
  <si>
    <t>Elaine</t>
  </si>
  <si>
    <t>Frank</t>
  </si>
  <si>
    <t>%Rise</t>
  </si>
  <si>
    <t>carol</t>
  </si>
  <si>
    <t>eric</t>
  </si>
  <si>
    <t>Francis</t>
  </si>
  <si>
    <t>Gail</t>
  </si>
  <si>
    <t>francis</t>
  </si>
  <si>
    <t>JAN</t>
  </si>
  <si>
    <t>FEB</t>
  </si>
  <si>
    <t>MAR</t>
  </si>
  <si>
    <t>Income Is</t>
  </si>
  <si>
    <t>Tax Rate</t>
  </si>
  <si>
    <t>INCOME</t>
  </si>
  <si>
    <t>TAX RATE</t>
  </si>
  <si>
    <t>Original Text</t>
  </si>
  <si>
    <t>Trimmed Text</t>
  </si>
  <si>
    <t>Books   are   there  in the liabrary</t>
  </si>
  <si>
    <t>Magazines   are    all   over the house</t>
  </si>
  <si>
    <t>Notebooks    are in the    shop</t>
  </si>
  <si>
    <t>Pens are not    working so    buy new</t>
  </si>
  <si>
    <t>Lower Case Text</t>
  </si>
  <si>
    <t>Uppercase Text</t>
  </si>
  <si>
    <t>shah rukh khan</t>
  </si>
  <si>
    <t>bill gates</t>
  </si>
  <si>
    <t>rahul gamdhi</t>
  </si>
  <si>
    <t>kajal singhania</t>
  </si>
  <si>
    <t>UpperCase Text</t>
  </si>
  <si>
    <t>Lowercase Text</t>
  </si>
  <si>
    <t>SHAH RUKH KHAN</t>
  </si>
  <si>
    <t>BILL GATES</t>
  </si>
  <si>
    <t>RAHUL GANDHI</t>
  </si>
  <si>
    <t>KAJAL SINGHANIA</t>
  </si>
  <si>
    <t>Text</t>
  </si>
  <si>
    <t>Proper Text</t>
  </si>
  <si>
    <t>tit for tat</t>
  </si>
  <si>
    <t>honesty is the best policy</t>
  </si>
  <si>
    <t>silence is golden</t>
  </si>
  <si>
    <t>Number</t>
  </si>
  <si>
    <t>ROMAN</t>
  </si>
  <si>
    <t>Arabic</t>
  </si>
  <si>
    <t>Order No.</t>
  </si>
  <si>
    <t>Cost</t>
  </si>
  <si>
    <t>Payment Type</t>
  </si>
  <si>
    <t>Handling Charges</t>
  </si>
  <si>
    <t>AB001</t>
  </si>
  <si>
    <t>Cash</t>
  </si>
  <si>
    <t>AB002</t>
  </si>
  <si>
    <t>Visa</t>
  </si>
  <si>
    <t>AB003</t>
  </si>
  <si>
    <t>Cheque</t>
  </si>
  <si>
    <t>AB004</t>
  </si>
  <si>
    <t>Mastercard</t>
  </si>
  <si>
    <t>AB005</t>
  </si>
  <si>
    <t>AB006</t>
  </si>
  <si>
    <t>AB007</t>
  </si>
  <si>
    <t>AB008</t>
  </si>
  <si>
    <t>Poewr</t>
  </si>
  <si>
    <t>Power</t>
  </si>
  <si>
    <t>Athlete</t>
  </si>
  <si>
    <t>Time</t>
  </si>
  <si>
    <t>Race Position</t>
  </si>
  <si>
    <t>Brian</t>
  </si>
  <si>
    <t>Sue</t>
  </si>
  <si>
    <t>Alex</t>
  </si>
  <si>
    <t>ABC Construction Pvt Ltd.</t>
  </si>
  <si>
    <t>Project Mumbai-Pune Expressway</t>
  </si>
  <si>
    <t>Enddate</t>
  </si>
  <si>
    <t>Months Taken</t>
  </si>
  <si>
    <t>Phase 1</t>
  </si>
  <si>
    <t>Phase2</t>
  </si>
  <si>
    <t>Phase3</t>
  </si>
  <si>
    <t>Phase4</t>
  </si>
  <si>
    <t>Phase5</t>
  </si>
  <si>
    <t>Phase6</t>
  </si>
  <si>
    <t>Years:</t>
  </si>
  <si>
    <t>Birth Date:</t>
  </si>
  <si>
    <t>Years Lived:</t>
  </si>
  <si>
    <t>and The Months:</t>
  </si>
  <si>
    <t>and the Days:</t>
  </si>
  <si>
    <t>Interest</t>
  </si>
  <si>
    <t>Number of periods</t>
  </si>
  <si>
    <t>Loan amount</t>
  </si>
  <si>
    <t>Number of Payment</t>
  </si>
  <si>
    <t>PMT</t>
  </si>
  <si>
    <t>IPMT</t>
  </si>
  <si>
    <t>PPMT</t>
  </si>
  <si>
    <t>Cabbages</t>
  </si>
  <si>
    <t>Carrots</t>
  </si>
  <si>
    <t>Radishes</t>
  </si>
  <si>
    <t>Production</t>
  </si>
  <si>
    <t>Quality check [Loss of 5%]</t>
  </si>
  <si>
    <t>Items left after passing quality check 1</t>
  </si>
  <si>
    <t>Quality check[Loss of 2%]</t>
  </si>
  <si>
    <t>Items that meet customer quality standards</t>
  </si>
  <si>
    <t>Item</t>
  </si>
  <si>
    <t>Quantity</t>
  </si>
  <si>
    <t>Price in $</t>
  </si>
  <si>
    <t>Printer</t>
  </si>
  <si>
    <t>Pen</t>
  </si>
  <si>
    <t>Mousepad</t>
  </si>
  <si>
    <t>Joystick</t>
  </si>
  <si>
    <t>Flat Screen</t>
  </si>
  <si>
    <t>PC</t>
  </si>
  <si>
    <t>Total Inventory Value</t>
  </si>
  <si>
    <t>Year</t>
  </si>
  <si>
    <t>"Size of sales team"</t>
  </si>
  <si>
    <t>known performance"</t>
  </si>
  <si>
    <t>Size of the new sales team:</t>
  </si>
  <si>
    <t>Estimated forecast of performance:</t>
  </si>
  <si>
    <t>Gingerbread</t>
  </si>
  <si>
    <t>Lemon</t>
  </si>
  <si>
    <t>Oatmeal Raisin</t>
  </si>
  <si>
    <t>Chocolate Chip</t>
  </si>
  <si>
    <t>Monday</t>
  </si>
  <si>
    <t>Tuesday</t>
  </si>
  <si>
    <t>Wednesday</t>
  </si>
  <si>
    <t>Thursday</t>
  </si>
  <si>
    <t>Friday</t>
  </si>
  <si>
    <t>Saturday</t>
  </si>
  <si>
    <t>Sunday</t>
  </si>
  <si>
    <t>AVERAGEA</t>
  </si>
  <si>
    <t>Title</t>
  </si>
  <si>
    <t>First name</t>
  </si>
  <si>
    <t>Last name</t>
  </si>
  <si>
    <t>Address</t>
  </si>
  <si>
    <t>State</t>
  </si>
  <si>
    <t>Job Classification</t>
  </si>
  <si>
    <t>Average salary</t>
  </si>
  <si>
    <t>Tax bracket</t>
  </si>
  <si>
    <t>Ms</t>
  </si>
  <si>
    <t>Kyle</t>
  </si>
  <si>
    <t>Wilson</t>
  </si>
  <si>
    <t>8 Highland Ridge</t>
  </si>
  <si>
    <t>Houston</t>
  </si>
  <si>
    <t>Texas</t>
  </si>
  <si>
    <t>Admin</t>
  </si>
  <si>
    <t>Mrs</t>
  </si>
  <si>
    <t>Seifer</t>
  </si>
  <si>
    <t>29 Ella Street</t>
  </si>
  <si>
    <t>Office staff</t>
  </si>
  <si>
    <t>Skib</t>
  </si>
  <si>
    <t>97 East well</t>
  </si>
  <si>
    <t>Spring</t>
  </si>
  <si>
    <t>Management</t>
  </si>
  <si>
    <t>Betsey</t>
  </si>
  <si>
    <t>Wald</t>
  </si>
  <si>
    <t>Vista valley</t>
  </si>
  <si>
    <t>Greg</t>
  </si>
  <si>
    <t>Nuss</t>
  </si>
  <si>
    <t>19 Happy circle</t>
  </si>
  <si>
    <t>Brunswick</t>
  </si>
  <si>
    <t>New Jersey</t>
  </si>
  <si>
    <t>Ellen</t>
  </si>
  <si>
    <t>Rowel</t>
  </si>
  <si>
    <t>73 Hyland park</t>
  </si>
  <si>
    <t>Edison</t>
  </si>
  <si>
    <t>Johnson</t>
  </si>
  <si>
    <t>203,Lone river</t>
  </si>
  <si>
    <t>Gwen</t>
  </si>
  <si>
    <t>Stephens</t>
  </si>
  <si>
    <t>66 Wind circle</t>
  </si>
  <si>
    <t>Eugel</t>
  </si>
  <si>
    <t>East Boulevard</t>
  </si>
  <si>
    <t>Jane</t>
  </si>
  <si>
    <t>Stella</t>
  </si>
  <si>
    <t>4 Tuscon way</t>
  </si>
  <si>
    <t>Mr</t>
  </si>
  <si>
    <t>Rhyder</t>
  </si>
  <si>
    <t>Ontario street</t>
  </si>
  <si>
    <t>Max</t>
  </si>
  <si>
    <t>Meduim 35</t>
  </si>
  <si>
    <t>Low 25</t>
  </si>
  <si>
    <t>High 45</t>
  </si>
  <si>
    <t>spring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</si>
</sst>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[$-F400]h:mm:ss\ AM/PM"/>
    <numFmt numFmtId="165" formatCode="_(* #,##0.00_);_(* \(#,##0.00\);_(* &quot;-&quot;??_);_(@_)"/>
    <numFmt numFmtId="166" formatCode="_(* #,##0_);_(* \(#,##0\);_(* &quot;-&quot;??_);_(@_)"/>
    <numFmt numFmtId="167" formatCode="&quot;$&quot;#,##0"/>
    <numFmt numFmtId="168" formatCode="_(&quot;$&quot;* #,##0.00_);_(&quot;$&quot;* \(#,##0.00\);_(&quot;$&quot;* &quot;-&quot;??_);_(@_)"/>
    <numFmt numFmtId="169" formatCode="&quot;$&quot;#,##0.00"/>
    <numFmt numFmtId="170" formatCode="[$₹-4009]\ #,##0"/>
    <numFmt numFmtId="171" formatCode="0.0"/>
    <numFmt numFmtId="172" formatCode="[$₹-4009]\ #,##0.00;[Red][$₹-4009]\ \-#,##0.00"/>
  </numFmts>
  <fonts count="45">
    <font>
      <sz val="11.0"/>
      <color theme="1"/>
      <name val="Calibri"/>
      <scheme val="minor"/>
    </font>
    <font>
      <sz val="11.0"/>
      <color theme="0"/>
      <name val="Calibri"/>
    </font>
    <font>
      <sz val="11.0"/>
      <color theme="1"/>
      <name val="Calibri"/>
    </font>
    <font>
      <sz val="11.0"/>
      <color rgb="FF000000"/>
      <name val="Calibri"/>
    </font>
    <font>
      <b/>
      <sz val="12.0"/>
      <color theme="1"/>
      <name val="Calibri"/>
    </font>
    <font>
      <sz val="11.0"/>
      <color rgb="FFFA7D00"/>
      <name val="Calibri"/>
    </font>
    <font>
      <b/>
      <sz val="11.0"/>
      <color theme="1"/>
      <name val="Calibri"/>
    </font>
    <font>
      <b/>
      <sz val="11.0"/>
      <color theme="0"/>
      <name val="Calibri"/>
    </font>
    <font>
      <sz val="11.0"/>
      <color rgb="FF9C0006"/>
      <name val="Calibri"/>
    </font>
    <font>
      <sz val="11.0"/>
      <color rgb="FF006100"/>
      <name val="Calibri"/>
    </font>
    <font>
      <b/>
      <sz val="12.0"/>
      <color rgb="FF0C0C0C"/>
      <name val="Gloucester mt extra condensed"/>
    </font>
    <font>
      <sz val="11.0"/>
      <color rgb="FF0C0C0C"/>
      <name val="Dfmincho-su"/>
    </font>
    <font>
      <sz val="12.0"/>
      <color rgb="FF0C0C0C"/>
      <name val="Lustria"/>
    </font>
    <font>
      <sz val="11.0"/>
      <color rgb="FF0C0C0C"/>
      <name val="Calibri"/>
    </font>
    <font>
      <b/>
      <sz val="14.0"/>
      <color theme="1"/>
      <name val="Calibri"/>
    </font>
    <font>
      <color theme="1"/>
      <name val="Calibri"/>
      <scheme val="minor"/>
    </font>
    <font>
      <u/>
      <sz val="11.0"/>
      <color theme="1"/>
      <name val="Calibri"/>
    </font>
    <font>
      <b/>
      <sz val="16.0"/>
      <color theme="1"/>
      <name val="Arial"/>
    </font>
    <font>
      <sz val="11.0"/>
      <color rgb="FF3F3F76"/>
      <name val="Calibri"/>
    </font>
    <font>
      <sz val="11.0"/>
      <color rgb="FFFF0000"/>
      <name val="Calibri"/>
    </font>
    <font>
      <sz val="18.0"/>
      <color rgb="FF44546A"/>
      <name val="Calibri"/>
    </font>
    <font>
      <b/>
      <sz val="16.0"/>
      <color theme="0"/>
      <name val="Arial"/>
    </font>
    <font>
      <b/>
      <sz val="14.0"/>
      <color theme="1"/>
      <name val="Arial"/>
    </font>
    <font>
      <sz val="14.0"/>
      <color theme="1"/>
      <name val="Arial"/>
    </font>
    <font>
      <b/>
      <u/>
      <sz val="14.0"/>
      <color theme="1"/>
      <name val="Arial"/>
    </font>
    <font>
      <sz val="14.0"/>
      <color rgb="FFFF0000"/>
      <name val="Arial"/>
    </font>
    <font>
      <sz val="14.0"/>
      <color rgb="FF2E75B5"/>
      <name val="Arial"/>
    </font>
    <font>
      <sz val="14.0"/>
      <color rgb="FF548135"/>
      <name val="Arial"/>
    </font>
    <font>
      <b/>
      <i/>
      <u/>
      <sz val="24.0"/>
      <color rgb="FFFF3399"/>
      <name val="Times New Roman"/>
    </font>
    <font>
      <b/>
      <i/>
      <sz val="24.0"/>
      <color theme="1"/>
      <name val="Times New Roman"/>
    </font>
    <font>
      <sz val="16.0"/>
      <color theme="1"/>
      <name val="Calibri"/>
    </font>
    <font>
      <sz val="16.0"/>
      <color theme="1"/>
      <name val="Arial"/>
    </font>
    <font>
      <sz val="14.0"/>
      <color theme="1"/>
      <name val="Calibri"/>
    </font>
    <font>
      <b/>
      <sz val="12.0"/>
      <color theme="1"/>
      <name val="Arial"/>
    </font>
    <font>
      <sz val="12.0"/>
      <color theme="1"/>
      <name val="Arial"/>
    </font>
    <font>
      <sz val="12.0"/>
      <color theme="1"/>
      <name val="Calibri"/>
    </font>
    <font>
      <b/>
      <sz val="12.0"/>
      <color rgb="FFFFFFFF"/>
      <name val="Calibri"/>
    </font>
    <font>
      <sz val="10.0"/>
      <color rgb="FFFFFFFF"/>
      <name val="Calibri"/>
    </font>
    <font>
      <b/>
      <sz val="11.0"/>
      <color rgb="FF000000"/>
      <name val="Calibri"/>
    </font>
    <font>
      <sz val="8.0"/>
      <color theme="1"/>
      <name val="Calibri"/>
    </font>
    <font>
      <b/>
      <sz val="11.0"/>
      <color rgb="FF000080"/>
      <name val="Calibri"/>
    </font>
    <font>
      <b/>
      <sz val="18.0"/>
      <color theme="1"/>
      <name val="Arial"/>
    </font>
    <font>
      <b/>
      <u/>
      <sz val="16.0"/>
      <color theme="1"/>
      <name val="Arial"/>
    </font>
    <font>
      <sz val="11.0"/>
      <color theme="1"/>
      <name val="Arial"/>
    </font>
    <font>
      <b/>
      <sz val="16.0"/>
      <color theme="1"/>
      <name val="Calibri"/>
    </font>
  </fonts>
  <fills count="26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rgb="FFBDD6EE"/>
        <bgColor rgb="FFBDD6EE"/>
      </patternFill>
    </fill>
    <fill>
      <patternFill patternType="solid">
        <fgColor rgb="FFDEEAF6"/>
        <bgColor rgb="FFDEEAF6"/>
      </patternFill>
    </fill>
    <fill>
      <patternFill patternType="solid">
        <fgColor rgb="FFFFFFCC"/>
        <bgColor rgb="FFFFFFCC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theme="6"/>
        <bgColor theme="6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F7CAAC"/>
        <bgColor rgb="FFF7CAAC"/>
      </patternFill>
    </fill>
    <fill>
      <patternFill patternType="solid">
        <fgColor rgb="FFD9E2F3"/>
        <bgColor rgb="FFD9E2F3"/>
      </patternFill>
    </fill>
    <fill>
      <patternFill patternType="solid">
        <fgColor rgb="FFA5A5A5"/>
        <bgColor rgb="FFA5A5A5"/>
      </patternFill>
    </fill>
    <fill>
      <patternFill patternType="solid">
        <fgColor rgb="FF8EAADB"/>
        <bgColor rgb="FF8EAADB"/>
      </patternFill>
    </fill>
    <fill>
      <patternFill patternType="solid">
        <fgColor rgb="FFFFD965"/>
        <bgColor rgb="FFFFD965"/>
      </patternFill>
    </fill>
    <fill>
      <patternFill patternType="solid">
        <fgColor theme="4"/>
        <bgColor theme="4"/>
      </patternFill>
    </fill>
    <fill>
      <patternFill patternType="solid">
        <fgColor theme="7"/>
        <bgColor theme="7"/>
      </patternFill>
    </fill>
    <fill>
      <patternFill patternType="solid">
        <fgColor theme="9"/>
        <bgColor theme="9"/>
      </patternFill>
    </fill>
    <fill>
      <patternFill patternType="solid">
        <fgColor rgb="FFFFCC99"/>
        <bgColor rgb="FFFFCC99"/>
      </patternFill>
    </fill>
    <fill>
      <patternFill patternType="solid">
        <fgColor rgb="FFE2EFD9"/>
        <bgColor rgb="FFE2EFD9"/>
      </patternFill>
    </fill>
    <fill>
      <patternFill patternType="solid">
        <fgColor rgb="FFC8C8C8"/>
        <bgColor rgb="FFC8C8C8"/>
      </patternFill>
    </fill>
    <fill>
      <patternFill patternType="solid">
        <fgColor theme="0"/>
        <bgColor theme="0"/>
      </patternFill>
    </fill>
    <fill>
      <patternFill patternType="solid">
        <fgColor rgb="FF800080"/>
        <bgColor rgb="FF800080"/>
      </patternFill>
    </fill>
    <fill>
      <patternFill patternType="solid">
        <fgColor rgb="FFC0C0C0"/>
        <bgColor rgb="FFC0C0C0"/>
      </patternFill>
    </fill>
    <fill>
      <patternFill patternType="solid">
        <fgColor rgb="FF99FFCC"/>
        <bgColor rgb="FF99FFCC"/>
      </patternFill>
    </fill>
  </fills>
  <borders count="22">
    <border/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bottom style="double">
        <color rgb="FFFF800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left style="thin">
        <color theme="0"/>
      </left>
      <right style="thin">
        <color theme="0"/>
      </right>
      <top style="thin">
        <color theme="0"/>
      </top>
    </border>
    <border>
      <left style="thin">
        <color rgb="FF1F3864"/>
      </left>
      <right style="thin">
        <color rgb="FF1F3864"/>
      </right>
      <top style="thin">
        <color rgb="FF1F3864"/>
      </top>
      <bottom style="thin">
        <color rgb="FF1F3864"/>
      </bottom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</border>
    <border>
      <left/>
      <right/>
      <top style="medium">
        <color rgb="FF000000"/>
      </top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/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4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1" xfId="0" applyFont="1" applyNumberFormat="1"/>
    <xf borderId="1" fillId="3" fontId="2" numFmtId="0" xfId="0" applyBorder="1" applyFill="1" applyFont="1"/>
    <xf borderId="1" fillId="3" fontId="2" numFmtId="2" xfId="0" applyBorder="1" applyFont="1" applyNumberFormat="1"/>
    <xf borderId="0" fillId="0" fontId="2" numFmtId="0" xfId="0" applyFont="1"/>
    <xf borderId="1" fillId="4" fontId="2" numFmtId="0" xfId="0" applyBorder="1" applyFill="1" applyFont="1"/>
    <xf borderId="1" fillId="4" fontId="2" numFmtId="2" xfId="0" applyBorder="1" applyFont="1" applyNumberFormat="1"/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2" numFmtId="164" xfId="0" applyFont="1" applyNumberFormat="1"/>
    <xf borderId="0" fillId="0" fontId="2" numFmtId="165" xfId="0" applyFont="1" applyNumberFormat="1"/>
    <xf borderId="0" fillId="0" fontId="2" numFmtId="14" xfId="0" applyFont="1" applyNumberFormat="1"/>
    <xf borderId="0" fillId="0" fontId="2" numFmtId="18" xfId="0" applyFont="1" applyNumberFormat="1"/>
    <xf borderId="0" fillId="0" fontId="2" numFmtId="11" xfId="0" applyFont="1" applyNumberFormat="1"/>
    <xf borderId="0" fillId="0" fontId="2" numFmtId="12" xfId="0" applyFont="1" applyNumberFormat="1"/>
    <xf borderId="0" fillId="0" fontId="3" numFmtId="0" xfId="0" applyAlignment="1" applyFont="1">
      <alignment horizontal="left"/>
    </xf>
    <xf borderId="0" fillId="0" fontId="3" numFmtId="12" xfId="0" applyAlignment="1" applyFont="1" applyNumberFormat="1">
      <alignment horizontal="center"/>
    </xf>
    <xf borderId="0" fillId="0" fontId="2" numFmtId="166" xfId="0" applyFont="1" applyNumberFormat="1"/>
    <xf borderId="0" fillId="0" fontId="3" numFmtId="12" xfId="0" applyAlignment="1" applyFont="1" applyNumberFormat="1">
      <alignment horizontal="left"/>
    </xf>
    <xf borderId="2" fillId="5" fontId="4" numFmtId="0" xfId="0" applyBorder="1" applyFill="1" applyFont="1"/>
    <xf borderId="3" fillId="0" fontId="5" numFmtId="0" xfId="0" applyAlignment="1" applyBorder="1" applyFont="1">
      <alignment horizontal="center" vertical="center"/>
    </xf>
    <xf borderId="1" fillId="6" fontId="2" numFmtId="0" xfId="0" applyAlignment="1" applyBorder="1" applyFill="1" applyFont="1">
      <alignment horizontal="center" vertical="center"/>
    </xf>
    <xf borderId="1" fillId="7" fontId="6" numFmtId="167" xfId="0" applyBorder="1" applyFill="1" applyFont="1" applyNumberFormat="1"/>
    <xf borderId="1" fillId="8" fontId="7" numFmtId="167" xfId="0" applyBorder="1" applyFill="1" applyFont="1" applyNumberFormat="1"/>
    <xf borderId="1" fillId="9" fontId="8" numFmtId="0" xfId="0" applyBorder="1" applyFill="1" applyFont="1"/>
    <xf borderId="1" fillId="10" fontId="9" numFmtId="0" xfId="0" applyBorder="1" applyFill="1" applyFont="1"/>
    <xf borderId="1" fillId="7" fontId="2" numFmtId="0" xfId="0" applyBorder="1" applyFont="1"/>
    <xf borderId="4" fillId="11" fontId="10" numFmtId="0" xfId="0" applyBorder="1" applyFill="1" applyFont="1"/>
    <xf borderId="4" fillId="11" fontId="11" numFmtId="0" xfId="0" applyBorder="1" applyFont="1"/>
    <xf borderId="4" fillId="11" fontId="12" numFmtId="0" xfId="0" applyBorder="1" applyFont="1"/>
    <xf borderId="4" fillId="11" fontId="13" numFmtId="0" xfId="0" applyBorder="1" applyFont="1"/>
    <xf borderId="0" fillId="0" fontId="14" numFmtId="0" xfId="0" applyAlignment="1" applyFont="1">
      <alignment horizontal="center"/>
    </xf>
    <xf borderId="0" fillId="0" fontId="15" numFmtId="0" xfId="0" applyFont="1"/>
    <xf borderId="0" fillId="0" fontId="6" numFmtId="0" xfId="0" applyAlignment="1" applyFont="1">
      <alignment horizontal="left"/>
    </xf>
    <xf borderId="0" fillId="0" fontId="16" numFmtId="0" xfId="0" applyFont="1"/>
    <xf borderId="0" fillId="0" fontId="2" numFmtId="0" xfId="0" applyAlignment="1" applyFont="1">
      <alignment horizontal="left"/>
    </xf>
    <xf borderId="0" fillId="0" fontId="2" numFmtId="168" xfId="0" applyFont="1" applyNumberFormat="1"/>
    <xf borderId="0" fillId="0" fontId="2" numFmtId="2" xfId="0" applyFont="1" applyNumberFormat="1"/>
    <xf borderId="0" fillId="0" fontId="2" numFmtId="169" xfId="0" applyFont="1" applyNumberFormat="1"/>
    <xf borderId="0" fillId="0" fontId="2" numFmtId="10" xfId="0" applyFont="1" applyNumberFormat="1"/>
    <xf borderId="4" fillId="6" fontId="17" numFmtId="0" xfId="0" applyBorder="1" applyFont="1"/>
    <xf borderId="4" fillId="6" fontId="2" numFmtId="0" xfId="0" applyBorder="1" applyFont="1"/>
    <xf borderId="4" fillId="6" fontId="17" numFmtId="9" xfId="0" applyBorder="1" applyFont="1" applyNumberFormat="1"/>
    <xf borderId="4" fillId="12" fontId="2" numFmtId="0" xfId="0" applyBorder="1" applyFill="1" applyFont="1"/>
    <xf borderId="5" fillId="13" fontId="6" numFmtId="0" xfId="0" applyBorder="1" applyFill="1" applyFont="1"/>
    <xf borderId="5" fillId="2" fontId="1" numFmtId="9" xfId="0" applyBorder="1" applyFont="1" applyNumberFormat="1"/>
    <xf borderId="0" fillId="0" fontId="17" numFmtId="0" xfId="0" applyFont="1"/>
    <xf borderId="4" fillId="11" fontId="2" numFmtId="0" xfId="0" applyBorder="1" applyFont="1"/>
    <xf borderId="4" fillId="11" fontId="2" numFmtId="0" xfId="0" applyAlignment="1" applyBorder="1" applyFont="1">
      <alignment horizontal="center"/>
    </xf>
    <xf borderId="4" fillId="14" fontId="2" numFmtId="166" xfId="0" applyBorder="1" applyFill="1" applyFont="1" applyNumberFormat="1"/>
    <xf borderId="4" fillId="15" fontId="2" numFmtId="2" xfId="0" applyBorder="1" applyFill="1" applyFont="1" applyNumberFormat="1"/>
    <xf borderId="4" fillId="0" fontId="2" numFmtId="0" xfId="0" applyBorder="1" applyFont="1"/>
    <xf borderId="4" fillId="2" fontId="1" numFmtId="0" xfId="0" applyAlignment="1" applyBorder="1" applyFont="1">
      <alignment horizontal="center"/>
    </xf>
    <xf borderId="4" fillId="16" fontId="1" numFmtId="0" xfId="0" applyBorder="1" applyFill="1" applyFont="1"/>
    <xf borderId="4" fillId="8" fontId="1" numFmtId="0" xfId="0" applyBorder="1" applyFont="1"/>
    <xf borderId="4" fillId="17" fontId="1" numFmtId="0" xfId="0" applyBorder="1" applyFill="1" applyFont="1"/>
    <xf borderId="4" fillId="18" fontId="1" numFmtId="0" xfId="0" applyBorder="1" applyFill="1" applyFont="1"/>
    <xf borderId="4" fillId="9" fontId="8" numFmtId="0" xfId="0" applyBorder="1" applyFont="1"/>
    <xf borderId="6" fillId="19" fontId="18" numFmtId="0" xfId="0" applyBorder="1" applyFill="1" applyFont="1"/>
    <xf borderId="4" fillId="0" fontId="19" numFmtId="0" xfId="0" applyBorder="1" applyFont="1"/>
    <xf borderId="3" fillId="0" fontId="5" numFmtId="0" xfId="0" applyBorder="1" applyFont="1"/>
    <xf borderId="4" fillId="0" fontId="20" numFmtId="9" xfId="0" applyBorder="1" applyFont="1" applyNumberFormat="1"/>
    <xf borderId="4" fillId="0" fontId="20" numFmtId="0" xfId="0" applyBorder="1" applyFont="1"/>
    <xf borderId="7" fillId="18" fontId="21" numFmtId="0" xfId="0" applyBorder="1" applyFont="1"/>
    <xf borderId="8" fillId="18" fontId="21" numFmtId="0" xfId="0" applyBorder="1" applyFont="1"/>
    <xf borderId="7" fillId="7" fontId="2" numFmtId="0" xfId="0" applyBorder="1" applyFont="1"/>
    <xf borderId="8" fillId="7" fontId="2" numFmtId="0" xfId="0" applyBorder="1" applyFont="1"/>
    <xf borderId="7" fillId="20" fontId="2" numFmtId="0" xfId="0" applyBorder="1" applyFill="1" applyFont="1"/>
    <xf borderId="8" fillId="20" fontId="2" numFmtId="0" xfId="0" applyBorder="1" applyFont="1"/>
    <xf borderId="9" fillId="20" fontId="2" numFmtId="0" xfId="0" applyBorder="1" applyFont="1"/>
    <xf borderId="9" fillId="18" fontId="1" numFmtId="9" xfId="0" applyBorder="1" applyFont="1" applyNumberFormat="1"/>
    <xf borderId="4" fillId="20" fontId="2" numFmtId="0" xfId="0" applyBorder="1" applyFont="1"/>
    <xf borderId="0" fillId="0" fontId="22" numFmtId="0" xfId="0" applyFont="1"/>
    <xf borderId="0" fillId="0" fontId="17" numFmtId="0" xfId="0" applyAlignment="1" applyFont="1">
      <alignment horizontal="center"/>
    </xf>
    <xf borderId="0" fillId="0" fontId="23" numFmtId="0" xfId="0" applyAlignment="1" applyFont="1">
      <alignment horizontal="center"/>
    </xf>
    <xf borderId="0" fillId="0" fontId="22" numFmtId="0" xfId="0" applyAlignment="1" applyFont="1">
      <alignment horizontal="center"/>
    </xf>
    <xf borderId="0" fillId="0" fontId="24" numFmtId="0" xfId="0" applyAlignment="1" applyFont="1">
      <alignment horizontal="center"/>
    </xf>
    <xf borderId="0" fillId="0" fontId="23" numFmtId="0" xfId="0" applyFont="1"/>
    <xf borderId="4" fillId="0" fontId="17" numFmtId="0" xfId="0" applyAlignment="1" applyBorder="1" applyFont="1">
      <alignment horizontal="center"/>
    </xf>
    <xf borderId="4" fillId="0" fontId="23" numFmtId="0" xfId="0" applyAlignment="1" applyBorder="1" applyFont="1">
      <alignment horizontal="center"/>
    </xf>
    <xf borderId="4" fillId="0" fontId="17" numFmtId="0" xfId="0" applyBorder="1" applyFont="1"/>
    <xf borderId="4" fillId="0" fontId="23" numFmtId="14" xfId="0" applyAlignment="1" applyBorder="1" applyFont="1" applyNumberFormat="1">
      <alignment horizontal="center"/>
    </xf>
    <xf borderId="4" fillId="0" fontId="23" numFmtId="170" xfId="0" applyAlignment="1" applyBorder="1" applyFont="1" applyNumberFormat="1">
      <alignment horizontal="center"/>
    </xf>
    <xf borderId="1" fillId="21" fontId="17" numFmtId="0" xfId="0" applyAlignment="1" applyBorder="1" applyFill="1" applyFont="1">
      <alignment horizontal="center"/>
    </xf>
    <xf borderId="0" fillId="0" fontId="25" numFmtId="0" xfId="0" applyAlignment="1" applyFont="1">
      <alignment horizontal="center"/>
    </xf>
    <xf borderId="0" fillId="0" fontId="26" numFmtId="0" xfId="0" applyAlignment="1" applyFont="1">
      <alignment horizontal="center"/>
    </xf>
    <xf borderId="0" fillId="0" fontId="27" numFmtId="0" xfId="0" applyAlignment="1" applyFont="1">
      <alignment horizontal="center"/>
    </xf>
    <xf borderId="1" fillId="15" fontId="28" numFmtId="0" xfId="0" applyBorder="1" applyFont="1"/>
    <xf borderId="1" fillId="22" fontId="29" numFmtId="0" xfId="0" applyBorder="1" applyFill="1" applyFont="1"/>
    <xf borderId="0" fillId="0" fontId="30" numFmtId="0" xfId="0" applyAlignment="1" applyFont="1">
      <alignment horizontal="center"/>
    </xf>
    <xf borderId="0" fillId="0" fontId="31" numFmtId="0" xfId="0" applyAlignment="1" applyFont="1">
      <alignment horizontal="center"/>
    </xf>
    <xf borderId="0" fillId="0" fontId="30" numFmtId="0" xfId="0" applyFont="1"/>
    <xf borderId="4" fillId="0" fontId="22" numFmtId="0" xfId="0" applyBorder="1" applyFont="1"/>
    <xf borderId="4" fillId="0" fontId="2" numFmtId="0" xfId="0" applyAlignment="1" applyBorder="1" applyFont="1">
      <alignment horizontal="center"/>
    </xf>
    <xf borderId="10" fillId="0" fontId="2" numFmtId="0" xfId="0" applyAlignment="1" applyBorder="1" applyFont="1">
      <alignment horizontal="center"/>
    </xf>
    <xf borderId="10" fillId="0" fontId="2" numFmtId="0" xfId="0" applyBorder="1" applyFont="1"/>
    <xf borderId="11" fillId="0" fontId="2" numFmtId="0" xfId="0" applyAlignment="1" applyBorder="1" applyFont="1">
      <alignment horizontal="center"/>
    </xf>
    <xf borderId="11" fillId="0" fontId="2" numFmtId="0" xfId="0" applyBorder="1" applyFont="1"/>
    <xf borderId="12" fillId="0" fontId="2" numFmtId="0" xfId="0" applyAlignment="1" applyBorder="1" applyFont="1">
      <alignment horizontal="center"/>
    </xf>
    <xf borderId="12" fillId="0" fontId="2" numFmtId="0" xfId="0" applyBorder="1" applyFont="1"/>
    <xf borderId="11" fillId="0" fontId="2" numFmtId="0" xfId="0" applyAlignment="1" applyBorder="1" applyFont="1">
      <alignment horizontal="left"/>
    </xf>
    <xf borderId="0" fillId="0" fontId="32" numFmtId="0" xfId="0" applyFont="1"/>
    <xf borderId="0" fillId="0" fontId="33" numFmtId="0" xfId="0" applyAlignment="1" applyFont="1">
      <alignment horizontal="center"/>
    </xf>
    <xf borderId="13" fillId="0" fontId="34" numFmtId="0" xfId="0" applyAlignment="1" applyBorder="1" applyFont="1">
      <alignment horizontal="center"/>
    </xf>
    <xf borderId="0" fillId="0" fontId="34" numFmtId="0" xfId="0" applyAlignment="1" applyFont="1">
      <alignment horizontal="center"/>
    </xf>
    <xf borderId="0" fillId="0" fontId="35" numFmtId="0" xfId="0" applyAlignment="1" applyFont="1">
      <alignment horizontal="center"/>
    </xf>
    <xf borderId="14" fillId="0" fontId="34" numFmtId="0" xfId="0" applyAlignment="1" applyBorder="1" applyFont="1">
      <alignment horizontal="center"/>
    </xf>
    <xf borderId="15" fillId="23" fontId="36" numFmtId="0" xfId="0" applyAlignment="1" applyBorder="1" applyFill="1" applyFont="1">
      <alignment horizontal="left"/>
    </xf>
    <xf borderId="15" fillId="23" fontId="37" numFmtId="0" xfId="0" applyAlignment="1" applyBorder="1" applyFont="1">
      <alignment horizontal="right"/>
    </xf>
    <xf borderId="16" fillId="23" fontId="36" numFmtId="0" xfId="0" applyAlignment="1" applyBorder="1" applyFont="1">
      <alignment horizontal="left"/>
    </xf>
    <xf borderId="16" fillId="23" fontId="37" numFmtId="0" xfId="0" applyAlignment="1" applyBorder="1" applyFont="1">
      <alignment horizontal="right"/>
    </xf>
    <xf borderId="1" fillId="24" fontId="38" numFmtId="0" xfId="0" applyAlignment="1" applyBorder="1" applyFill="1" applyFont="1">
      <alignment horizontal="left"/>
    </xf>
    <xf borderId="0" fillId="0" fontId="39" numFmtId="0" xfId="0" applyAlignment="1" applyFont="1">
      <alignment shrinkToFit="0" vertical="top" wrapText="1"/>
    </xf>
    <xf borderId="17" fillId="24" fontId="40" numFmtId="0" xfId="0" applyAlignment="1" applyBorder="1" applyFont="1">
      <alignment horizontal="left"/>
    </xf>
    <xf borderId="18" fillId="0" fontId="2" numFmtId="0" xfId="0" applyBorder="1" applyFont="1"/>
    <xf borderId="1" fillId="24" fontId="2" numFmtId="0" xfId="0" applyBorder="1" applyFont="1"/>
    <xf borderId="19" fillId="24" fontId="38" numFmtId="0" xfId="0" applyAlignment="1" applyBorder="1" applyFont="1">
      <alignment horizontal="left"/>
    </xf>
    <xf borderId="20" fillId="0" fontId="2" numFmtId="0" xfId="0" applyBorder="1" applyFont="1"/>
    <xf borderId="0" fillId="0" fontId="41" numFmtId="0" xfId="0" applyFont="1"/>
    <xf borderId="0" fillId="0" fontId="42" numFmtId="0" xfId="0" applyAlignment="1" applyFont="1">
      <alignment horizontal="left"/>
    </xf>
    <xf borderId="0" fillId="0" fontId="43" numFmtId="0" xfId="0" applyFont="1"/>
    <xf borderId="0" fillId="0" fontId="23" numFmtId="0" xfId="0" applyAlignment="1" applyFont="1">
      <alignment horizontal="left"/>
    </xf>
    <xf borderId="0" fillId="0" fontId="44" numFmtId="0" xfId="0" applyFont="1"/>
    <xf borderId="4" fillId="0" fontId="23" numFmtId="14" xfId="0" applyBorder="1" applyFont="1" applyNumberFormat="1"/>
    <xf borderId="0" fillId="0" fontId="2" numFmtId="171" xfId="0" applyFont="1" applyNumberFormat="1"/>
    <xf borderId="0" fillId="0" fontId="15" numFmtId="171" xfId="0" applyFont="1" applyNumberFormat="1"/>
    <xf borderId="0" fillId="0" fontId="23" numFmtId="9" xfId="0" applyAlignment="1" applyFont="1" applyNumberFormat="1">
      <alignment horizontal="center"/>
    </xf>
    <xf borderId="4" fillId="0" fontId="23" numFmtId="0" xfId="0" applyAlignment="1" applyBorder="1" applyFont="1">
      <alignment horizontal="left"/>
    </xf>
    <xf borderId="4" fillId="0" fontId="22" numFmtId="0" xfId="0" applyAlignment="1" applyBorder="1" applyFont="1">
      <alignment horizontal="left"/>
    </xf>
    <xf borderId="4" fillId="0" fontId="23" numFmtId="168" xfId="0" applyAlignment="1" applyBorder="1" applyFont="1" applyNumberFormat="1">
      <alignment horizontal="center"/>
    </xf>
    <xf borderId="4" fillId="0" fontId="23" numFmtId="0" xfId="0" applyBorder="1" applyFont="1"/>
    <xf borderId="4" fillId="0" fontId="23" numFmtId="20" xfId="0" applyBorder="1" applyFont="1" applyNumberFormat="1"/>
    <xf borderId="4" fillId="0" fontId="23" numFmtId="9" xfId="0" applyAlignment="1" applyBorder="1" applyFont="1" applyNumberFormat="1">
      <alignment horizontal="center"/>
    </xf>
    <xf borderId="4" fillId="0" fontId="23" numFmtId="10" xfId="0" applyAlignment="1" applyBorder="1" applyFont="1" applyNumberFormat="1">
      <alignment horizontal="center"/>
    </xf>
    <xf borderId="21" fillId="0" fontId="17" numFmtId="0" xfId="0" applyBorder="1" applyFont="1"/>
    <xf borderId="0" fillId="0" fontId="23" numFmtId="9" xfId="0" applyFont="1" applyNumberFormat="1"/>
    <xf borderId="4" fillId="0" fontId="31" numFmtId="0" xfId="0" applyBorder="1" applyFont="1"/>
    <xf borderId="4" fillId="0" fontId="22" numFmtId="0" xfId="0" applyAlignment="1" applyBorder="1" applyFont="1">
      <alignment horizontal="center"/>
    </xf>
    <xf borderId="4" fillId="0" fontId="22" numFmtId="15" xfId="0" applyAlignment="1" applyBorder="1" applyFont="1" applyNumberFormat="1">
      <alignment horizontal="center"/>
    </xf>
    <xf borderId="4" fillId="0" fontId="23" numFmtId="10" xfId="0" applyBorder="1" applyFont="1" applyNumberFormat="1"/>
    <xf borderId="0" fillId="0" fontId="23" numFmtId="1" xfId="0" applyFont="1" applyNumberFormat="1"/>
    <xf borderId="0" fillId="0" fontId="23" numFmtId="172" xfId="0" applyFont="1" applyNumberFormat="1"/>
    <xf borderId="4" fillId="0" fontId="23" numFmtId="3" xfId="0" applyBorder="1" applyFont="1" applyNumberFormat="1"/>
    <xf borderId="4" fillId="0" fontId="23" numFmtId="1" xfId="0" applyBorder="1" applyFont="1" applyNumberFormat="1"/>
    <xf borderId="1" fillId="25" fontId="23" numFmtId="0" xfId="0" applyAlignment="1" applyBorder="1" applyFill="1" applyFont="1">
      <alignment horizontal="center"/>
    </xf>
  </cellXfs>
  <cellStyles count="1">
    <cellStyle xfId="0" name="Normal" builtinId="0"/>
  </cellStyles>
  <dxfs count="15">
    <dxf>
      <font/>
      <fill>
        <patternFill patternType="solid">
          <fgColor rgb="FFFF9933"/>
          <bgColor rgb="FFFF9933"/>
        </patternFill>
      </fill>
      <border/>
    </dxf>
    <dxf>
      <font/>
      <fill>
        <patternFill patternType="solid">
          <fgColor rgb="FFFFFF99"/>
          <bgColor rgb="FFFFFF99"/>
        </patternFill>
      </fill>
      <border/>
    </dxf>
    <dxf>
      <font/>
      <fill>
        <patternFill patternType="solid">
          <fgColor rgb="FF66FFFF"/>
          <bgColor rgb="FF66FFFF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6699"/>
          <bgColor rgb="FFFF6699"/>
        </patternFill>
      </fill>
      <border/>
    </dxf>
    <dxf>
      <font/>
      <fill>
        <patternFill patternType="solid">
          <fgColor rgb="FFE8B0B0"/>
          <bgColor rgb="FFE8B0B0"/>
        </patternFill>
      </fill>
      <border/>
    </dxf>
    <dxf>
      <font/>
      <fill>
        <patternFill patternType="solid">
          <fgColor rgb="FFE1B7CF"/>
          <bgColor rgb="FFE1B7CF"/>
        </patternFill>
      </fill>
      <border/>
    </dxf>
    <dxf>
      <font/>
      <fill>
        <patternFill patternType="solid">
          <fgColor rgb="FF99FFCC"/>
          <bgColor rgb="FF99FFCC"/>
        </patternFill>
      </fill>
      <border/>
    </dxf>
    <dxf>
      <font/>
      <fill>
        <patternFill patternType="solid">
          <fgColor rgb="FFCCCCFF"/>
          <bgColor rgb="FFCCCCFF"/>
        </patternFill>
      </fill>
      <border/>
    </dxf>
    <dxf>
      <font/>
      <fill>
        <patternFill patternType="solid">
          <fgColor rgb="FFFB4F4F"/>
          <bgColor rgb="FFFB4F4F"/>
        </patternFill>
      </fill>
      <border/>
    </dxf>
    <dxf>
      <font/>
      <fill>
        <patternFill patternType="solid">
          <fgColor rgb="FF87DFDD"/>
          <bgColor rgb="FF87DFDD"/>
        </patternFill>
      </fill>
      <border/>
    </dxf>
    <dxf>
      <font/>
      <fill>
        <patternFill patternType="solid">
          <fgColor rgb="FF00B0F0"/>
          <bgColor rgb="FF00B0F0"/>
        </patternFill>
      </fill>
      <border/>
    </dxf>
    <dxf>
      <font/>
      <fill>
        <patternFill patternType="solid">
          <fgColor rgb="FFBF9000"/>
          <bgColor rgb="FFBF9000"/>
        </patternFill>
      </fill>
      <border/>
    </dxf>
    <dxf>
      <font/>
      <fill>
        <patternFill patternType="solid">
          <fgColor rgb="FFFF99CC"/>
          <bgColor rgb="FFFF99CC"/>
        </patternFill>
      </fill>
      <border/>
    </dxf>
    <dxf>
      <font/>
      <fill>
        <patternFill patternType="solid">
          <fgColor rgb="FF99FF99"/>
          <bgColor rgb="FF99FF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5.xml"/><Relationship Id="rId42" Type="http://schemas.openxmlformats.org/officeDocument/2006/relationships/worksheet" Target="worksheets/sheet37.xml"/><Relationship Id="rId41" Type="http://schemas.openxmlformats.org/officeDocument/2006/relationships/worksheet" Target="worksheets/sheet36.xml"/><Relationship Id="rId44" Type="http://schemas.openxmlformats.org/officeDocument/2006/relationships/worksheet" Target="worksheets/sheet39.xml"/><Relationship Id="rId43" Type="http://schemas.openxmlformats.org/officeDocument/2006/relationships/worksheet" Target="worksheets/sheet38.xml"/><Relationship Id="rId46" Type="http://schemas.openxmlformats.org/officeDocument/2006/relationships/worksheet" Target="worksheets/sheet41.xml"/><Relationship Id="rId45" Type="http://schemas.openxmlformats.org/officeDocument/2006/relationships/worksheet" Target="worksheets/sheet4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3.xml"/><Relationship Id="rId47" Type="http://schemas.openxmlformats.org/officeDocument/2006/relationships/worksheet" Target="worksheets/sheet42.xml"/><Relationship Id="rId49" Type="http://schemas.openxmlformats.org/officeDocument/2006/relationships/worksheet" Target="worksheets/sheet4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73" Type="http://schemas.openxmlformats.org/officeDocument/2006/relationships/pivotCacheDefinition" Target="pivotCache/pivotCacheDefinition2.xml"/><Relationship Id="rId72" Type="http://schemas.openxmlformats.org/officeDocument/2006/relationships/pivotCacheDefinition" Target="pivotCache/pivotCacheDefinition1.xml"/><Relationship Id="rId31" Type="http://schemas.openxmlformats.org/officeDocument/2006/relationships/worksheet" Target="worksheets/sheet26.xml"/><Relationship Id="rId75" Type="http://schemas.openxmlformats.org/officeDocument/2006/relationships/pivotCacheDefinition" Target="pivotCache/pivotCacheDefinition4.xml"/><Relationship Id="rId30" Type="http://schemas.openxmlformats.org/officeDocument/2006/relationships/worksheet" Target="worksheets/sheet25.xml"/><Relationship Id="rId74" Type="http://schemas.openxmlformats.org/officeDocument/2006/relationships/pivotCacheDefinition" Target="pivotCache/pivotCacheDefinition3.xml"/><Relationship Id="rId33" Type="http://schemas.openxmlformats.org/officeDocument/2006/relationships/worksheet" Target="worksheets/sheet28.xml"/><Relationship Id="rId32" Type="http://schemas.openxmlformats.org/officeDocument/2006/relationships/worksheet" Target="worksheets/sheet27.xml"/><Relationship Id="rId35" Type="http://schemas.openxmlformats.org/officeDocument/2006/relationships/worksheet" Target="worksheets/sheet30.xml"/><Relationship Id="rId34" Type="http://schemas.openxmlformats.org/officeDocument/2006/relationships/worksheet" Target="worksheets/sheet29.xml"/><Relationship Id="rId71" Type="http://schemas.openxmlformats.org/officeDocument/2006/relationships/worksheet" Target="worksheets/sheet66.xml"/><Relationship Id="rId70" Type="http://schemas.openxmlformats.org/officeDocument/2006/relationships/worksheet" Target="worksheets/sheet65.xml"/><Relationship Id="rId37" Type="http://schemas.openxmlformats.org/officeDocument/2006/relationships/worksheet" Target="worksheets/sheet32.xml"/><Relationship Id="rId36" Type="http://schemas.openxmlformats.org/officeDocument/2006/relationships/worksheet" Target="worksheets/sheet31.xml"/><Relationship Id="rId39" Type="http://schemas.openxmlformats.org/officeDocument/2006/relationships/worksheet" Target="worksheets/sheet34.xml"/><Relationship Id="rId38" Type="http://schemas.openxmlformats.org/officeDocument/2006/relationships/worksheet" Target="worksheets/sheet33.xml"/><Relationship Id="rId62" Type="http://schemas.openxmlformats.org/officeDocument/2006/relationships/worksheet" Target="worksheets/sheet57.xml"/><Relationship Id="rId61" Type="http://schemas.openxmlformats.org/officeDocument/2006/relationships/worksheet" Target="worksheets/sheet56.xml"/><Relationship Id="rId20" Type="http://schemas.openxmlformats.org/officeDocument/2006/relationships/worksheet" Target="worksheets/sheet15.xml"/><Relationship Id="rId64" Type="http://schemas.openxmlformats.org/officeDocument/2006/relationships/worksheet" Target="worksheets/sheet59.xml"/><Relationship Id="rId63" Type="http://schemas.openxmlformats.org/officeDocument/2006/relationships/worksheet" Target="worksheets/sheet58.xml"/><Relationship Id="rId22" Type="http://schemas.openxmlformats.org/officeDocument/2006/relationships/worksheet" Target="worksheets/sheet17.xml"/><Relationship Id="rId66" Type="http://schemas.openxmlformats.org/officeDocument/2006/relationships/worksheet" Target="worksheets/sheet61.xml"/><Relationship Id="rId21" Type="http://schemas.openxmlformats.org/officeDocument/2006/relationships/worksheet" Target="worksheets/sheet16.xml"/><Relationship Id="rId65" Type="http://schemas.openxmlformats.org/officeDocument/2006/relationships/worksheet" Target="worksheets/sheet60.xml"/><Relationship Id="rId24" Type="http://schemas.openxmlformats.org/officeDocument/2006/relationships/worksheet" Target="worksheets/sheet19.xml"/><Relationship Id="rId68" Type="http://schemas.openxmlformats.org/officeDocument/2006/relationships/worksheet" Target="worksheets/sheet63.xml"/><Relationship Id="rId23" Type="http://schemas.openxmlformats.org/officeDocument/2006/relationships/worksheet" Target="worksheets/sheet18.xml"/><Relationship Id="rId67" Type="http://schemas.openxmlformats.org/officeDocument/2006/relationships/worksheet" Target="worksheets/sheet62.xml"/><Relationship Id="rId60" Type="http://schemas.openxmlformats.org/officeDocument/2006/relationships/worksheet" Target="worksheets/sheet55.xml"/><Relationship Id="rId26" Type="http://schemas.openxmlformats.org/officeDocument/2006/relationships/worksheet" Target="worksheets/sheet21.xml"/><Relationship Id="rId25" Type="http://schemas.openxmlformats.org/officeDocument/2006/relationships/worksheet" Target="worksheets/sheet20.xml"/><Relationship Id="rId69" Type="http://schemas.openxmlformats.org/officeDocument/2006/relationships/worksheet" Target="worksheets/sheet64.xml"/><Relationship Id="rId28" Type="http://schemas.openxmlformats.org/officeDocument/2006/relationships/worksheet" Target="worksheets/sheet23.xml"/><Relationship Id="rId27" Type="http://schemas.openxmlformats.org/officeDocument/2006/relationships/worksheet" Target="worksheets/sheet22.xml"/><Relationship Id="rId29" Type="http://schemas.openxmlformats.org/officeDocument/2006/relationships/worksheet" Target="worksheets/sheet24.xml"/><Relationship Id="rId51" Type="http://schemas.openxmlformats.org/officeDocument/2006/relationships/worksheet" Target="worksheets/sheet46.xml"/><Relationship Id="rId50" Type="http://schemas.openxmlformats.org/officeDocument/2006/relationships/worksheet" Target="worksheets/sheet45.xml"/><Relationship Id="rId53" Type="http://schemas.openxmlformats.org/officeDocument/2006/relationships/worksheet" Target="worksheets/sheet48.xml"/><Relationship Id="rId52" Type="http://schemas.openxmlformats.org/officeDocument/2006/relationships/worksheet" Target="worksheets/sheet47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0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49.xml"/><Relationship Id="rId13" Type="http://schemas.openxmlformats.org/officeDocument/2006/relationships/chartsheet" Target="chartsheets/sheet1.xml"/><Relationship Id="rId57" Type="http://schemas.openxmlformats.org/officeDocument/2006/relationships/worksheet" Target="worksheets/sheet52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1.xml"/><Relationship Id="rId15" Type="http://schemas.openxmlformats.org/officeDocument/2006/relationships/chartsheet" Target="chartsheets/sheet2.xml"/><Relationship Id="rId59" Type="http://schemas.openxmlformats.org/officeDocument/2006/relationships/worksheet" Target="worksheets/sheet54.xml"/><Relationship Id="rId14" Type="http://schemas.openxmlformats.org/officeDocument/2006/relationships/worksheet" Target="worksheets/sheet10.xml"/><Relationship Id="rId58" Type="http://schemas.openxmlformats.org/officeDocument/2006/relationships/worksheet" Target="worksheets/sheet53.xml"/><Relationship Id="rId17" Type="http://schemas.openxmlformats.org/officeDocument/2006/relationships/worksheet" Target="worksheets/sheet12.xml"/><Relationship Id="rId16" Type="http://schemas.openxmlformats.org/officeDocument/2006/relationships/worksheet" Target="worksheets/sheet11.xml"/><Relationship Id="rId19" Type="http://schemas.openxmlformats.org/officeDocument/2006/relationships/worksheet" Target="worksheets/sheet14.xml"/><Relationship Id="rId18" Type="http://schemas.openxmlformats.org/officeDocument/2006/relationships/worksheet" Target="worksheets/sheet1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chemeClr val="lt1"/>
                </a:solidFill>
                <a:latin typeface="+mn-lt"/>
              </a:defRPr>
            </a:pPr>
            <a:r>
              <a:rPr b="1" i="0" sz="1600">
                <a:solidFill>
                  <a:schemeClr val="lt1"/>
                </a:solidFill>
                <a:latin typeface="+mn-lt"/>
              </a:rPr>
              <a:t>PROTER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Software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Sheet6!$B$1:$E$1</c:f>
            </c:strRef>
          </c:cat>
          <c:val>
            <c:numRef>
              <c:f>Sheet6!$B$2:$E$2</c:f>
              <c:numCache/>
            </c:numRef>
          </c:val>
        </c:ser>
        <c:ser>
          <c:idx val="1"/>
          <c:order val="1"/>
          <c:tx>
            <c:v>Hardware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Sheet6!$B$1:$E$1</c:f>
            </c:strRef>
          </c:cat>
          <c:val>
            <c:numRef>
              <c:f>Sheet6!$B$3:$E$3</c:f>
              <c:numCache/>
            </c:numRef>
          </c:val>
        </c:ser>
        <c:ser>
          <c:idx val="2"/>
          <c:order val="2"/>
          <c:tx>
            <c:v>Floppy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Sheet6!$B$1:$E$1</c:f>
            </c:strRef>
          </c:cat>
          <c:val>
            <c:numRef>
              <c:f>Sheet6!$B$4:$E$4</c:f>
              <c:numCache/>
            </c:numRef>
          </c:val>
        </c:ser>
        <c:ser>
          <c:idx val="3"/>
          <c:order val="3"/>
          <c:tx>
            <c:v>Mouse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chemeClr val="accent4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Sheet6!$B$1:$E$1</c:f>
            </c:strRef>
          </c:cat>
          <c:val>
            <c:numRef>
              <c:f>Sheet6!$B$5:$E$5</c:f>
              <c:numCache/>
            </c:numRef>
          </c:val>
        </c:ser>
        <c:axId val="778642934"/>
        <c:axId val="1813364786"/>
      </c:barChart>
      <c:catAx>
        <c:axId val="7786429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1813364786"/>
      </c:catAx>
      <c:valAx>
        <c:axId val="18133647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778642934"/>
      </c:valAx>
    </c:plotArea>
    <c:legend>
      <c:legendPos val="b"/>
      <c:layout>
        <c:manualLayout>
          <c:xMode val="edge"/>
          <c:yMode val="edge"/>
          <c:x val="0.3387624660938865"/>
          <c:y val="0.9113260747305714"/>
        </c:manualLayout>
      </c:layout>
      <c:overlay val="0"/>
      <c:txPr>
        <a:bodyPr/>
        <a:lstStyle/>
        <a:p>
          <a:pPr lvl="0">
            <a:defRPr b="0" i="0" sz="900">
              <a:solidFill>
                <a:schemeClr val="lt1"/>
              </a:solidFill>
              <a:latin typeface="+mn-lt"/>
            </a:defRPr>
          </a:pPr>
        </a:p>
      </c:txPr>
    </c:legend>
    <c:plotVisOnly val="1"/>
  </c:chart>
  <c:spPr>
    <a:solidFill>
      <a:srgbClr val="361848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chemeClr val="lt1"/>
                </a:solidFill>
                <a:latin typeface="+mn-lt"/>
              </a:defRPr>
            </a:pPr>
            <a:r>
              <a:rPr b="1" i="0" sz="1600">
                <a:solidFill>
                  <a:schemeClr val="lt1"/>
                </a:solidFill>
                <a:latin typeface="+mn-lt"/>
              </a:rPr>
              <a:t>MONTHLY SALES REPORT FOR 1ST QUARTER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Jan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Sheet7!$A$2:$A$5</c:f>
            </c:strRef>
          </c:cat>
          <c:val>
            <c:numRef>
              <c:f>Sheet7!$B$2:$B$5</c:f>
              <c:numCache/>
            </c:numRef>
          </c:val>
        </c:ser>
        <c:ser>
          <c:idx val="1"/>
          <c:order val="1"/>
          <c:tx>
            <c:v>Feb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Sheet7!$A$2:$A$5</c:f>
            </c:strRef>
          </c:cat>
          <c:val>
            <c:numRef>
              <c:f>Sheet7!$C$2:$C$5</c:f>
              <c:numCache/>
            </c:numRef>
          </c:val>
        </c:ser>
        <c:ser>
          <c:idx val="2"/>
          <c:order val="2"/>
          <c:tx>
            <c:v>Mar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Sheet7!$A$2:$A$5</c:f>
            </c:strRef>
          </c:cat>
          <c:val>
            <c:numRef>
              <c:f>Sheet7!$D$2:$D$5</c:f>
              <c:numCache/>
            </c:numRef>
          </c:val>
        </c:ser>
        <c:axId val="853353555"/>
        <c:axId val="1889698646"/>
      </c:barChart>
      <c:catAx>
        <c:axId val="8533535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1889698646"/>
      </c:catAx>
      <c:valAx>
        <c:axId val="18896986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853353555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chemeClr val="lt1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'Pivot Table elisa &amp; mary'!$G$32</c:f>
            </c:strRef>
          </c:tx>
          <c:cat>
            <c:strRef>
              <c:f>'Pivot Table elisa &amp; mary'!$F$33:$F$48</c:f>
            </c:strRef>
          </c:cat>
          <c:val>
            <c:numRef>
              <c:f>'Pivot Table elisa &amp; mary'!$G$33:$G$48</c:f>
              <c:numCache/>
            </c:numRef>
          </c:val>
        </c:ser>
        <c:axId val="398355874"/>
        <c:axId val="507128167"/>
      </c:barChart>
      <c:catAx>
        <c:axId val="3983558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507128167"/>
      </c:catAx>
      <c:valAx>
        <c:axId val="507128167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398355874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chemeClr val="lt1"/>
              </a:solidFill>
              <a:latin typeface="+mn-lt"/>
            </a:defRPr>
          </a:pPr>
        </a:p>
      </c:txPr>
    </c:legend>
    <c:plotVisOnly val="1"/>
  </c:chart>
  <c:spPr>
    <a:solidFill>
      <a:schemeClr val="dk1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chemeClr val="lt1"/>
                </a:solidFill>
                <a:latin typeface="+mn-lt"/>
              </a:defRPr>
            </a:pPr>
            <a:r>
              <a:rPr b="1" i="0" sz="1600">
                <a:solidFill>
                  <a:schemeClr val="lt1"/>
                </a:solidFill>
                <a:latin typeface="+mn-lt"/>
              </a:rPr>
              <a:t>Employes Salary</a:t>
            </a:r>
          </a:p>
        </c:rich>
      </c:tx>
      <c:overlay val="0"/>
    </c:title>
    <c:plotArea>
      <c:layout/>
      <c:barChart>
        <c:barDir val="bar"/>
        <c:grouping val="stacked"/>
        <c:ser>
          <c:idx val="0"/>
          <c:order val="0"/>
          <c:tx>
            <c:v>Average salary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dPt>
            <c:idx val="8"/>
            <c:spPr>
              <a:solidFill>
                <a:srgbClr val="C00000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Sheet39!$B$2:$B$12</c:f>
            </c:strRef>
          </c:cat>
          <c:val>
            <c:numRef>
              <c:f>Sheet39!$H$2:$H$12</c:f>
              <c:numCache/>
            </c:numRef>
          </c:val>
        </c:ser>
        <c:overlap val="100"/>
        <c:axId val="1684451281"/>
        <c:axId val="968170905"/>
      </c:barChart>
      <c:catAx>
        <c:axId val="168445128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968170905"/>
      </c:catAx>
      <c:valAx>
        <c:axId val="96817090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1684451281"/>
        <c:crosses val="max"/>
      </c:valAx>
    </c:plotArea>
    <c:plotVisOnly val="1"/>
  </c:chart>
  <c:spPr>
    <a:solidFill>
      <a:schemeClr val="dk1"/>
    </a:solidFill>
  </c:spPr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1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8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19050</xdr:colOff>
      <xdr:row>30</xdr:row>
      <xdr:rowOff>152400</xdr:rowOff>
    </xdr:from>
    <xdr:ext cx="4562475" cy="2533650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800100</xdr:colOff>
      <xdr:row>42</xdr:row>
      <xdr:rowOff>123825</xdr:rowOff>
    </xdr:from>
    <xdr:ext cx="5734050" cy="2886075"/>
    <xdr:graphicFrame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4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D38" sheet="Pivot Table elisa &amp; mary"/>
  </cacheSource>
  <cacheFields>
    <cacheField name="Month" numFmtId="0">
      <sharedItems>
        <s v="February"/>
        <s v="January"/>
        <s v="March"/>
        <s v="December"/>
      </sharedItems>
    </cacheField>
    <cacheField name="Subject" numFmtId="0">
      <sharedItems>
        <s v="English"/>
        <s v="Maths"/>
        <s v="Science"/>
        <s v="Art"/>
        <s v="History"/>
        <s v="Fench"/>
        <s v="Japanese"/>
      </sharedItems>
      <fieldGroup par="4"/>
    </cacheField>
    <cacheField name="Student" numFmtId="0">
      <sharedItems>
        <s v="Elisa"/>
        <s v="Zoro"/>
        <s v="Mary"/>
        <s v="Luffy"/>
        <s v="Nezuko"/>
        <s v="Itachi"/>
        <s v="Boa"/>
      </sharedItems>
    </cacheField>
    <cacheField name="Score" numFmtId="0">
      <sharedItems containsSemiMixedTypes="0" containsString="0" containsNumber="1" containsInteger="1">
        <n v="51.0"/>
        <n v="72.0"/>
        <n v="89.0"/>
        <n v="83.0"/>
        <n v="84.0"/>
        <n v="57.0"/>
        <n v="68.0"/>
        <n v="54.0"/>
        <n v="56.0"/>
        <n v="59.0"/>
        <n v="61.0"/>
        <n v="93.0"/>
        <n v="87.0"/>
        <n v="65.0"/>
        <n v="58.0"/>
        <n v="81.0"/>
        <n v="62.0"/>
        <n v="53.0"/>
        <n v="35.0"/>
        <n v="92.0"/>
        <n v="41.0"/>
        <n v="71.0"/>
        <n v="91.0"/>
        <n v="67.0"/>
        <n v="90.0"/>
      </sharedItems>
    </cacheField>
    <cacheField name="subject2" numFmtId="0" databaseField="0">
      <fieldGroup base="1">
        <discretePr>
          <x v="1"/>
          <x v="2"/>
          <x v="2"/>
          <x v="0"/>
          <x v="0"/>
          <x v="1"/>
          <x v="1"/>
        </discretePr>
        <groupItems>
          <s v="Group1"/>
          <s v="Group2"/>
          <s v="Group3"/>
        </groupItems>
      </fieldGroup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D38" sheet="Pivot Table elisa &amp; mary"/>
  </cacheSource>
  <cacheFields>
    <cacheField name="Month" numFmtId="0">
      <sharedItems>
        <s v="February"/>
        <s v="January"/>
        <s v="March"/>
        <s v="December"/>
      </sharedItems>
    </cacheField>
    <cacheField name="Subject" numFmtId="0">
      <sharedItems>
        <s v="English"/>
        <s v="Maths"/>
        <s v="Science"/>
        <s v="Art"/>
        <s v="History"/>
        <s v="Fench"/>
        <s v="Japanese"/>
      </sharedItems>
      <fieldGroup par="4"/>
    </cacheField>
    <cacheField name="Student" numFmtId="0">
      <sharedItems>
        <s v="Elisa"/>
        <s v="Zoro"/>
        <s v="Mary"/>
        <s v="Luffy"/>
        <s v="Nezuko"/>
        <s v="Itachi"/>
        <s v="Boa"/>
      </sharedItems>
    </cacheField>
    <cacheField name="Score" numFmtId="0">
      <sharedItems containsSemiMixedTypes="0" containsString="0" containsNumber="1" containsInteger="1">
        <n v="51.0"/>
        <n v="72.0"/>
        <n v="89.0"/>
        <n v="83.0"/>
        <n v="84.0"/>
        <n v="57.0"/>
        <n v="68.0"/>
        <n v="54.0"/>
        <n v="56.0"/>
        <n v="59.0"/>
        <n v="61.0"/>
        <n v="93.0"/>
        <n v="87.0"/>
        <n v="65.0"/>
        <n v="58.0"/>
        <n v="81.0"/>
        <n v="62.0"/>
        <n v="53.0"/>
        <n v="35.0"/>
        <n v="92.0"/>
        <n v="41.0"/>
        <n v="71.0"/>
        <n v="91.0"/>
        <n v="67.0"/>
        <n v="90.0"/>
      </sharedItems>
    </cacheField>
    <cacheField name="subject2" numFmtId="0" databaseField="0">
      <fieldGroup base="1">
        <discretePr>
          <x v="1"/>
          <x v="2"/>
          <x v="2"/>
          <x v="0"/>
          <x v="0"/>
          <x v="1"/>
          <x v="1"/>
        </discretePr>
        <groupItems>
          <s v="Group1"/>
          <s v="Group2"/>
          <s v="Group3"/>
        </groupItems>
      </fieldGroup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D38" sheet="Pivot Table elisa &amp; mary"/>
  </cacheSource>
  <cacheFields>
    <cacheField name="Month" numFmtId="0">
      <sharedItems>
        <s v="February"/>
        <s v="January"/>
        <s v="March"/>
        <s v="December"/>
      </sharedItems>
    </cacheField>
    <cacheField name="Subject" numFmtId="0">
      <sharedItems>
        <s v="English"/>
        <s v="Maths"/>
        <s v="Science"/>
        <s v="Art"/>
        <s v="History"/>
        <s v="Fench"/>
        <s v="Japanese"/>
      </sharedItems>
      <fieldGroup par="4"/>
    </cacheField>
    <cacheField name="Student" numFmtId="0">
      <sharedItems>
        <s v="Elisa"/>
        <s v="Zoro"/>
        <s v="Mary"/>
        <s v="Luffy"/>
        <s v="Nezuko"/>
        <s v="Itachi"/>
        <s v="Boa"/>
      </sharedItems>
    </cacheField>
    <cacheField name="Score" numFmtId="0">
      <sharedItems containsSemiMixedTypes="0" containsString="0" containsNumber="1" containsInteger="1">
        <n v="51.0"/>
        <n v="72.0"/>
        <n v="89.0"/>
        <n v="83.0"/>
        <n v="84.0"/>
        <n v="57.0"/>
        <n v="68.0"/>
        <n v="54.0"/>
        <n v="56.0"/>
        <n v="59.0"/>
        <n v="61.0"/>
        <n v="93.0"/>
        <n v="87.0"/>
        <n v="65.0"/>
        <n v="58.0"/>
        <n v="81.0"/>
        <n v="62.0"/>
        <n v="53.0"/>
        <n v="35.0"/>
        <n v="92.0"/>
        <n v="41.0"/>
        <n v="71.0"/>
        <n v="91.0"/>
        <n v="67.0"/>
        <n v="90.0"/>
      </sharedItems>
    </cacheField>
    <cacheField name="subject2" numFmtId="0" databaseField="0">
      <fieldGroup base="1">
        <discretePr>
          <x v="1"/>
          <x v="2"/>
          <x v="2"/>
          <x v="0"/>
          <x v="0"/>
          <x v="1"/>
          <x v="1"/>
        </discretePr>
        <groupItems>
          <s v="Group1"/>
          <s v="Group2"/>
          <s v="Group3"/>
        </groupItems>
      </fieldGroup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:D38" sheet="Pivot Table elisa &amp; mary"/>
  </cacheSource>
  <cacheFields>
    <cacheField name="Subject" numFmtId="0">
      <sharedItems>
        <s v="English"/>
        <s v="Maths"/>
        <s v="Science"/>
        <s v="Art"/>
        <s v="History"/>
        <s v="Fench"/>
        <s v="Japanese"/>
      </sharedItems>
    </cacheField>
    <cacheField name="Student" numFmtId="0">
      <sharedItems>
        <s v="Elisa"/>
        <s v="Zoro"/>
        <s v="Mary"/>
        <s v="Luffy"/>
        <s v="Nezuko"/>
        <s v="Itachi"/>
        <s v="Boa"/>
      </sharedItems>
    </cacheField>
    <cacheField name="Score" numFmtId="0">
      <sharedItems containsSemiMixedTypes="0" containsString="0" containsNumber="1" containsInteger="1">
        <n v="51.0"/>
        <n v="72.0"/>
        <n v="89.0"/>
        <n v="83.0"/>
        <n v="84.0"/>
        <n v="57.0"/>
        <n v="68.0"/>
        <n v="54.0"/>
        <n v="56.0"/>
        <n v="59.0"/>
        <n v="61.0"/>
        <n v="93.0"/>
        <n v="87.0"/>
        <n v="65.0"/>
        <n v="58.0"/>
        <n v="81.0"/>
        <n v="62.0"/>
        <n v="53.0"/>
        <n v="35.0"/>
        <n v="92.0"/>
        <n v="41.0"/>
        <n v="71.0"/>
        <n v="91.0"/>
        <n v="67.0"/>
        <n v="90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 Table elisa &amp; mary" cacheId="0" dataCaption="" compact="0" compactData="0">
  <location ref="G4:O14" firstHeaderRow="0" firstDataRow="1" firstDataCol="2" rowPageCount="1" colPageCount="1"/>
  <pivotFields>
    <pivotField name="Month" axis="axisPage" compact="0" outline="0" multipleItemSelectionAllowed="1" showAll="0">
      <items>
        <item x="0"/>
        <item x="1"/>
        <item x="2"/>
        <item x="3"/>
        <item t="default"/>
      </items>
    </pivotField>
    <pivotField name="Subject" axis="axisCol" compact="0" outline="0" multipleItemSelectionAllowed="1" showAll="0" sortType="ascending">
      <items>
        <item x="3"/>
        <item x="0"/>
        <item x="5"/>
        <item x="4"/>
        <item x="6"/>
        <item x="1"/>
        <item x="2"/>
        <item t="default"/>
      </items>
    </pivotField>
    <pivotField name="Student" axis="axisRow" compact="0" outline="0" multipleItemSelectionAllowed="1" showAll="0" sortType="ascending">
      <items>
        <item x="6"/>
        <item x="0"/>
        <item x="5"/>
        <item x="3"/>
        <item x="2"/>
        <item x="4"/>
        <item x="1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subject2" axis="axisCol" compact="0" outline="0" multipleItemSelectionAllowed="1" showAll="0" sortType="ascending" defaultSubtotal="0">
      <items>
        <item x="0"/>
        <item x="1"/>
        <item x="2"/>
      </items>
    </pivotField>
  </pivotFields>
  <rowFields>
    <field x="2"/>
  </rowFields>
  <colFields>
    <field x="4"/>
    <field x="1"/>
  </colFields>
  <pageFields>
    <pageField fld="0"/>
  </pageFields>
  <dataFields>
    <dataField name="Sum of Score" fld="3" baseField="0"/>
  </dataFields>
</pivotTableDefinition>
</file>

<file path=xl/pivotTables/pivotTable2.xml><?xml version="1.0" encoding="utf-8"?>
<pivotTableDefinition xmlns="http://schemas.openxmlformats.org/spreadsheetml/2006/main" name="Pivot Table elisa &amp; mary 2" cacheId="1" dataCaption="" compact="0" compactData="0">
  <location ref="Q10:S18" firstHeaderRow="0" firstDataRow="2" firstDataCol="0"/>
  <pivotFields>
    <pivotField name="Month" compact="0" outline="0" multipleItemSelectionAllowed="1" showAll="0">
      <items>
        <item x="0"/>
        <item x="1"/>
        <item x="2"/>
        <item x="3"/>
        <item t="default"/>
      </items>
    </pivotField>
    <pivotField name="Subject" axis="axisRow" compact="0" outline="0" multipleItemSelectionAllowed="1" showAll="0" sortType="ascending">
      <items>
        <item x="3"/>
        <item x="0"/>
        <item x="5"/>
        <item x="4"/>
        <item x="6"/>
        <item x="1"/>
        <item x="2"/>
        <item t="default"/>
      </items>
    </pivotField>
    <pivotField name="Student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subject2" axis="axisRow" compact="0" outline="0" multipleItemSelectionAllowed="1" showAll="0" sortType="ascending" defaultSubtotal="0">
      <items>
        <item x="0"/>
        <item x="1"/>
        <item x="2"/>
      </items>
    </pivotField>
  </pivotFields>
  <rowFields>
    <field x="4"/>
    <field x="1"/>
  </rowFields>
  <dataFields>
    <dataField name="Sum of Score" fld="3" baseField="0"/>
  </dataFields>
</pivotTableDefinition>
</file>

<file path=xl/pivotTables/pivotTable3.xml><?xml version="1.0" encoding="utf-8"?>
<pivotTableDefinition xmlns="http://schemas.openxmlformats.org/spreadsheetml/2006/main" name="Pivot Table elisa &amp; mary 3" cacheId="2" dataCaption="" compact="0" compactData="0">
  <location ref="G18:P27" firstHeaderRow="0" firstDataRow="2" firstDataCol="1" rowPageCount="1" colPageCount="1"/>
  <pivotFields>
    <pivotField name="Month" axis="axisPage" compact="0" outline="0" multipleItemSelectionAllowed="1" showAll="0">
      <items>
        <item x="0"/>
        <item x="1"/>
        <item x="2"/>
        <item x="3"/>
        <item t="default"/>
      </items>
    </pivotField>
    <pivotField name="Subject" axis="axisRow" compact="0" outline="0" multipleItemSelectionAllowed="1" showAll="0" sortType="ascending">
      <items>
        <item x="3"/>
        <item x="0"/>
        <item x="5"/>
        <item x="4"/>
        <item x="6"/>
        <item x="1"/>
        <item x="2"/>
        <item t="default"/>
      </items>
    </pivotField>
    <pivotField name="Student" axis="axisCol" compact="0" outline="0" multipleItemSelectionAllowed="1" showAll="0" sortType="ascending">
      <items>
        <item x="6"/>
        <item x="0"/>
        <item x="5"/>
        <item x="3"/>
        <item x="2"/>
        <item x="4"/>
        <item x="1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subject2" axis="axisRow" compact="0" outline="0" multipleItemSelectionAllowed="1" showAll="0" sortType="ascending" defaultSubtotal="0">
      <items>
        <item x="0"/>
        <item x="1"/>
        <item x="2"/>
      </items>
    </pivotField>
  </pivotFields>
  <rowFields>
    <field x="4"/>
    <field x="1"/>
  </rowFields>
  <colFields>
    <field x="2"/>
  </colFields>
  <pageFields>
    <pageField fld="0"/>
  </pageFields>
  <dataFields>
    <dataField name="Average of Score" fld="3" subtotal="average" baseField="0"/>
  </dataFields>
</pivotTableDefinition>
</file>

<file path=xl/pivotTables/pivotTable4.xml><?xml version="1.0" encoding="utf-8"?>
<pivotTableDefinition xmlns="http://schemas.openxmlformats.org/spreadsheetml/2006/main" name="Pivot Table elisa &amp; mary 4" cacheId="3" dataCaption="" compact="0" compactData="0">
  <location ref="F32:H48" firstHeaderRow="0" firstDataRow="2" firstDataCol="0"/>
  <pivotFields>
    <pivotField name="Subject" axis="axisRow" compact="0" outline="0" multipleItemSelectionAllowed="1" showAll="0" sortType="ascending">
      <items>
        <item h="1" x="3"/>
        <item x="0"/>
        <item x="5"/>
        <item h="1" x="4"/>
        <item x="6"/>
        <item x="1"/>
        <item h="1" x="2"/>
        <item t="default"/>
      </items>
    </pivotField>
    <pivotField name="Student" axis="axisRow" compact="0" outline="0" multipleItemSelectionAllowed="1" showAll="0" sortType="ascending">
      <items>
        <item x="6"/>
        <item x="0"/>
        <item x="5"/>
        <item x="3"/>
        <item x="2"/>
        <item x="4"/>
        <item x="1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</pivotFields>
  <rowFields>
    <field x="0"/>
    <field x="1"/>
  </rowFields>
  <dataFields>
    <dataField name="Sum of Score" fld="2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pivotTable" Target="../pivotTables/pivotTable4.xml"/><Relationship Id="rId5" Type="http://schemas.openxmlformats.org/officeDocument/2006/relationships/drawing" Target="../drawings/drawing31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C6E7"/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4" width="11.86"/>
    <col customWidth="1" min="5" max="5" width="11.29"/>
    <col customWidth="1" min="6" max="6" width="11.43"/>
    <col customWidth="1" min="7" max="7" width="9.43"/>
    <col customWidth="1" min="8" max="8" width="30.71"/>
    <col customWidth="1" min="9" max="9" width="12.29"/>
    <col customWidth="1" min="10" max="10" width="9.71"/>
    <col customWidth="1" min="11" max="11" width="22.29"/>
    <col customWidth="1" min="12" max="12" width="8.71"/>
    <col customWidth="1" min="13" max="13" width="11.86"/>
    <col customWidth="1" min="14" max="14" width="9.86"/>
    <col customWidth="1" min="1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>
      <c r="A2" s="3" t="s">
        <v>7</v>
      </c>
      <c r="B2" s="3">
        <v>55.0</v>
      </c>
      <c r="C2" s="3">
        <v>65.0</v>
      </c>
      <c r="D2" s="3">
        <v>70.0</v>
      </c>
      <c r="E2" s="3">
        <f t="shared" ref="E2:E8" si="1">SUM(B2:D2)</f>
        <v>190</v>
      </c>
      <c r="F2" s="4">
        <f t="shared" ref="F2:F8" si="2">AVERAGE(B2:D2)</f>
        <v>63.33333333</v>
      </c>
      <c r="G2" s="3" t="str">
        <f t="shared" ref="G2:G8" si="3">IF(F2&gt;70,"PASS","FAIL")</f>
        <v>FAIL</v>
      </c>
      <c r="H2" s="5"/>
    </row>
    <row r="3">
      <c r="A3" s="6" t="s">
        <v>8</v>
      </c>
      <c r="B3" s="6">
        <v>70.0</v>
      </c>
      <c r="C3" s="6">
        <v>75.0</v>
      </c>
      <c r="D3" s="6">
        <v>65.0</v>
      </c>
      <c r="E3" s="6">
        <f t="shared" si="1"/>
        <v>210</v>
      </c>
      <c r="F3" s="7">
        <f t="shared" si="2"/>
        <v>70</v>
      </c>
      <c r="G3" s="6" t="str">
        <f t="shared" si="3"/>
        <v>FAIL</v>
      </c>
      <c r="H3" s="5"/>
    </row>
    <row r="4">
      <c r="A4" s="3" t="s">
        <v>9</v>
      </c>
      <c r="B4" s="3">
        <v>50.0</v>
      </c>
      <c r="C4" s="3">
        <v>55.0</v>
      </c>
      <c r="D4" s="3">
        <v>50.0</v>
      </c>
      <c r="E4" s="3">
        <f t="shared" si="1"/>
        <v>155</v>
      </c>
      <c r="F4" s="4">
        <f t="shared" si="2"/>
        <v>51.66666667</v>
      </c>
      <c r="G4" s="3" t="str">
        <f t="shared" si="3"/>
        <v>FAIL</v>
      </c>
      <c r="H4" s="5"/>
      <c r="I4" s="8"/>
      <c r="J4" s="8"/>
      <c r="K4" s="8"/>
      <c r="L4" s="8"/>
      <c r="M4" s="8"/>
    </row>
    <row r="5">
      <c r="A5" s="6" t="s">
        <v>10</v>
      </c>
      <c r="B5" s="6">
        <v>85.0</v>
      </c>
      <c r="C5" s="6">
        <v>80.0</v>
      </c>
      <c r="D5" s="6">
        <v>90.0</v>
      </c>
      <c r="E5" s="6">
        <f t="shared" si="1"/>
        <v>255</v>
      </c>
      <c r="F5" s="7">
        <f t="shared" si="2"/>
        <v>85</v>
      </c>
      <c r="G5" s="6" t="str">
        <f t="shared" si="3"/>
        <v>PASS</v>
      </c>
      <c r="I5" s="8"/>
      <c r="J5" s="8"/>
      <c r="K5" s="8"/>
      <c r="L5" s="8"/>
      <c r="M5" s="9"/>
      <c r="N5" s="8"/>
      <c r="O5" s="8"/>
    </row>
    <row r="6">
      <c r="A6" s="3" t="s">
        <v>11</v>
      </c>
      <c r="B6" s="3">
        <v>75.0</v>
      </c>
      <c r="C6" s="3">
        <v>85.0</v>
      </c>
      <c r="D6" s="3">
        <v>85.0</v>
      </c>
      <c r="E6" s="3">
        <f t="shared" si="1"/>
        <v>245</v>
      </c>
      <c r="F6" s="4">
        <f t="shared" si="2"/>
        <v>81.66666667</v>
      </c>
      <c r="G6" s="3" t="str">
        <f t="shared" si="3"/>
        <v>PASS</v>
      </c>
      <c r="H6" s="5"/>
      <c r="I6" s="5"/>
      <c r="J6" s="5"/>
      <c r="K6" s="5"/>
      <c r="L6" s="5"/>
      <c r="M6" s="5"/>
      <c r="N6" s="5"/>
      <c r="O6" s="5"/>
    </row>
    <row r="7">
      <c r="A7" s="6" t="s">
        <v>12</v>
      </c>
      <c r="B7" s="6">
        <v>85.0</v>
      </c>
      <c r="C7" s="6">
        <v>65.0</v>
      </c>
      <c r="D7" s="6">
        <v>75.0</v>
      </c>
      <c r="E7" s="6">
        <f t="shared" si="1"/>
        <v>225</v>
      </c>
      <c r="F7" s="7">
        <f t="shared" si="2"/>
        <v>75</v>
      </c>
      <c r="G7" s="6" t="str">
        <f t="shared" si="3"/>
        <v>PASS</v>
      </c>
      <c r="H7" s="10"/>
      <c r="O7" s="5"/>
    </row>
    <row r="8">
      <c r="A8" s="3" t="s">
        <v>13</v>
      </c>
      <c r="B8" s="3">
        <v>95.0</v>
      </c>
      <c r="C8" s="3">
        <v>90.0</v>
      </c>
      <c r="D8" s="3">
        <v>85.0</v>
      </c>
      <c r="E8" s="3">
        <f t="shared" si="1"/>
        <v>270</v>
      </c>
      <c r="F8" s="4">
        <f t="shared" si="2"/>
        <v>90</v>
      </c>
      <c r="G8" s="3" t="str">
        <f t="shared" si="3"/>
        <v>PASS</v>
      </c>
      <c r="O8" s="5"/>
    </row>
    <row r="9">
      <c r="A9" s="6"/>
      <c r="B9" s="6"/>
      <c r="C9" s="6"/>
      <c r="D9" s="6"/>
      <c r="E9" s="6" t="s">
        <v>14</v>
      </c>
      <c r="F9" s="6"/>
      <c r="G9" s="6"/>
      <c r="K9" s="11"/>
      <c r="O9" s="5"/>
    </row>
    <row r="10">
      <c r="A10" s="3" t="s">
        <v>15</v>
      </c>
      <c r="B10" s="3">
        <f t="shared" ref="B10:D10" si="4">MAX(B2:B8)</f>
        <v>95</v>
      </c>
      <c r="C10" s="3">
        <f t="shared" si="4"/>
        <v>90</v>
      </c>
      <c r="D10" s="3">
        <f t="shared" si="4"/>
        <v>90</v>
      </c>
      <c r="E10" s="3"/>
      <c r="F10" s="3"/>
      <c r="G10" s="3"/>
      <c r="H10" s="5"/>
      <c r="I10" s="5"/>
      <c r="J10" s="5"/>
      <c r="K10" s="5"/>
      <c r="O10" s="5"/>
    </row>
    <row r="11">
      <c r="A11" s="6" t="s">
        <v>16</v>
      </c>
      <c r="B11" s="6">
        <f t="shared" ref="B11:D11" si="5">MIN(B2:B8)</f>
        <v>50</v>
      </c>
      <c r="C11" s="6">
        <f t="shared" si="5"/>
        <v>55</v>
      </c>
      <c r="D11" s="6">
        <f t="shared" si="5"/>
        <v>50</v>
      </c>
      <c r="E11" s="6"/>
      <c r="F11" s="6"/>
      <c r="G11" s="6"/>
      <c r="O11" s="5"/>
    </row>
    <row r="12">
      <c r="F12" s="5"/>
      <c r="G12" s="5"/>
      <c r="O12" s="5"/>
    </row>
    <row r="13">
      <c r="D13" s="12"/>
      <c r="F13" s="5"/>
      <c r="G13" s="13"/>
      <c r="H13" s="14"/>
      <c r="O13" s="5"/>
    </row>
    <row r="14">
      <c r="E14" s="15"/>
      <c r="F14" s="5"/>
      <c r="G14" s="5"/>
      <c r="O14" s="5"/>
    </row>
    <row r="15">
      <c r="D15" s="16"/>
      <c r="E15" s="15"/>
      <c r="F15" s="5"/>
      <c r="G15" s="5"/>
      <c r="O15" s="5"/>
    </row>
    <row r="16" ht="12.75" customHeight="1">
      <c r="E16" s="17"/>
      <c r="F16" s="5"/>
      <c r="G16" s="5"/>
      <c r="H16" s="18"/>
      <c r="O16" s="5"/>
    </row>
    <row r="17">
      <c r="E17" s="17"/>
      <c r="F17" s="5"/>
      <c r="G17" s="5"/>
      <c r="O17" s="5"/>
    </row>
    <row r="18">
      <c r="D18" s="10"/>
      <c r="E18" s="17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>
      <c r="E19" s="19"/>
      <c r="F19" s="8"/>
    </row>
    <row r="20">
      <c r="E20" s="16"/>
      <c r="F20" s="8"/>
    </row>
    <row r="21" ht="15.75" customHeight="1">
      <c r="E21" s="9"/>
    </row>
    <row r="22" ht="15.75" customHeight="1">
      <c r="E22" s="16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colBreaks count="1" manualBreakCount="1">
    <brk id="13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5.71"/>
  </cols>
  <sheetData>
    <row r="1">
      <c r="A1" s="20" t="s">
        <v>17</v>
      </c>
      <c r="B1" s="20" t="s">
        <v>18</v>
      </c>
      <c r="C1" s="20" t="s">
        <v>19</v>
      </c>
      <c r="D1" s="20" t="s">
        <v>20</v>
      </c>
      <c r="E1" s="20" t="s">
        <v>21</v>
      </c>
      <c r="F1" s="20" t="s">
        <v>22</v>
      </c>
      <c r="G1" s="20" t="s">
        <v>23</v>
      </c>
      <c r="H1" s="20" t="s">
        <v>24</v>
      </c>
    </row>
    <row r="2">
      <c r="A2" s="21" t="s">
        <v>25</v>
      </c>
      <c r="B2" s="22">
        <v>20000.0</v>
      </c>
      <c r="C2" s="22">
        <v>10000.0</v>
      </c>
      <c r="D2" s="22">
        <v>15000.0</v>
      </c>
      <c r="E2" s="22">
        <v>25000.0</v>
      </c>
      <c r="F2" s="23">
        <f t="shared" ref="F2:F5" si="1">SUM(B2:E2)</f>
        <v>70000</v>
      </c>
      <c r="G2" s="24">
        <f t="shared" ref="G2:G5" si="2">AVERAGE(B2:E2)</f>
        <v>17500</v>
      </c>
      <c r="H2" s="25" t="str">
        <f t="shared" ref="H2:H5" si="3">IF(G2&gt;35000,"Good Sales","Improve sales")</f>
        <v>Improve sales</v>
      </c>
    </row>
    <row r="3">
      <c r="A3" s="21" t="s">
        <v>26</v>
      </c>
      <c r="B3" s="22">
        <v>30000.0</v>
      </c>
      <c r="C3" s="22">
        <v>15000.0</v>
      </c>
      <c r="D3" s="22">
        <v>20000.0</v>
      </c>
      <c r="E3" s="22">
        <v>15000.0</v>
      </c>
      <c r="F3" s="23">
        <f t="shared" si="1"/>
        <v>80000</v>
      </c>
      <c r="G3" s="24">
        <f t="shared" si="2"/>
        <v>20000</v>
      </c>
      <c r="H3" s="25" t="str">
        <f t="shared" si="3"/>
        <v>Improve sales</v>
      </c>
    </row>
    <row r="4">
      <c r="A4" s="21" t="s">
        <v>27</v>
      </c>
      <c r="B4" s="22">
        <v>35000.0</v>
      </c>
      <c r="C4" s="22">
        <v>45000.0</v>
      </c>
      <c r="D4" s="22">
        <v>50000.0</v>
      </c>
      <c r="E4" s="22">
        <v>55000.0</v>
      </c>
      <c r="F4" s="23">
        <f t="shared" si="1"/>
        <v>185000</v>
      </c>
      <c r="G4" s="24">
        <f t="shared" si="2"/>
        <v>46250</v>
      </c>
      <c r="H4" s="26" t="str">
        <f t="shared" si="3"/>
        <v>Good Sales</v>
      </c>
    </row>
    <row r="5">
      <c r="A5" s="21" t="s">
        <v>28</v>
      </c>
      <c r="B5" s="22">
        <v>55000.0</v>
      </c>
      <c r="C5" s="22">
        <v>60000.0</v>
      </c>
      <c r="D5" s="22">
        <v>45000.0</v>
      </c>
      <c r="E5" s="22">
        <v>80000.0</v>
      </c>
      <c r="F5" s="23">
        <f t="shared" si="1"/>
        <v>240000</v>
      </c>
      <c r="G5" s="24">
        <f t="shared" si="2"/>
        <v>60000</v>
      </c>
      <c r="H5" s="26" t="str">
        <f t="shared" si="3"/>
        <v>Good Sales</v>
      </c>
    </row>
    <row r="7">
      <c r="A7" s="20" t="s">
        <v>22</v>
      </c>
      <c r="B7" s="27">
        <f t="shared" ref="B7:E7" si="4">SUM(B2:B5)</f>
        <v>140000</v>
      </c>
      <c r="C7" s="27">
        <f t="shared" si="4"/>
        <v>130000</v>
      </c>
      <c r="D7" s="27">
        <f t="shared" si="4"/>
        <v>130000</v>
      </c>
      <c r="E7" s="27">
        <f t="shared" si="4"/>
        <v>175000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5" width="8.71"/>
    <col customWidth="1" min="6" max="6" width="9.0"/>
    <col customWidth="1" min="7" max="7" width="15.0"/>
    <col customWidth="1" min="8" max="26" width="8.71"/>
  </cols>
  <sheetData>
    <row r="1">
      <c r="A1" s="28" t="s">
        <v>29</v>
      </c>
      <c r="B1" s="28" t="s">
        <v>30</v>
      </c>
      <c r="C1" s="28" t="s">
        <v>31</v>
      </c>
      <c r="D1" s="28" t="s">
        <v>32</v>
      </c>
      <c r="E1" s="28" t="s">
        <v>22</v>
      </c>
      <c r="F1" s="28" t="s">
        <v>23</v>
      </c>
      <c r="G1" s="28" t="s">
        <v>33</v>
      </c>
    </row>
    <row r="2">
      <c r="A2" s="29" t="s">
        <v>34</v>
      </c>
      <c r="B2" s="30">
        <v>2000.0</v>
      </c>
      <c r="C2" s="30">
        <v>4000.0</v>
      </c>
      <c r="D2" s="30">
        <v>3000.0</v>
      </c>
      <c r="E2" s="30">
        <f t="shared" ref="E2:E7" si="1">SUM(B2:D2)</f>
        <v>9000</v>
      </c>
      <c r="F2" s="30">
        <f t="shared" ref="F2:F7" si="2">AVERAGE(B2:E2)</f>
        <v>4500</v>
      </c>
      <c r="G2" s="31">
        <f t="shared" ref="G2:G7" si="3">IF(F2&gt;4000,F2*15%,"No Commission")</f>
        <v>675</v>
      </c>
    </row>
    <row r="3">
      <c r="A3" s="29" t="s">
        <v>35</v>
      </c>
      <c r="B3" s="30">
        <v>6000.0</v>
      </c>
      <c r="C3" s="30">
        <v>2500.0</v>
      </c>
      <c r="D3" s="30">
        <v>4500.0</v>
      </c>
      <c r="E3" s="30">
        <f t="shared" si="1"/>
        <v>13000</v>
      </c>
      <c r="F3" s="30">
        <f t="shared" si="2"/>
        <v>6500</v>
      </c>
      <c r="G3" s="31">
        <f t="shared" si="3"/>
        <v>975</v>
      </c>
    </row>
    <row r="4">
      <c r="A4" s="29" t="s">
        <v>36</v>
      </c>
      <c r="B4" s="30">
        <v>7500.0</v>
      </c>
      <c r="C4" s="30">
        <v>8500.0</v>
      </c>
      <c r="D4" s="30">
        <v>9500.0</v>
      </c>
      <c r="E4" s="30">
        <f t="shared" si="1"/>
        <v>25500</v>
      </c>
      <c r="F4" s="30">
        <f t="shared" si="2"/>
        <v>12750</v>
      </c>
      <c r="G4" s="31">
        <f t="shared" si="3"/>
        <v>1912.5</v>
      </c>
    </row>
    <row r="5">
      <c r="A5" s="29" t="s">
        <v>37</v>
      </c>
      <c r="B5" s="30">
        <v>2500.0</v>
      </c>
      <c r="C5" s="30">
        <v>1500.0</v>
      </c>
      <c r="D5" s="30">
        <v>2000.0</v>
      </c>
      <c r="E5" s="30">
        <f t="shared" si="1"/>
        <v>6000</v>
      </c>
      <c r="F5" s="30">
        <f t="shared" si="2"/>
        <v>3000</v>
      </c>
      <c r="G5" s="31" t="str">
        <f t="shared" si="3"/>
        <v>No Commission</v>
      </c>
    </row>
    <row r="6">
      <c r="A6" s="29" t="s">
        <v>38</v>
      </c>
      <c r="B6" s="30">
        <v>7500.0</v>
      </c>
      <c r="C6" s="30">
        <v>9500.0</v>
      </c>
      <c r="D6" s="30">
        <v>8000.0</v>
      </c>
      <c r="E6" s="30">
        <f t="shared" si="1"/>
        <v>25000</v>
      </c>
      <c r="F6" s="30">
        <f t="shared" si="2"/>
        <v>12500</v>
      </c>
      <c r="G6" s="31">
        <f t="shared" si="3"/>
        <v>1875</v>
      </c>
    </row>
    <row r="7">
      <c r="A7" s="29" t="s">
        <v>39</v>
      </c>
      <c r="B7" s="30">
        <v>9500.0</v>
      </c>
      <c r="C7" s="30">
        <v>7500.0</v>
      </c>
      <c r="D7" s="30">
        <v>6000.0</v>
      </c>
      <c r="E7" s="30">
        <f t="shared" si="1"/>
        <v>23000</v>
      </c>
      <c r="F7" s="30">
        <f t="shared" si="2"/>
        <v>11500</v>
      </c>
      <c r="G7" s="31">
        <f t="shared" si="3"/>
        <v>1725</v>
      </c>
    </row>
    <row r="8">
      <c r="A8" s="31"/>
      <c r="B8" s="31"/>
      <c r="C8" s="31"/>
      <c r="D8" s="31"/>
      <c r="E8" s="31"/>
      <c r="F8" s="31"/>
      <c r="G8" s="31"/>
    </row>
    <row r="9">
      <c r="A9" s="31" t="s">
        <v>40</v>
      </c>
      <c r="B9" s="31">
        <f t="shared" ref="B9:F9" si="4">MAX(B2:B7)</f>
        <v>9500</v>
      </c>
      <c r="C9" s="31">
        <f t="shared" si="4"/>
        <v>9500</v>
      </c>
      <c r="D9" s="31">
        <f t="shared" si="4"/>
        <v>9500</v>
      </c>
      <c r="E9" s="31">
        <f t="shared" si="4"/>
        <v>25500</v>
      </c>
      <c r="F9" s="31">
        <f t="shared" si="4"/>
        <v>12750</v>
      </c>
      <c r="G9" s="31"/>
    </row>
    <row r="10">
      <c r="A10" s="31" t="s">
        <v>41</v>
      </c>
      <c r="B10" s="31">
        <f t="shared" ref="B10:F10" si="5">MIN(B2:B7)</f>
        <v>2000</v>
      </c>
      <c r="C10" s="31">
        <f t="shared" si="5"/>
        <v>1500</v>
      </c>
      <c r="D10" s="31">
        <f t="shared" si="5"/>
        <v>2000</v>
      </c>
      <c r="E10" s="31">
        <f t="shared" si="5"/>
        <v>6000</v>
      </c>
      <c r="F10" s="31">
        <f t="shared" si="5"/>
        <v>3000</v>
      </c>
      <c r="G10" s="31"/>
    </row>
    <row r="11">
      <c r="A11" s="31"/>
      <c r="B11" s="31"/>
      <c r="C11" s="31"/>
      <c r="D11" s="31"/>
      <c r="E11" s="31"/>
      <c r="F11" s="31"/>
      <c r="G11" s="3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71"/>
    <col customWidth="1" min="2" max="2" width="18.29"/>
    <col customWidth="1" min="3" max="26" width="8.71"/>
  </cols>
  <sheetData>
    <row r="1">
      <c r="A1" s="32" t="s">
        <v>42</v>
      </c>
      <c r="B1" s="32" t="s">
        <v>43</v>
      </c>
      <c r="C1" s="8"/>
    </row>
    <row r="2">
      <c r="A2" s="33" t="s">
        <v>44</v>
      </c>
      <c r="B2" s="34">
        <v>60000.0</v>
      </c>
    </row>
    <row r="3">
      <c r="A3" s="35" t="s">
        <v>45</v>
      </c>
      <c r="B3" s="36"/>
    </row>
    <row r="4">
      <c r="A4" s="33" t="s">
        <v>46</v>
      </c>
      <c r="B4" s="36">
        <v>24000.0</v>
      </c>
    </row>
    <row r="5">
      <c r="A5" s="33" t="s">
        <v>47</v>
      </c>
      <c r="B5" s="36">
        <v>6000.0</v>
      </c>
    </row>
    <row r="6">
      <c r="A6" s="35" t="s">
        <v>48</v>
      </c>
      <c r="B6" s="36">
        <f>SUM(B4:B5)</f>
        <v>30000</v>
      </c>
    </row>
    <row r="7">
      <c r="A7" s="33" t="s">
        <v>49</v>
      </c>
      <c r="B7" s="36">
        <f>B2-B6</f>
        <v>30000</v>
      </c>
      <c r="E7" s="37">
        <f>SQRT(B4)</f>
        <v>154.9193338</v>
      </c>
      <c r="G7" s="33">
        <f>SQRT(B10)</f>
        <v>122.4744871</v>
      </c>
    </row>
    <row r="8">
      <c r="B8" s="36"/>
      <c r="G8" s="33">
        <f>SQRT(9)</f>
        <v>3</v>
      </c>
    </row>
    <row r="9">
      <c r="A9" s="35" t="s">
        <v>50</v>
      </c>
    </row>
    <row r="10">
      <c r="A10" s="33" t="s">
        <v>51</v>
      </c>
      <c r="B10" s="36">
        <v>15000.0</v>
      </c>
      <c r="E10" s="33">
        <f>ABS(E7)</f>
        <v>154.9193338</v>
      </c>
    </row>
    <row r="11">
      <c r="A11" s="33" t="s">
        <v>52</v>
      </c>
      <c r="B11" s="36">
        <v>5000.0</v>
      </c>
      <c r="G11" s="5">
        <v>8.0</v>
      </c>
      <c r="H11" s="38">
        <v>8.0</v>
      </c>
      <c r="I11" s="39">
        <v>8.0</v>
      </c>
      <c r="J11" s="37">
        <v>8.0</v>
      </c>
      <c r="K11" s="40">
        <v>8.0</v>
      </c>
      <c r="L11" s="14">
        <v>8.0</v>
      </c>
      <c r="M11" s="15"/>
    </row>
    <row r="12">
      <c r="A12" s="35" t="s">
        <v>53</v>
      </c>
      <c r="B12" s="36">
        <f>SUM(B10:B11)</f>
        <v>20000</v>
      </c>
    </row>
    <row r="13">
      <c r="A13" s="33" t="s">
        <v>54</v>
      </c>
      <c r="B13" s="36">
        <f>B7-B12</f>
        <v>10000</v>
      </c>
    </row>
    <row r="14">
      <c r="A14" s="33" t="s">
        <v>55</v>
      </c>
      <c r="B14" s="36">
        <f>B13*50%</f>
        <v>5000</v>
      </c>
      <c r="G14" s="33">
        <f t="shared" ref="G14:I14" si="1">ABS(G11)</f>
        <v>8</v>
      </c>
      <c r="H14" s="33">
        <f t="shared" si="1"/>
        <v>8</v>
      </c>
      <c r="I14" s="33">
        <f t="shared" si="1"/>
        <v>8</v>
      </c>
      <c r="J14" s="37"/>
      <c r="K14" s="33">
        <f t="shared" ref="K14:L14" si="2">ABS(K11)</f>
        <v>8</v>
      </c>
      <c r="L14" s="33">
        <f t="shared" si="2"/>
        <v>8</v>
      </c>
    </row>
    <row r="15">
      <c r="A15" s="35" t="s">
        <v>56</v>
      </c>
      <c r="B15" s="36">
        <f>B13-B14</f>
        <v>5000</v>
      </c>
    </row>
    <row r="16">
      <c r="F16" s="37">
        <v>55.0</v>
      </c>
    </row>
    <row r="17">
      <c r="G17" s="33">
        <f>ABS(F16)</f>
        <v>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16.29"/>
    <col customWidth="1" min="3" max="3" width="24.86"/>
    <col customWidth="1" hidden="1" min="4" max="4" width="11.0"/>
    <col customWidth="1" min="5" max="5" width="16.0"/>
    <col customWidth="1" min="6" max="26" width="8.71"/>
  </cols>
  <sheetData>
    <row r="1">
      <c r="A1" s="41" t="s">
        <v>57</v>
      </c>
      <c r="B1" s="41" t="s">
        <v>58</v>
      </c>
      <c r="C1" s="41" t="s">
        <v>59</v>
      </c>
      <c r="D1" s="42"/>
      <c r="E1" s="43">
        <v>0.2</v>
      </c>
    </row>
    <row r="2">
      <c r="A2" s="44" t="s">
        <v>60</v>
      </c>
      <c r="B2" s="44">
        <v>25000.0</v>
      </c>
      <c r="C2" s="44">
        <f t="shared" ref="C2:C8" si="1">B2*$E$1</f>
        <v>5000</v>
      </c>
      <c r="D2" s="44"/>
      <c r="E2" s="44"/>
    </row>
    <row r="3">
      <c r="A3" s="42" t="s">
        <v>61</v>
      </c>
      <c r="B3" s="42">
        <v>35000.0</v>
      </c>
      <c r="C3" s="42">
        <f t="shared" si="1"/>
        <v>7000</v>
      </c>
      <c r="D3" s="42"/>
      <c r="E3" s="42"/>
    </row>
    <row r="4">
      <c r="A4" s="44" t="s">
        <v>62</v>
      </c>
      <c r="B4" s="44">
        <v>20000.0</v>
      </c>
      <c r="C4" s="44">
        <f t="shared" si="1"/>
        <v>4000</v>
      </c>
      <c r="D4" s="44"/>
      <c r="E4" s="44"/>
    </row>
    <row r="5">
      <c r="A5" s="42" t="s">
        <v>63</v>
      </c>
      <c r="B5" s="42">
        <v>36000.0</v>
      </c>
      <c r="C5" s="42">
        <f t="shared" si="1"/>
        <v>7200</v>
      </c>
      <c r="D5" s="42"/>
      <c r="E5" s="42"/>
    </row>
    <row r="6">
      <c r="A6" s="44" t="s">
        <v>64</v>
      </c>
      <c r="B6" s="44">
        <v>600000.0</v>
      </c>
      <c r="C6" s="44">
        <f t="shared" si="1"/>
        <v>120000</v>
      </c>
      <c r="D6" s="44"/>
      <c r="E6" s="44"/>
    </row>
    <row r="7">
      <c r="A7" s="42" t="s">
        <v>65</v>
      </c>
      <c r="B7" s="42">
        <v>50000.0</v>
      </c>
      <c r="C7" s="42">
        <f t="shared" si="1"/>
        <v>10000</v>
      </c>
      <c r="D7" s="42"/>
      <c r="E7" s="42"/>
    </row>
    <row r="8">
      <c r="A8" s="44" t="s">
        <v>66</v>
      </c>
      <c r="B8" s="44">
        <v>75000.0</v>
      </c>
      <c r="C8" s="44">
        <f t="shared" si="1"/>
        <v>15000</v>
      </c>
      <c r="D8" s="44"/>
      <c r="E8" s="4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5"/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23.71"/>
    <col customWidth="1" min="3" max="3" width="22.14"/>
    <col customWidth="1" min="4" max="4" width="15.71"/>
    <col customWidth="1" min="5" max="26" width="8.71"/>
  </cols>
  <sheetData>
    <row r="1">
      <c r="A1" s="45" t="s">
        <v>67</v>
      </c>
      <c r="B1" s="45" t="s">
        <v>68</v>
      </c>
      <c r="C1" s="45" t="s">
        <v>69</v>
      </c>
      <c r="D1" s="45" t="s">
        <v>70</v>
      </c>
      <c r="E1" s="46">
        <v>0.25</v>
      </c>
      <c r="F1" s="47"/>
    </row>
    <row r="2">
      <c r="A2" s="48" t="s">
        <v>71</v>
      </c>
      <c r="B2" s="49">
        <v>85000.0</v>
      </c>
      <c r="C2" s="50">
        <f t="shared" ref="C2:C8" si="1">(B2*$E$1)</f>
        <v>21250</v>
      </c>
      <c r="D2" s="51">
        <f t="shared" ref="D2:D8" si="2">(B2-C2)</f>
        <v>63750</v>
      </c>
      <c r="E2" s="52"/>
    </row>
    <row r="3">
      <c r="A3" s="48" t="s">
        <v>72</v>
      </c>
      <c r="B3" s="49">
        <v>95000.0</v>
      </c>
      <c r="C3" s="50">
        <f t="shared" si="1"/>
        <v>23750</v>
      </c>
      <c r="D3" s="51">
        <f t="shared" si="2"/>
        <v>71250</v>
      </c>
      <c r="E3" s="52"/>
    </row>
    <row r="4">
      <c r="A4" s="48" t="s">
        <v>73</v>
      </c>
      <c r="B4" s="49">
        <v>78000.0</v>
      </c>
      <c r="C4" s="50">
        <f t="shared" si="1"/>
        <v>19500</v>
      </c>
      <c r="D4" s="51">
        <f t="shared" si="2"/>
        <v>58500</v>
      </c>
      <c r="E4" s="52"/>
    </row>
    <row r="5">
      <c r="A5" s="48" t="s">
        <v>74</v>
      </c>
      <c r="B5" s="49">
        <v>75000.0</v>
      </c>
      <c r="C5" s="50">
        <f t="shared" si="1"/>
        <v>18750</v>
      </c>
      <c r="D5" s="51">
        <f t="shared" si="2"/>
        <v>56250</v>
      </c>
      <c r="E5" s="52"/>
    </row>
    <row r="6">
      <c r="A6" s="48" t="s">
        <v>75</v>
      </c>
      <c r="B6" s="49">
        <v>85000.0</v>
      </c>
      <c r="C6" s="50">
        <f t="shared" si="1"/>
        <v>21250</v>
      </c>
      <c r="D6" s="51">
        <f t="shared" si="2"/>
        <v>63750</v>
      </c>
      <c r="E6" s="52"/>
    </row>
    <row r="7">
      <c r="A7" s="48" t="s">
        <v>76</v>
      </c>
      <c r="B7" s="49">
        <v>99000.0</v>
      </c>
      <c r="C7" s="50">
        <f t="shared" si="1"/>
        <v>24750</v>
      </c>
      <c r="D7" s="51">
        <f t="shared" si="2"/>
        <v>74250</v>
      </c>
      <c r="E7" s="52"/>
    </row>
    <row r="8">
      <c r="A8" s="48" t="s">
        <v>77</v>
      </c>
      <c r="B8" s="49">
        <v>87000.0</v>
      </c>
      <c r="C8" s="50">
        <f t="shared" si="1"/>
        <v>21750</v>
      </c>
      <c r="D8" s="51">
        <f t="shared" si="2"/>
        <v>65250</v>
      </c>
      <c r="E8" s="5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8D08D"/>
    <pageSetUpPr/>
  </sheetPr>
  <sheetViews>
    <sheetView workbookViewId="0"/>
  </sheetViews>
  <sheetFormatPr customHeight="1" defaultColWidth="14.43" defaultRowHeight="15.0"/>
  <cols>
    <col customWidth="1" min="1" max="1" width="26.71"/>
    <col customWidth="1" min="2" max="2" width="24.0"/>
    <col customWidth="1" min="3" max="3" width="20.43"/>
    <col customWidth="1" min="4" max="4" width="19.29"/>
    <col customWidth="1" min="5" max="5" width="18.57"/>
    <col customWidth="1" min="6" max="6" width="20.43"/>
    <col customWidth="1" min="7" max="7" width="8.71"/>
    <col customWidth="1" min="8" max="8" width="25.71"/>
    <col customWidth="1" min="9" max="9" width="21.29"/>
    <col customWidth="1" min="10" max="26" width="8.71"/>
  </cols>
  <sheetData>
    <row r="1">
      <c r="A1" s="53" t="s">
        <v>78</v>
      </c>
      <c r="B1" s="53" t="s">
        <v>79</v>
      </c>
      <c r="C1" s="53" t="s">
        <v>80</v>
      </c>
      <c r="D1" s="53" t="s">
        <v>81</v>
      </c>
      <c r="E1" s="53" t="s">
        <v>82</v>
      </c>
      <c r="F1" s="53" t="s">
        <v>22</v>
      </c>
      <c r="G1" s="53" t="s">
        <v>83</v>
      </c>
      <c r="H1" s="53" t="s">
        <v>84</v>
      </c>
      <c r="I1" s="53" t="s">
        <v>85</v>
      </c>
    </row>
    <row r="2">
      <c r="A2" s="54" t="s">
        <v>86</v>
      </c>
      <c r="B2" s="54">
        <v>2000.0</v>
      </c>
      <c r="C2" s="55">
        <f t="shared" ref="C2:C7" si="1">(B2*$C$11)</f>
        <v>200</v>
      </c>
      <c r="D2" s="56">
        <f t="shared" ref="D2:D7" si="2">(B2*$D$11)</f>
        <v>300</v>
      </c>
      <c r="E2" s="57">
        <f t="shared" ref="E2:E7" si="3">(B2*$E$11)</f>
        <v>100</v>
      </c>
      <c r="F2" s="58">
        <f t="shared" ref="F2:F7" si="4">(B2+C2+D2+E2)</f>
        <v>2600</v>
      </c>
      <c r="G2" s="59">
        <f t="shared" ref="G2:G7" si="5">(F2*$G$11)</f>
        <v>130</v>
      </c>
      <c r="H2" s="60">
        <f t="shared" ref="H2:H7" si="6">(F2-G2)</f>
        <v>2470</v>
      </c>
      <c r="I2" s="61" t="str">
        <f t="shared" ref="I2:I7" si="7">IF(H2&gt;3500,"Executive","Clerk")</f>
        <v>Clerk</v>
      </c>
    </row>
    <row r="3">
      <c r="A3" s="54" t="s">
        <v>87</v>
      </c>
      <c r="B3" s="54">
        <v>1500.0</v>
      </c>
      <c r="C3" s="55">
        <f t="shared" si="1"/>
        <v>150</v>
      </c>
      <c r="D3" s="56">
        <f t="shared" si="2"/>
        <v>225</v>
      </c>
      <c r="E3" s="57">
        <f t="shared" si="3"/>
        <v>75</v>
      </c>
      <c r="F3" s="58">
        <f t="shared" si="4"/>
        <v>1950</v>
      </c>
      <c r="G3" s="59">
        <f t="shared" si="5"/>
        <v>97.5</v>
      </c>
      <c r="H3" s="60">
        <f t="shared" si="6"/>
        <v>1852.5</v>
      </c>
      <c r="I3" s="61" t="str">
        <f t="shared" si="7"/>
        <v>Clerk</v>
      </c>
    </row>
    <row r="4">
      <c r="A4" s="54" t="s">
        <v>88</v>
      </c>
      <c r="B4" s="54">
        <v>4000.0</v>
      </c>
      <c r="C4" s="55">
        <f t="shared" si="1"/>
        <v>400</v>
      </c>
      <c r="D4" s="56">
        <f t="shared" si="2"/>
        <v>600</v>
      </c>
      <c r="E4" s="57">
        <f t="shared" si="3"/>
        <v>200</v>
      </c>
      <c r="F4" s="58">
        <f t="shared" si="4"/>
        <v>5200</v>
      </c>
      <c r="G4" s="59">
        <f t="shared" si="5"/>
        <v>260</v>
      </c>
      <c r="H4" s="60">
        <f t="shared" si="6"/>
        <v>4940</v>
      </c>
      <c r="I4" s="61" t="str">
        <f t="shared" si="7"/>
        <v>Executive</v>
      </c>
    </row>
    <row r="5">
      <c r="A5" s="54" t="s">
        <v>89</v>
      </c>
      <c r="B5" s="54">
        <v>3500.0</v>
      </c>
      <c r="C5" s="55">
        <f t="shared" si="1"/>
        <v>350</v>
      </c>
      <c r="D5" s="56">
        <f t="shared" si="2"/>
        <v>525</v>
      </c>
      <c r="E5" s="57">
        <f t="shared" si="3"/>
        <v>175</v>
      </c>
      <c r="F5" s="58">
        <f t="shared" si="4"/>
        <v>4550</v>
      </c>
      <c r="G5" s="59">
        <f t="shared" si="5"/>
        <v>227.5</v>
      </c>
      <c r="H5" s="60">
        <f t="shared" si="6"/>
        <v>4322.5</v>
      </c>
      <c r="I5" s="61" t="str">
        <f t="shared" si="7"/>
        <v>Executive</v>
      </c>
    </row>
    <row r="6">
      <c r="A6" s="54" t="s">
        <v>90</v>
      </c>
      <c r="B6" s="54">
        <v>6000.0</v>
      </c>
      <c r="C6" s="55">
        <f t="shared" si="1"/>
        <v>600</v>
      </c>
      <c r="D6" s="56">
        <f t="shared" si="2"/>
        <v>900</v>
      </c>
      <c r="E6" s="57">
        <f t="shared" si="3"/>
        <v>300</v>
      </c>
      <c r="F6" s="58">
        <f t="shared" si="4"/>
        <v>7800</v>
      </c>
      <c r="G6" s="59">
        <f t="shared" si="5"/>
        <v>390</v>
      </c>
      <c r="H6" s="60">
        <f t="shared" si="6"/>
        <v>7410</v>
      </c>
      <c r="I6" s="61" t="str">
        <f t="shared" si="7"/>
        <v>Executive</v>
      </c>
    </row>
    <row r="7">
      <c r="A7" s="54" t="s">
        <v>91</v>
      </c>
      <c r="B7" s="54">
        <v>7500.0</v>
      </c>
      <c r="C7" s="55">
        <f t="shared" si="1"/>
        <v>750</v>
      </c>
      <c r="D7" s="56">
        <f t="shared" si="2"/>
        <v>1125</v>
      </c>
      <c r="E7" s="57">
        <f t="shared" si="3"/>
        <v>375</v>
      </c>
      <c r="F7" s="58">
        <f t="shared" si="4"/>
        <v>9750</v>
      </c>
      <c r="G7" s="59">
        <f t="shared" si="5"/>
        <v>487.5</v>
      </c>
      <c r="H7" s="60">
        <f t="shared" si="6"/>
        <v>9262.5</v>
      </c>
      <c r="I7" s="61" t="str">
        <f t="shared" si="7"/>
        <v>Executive</v>
      </c>
    </row>
    <row r="8">
      <c r="A8" s="52"/>
      <c r="B8" s="52"/>
      <c r="C8" s="52"/>
      <c r="D8" s="52"/>
      <c r="E8" s="52"/>
      <c r="F8" s="52"/>
      <c r="G8" s="52"/>
      <c r="H8" s="52"/>
      <c r="I8" s="52"/>
    </row>
    <row r="9">
      <c r="A9" s="52"/>
      <c r="B9" s="52"/>
      <c r="C9" s="52"/>
      <c r="D9" s="52"/>
      <c r="E9" s="52"/>
      <c r="F9" s="52"/>
      <c r="G9" s="52"/>
      <c r="H9" s="52"/>
      <c r="I9" s="52"/>
    </row>
    <row r="10">
      <c r="A10" s="52"/>
      <c r="B10" s="52"/>
      <c r="C10" s="52"/>
      <c r="D10" s="52"/>
      <c r="E10" s="52"/>
      <c r="F10" s="52"/>
      <c r="G10" s="52"/>
      <c r="H10" s="52"/>
      <c r="I10" s="52"/>
    </row>
    <row r="11">
      <c r="A11" s="52"/>
      <c r="B11" s="52"/>
      <c r="C11" s="62">
        <v>0.1</v>
      </c>
      <c r="D11" s="62">
        <v>0.15</v>
      </c>
      <c r="E11" s="62">
        <v>0.05</v>
      </c>
      <c r="F11" s="63"/>
      <c r="G11" s="62">
        <v>0.05</v>
      </c>
      <c r="H11" s="52"/>
      <c r="I11" s="52"/>
    </row>
    <row r="12">
      <c r="A12" s="52"/>
      <c r="B12" s="52"/>
      <c r="C12" s="52"/>
      <c r="D12" s="52"/>
      <c r="E12" s="52"/>
      <c r="F12" s="52"/>
      <c r="G12" s="52"/>
      <c r="H12" s="52"/>
      <c r="I12" s="5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496B0"/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32.57"/>
    <col customWidth="1" min="3" max="3" width="21.29"/>
    <col customWidth="1" min="4" max="4" width="28.86"/>
    <col customWidth="1" min="5" max="26" width="8.71"/>
  </cols>
  <sheetData>
    <row r="1">
      <c r="A1" s="64" t="s">
        <v>92</v>
      </c>
      <c r="B1" s="64" t="s">
        <v>93</v>
      </c>
      <c r="C1" s="64" t="s">
        <v>94</v>
      </c>
      <c r="D1" s="65" t="s">
        <v>95</v>
      </c>
      <c r="E1" s="47"/>
      <c r="F1" s="47"/>
    </row>
    <row r="2">
      <c r="A2" s="66" t="s">
        <v>96</v>
      </c>
      <c r="B2" s="66">
        <v>80000.0</v>
      </c>
      <c r="C2" s="66">
        <f t="shared" ref="C2:C6" si="1">(B2*$C$9)</f>
        <v>8000</v>
      </c>
      <c r="D2" s="67">
        <f t="shared" ref="D2:D6" si="2">(B2-C2)</f>
        <v>72000</v>
      </c>
    </row>
    <row r="3">
      <c r="A3" s="68" t="s">
        <v>97</v>
      </c>
      <c r="B3" s="68">
        <v>12000.0</v>
      </c>
      <c r="C3" s="68">
        <f t="shared" si="1"/>
        <v>1200</v>
      </c>
      <c r="D3" s="69">
        <f t="shared" si="2"/>
        <v>10800</v>
      </c>
    </row>
    <row r="4">
      <c r="A4" s="66" t="s">
        <v>98</v>
      </c>
      <c r="B4" s="66">
        <v>96000.0</v>
      </c>
      <c r="C4" s="66">
        <f t="shared" si="1"/>
        <v>9600</v>
      </c>
      <c r="D4" s="67">
        <f t="shared" si="2"/>
        <v>86400</v>
      </c>
    </row>
    <row r="5">
      <c r="A5" s="68" t="s">
        <v>99</v>
      </c>
      <c r="B5" s="68">
        <v>85000.0</v>
      </c>
      <c r="C5" s="68">
        <f t="shared" si="1"/>
        <v>8500</v>
      </c>
      <c r="D5" s="69">
        <f t="shared" si="2"/>
        <v>76500</v>
      </c>
    </row>
    <row r="6">
      <c r="A6" s="66" t="s">
        <v>100</v>
      </c>
      <c r="B6" s="66">
        <v>65000.0</v>
      </c>
      <c r="C6" s="66">
        <f t="shared" si="1"/>
        <v>6500</v>
      </c>
      <c r="D6" s="67">
        <f t="shared" si="2"/>
        <v>58500</v>
      </c>
    </row>
    <row r="7">
      <c r="A7" s="68"/>
      <c r="B7" s="68"/>
      <c r="C7" s="68"/>
      <c r="D7" s="69"/>
    </row>
    <row r="8">
      <c r="A8" s="66"/>
      <c r="B8" s="66"/>
      <c r="C8" s="66"/>
      <c r="D8" s="67"/>
    </row>
    <row r="9">
      <c r="A9" s="70"/>
      <c r="B9" s="70"/>
      <c r="C9" s="71">
        <v>0.1</v>
      </c>
      <c r="D9" s="7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20.0"/>
    <col customWidth="1" min="3" max="26" width="8.71"/>
  </cols>
  <sheetData>
    <row r="1">
      <c r="A1" s="47" t="s">
        <v>101</v>
      </c>
      <c r="B1" s="47" t="s">
        <v>102</v>
      </c>
      <c r="C1" s="47"/>
    </row>
    <row r="2">
      <c r="A2" s="33" t="s">
        <v>103</v>
      </c>
      <c r="B2" s="33">
        <v>500.0</v>
      </c>
    </row>
    <row r="3">
      <c r="A3" s="33" t="s">
        <v>104</v>
      </c>
      <c r="B3" s="33">
        <v>350.0</v>
      </c>
    </row>
    <row r="4">
      <c r="A4" s="33" t="s">
        <v>105</v>
      </c>
      <c r="B4" s="33">
        <v>750.0</v>
      </c>
    </row>
    <row r="5">
      <c r="A5" s="33" t="s">
        <v>106</v>
      </c>
      <c r="B5" s="33">
        <v>250.0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5" width="14.0"/>
    <col customWidth="1" min="6" max="26" width="8.71"/>
  </cols>
  <sheetData>
    <row r="1">
      <c r="A1" s="47" t="s">
        <v>17</v>
      </c>
      <c r="B1" s="47" t="s">
        <v>107</v>
      </c>
      <c r="C1" s="47" t="s">
        <v>108</v>
      </c>
      <c r="D1" s="47" t="s">
        <v>109</v>
      </c>
      <c r="E1" s="47" t="s">
        <v>110</v>
      </c>
      <c r="F1" s="47"/>
    </row>
    <row r="2">
      <c r="A2" s="33" t="s">
        <v>111</v>
      </c>
      <c r="B2" s="33">
        <v>25000.0</v>
      </c>
      <c r="C2" s="33">
        <v>35000.0</v>
      </c>
      <c r="D2" s="33">
        <v>50000.0</v>
      </c>
      <c r="E2" s="33">
        <v>45000.0</v>
      </c>
    </row>
    <row r="3">
      <c r="A3" s="33" t="s">
        <v>112</v>
      </c>
      <c r="B3" s="33">
        <v>35000.0</v>
      </c>
      <c r="C3" s="33">
        <v>15000.0</v>
      </c>
      <c r="D3" s="33">
        <v>45000.0</v>
      </c>
      <c r="E3" s="33">
        <v>60000.0</v>
      </c>
    </row>
    <row r="4">
      <c r="A4" s="33" t="s">
        <v>113</v>
      </c>
      <c r="B4" s="33">
        <v>45000.0</v>
      </c>
      <c r="C4" s="33">
        <v>35000.0</v>
      </c>
      <c r="D4" s="33">
        <v>25000.0</v>
      </c>
      <c r="E4" s="33">
        <v>50000.0</v>
      </c>
    </row>
    <row r="5">
      <c r="A5" s="33" t="s">
        <v>114</v>
      </c>
      <c r="B5" s="33">
        <v>65000.0</v>
      </c>
      <c r="C5" s="33">
        <v>45000.0</v>
      </c>
      <c r="D5" s="33">
        <v>50000.0</v>
      </c>
      <c r="E5" s="33">
        <v>25000.0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13.57"/>
    <col customWidth="1" min="3" max="3" width="13.86"/>
    <col customWidth="1" min="4" max="4" width="14.43"/>
    <col customWidth="1" min="5" max="5" width="20.57"/>
    <col customWidth="1" min="6" max="6" width="19.57"/>
    <col customWidth="1" min="7" max="26" width="8.71"/>
  </cols>
  <sheetData>
    <row r="1">
      <c r="A1" s="47" t="s">
        <v>115</v>
      </c>
      <c r="B1" s="47" t="s">
        <v>116</v>
      </c>
      <c r="C1" s="47" t="s">
        <v>117</v>
      </c>
      <c r="D1" s="47" t="s">
        <v>32</v>
      </c>
      <c r="E1" s="47" t="s">
        <v>22</v>
      </c>
      <c r="F1" s="47" t="s">
        <v>33</v>
      </c>
      <c r="G1" s="47"/>
    </row>
    <row r="2">
      <c r="A2" s="33" t="s">
        <v>118</v>
      </c>
      <c r="B2" s="33">
        <v>5000.0</v>
      </c>
      <c r="C2" s="33">
        <v>2500.0</v>
      </c>
      <c r="D2" s="33">
        <v>1500.0</v>
      </c>
      <c r="E2" s="33">
        <f t="shared" ref="E2:E5" si="1">SUM(B2:D2)</f>
        <v>9000</v>
      </c>
      <c r="F2" s="33" t="str">
        <f t="shared" ref="F2:F5" si="2">IF(E2&gt;10000,E2*5%,"No Commission")</f>
        <v>No Commission</v>
      </c>
    </row>
    <row r="3">
      <c r="A3" s="33" t="s">
        <v>119</v>
      </c>
      <c r="B3" s="33">
        <v>6500.0</v>
      </c>
      <c r="C3" s="33">
        <v>5500.0</v>
      </c>
      <c r="D3" s="33">
        <v>7500.0</v>
      </c>
      <c r="E3" s="33">
        <f t="shared" si="1"/>
        <v>19500</v>
      </c>
      <c r="F3" s="33">
        <f t="shared" si="2"/>
        <v>975</v>
      </c>
    </row>
    <row r="4">
      <c r="A4" s="33" t="s">
        <v>120</v>
      </c>
      <c r="B4" s="33">
        <v>2500.0</v>
      </c>
      <c r="C4" s="33">
        <v>1500.0</v>
      </c>
      <c r="D4" s="33">
        <v>3000.0</v>
      </c>
      <c r="E4" s="33">
        <f t="shared" si="1"/>
        <v>7000</v>
      </c>
      <c r="F4" s="33" t="str">
        <f t="shared" si="2"/>
        <v>No Commission</v>
      </c>
    </row>
    <row r="5">
      <c r="A5" s="33" t="s">
        <v>121</v>
      </c>
      <c r="B5" s="33">
        <v>5000.0</v>
      </c>
      <c r="C5" s="33">
        <v>7500.0</v>
      </c>
      <c r="D5" s="33">
        <v>6000.0</v>
      </c>
      <c r="E5" s="33">
        <f t="shared" si="1"/>
        <v>18500</v>
      </c>
      <c r="F5" s="33">
        <f t="shared" si="2"/>
        <v>925</v>
      </c>
    </row>
    <row r="7">
      <c r="A7" s="73" t="s">
        <v>40</v>
      </c>
      <c r="B7" s="33">
        <f t="shared" ref="B7:D7" si="3">MAX(B2:B5)</f>
        <v>6500</v>
      </c>
      <c r="C7" s="33">
        <f t="shared" si="3"/>
        <v>7500</v>
      </c>
      <c r="D7" s="33">
        <f t="shared" si="3"/>
        <v>7500</v>
      </c>
      <c r="F7" s="33">
        <f>MAX(F2:F5)</f>
        <v>975</v>
      </c>
    </row>
    <row r="8">
      <c r="A8" s="73" t="s">
        <v>41</v>
      </c>
      <c r="B8" s="33">
        <f t="shared" ref="B8:D8" si="4">MIN(B2:B5)</f>
        <v>2500</v>
      </c>
      <c r="C8" s="33">
        <f t="shared" si="4"/>
        <v>1500</v>
      </c>
      <c r="D8" s="33">
        <f t="shared" si="4"/>
        <v>1500</v>
      </c>
      <c r="F8" s="33">
        <f>MIN(F2:F5)</f>
        <v>925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2"/>
  <cols>
    <col customWidth="1" min="1" max="1" width="15.57"/>
    <col customWidth="1" min="2" max="2" width="18.14"/>
    <col customWidth="1" min="3" max="3" width="17.0"/>
    <col customWidth="1" min="4" max="4" width="18.14"/>
    <col customWidth="1" min="5" max="26" width="8.71"/>
  </cols>
  <sheetData>
    <row r="1">
      <c r="A1" s="74" t="s">
        <v>122</v>
      </c>
      <c r="B1" s="74" t="s">
        <v>123</v>
      </c>
      <c r="C1" s="74" t="s">
        <v>17</v>
      </c>
      <c r="D1" s="74" t="s">
        <v>124</v>
      </c>
      <c r="E1" s="47"/>
    </row>
    <row r="2" outlineLevel="2">
      <c r="A2" s="75" t="s">
        <v>125</v>
      </c>
      <c r="B2" s="75" t="s">
        <v>126</v>
      </c>
      <c r="C2" s="75" t="s">
        <v>127</v>
      </c>
      <c r="D2" s="75">
        <v>35000.0</v>
      </c>
    </row>
    <row r="3" outlineLevel="2">
      <c r="A3" s="75" t="s">
        <v>128</v>
      </c>
      <c r="B3" s="75" t="s">
        <v>126</v>
      </c>
      <c r="C3" s="75" t="s">
        <v>129</v>
      </c>
      <c r="D3" s="75">
        <v>25000.0</v>
      </c>
    </row>
    <row r="4" outlineLevel="2">
      <c r="A4" s="75" t="s">
        <v>130</v>
      </c>
      <c r="B4" s="75" t="s">
        <v>126</v>
      </c>
      <c r="C4" s="75" t="s">
        <v>129</v>
      </c>
      <c r="D4" s="75">
        <v>75000.0</v>
      </c>
    </row>
    <row r="5" outlineLevel="1">
      <c r="A5" s="75"/>
      <c r="B5" s="76" t="s">
        <v>131</v>
      </c>
      <c r="C5" s="75"/>
      <c r="D5" s="76">
        <f>SUBTOTAL(9,D2:D4)</f>
        <v>135000</v>
      </c>
    </row>
    <row r="6" outlineLevel="2">
      <c r="A6" s="75" t="s">
        <v>128</v>
      </c>
      <c r="B6" s="75" t="s">
        <v>132</v>
      </c>
      <c r="C6" s="75" t="s">
        <v>127</v>
      </c>
      <c r="D6" s="75">
        <v>65000.0</v>
      </c>
    </row>
    <row r="7" outlineLevel="2">
      <c r="A7" s="75" t="s">
        <v>130</v>
      </c>
      <c r="B7" s="75" t="s">
        <v>132</v>
      </c>
      <c r="C7" s="75" t="s">
        <v>127</v>
      </c>
      <c r="D7" s="75">
        <v>95000.0</v>
      </c>
    </row>
    <row r="8" outlineLevel="2">
      <c r="A8" s="75" t="s">
        <v>125</v>
      </c>
      <c r="B8" s="75" t="s">
        <v>132</v>
      </c>
      <c r="C8" s="75" t="s">
        <v>129</v>
      </c>
      <c r="D8" s="75">
        <v>10000.0</v>
      </c>
    </row>
    <row r="9" outlineLevel="1">
      <c r="A9" s="75"/>
      <c r="B9" s="76" t="s">
        <v>133</v>
      </c>
      <c r="C9" s="75"/>
      <c r="D9" s="76">
        <f>SUBTOTAL(9,D6:D8)</f>
        <v>170000</v>
      </c>
    </row>
    <row r="10">
      <c r="A10" s="75"/>
      <c r="B10" s="76" t="s">
        <v>134</v>
      </c>
      <c r="C10" s="75"/>
      <c r="D10" s="77">
        <f>SUBTOTAL(9,D2:D8)</f>
        <v>305000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2"/>
  <cols>
    <col customWidth="1" min="1" max="1" width="16.14"/>
    <col customWidth="1" min="2" max="2" width="18.0"/>
    <col customWidth="1" min="3" max="3" width="16.57"/>
    <col customWidth="1" min="4" max="4" width="19.0"/>
    <col customWidth="1" min="5" max="26" width="8.71"/>
  </cols>
  <sheetData>
    <row r="1">
      <c r="A1" s="74" t="s">
        <v>122</v>
      </c>
      <c r="B1" s="74" t="s">
        <v>123</v>
      </c>
      <c r="C1" s="74" t="s">
        <v>17</v>
      </c>
      <c r="D1" s="74" t="s">
        <v>124</v>
      </c>
    </row>
    <row r="2" hidden="1" outlineLevel="2">
      <c r="A2" s="75" t="s">
        <v>128</v>
      </c>
      <c r="B2" s="75" t="s">
        <v>132</v>
      </c>
      <c r="C2" s="75" t="s">
        <v>127</v>
      </c>
      <c r="D2" s="75">
        <v>65000.0</v>
      </c>
    </row>
    <row r="3" hidden="1" outlineLevel="2">
      <c r="A3" s="75" t="s">
        <v>130</v>
      </c>
      <c r="B3" s="75" t="s">
        <v>132</v>
      </c>
      <c r="C3" s="75" t="s">
        <v>127</v>
      </c>
      <c r="D3" s="75">
        <v>95000.0</v>
      </c>
    </row>
    <row r="4" hidden="1" outlineLevel="2">
      <c r="A4" s="75" t="s">
        <v>125</v>
      </c>
      <c r="B4" s="75" t="s">
        <v>126</v>
      </c>
      <c r="C4" s="75" t="s">
        <v>127</v>
      </c>
      <c r="D4" s="75">
        <v>35000.0</v>
      </c>
    </row>
    <row r="5" hidden="1" outlineLevel="1">
      <c r="A5" s="75"/>
      <c r="B5" s="75"/>
      <c r="C5" s="76" t="s">
        <v>135</v>
      </c>
      <c r="D5" s="75">
        <f>SUBTOTAL(9,D2:D4)</f>
        <v>0</v>
      </c>
    </row>
    <row r="6" outlineLevel="2">
      <c r="A6" s="75" t="s">
        <v>125</v>
      </c>
      <c r="B6" s="75" t="s">
        <v>132</v>
      </c>
      <c r="C6" s="75" t="s">
        <v>129</v>
      </c>
      <c r="D6" s="75">
        <v>10000.0</v>
      </c>
    </row>
    <row r="7" outlineLevel="2">
      <c r="A7" s="75" t="s">
        <v>128</v>
      </c>
      <c r="B7" s="75" t="s">
        <v>126</v>
      </c>
      <c r="C7" s="75" t="s">
        <v>129</v>
      </c>
      <c r="D7" s="75">
        <v>25000.0</v>
      </c>
    </row>
    <row r="8" outlineLevel="2">
      <c r="A8" s="75" t="s">
        <v>130</v>
      </c>
      <c r="B8" s="75" t="s">
        <v>126</v>
      </c>
      <c r="C8" s="75" t="s">
        <v>129</v>
      </c>
      <c r="D8" s="75">
        <v>75000.0</v>
      </c>
    </row>
    <row r="9" outlineLevel="1">
      <c r="A9" s="75"/>
      <c r="B9" s="75"/>
      <c r="C9" s="76" t="s">
        <v>136</v>
      </c>
      <c r="D9" s="75">
        <f>SUBTOTAL(9,D6:D8)</f>
        <v>110000</v>
      </c>
    </row>
    <row r="10" hidden="1">
      <c r="A10" s="75"/>
      <c r="B10" s="75"/>
      <c r="C10" s="76" t="s">
        <v>134</v>
      </c>
      <c r="D10" s="75">
        <f>SUBTOTAL(9,D2:D8)</f>
        <v>110000</v>
      </c>
    </row>
    <row r="11" hidden="1">
      <c r="A11" s="78"/>
      <c r="B11" s="78"/>
      <c r="C11" s="78"/>
      <c r="D11" s="78"/>
    </row>
    <row r="12" hidden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D$12">
    <filterColumn colId="2">
      <filters>
        <filter val="Tubes Total"/>
        <filter val="Tubes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43"/>
    <col customWidth="1" min="2" max="2" width="12.71"/>
    <col customWidth="1" min="3" max="3" width="13.86"/>
    <col customWidth="1" min="4" max="26" width="8.71"/>
  </cols>
  <sheetData>
    <row r="1">
      <c r="A1" s="74" t="s">
        <v>137</v>
      </c>
      <c r="B1" s="74" t="s">
        <v>138</v>
      </c>
      <c r="C1" s="74" t="s">
        <v>139</v>
      </c>
    </row>
    <row r="2">
      <c r="A2" s="75" t="s">
        <v>140</v>
      </c>
      <c r="B2" s="75" t="s">
        <v>141</v>
      </c>
      <c r="C2" s="75">
        <v>65000.0</v>
      </c>
    </row>
    <row r="3">
      <c r="A3" s="75" t="s">
        <v>142</v>
      </c>
      <c r="B3" s="75" t="s">
        <v>143</v>
      </c>
      <c r="C3" s="75">
        <v>45000.0</v>
      </c>
    </row>
    <row r="4">
      <c r="A4" s="75" t="s">
        <v>142</v>
      </c>
      <c r="B4" s="75" t="s">
        <v>144</v>
      </c>
      <c r="C4" s="75">
        <v>65000.0</v>
      </c>
    </row>
    <row r="5">
      <c r="A5" s="75" t="s">
        <v>145</v>
      </c>
      <c r="B5" s="75" t="s">
        <v>146</v>
      </c>
      <c r="C5" s="75">
        <v>65000.0</v>
      </c>
    </row>
    <row r="6">
      <c r="A6" s="75" t="s">
        <v>145</v>
      </c>
      <c r="B6" s="75" t="s">
        <v>143</v>
      </c>
      <c r="C6" s="75">
        <v>35000.0</v>
      </c>
    </row>
    <row r="7">
      <c r="A7" s="75" t="s">
        <v>145</v>
      </c>
      <c r="B7" s="75" t="s">
        <v>144</v>
      </c>
      <c r="C7" s="75">
        <v>95000.0</v>
      </c>
    </row>
    <row r="8">
      <c r="A8" s="75" t="s">
        <v>142</v>
      </c>
      <c r="B8" s="75" t="s">
        <v>141</v>
      </c>
      <c r="C8" s="75">
        <v>65000.0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1.57"/>
    <col customWidth="1" min="3" max="3" width="15.14"/>
    <col customWidth="1" min="4" max="5" width="14.0"/>
    <col customWidth="1" min="6" max="6" width="25.57"/>
    <col customWidth="1" min="7" max="7" width="24.86"/>
    <col customWidth="1" min="8" max="8" width="24.14"/>
    <col customWidth="1" min="9" max="26" width="8.71"/>
  </cols>
  <sheetData>
    <row r="1">
      <c r="A1" s="79" t="s">
        <v>17</v>
      </c>
      <c r="B1" s="79" t="s">
        <v>147</v>
      </c>
      <c r="C1" s="79" t="s">
        <v>148</v>
      </c>
      <c r="D1" s="79" t="s">
        <v>149</v>
      </c>
      <c r="E1" s="79" t="s">
        <v>150</v>
      </c>
      <c r="F1" s="79" t="s">
        <v>151</v>
      </c>
      <c r="G1" s="79" t="s">
        <v>152</v>
      </c>
      <c r="H1" s="79" t="s">
        <v>153</v>
      </c>
      <c r="I1" s="47"/>
    </row>
    <row r="2">
      <c r="A2" s="80" t="s">
        <v>154</v>
      </c>
      <c r="B2" s="80">
        <v>30.0</v>
      </c>
      <c r="C2" s="80">
        <v>200.0</v>
      </c>
      <c r="D2" s="80">
        <v>300.0</v>
      </c>
      <c r="E2" s="80">
        <v>400.0</v>
      </c>
      <c r="F2" s="80">
        <f t="shared" ref="F2:F8" si="1">(B2)*(C2+D2+E2)</f>
        <v>27000</v>
      </c>
      <c r="G2" s="80">
        <f t="shared" ref="G2:G8" si="2">(C2*25%)+(D2*35%)+(E2*40%)</f>
        <v>315</v>
      </c>
      <c r="H2" s="80">
        <f t="shared" ref="H2:H8" si="3">(B2*10%+B2)*G2</f>
        <v>10395</v>
      </c>
    </row>
    <row r="3">
      <c r="A3" s="80" t="s">
        <v>155</v>
      </c>
      <c r="B3" s="80">
        <v>25.0</v>
      </c>
      <c r="C3" s="80">
        <v>250.0</v>
      </c>
      <c r="D3" s="80">
        <v>350.0</v>
      </c>
      <c r="E3" s="80">
        <v>150.0</v>
      </c>
      <c r="F3" s="80">
        <f t="shared" si="1"/>
        <v>18750</v>
      </c>
      <c r="G3" s="80">
        <f t="shared" si="2"/>
        <v>245</v>
      </c>
      <c r="H3" s="80">
        <f t="shared" si="3"/>
        <v>6737.5</v>
      </c>
    </row>
    <row r="4">
      <c r="A4" s="80" t="s">
        <v>156</v>
      </c>
      <c r="B4" s="80">
        <v>65.0</v>
      </c>
      <c r="C4" s="80">
        <v>250.0</v>
      </c>
      <c r="D4" s="80">
        <v>450.0</v>
      </c>
      <c r="E4" s="80">
        <v>150.0</v>
      </c>
      <c r="F4" s="80">
        <f t="shared" si="1"/>
        <v>55250</v>
      </c>
      <c r="G4" s="80">
        <f t="shared" si="2"/>
        <v>280</v>
      </c>
      <c r="H4" s="80">
        <f t="shared" si="3"/>
        <v>20020</v>
      </c>
    </row>
    <row r="5">
      <c r="A5" s="80" t="s">
        <v>157</v>
      </c>
      <c r="B5" s="80">
        <v>35.0</v>
      </c>
      <c r="C5" s="80">
        <v>750.0</v>
      </c>
      <c r="D5" s="80">
        <v>450.0</v>
      </c>
      <c r="E5" s="80">
        <v>650.0</v>
      </c>
      <c r="F5" s="80">
        <f t="shared" si="1"/>
        <v>64750</v>
      </c>
      <c r="G5" s="80">
        <f t="shared" si="2"/>
        <v>605</v>
      </c>
      <c r="H5" s="80">
        <f t="shared" si="3"/>
        <v>23292.5</v>
      </c>
    </row>
    <row r="6">
      <c r="A6" s="80" t="s">
        <v>158</v>
      </c>
      <c r="B6" s="80">
        <v>50.0</v>
      </c>
      <c r="C6" s="80">
        <v>250.0</v>
      </c>
      <c r="D6" s="80">
        <v>450.0</v>
      </c>
      <c r="E6" s="80">
        <v>550.0</v>
      </c>
      <c r="F6" s="80">
        <f t="shared" si="1"/>
        <v>62500</v>
      </c>
      <c r="G6" s="80">
        <f t="shared" si="2"/>
        <v>440</v>
      </c>
      <c r="H6" s="80">
        <f t="shared" si="3"/>
        <v>24200</v>
      </c>
    </row>
    <row r="7">
      <c r="A7" s="80" t="s">
        <v>159</v>
      </c>
      <c r="B7" s="80">
        <v>85.0</v>
      </c>
      <c r="C7" s="80">
        <v>450.0</v>
      </c>
      <c r="D7" s="80">
        <v>500.0</v>
      </c>
      <c r="E7" s="80">
        <v>750.0</v>
      </c>
      <c r="F7" s="80">
        <f t="shared" si="1"/>
        <v>144500</v>
      </c>
      <c r="G7" s="80">
        <f t="shared" si="2"/>
        <v>587.5</v>
      </c>
      <c r="H7" s="80">
        <f t="shared" si="3"/>
        <v>54931.25</v>
      </c>
    </row>
    <row r="8">
      <c r="A8" s="80" t="s">
        <v>160</v>
      </c>
      <c r="B8" s="80">
        <v>45.0</v>
      </c>
      <c r="C8" s="80">
        <v>200.0</v>
      </c>
      <c r="D8" s="80">
        <v>400.0</v>
      </c>
      <c r="E8" s="80">
        <v>250.0</v>
      </c>
      <c r="F8" s="80">
        <f t="shared" si="1"/>
        <v>38250</v>
      </c>
      <c r="G8" s="80">
        <f t="shared" si="2"/>
        <v>290</v>
      </c>
      <c r="H8" s="80">
        <f t="shared" si="3"/>
        <v>14355</v>
      </c>
    </row>
    <row r="9">
      <c r="A9" s="75"/>
      <c r="B9" s="75"/>
      <c r="C9" s="75"/>
      <c r="D9" s="75"/>
      <c r="E9" s="75"/>
      <c r="F9" s="75"/>
      <c r="G9" s="75"/>
      <c r="H9" s="75"/>
    </row>
    <row r="10">
      <c r="A10" s="75"/>
      <c r="B10" s="75"/>
      <c r="C10" s="75"/>
      <c r="D10" s="75"/>
      <c r="E10" s="75"/>
      <c r="F10" s="75"/>
      <c r="G10" s="75"/>
      <c r="H10" s="75"/>
    </row>
    <row r="11">
      <c r="A11" s="8"/>
      <c r="B11" s="8"/>
      <c r="C11" s="8"/>
      <c r="D11" s="8"/>
      <c r="E11" s="8"/>
      <c r="F11" s="8"/>
      <c r="G11" s="8"/>
      <c r="H11" s="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14.57"/>
    <col customWidth="1" min="3" max="3" width="14.14"/>
    <col customWidth="1" min="4" max="4" width="19.71"/>
    <col customWidth="1" min="5" max="5" width="11.0"/>
    <col customWidth="1" min="6" max="6" width="17.86"/>
    <col customWidth="1" min="7" max="26" width="8.71"/>
  </cols>
  <sheetData>
    <row r="1">
      <c r="A1" s="81" t="s">
        <v>161</v>
      </c>
      <c r="B1" s="81" t="s">
        <v>162</v>
      </c>
      <c r="C1" s="81" t="s">
        <v>163</v>
      </c>
      <c r="D1" s="81" t="s">
        <v>164</v>
      </c>
      <c r="E1" s="81" t="s">
        <v>165</v>
      </c>
      <c r="F1" s="81" t="s">
        <v>166</v>
      </c>
    </row>
    <row r="2">
      <c r="A2" s="80" t="s">
        <v>167</v>
      </c>
      <c r="B2" s="80" t="s">
        <v>168</v>
      </c>
      <c r="C2" s="82">
        <v>42867.0</v>
      </c>
      <c r="D2" s="82">
        <v>42901.0</v>
      </c>
      <c r="E2" s="80">
        <f t="shared" ref="E2:E6" si="1">(D2-C2)</f>
        <v>34</v>
      </c>
      <c r="F2" s="83">
        <f t="shared" ref="F2:F6" si="2">IF(E2&gt;15,(E2-15)*5,0)</f>
        <v>95</v>
      </c>
    </row>
    <row r="3">
      <c r="A3" s="80" t="s">
        <v>169</v>
      </c>
      <c r="B3" s="80" t="s">
        <v>170</v>
      </c>
      <c r="C3" s="82">
        <v>42870.0</v>
      </c>
      <c r="D3" s="82">
        <v>42880.0</v>
      </c>
      <c r="E3" s="80">
        <f t="shared" si="1"/>
        <v>10</v>
      </c>
      <c r="F3" s="83">
        <f t="shared" si="2"/>
        <v>0</v>
      </c>
    </row>
    <row r="4">
      <c r="A4" s="80" t="s">
        <v>86</v>
      </c>
      <c r="B4" s="80" t="s">
        <v>171</v>
      </c>
      <c r="C4" s="82">
        <v>42871.0</v>
      </c>
      <c r="D4" s="82">
        <v>42887.0</v>
      </c>
      <c r="E4" s="80">
        <f t="shared" si="1"/>
        <v>16</v>
      </c>
      <c r="F4" s="83">
        <f t="shared" si="2"/>
        <v>5</v>
      </c>
    </row>
    <row r="5">
      <c r="A5" s="80" t="s">
        <v>88</v>
      </c>
      <c r="B5" s="80" t="s">
        <v>172</v>
      </c>
      <c r="C5" s="82">
        <v>42875.0</v>
      </c>
      <c r="D5" s="82">
        <v>42880.0</v>
      </c>
      <c r="E5" s="80">
        <f t="shared" si="1"/>
        <v>5</v>
      </c>
      <c r="F5" s="83">
        <f t="shared" si="2"/>
        <v>0</v>
      </c>
    </row>
    <row r="6">
      <c r="A6" s="80" t="s">
        <v>90</v>
      </c>
      <c r="B6" s="80" t="s">
        <v>173</v>
      </c>
      <c r="C6" s="82">
        <v>42880.0</v>
      </c>
      <c r="D6" s="82">
        <v>42911.0</v>
      </c>
      <c r="E6" s="80">
        <f t="shared" si="1"/>
        <v>31</v>
      </c>
      <c r="F6" s="83">
        <f t="shared" si="2"/>
        <v>80</v>
      </c>
    </row>
    <row r="7">
      <c r="A7" s="75"/>
      <c r="B7" s="75"/>
      <c r="C7" s="75"/>
      <c r="D7" s="75"/>
      <c r="E7" s="75"/>
      <c r="F7" s="75"/>
    </row>
    <row r="8">
      <c r="A8" s="75"/>
      <c r="B8" s="75"/>
      <c r="C8" s="75"/>
      <c r="D8" s="75"/>
      <c r="E8" s="75"/>
      <c r="F8" s="75"/>
    </row>
    <row r="9">
      <c r="A9" s="75"/>
      <c r="B9" s="75"/>
      <c r="C9" s="75"/>
      <c r="D9" s="75"/>
      <c r="E9" s="75"/>
      <c r="F9" s="75"/>
    </row>
    <row r="10">
      <c r="A10" s="75"/>
      <c r="B10" s="75"/>
      <c r="C10" s="75"/>
      <c r="D10" s="75"/>
      <c r="E10" s="75"/>
      <c r="F10" s="75"/>
    </row>
    <row r="11">
      <c r="A11" s="75"/>
      <c r="B11" s="75"/>
      <c r="C11" s="75"/>
      <c r="D11" s="75"/>
      <c r="E11" s="75"/>
      <c r="F11" s="7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16.86"/>
    <col customWidth="1" min="3" max="3" width="22.29"/>
    <col customWidth="1" min="4" max="26" width="8.71"/>
  </cols>
  <sheetData>
    <row r="1">
      <c r="A1" s="74" t="s">
        <v>174</v>
      </c>
      <c r="B1" s="74" t="s">
        <v>175</v>
      </c>
      <c r="C1" s="74" t="s">
        <v>176</v>
      </c>
      <c r="D1" s="47"/>
    </row>
    <row r="2">
      <c r="A2" s="75" t="s">
        <v>177</v>
      </c>
      <c r="B2" s="75">
        <v>25000.0</v>
      </c>
      <c r="C2" s="75" t="str">
        <f t="shared" ref="C2:C9" si="1">IF(B2&gt;=90000,"Gold Card",IF(B2&gt;=80000,"Silver Card",IF(B2&gt;=65000,"Aluminum Card",IF(B2&gt;=50000,"Plastic Card","No Card"))))</f>
        <v>No Card</v>
      </c>
    </row>
    <row r="3">
      <c r="A3" s="75" t="s">
        <v>178</v>
      </c>
      <c r="B3" s="75">
        <v>65000.0</v>
      </c>
      <c r="C3" s="75" t="str">
        <f t="shared" si="1"/>
        <v>Aluminum Card</v>
      </c>
    </row>
    <row r="4">
      <c r="A4" s="75" t="s">
        <v>179</v>
      </c>
      <c r="B4" s="75">
        <v>45000.0</v>
      </c>
      <c r="C4" s="75" t="str">
        <f t="shared" si="1"/>
        <v>No Card</v>
      </c>
    </row>
    <row r="5">
      <c r="A5" s="75" t="s">
        <v>180</v>
      </c>
      <c r="B5" s="75">
        <v>96000.0</v>
      </c>
      <c r="C5" s="75" t="str">
        <f t="shared" si="1"/>
        <v>Gold Card</v>
      </c>
    </row>
    <row r="6">
      <c r="A6" s="75" t="s">
        <v>181</v>
      </c>
      <c r="B6" s="75">
        <v>78000.0</v>
      </c>
      <c r="C6" s="75" t="str">
        <f t="shared" si="1"/>
        <v>Aluminum Card</v>
      </c>
    </row>
    <row r="7">
      <c r="A7" s="75" t="s">
        <v>182</v>
      </c>
      <c r="B7" s="75">
        <v>82000.0</v>
      </c>
      <c r="C7" s="75" t="str">
        <f t="shared" si="1"/>
        <v>Silver Card</v>
      </c>
    </row>
    <row r="8">
      <c r="A8" s="75" t="s">
        <v>183</v>
      </c>
      <c r="B8" s="75">
        <v>41000.0</v>
      </c>
      <c r="C8" s="75" t="str">
        <f t="shared" si="1"/>
        <v>No Card</v>
      </c>
    </row>
    <row r="9">
      <c r="A9" s="75" t="s">
        <v>184</v>
      </c>
      <c r="B9" s="75">
        <v>66000.0</v>
      </c>
      <c r="C9" s="75" t="str">
        <f t="shared" si="1"/>
        <v>Aluminum Card</v>
      </c>
    </row>
    <row r="10">
      <c r="A10" s="75"/>
      <c r="B10" s="75"/>
      <c r="C10" s="75"/>
    </row>
    <row r="11">
      <c r="A11" s="8"/>
      <c r="B11" s="8"/>
      <c r="C11" s="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18.0"/>
    <col customWidth="1" min="3" max="3" width="18.57"/>
    <col customWidth="1" min="4" max="26" width="8.71"/>
  </cols>
  <sheetData>
    <row r="1">
      <c r="A1" s="74" t="s">
        <v>185</v>
      </c>
      <c r="B1" s="74" t="s">
        <v>186</v>
      </c>
      <c r="C1" s="74" t="s">
        <v>187</v>
      </c>
      <c r="D1" s="74"/>
    </row>
    <row r="2">
      <c r="A2" s="75" t="s">
        <v>128</v>
      </c>
      <c r="B2" s="75">
        <v>95.0</v>
      </c>
      <c r="C2" s="75" t="str">
        <f t="shared" ref="C2:C8" si="1">IF(B2&gt;=85,"Excellent",IF(B2&gt;=70,"Distinction",IF(B2&gt;=60,"First Class",IF(B2&gt;=50,"Second Class","Fail"))))</f>
        <v>Excellent</v>
      </c>
      <c r="D2" s="8"/>
    </row>
    <row r="3">
      <c r="A3" s="75" t="s">
        <v>188</v>
      </c>
      <c r="B3" s="75">
        <v>85.0</v>
      </c>
      <c r="C3" s="75" t="str">
        <f t="shared" si="1"/>
        <v>Excellent</v>
      </c>
      <c r="D3" s="8"/>
    </row>
    <row r="4">
      <c r="A4" s="75" t="s">
        <v>86</v>
      </c>
      <c r="B4" s="75">
        <v>75.0</v>
      </c>
      <c r="C4" s="75" t="str">
        <f t="shared" si="1"/>
        <v>Distinction</v>
      </c>
      <c r="D4" s="8"/>
    </row>
    <row r="5">
      <c r="A5" s="75" t="s">
        <v>189</v>
      </c>
      <c r="B5" s="75">
        <v>55.0</v>
      </c>
      <c r="C5" s="75" t="str">
        <f t="shared" si="1"/>
        <v>Second Class</v>
      </c>
      <c r="D5" s="8"/>
    </row>
    <row r="6">
      <c r="A6" s="75" t="s">
        <v>190</v>
      </c>
      <c r="B6" s="75">
        <v>65.0</v>
      </c>
      <c r="C6" s="75" t="str">
        <f t="shared" si="1"/>
        <v>First Class</v>
      </c>
      <c r="D6" s="8"/>
    </row>
    <row r="7">
      <c r="A7" s="75" t="s">
        <v>88</v>
      </c>
      <c r="B7" s="75">
        <v>45.0</v>
      </c>
      <c r="C7" s="75" t="str">
        <f t="shared" si="1"/>
        <v>Fail</v>
      </c>
      <c r="D7" s="8"/>
    </row>
    <row r="8">
      <c r="A8" s="75" t="s">
        <v>191</v>
      </c>
      <c r="B8" s="75">
        <v>77.0</v>
      </c>
      <c r="C8" s="75" t="str">
        <f t="shared" si="1"/>
        <v>Distinction</v>
      </c>
      <c r="D8" s="8"/>
    </row>
    <row r="9">
      <c r="A9" s="78"/>
      <c r="B9" s="78"/>
      <c r="C9" s="7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6" width="8.71"/>
  </cols>
  <sheetData>
    <row r="1">
      <c r="A1" s="84" t="s">
        <v>192</v>
      </c>
      <c r="B1" s="84" t="s">
        <v>44</v>
      </c>
    </row>
    <row r="2">
      <c r="A2" s="85" t="s">
        <v>116</v>
      </c>
      <c r="B2" s="86">
        <v>2500.0</v>
      </c>
    </row>
    <row r="3">
      <c r="A3" s="87" t="s">
        <v>117</v>
      </c>
      <c r="B3" s="85">
        <v>3600.0</v>
      </c>
    </row>
    <row r="4">
      <c r="A4" s="86" t="s">
        <v>32</v>
      </c>
      <c r="B4" s="87">
        <v>7500.0</v>
      </c>
    </row>
    <row r="5">
      <c r="A5" s="8"/>
      <c r="B5" s="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29"/>
    <col customWidth="1" min="3" max="26" width="8.71"/>
  </cols>
  <sheetData>
    <row r="1">
      <c r="A1" s="74" t="s">
        <v>193</v>
      </c>
      <c r="B1" s="74" t="s">
        <v>44</v>
      </c>
      <c r="C1" s="8"/>
    </row>
    <row r="2">
      <c r="A2" s="75" t="s">
        <v>194</v>
      </c>
      <c r="B2" s="75">
        <v>150000.0</v>
      </c>
      <c r="C2" s="8"/>
    </row>
    <row r="3">
      <c r="A3" s="75" t="s">
        <v>195</v>
      </c>
      <c r="B3" s="75">
        <v>450000.0</v>
      </c>
      <c r="C3" s="8"/>
    </row>
    <row r="4">
      <c r="A4" s="75" t="s">
        <v>196</v>
      </c>
      <c r="B4" s="75">
        <v>250000.0</v>
      </c>
      <c r="C4" s="8"/>
    </row>
    <row r="5">
      <c r="A5" s="75" t="s">
        <v>197</v>
      </c>
      <c r="B5" s="75">
        <v>750000.0</v>
      </c>
      <c r="C5" s="8"/>
    </row>
    <row r="6">
      <c r="A6" s="75" t="s">
        <v>198</v>
      </c>
      <c r="B6" s="75">
        <f>SUM(B2:B5)</f>
        <v>1600000</v>
      </c>
      <c r="C6" s="8"/>
    </row>
    <row r="7">
      <c r="A7" s="8"/>
      <c r="B7" s="8"/>
      <c r="C7" s="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29"/>
    <col customWidth="1" min="3" max="26" width="8.71"/>
  </cols>
  <sheetData>
    <row r="1">
      <c r="A1" s="74" t="s">
        <v>193</v>
      </c>
      <c r="B1" s="74" t="s">
        <v>44</v>
      </c>
    </row>
    <row r="2">
      <c r="A2" s="75" t="s">
        <v>194</v>
      </c>
      <c r="B2" s="75">
        <v>250000.0</v>
      </c>
    </row>
    <row r="3">
      <c r="A3" s="75" t="s">
        <v>195</v>
      </c>
      <c r="B3" s="75">
        <v>450000.0</v>
      </c>
    </row>
    <row r="4">
      <c r="A4" s="75" t="s">
        <v>196</v>
      </c>
      <c r="B4" s="75">
        <v>150000.0</v>
      </c>
    </row>
    <row r="5">
      <c r="A5" s="75" t="s">
        <v>197</v>
      </c>
      <c r="B5" s="75">
        <v>550000.0</v>
      </c>
    </row>
    <row r="6">
      <c r="A6" s="75" t="s">
        <v>198</v>
      </c>
      <c r="B6" s="75">
        <f>SUM(B2:B5)</f>
        <v>1400000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29"/>
    <col customWidth="1" min="3" max="26" width="8.71"/>
  </cols>
  <sheetData>
    <row r="1">
      <c r="A1" s="74" t="s">
        <v>193</v>
      </c>
      <c r="B1" s="74" t="s">
        <v>44</v>
      </c>
    </row>
    <row r="2">
      <c r="A2" s="75" t="s">
        <v>194</v>
      </c>
      <c r="B2" s="75">
        <v>150000.0</v>
      </c>
    </row>
    <row r="3">
      <c r="A3" s="75" t="s">
        <v>195</v>
      </c>
      <c r="B3" s="75">
        <v>450000.0</v>
      </c>
    </row>
    <row r="4">
      <c r="A4" s="75" t="s">
        <v>196</v>
      </c>
      <c r="B4" s="75">
        <v>250000.0</v>
      </c>
    </row>
    <row r="5">
      <c r="A5" s="75" t="s">
        <v>197</v>
      </c>
      <c r="B5" s="75">
        <v>750000.0</v>
      </c>
    </row>
    <row r="6">
      <c r="A6" s="75" t="s">
        <v>198</v>
      </c>
      <c r="B6" s="75">
        <f>SUM(B2:B5)</f>
        <v>1600000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29"/>
    <col customWidth="1" min="3" max="26" width="8.71"/>
  </cols>
  <sheetData>
    <row r="1">
      <c r="A1" s="74" t="s">
        <v>193</v>
      </c>
      <c r="B1" s="74" t="s">
        <v>44</v>
      </c>
    </row>
    <row r="2">
      <c r="A2" s="75" t="s">
        <v>194</v>
      </c>
      <c r="B2" s="75">
        <v>250000.0</v>
      </c>
    </row>
    <row r="3">
      <c r="A3" s="75" t="s">
        <v>195</v>
      </c>
      <c r="B3" s="75">
        <v>450000.0</v>
      </c>
    </row>
    <row r="4">
      <c r="A4" s="75" t="s">
        <v>196</v>
      </c>
      <c r="B4" s="75">
        <v>150000.0</v>
      </c>
    </row>
    <row r="5">
      <c r="A5" s="75" t="s">
        <v>197</v>
      </c>
      <c r="B5" s="75">
        <v>550000.0</v>
      </c>
    </row>
    <row r="6">
      <c r="A6" s="75" t="s">
        <v>198</v>
      </c>
      <c r="B6" s="75">
        <f>SUM(B2:B5)</f>
        <v>1400000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14"/>
    <col customWidth="1" min="2" max="2" width="15.14"/>
    <col customWidth="1" min="3" max="26" width="8.71"/>
  </cols>
  <sheetData>
    <row r="1">
      <c r="A1" s="47" t="s">
        <v>199</v>
      </c>
      <c r="B1" s="47" t="s">
        <v>200</v>
      </c>
    </row>
    <row r="2">
      <c r="A2" s="78" t="s">
        <v>201</v>
      </c>
      <c r="B2" s="78">
        <f>Calcutta!B6</f>
        <v>1600000</v>
      </c>
      <c r="C2" s="78"/>
    </row>
    <row r="3">
      <c r="A3" s="78" t="s">
        <v>202</v>
      </c>
      <c r="B3" s="78">
        <f>Madras!B6</f>
        <v>1400000</v>
      </c>
      <c r="C3" s="78"/>
    </row>
    <row r="4">
      <c r="A4" s="78" t="s">
        <v>203</v>
      </c>
      <c r="B4" s="78">
        <f>Delhi!B6</f>
        <v>1600000</v>
      </c>
      <c r="C4" s="78"/>
    </row>
    <row r="5">
      <c r="A5" s="78" t="s">
        <v>204</v>
      </c>
      <c r="B5" s="78">
        <f>Banglore!B6</f>
        <v>1400000</v>
      </c>
      <c r="C5" s="78"/>
    </row>
    <row r="6">
      <c r="A6" s="73" t="s">
        <v>205</v>
      </c>
      <c r="B6" s="73">
        <f>SUM(B2:B5)</f>
        <v>6000000</v>
      </c>
      <c r="C6" s="7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3.29"/>
    <col customWidth="1" min="2" max="26" width="8.71"/>
  </cols>
  <sheetData>
    <row r="1">
      <c r="A1" s="88" t="s">
        <v>206</v>
      </c>
      <c r="B1" s="89"/>
      <c r="C1" s="8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11.43"/>
    <col customWidth="1" min="3" max="4" width="8.71"/>
    <col customWidth="1" min="5" max="5" width="15.14"/>
    <col customWidth="1" min="6" max="15" width="8.71"/>
    <col customWidth="1" min="16" max="16" width="13.57"/>
    <col customWidth="1" min="17" max="26" width="8.71"/>
  </cols>
  <sheetData>
    <row r="1">
      <c r="A1" s="74"/>
      <c r="B1" s="74" t="s">
        <v>207</v>
      </c>
      <c r="C1" s="74" t="s">
        <v>208</v>
      </c>
      <c r="D1" s="74" t="s">
        <v>209</v>
      </c>
      <c r="E1" s="74" t="s">
        <v>210</v>
      </c>
      <c r="F1" s="74" t="s">
        <v>211</v>
      </c>
      <c r="G1" s="74" t="s">
        <v>212</v>
      </c>
      <c r="H1" s="74" t="s">
        <v>213</v>
      </c>
      <c r="I1" s="74" t="s">
        <v>214</v>
      </c>
      <c r="J1" s="74" t="s">
        <v>215</v>
      </c>
      <c r="K1" s="74" t="s">
        <v>216</v>
      </c>
      <c r="L1" s="74" t="s">
        <v>217</v>
      </c>
      <c r="M1" s="74" t="s">
        <v>218</v>
      </c>
      <c r="N1" s="74" t="s">
        <v>219</v>
      </c>
      <c r="O1" s="74" t="s">
        <v>220</v>
      </c>
    </row>
    <row r="2">
      <c r="A2" s="74" t="s">
        <v>221</v>
      </c>
      <c r="B2" s="75">
        <v>76.0</v>
      </c>
      <c r="C2" s="75">
        <v>89.0</v>
      </c>
      <c r="D2" s="75">
        <v>43.0</v>
      </c>
      <c r="E2" s="75">
        <v>48.0</v>
      </c>
      <c r="F2" s="75">
        <v>51.0</v>
      </c>
      <c r="G2" s="75">
        <v>76.0</v>
      </c>
      <c r="H2" s="75">
        <v>87.0</v>
      </c>
      <c r="I2" s="75">
        <v>56.0</v>
      </c>
      <c r="J2" s="33">
        <f t="shared" ref="J2:J9" si="1">COUNTIF(B2:I2,$J$1)</f>
        <v>8</v>
      </c>
      <c r="K2" s="33">
        <f t="shared" ref="K2:K9" si="2">COUNTIF(B2:I2,"&gt;50")</f>
        <v>6</v>
      </c>
      <c r="L2" s="33">
        <f t="shared" ref="L2:L9" si="3">COUNTIF(B2:I2,"&gt;60")</f>
        <v>4</v>
      </c>
      <c r="M2" s="33">
        <f t="shared" ref="M2:M9" si="4">COUNTIF(B2:I2,$M$1)</f>
        <v>4</v>
      </c>
      <c r="N2" s="33">
        <f t="shared" ref="N2:N9" si="5">COUNTIF(B2:I2,"&gt;80")</f>
        <v>2</v>
      </c>
      <c r="O2" s="33">
        <f t="shared" ref="O2:O9" si="6">COUNTIF(B2:I2,$O$1)</f>
        <v>0</v>
      </c>
    </row>
    <row r="3">
      <c r="A3" s="74" t="s">
        <v>222</v>
      </c>
      <c r="B3" s="75">
        <v>55.0</v>
      </c>
      <c r="C3" s="75">
        <v>85.0</v>
      </c>
      <c r="D3" s="75">
        <v>78.0</v>
      </c>
      <c r="E3" s="75">
        <v>61.0</v>
      </c>
      <c r="F3" s="75">
        <v>47.0</v>
      </c>
      <c r="G3" s="75">
        <v>87.0</v>
      </c>
      <c r="H3" s="75">
        <v>91.0</v>
      </c>
      <c r="I3" s="75">
        <v>73.0</v>
      </c>
      <c r="J3" s="33">
        <f t="shared" si="1"/>
        <v>8</v>
      </c>
      <c r="K3" s="33">
        <f t="shared" si="2"/>
        <v>7</v>
      </c>
      <c r="L3" s="33">
        <f t="shared" si="3"/>
        <v>6</v>
      </c>
      <c r="M3" s="33">
        <f t="shared" si="4"/>
        <v>5</v>
      </c>
      <c r="N3" s="33">
        <f t="shared" si="5"/>
        <v>3</v>
      </c>
      <c r="O3" s="33">
        <f t="shared" si="6"/>
        <v>1</v>
      </c>
    </row>
    <row r="4">
      <c r="A4" s="74" t="s">
        <v>223</v>
      </c>
      <c r="B4" s="75">
        <v>65.0</v>
      </c>
      <c r="C4" s="75">
        <v>82.0</v>
      </c>
      <c r="D4" s="75">
        <v>39.0</v>
      </c>
      <c r="E4" s="75">
        <v>58.0</v>
      </c>
      <c r="F4" s="75">
        <v>52.0</v>
      </c>
      <c r="G4" s="75">
        <v>65.0</v>
      </c>
      <c r="H4" s="75">
        <v>57.0</v>
      </c>
      <c r="I4" s="75">
        <v>45.0</v>
      </c>
      <c r="J4" s="33">
        <f t="shared" si="1"/>
        <v>7</v>
      </c>
      <c r="K4" s="33">
        <f t="shared" si="2"/>
        <v>6</v>
      </c>
      <c r="L4" s="33">
        <f t="shared" si="3"/>
        <v>3</v>
      </c>
      <c r="M4" s="33">
        <f t="shared" si="4"/>
        <v>1</v>
      </c>
      <c r="N4" s="33">
        <f t="shared" si="5"/>
        <v>1</v>
      </c>
      <c r="O4" s="33">
        <f t="shared" si="6"/>
        <v>0</v>
      </c>
    </row>
    <row r="5">
      <c r="A5" s="74" t="s">
        <v>224</v>
      </c>
      <c r="B5" s="75">
        <v>45.0</v>
      </c>
      <c r="C5" s="75">
        <v>91.0</v>
      </c>
      <c r="D5" s="75">
        <v>56.0</v>
      </c>
      <c r="E5" s="75">
        <v>72.0</v>
      </c>
      <c r="F5" s="75">
        <v>49.0</v>
      </c>
      <c r="G5" s="75">
        <v>56.0</v>
      </c>
      <c r="H5" s="75">
        <v>78.0</v>
      </c>
      <c r="I5" s="75">
        <v>56.0</v>
      </c>
      <c r="J5" s="33">
        <f t="shared" si="1"/>
        <v>8</v>
      </c>
      <c r="K5" s="33">
        <f t="shared" si="2"/>
        <v>6</v>
      </c>
      <c r="L5" s="33">
        <f t="shared" si="3"/>
        <v>3</v>
      </c>
      <c r="M5" s="33">
        <f t="shared" si="4"/>
        <v>3</v>
      </c>
      <c r="N5" s="33">
        <f t="shared" si="5"/>
        <v>1</v>
      </c>
      <c r="O5" s="33">
        <f t="shared" si="6"/>
        <v>1</v>
      </c>
      <c r="S5" s="33" t="s">
        <v>225</v>
      </c>
      <c r="T5" s="33">
        <f>COUNT(A2:I2)</f>
        <v>8</v>
      </c>
    </row>
    <row r="6">
      <c r="A6" s="74" t="s">
        <v>226</v>
      </c>
      <c r="B6" s="75">
        <v>51.0</v>
      </c>
      <c r="C6" s="75">
        <v>84.0</v>
      </c>
      <c r="D6" s="75">
        <v>54.0</v>
      </c>
      <c r="E6" s="75">
        <v>64.0</v>
      </c>
      <c r="F6" s="75">
        <v>47.0</v>
      </c>
      <c r="G6" s="75">
        <v>64.0</v>
      </c>
      <c r="H6" s="75">
        <v>67.0</v>
      </c>
      <c r="I6" s="75">
        <v>67.0</v>
      </c>
      <c r="J6" s="33">
        <f t="shared" si="1"/>
        <v>8</v>
      </c>
      <c r="K6" s="33">
        <f t="shared" si="2"/>
        <v>7</v>
      </c>
      <c r="L6" s="33">
        <f t="shared" si="3"/>
        <v>5</v>
      </c>
      <c r="M6" s="33">
        <f t="shared" si="4"/>
        <v>1</v>
      </c>
      <c r="N6" s="33">
        <f t="shared" si="5"/>
        <v>1</v>
      </c>
      <c r="O6" s="33">
        <f t="shared" si="6"/>
        <v>0</v>
      </c>
      <c r="S6" s="33" t="s">
        <v>227</v>
      </c>
      <c r="T6" s="33">
        <f>COUNTA(B1:B12)</f>
        <v>10</v>
      </c>
    </row>
    <row r="7">
      <c r="A7" s="74" t="s">
        <v>228</v>
      </c>
      <c r="B7" s="75">
        <v>43.0</v>
      </c>
      <c r="C7" s="75">
        <v>63.0</v>
      </c>
      <c r="D7" s="75">
        <v>49.0</v>
      </c>
      <c r="E7" s="75">
        <v>62.0</v>
      </c>
      <c r="F7" s="75">
        <v>39.0</v>
      </c>
      <c r="G7" s="75">
        <v>89.0</v>
      </c>
      <c r="H7" s="75">
        <v>64.0</v>
      </c>
      <c r="I7" s="75">
        <v>63.0</v>
      </c>
      <c r="J7" s="33">
        <f t="shared" si="1"/>
        <v>7</v>
      </c>
      <c r="K7" s="33">
        <f t="shared" si="2"/>
        <v>5</v>
      </c>
      <c r="L7" s="33">
        <f t="shared" si="3"/>
        <v>5</v>
      </c>
      <c r="M7" s="33">
        <f t="shared" si="4"/>
        <v>1</v>
      </c>
      <c r="N7" s="33">
        <f t="shared" si="5"/>
        <v>1</v>
      </c>
      <c r="O7" s="33">
        <f t="shared" si="6"/>
        <v>0</v>
      </c>
      <c r="S7" s="33" t="s">
        <v>229</v>
      </c>
      <c r="T7" s="33">
        <f>COUNTBLANK(A1:I21)</f>
        <v>20</v>
      </c>
    </row>
    <row r="8">
      <c r="A8" s="74" t="s">
        <v>230</v>
      </c>
      <c r="B8" s="75">
        <v>63.0</v>
      </c>
      <c r="C8" s="75">
        <v>95.0</v>
      </c>
      <c r="D8" s="75">
        <v>45.0</v>
      </c>
      <c r="E8" s="75">
        <v>59.0</v>
      </c>
      <c r="F8" s="75">
        <v>41.0</v>
      </c>
      <c r="G8" s="75">
        <v>92.0</v>
      </c>
      <c r="H8" s="75">
        <v>89.0</v>
      </c>
      <c r="I8" s="75">
        <v>52.0</v>
      </c>
      <c r="J8" s="33">
        <f t="shared" si="1"/>
        <v>8</v>
      </c>
      <c r="K8" s="33">
        <f t="shared" si="2"/>
        <v>6</v>
      </c>
      <c r="L8" s="33">
        <f t="shared" si="3"/>
        <v>4</v>
      </c>
      <c r="M8" s="33">
        <f t="shared" si="4"/>
        <v>3</v>
      </c>
      <c r="N8" s="33">
        <f t="shared" si="5"/>
        <v>3</v>
      </c>
      <c r="O8" s="33">
        <f t="shared" si="6"/>
        <v>2</v>
      </c>
    </row>
    <row r="9">
      <c r="A9" s="74" t="s">
        <v>231</v>
      </c>
      <c r="B9" s="75">
        <v>35.0</v>
      </c>
      <c r="C9" s="75">
        <v>91.0</v>
      </c>
      <c r="D9" s="75">
        <v>65.0</v>
      </c>
      <c r="E9" s="75">
        <v>26.0</v>
      </c>
      <c r="F9" s="75">
        <v>28.0</v>
      </c>
      <c r="G9" s="75">
        <v>51.0</v>
      </c>
      <c r="H9" s="75">
        <v>92.0</v>
      </c>
      <c r="I9" s="75">
        <v>56.0</v>
      </c>
      <c r="J9" s="33">
        <f t="shared" si="1"/>
        <v>5</v>
      </c>
      <c r="K9" s="33">
        <f t="shared" si="2"/>
        <v>5</v>
      </c>
      <c r="L9" s="33">
        <f t="shared" si="3"/>
        <v>3</v>
      </c>
      <c r="M9" s="33">
        <f t="shared" si="4"/>
        <v>2</v>
      </c>
      <c r="N9" s="33">
        <f t="shared" si="5"/>
        <v>2</v>
      </c>
      <c r="O9" s="33">
        <f t="shared" si="6"/>
        <v>2</v>
      </c>
      <c r="R9" s="33" t="s">
        <v>232</v>
      </c>
      <c r="S9" s="33">
        <v>40.0</v>
      </c>
    </row>
    <row r="10">
      <c r="A10" s="74"/>
      <c r="B10" s="75"/>
      <c r="C10" s="75"/>
      <c r="D10" s="75"/>
      <c r="E10" s="75"/>
      <c r="F10" s="75"/>
      <c r="G10" s="75"/>
      <c r="H10" s="75"/>
      <c r="I10" s="75"/>
      <c r="R10" s="33" t="s">
        <v>233</v>
      </c>
      <c r="S10" s="33">
        <v>40.0</v>
      </c>
    </row>
    <row r="11">
      <c r="A11" s="74" t="s">
        <v>234</v>
      </c>
      <c r="B11" s="90">
        <f t="shared" ref="B11:I11" si="7">AVERAGE(B2:B9)</f>
        <v>54.125</v>
      </c>
      <c r="C11" s="90">
        <f t="shared" si="7"/>
        <v>85</v>
      </c>
      <c r="D11" s="90">
        <f t="shared" si="7"/>
        <v>53.625</v>
      </c>
      <c r="E11" s="90">
        <f t="shared" si="7"/>
        <v>56.25</v>
      </c>
      <c r="F11" s="90">
        <f t="shared" si="7"/>
        <v>44.25</v>
      </c>
      <c r="G11" s="90">
        <f t="shared" si="7"/>
        <v>72.5</v>
      </c>
      <c r="H11" s="90">
        <f t="shared" si="7"/>
        <v>78.125</v>
      </c>
      <c r="I11" s="90">
        <f t="shared" si="7"/>
        <v>58.5</v>
      </c>
      <c r="R11" s="33" t="s">
        <v>235</v>
      </c>
      <c r="S11" s="33">
        <v>40.0</v>
      </c>
    </row>
    <row r="12">
      <c r="A12" s="8"/>
      <c r="B12" s="8"/>
      <c r="C12" s="8"/>
      <c r="D12" s="8"/>
      <c r="E12" s="8"/>
      <c r="F12" s="8"/>
      <c r="G12" s="8"/>
      <c r="H12" s="8"/>
      <c r="I12" s="8"/>
      <c r="R12" s="33" t="s">
        <v>236</v>
      </c>
      <c r="S12" s="33">
        <v>40.0</v>
      </c>
    </row>
    <row r="13">
      <c r="A13" s="8"/>
      <c r="B13" s="74" t="s">
        <v>207</v>
      </c>
      <c r="C13" s="74" t="s">
        <v>208</v>
      </c>
      <c r="D13" s="74" t="s">
        <v>209</v>
      </c>
      <c r="E13" s="74" t="s">
        <v>210</v>
      </c>
      <c r="F13" s="74" t="s">
        <v>211</v>
      </c>
      <c r="G13" s="74" t="s">
        <v>212</v>
      </c>
      <c r="H13" s="74" t="s">
        <v>213</v>
      </c>
      <c r="I13" s="74" t="s">
        <v>214</v>
      </c>
      <c r="J13" s="74" t="s">
        <v>237</v>
      </c>
      <c r="K13" s="74" t="s">
        <v>238</v>
      </c>
      <c r="L13" s="74" t="s">
        <v>239</v>
      </c>
      <c r="M13" s="74" t="s">
        <v>240</v>
      </c>
      <c r="N13" s="74" t="s">
        <v>241</v>
      </c>
      <c r="R13" s="33" t="s">
        <v>242</v>
      </c>
      <c r="S13" s="33">
        <v>40.0</v>
      </c>
    </row>
    <row r="14">
      <c r="A14" s="74" t="s">
        <v>221</v>
      </c>
      <c r="B14" s="75" t="s">
        <v>238</v>
      </c>
      <c r="C14" s="75" t="s">
        <v>237</v>
      </c>
      <c r="D14" s="75" t="s">
        <v>240</v>
      </c>
      <c r="E14" s="75" t="s">
        <v>239</v>
      </c>
      <c r="F14" s="75" t="s">
        <v>239</v>
      </c>
      <c r="G14" s="75" t="s">
        <v>238</v>
      </c>
      <c r="H14" s="75" t="s">
        <v>237</v>
      </c>
      <c r="I14" s="75" t="s">
        <v>239</v>
      </c>
      <c r="J14" s="75">
        <f t="shared" ref="J14:J21" si="8">COUNTIF(B14:H14,$J$13)</f>
        <v>2</v>
      </c>
      <c r="K14" s="75">
        <f t="shared" ref="K14:K21" si="9">COUNTIF(B14:I14,$K$13)</f>
        <v>2</v>
      </c>
      <c r="L14" s="75">
        <f t="shared" ref="L14:L21" si="10">COUNTIF(B14:I14,$L$13)</f>
        <v>3</v>
      </c>
      <c r="M14" s="75">
        <f t="shared" ref="M14:M21" si="11">COUNTIF(B14:I14,"d")</f>
        <v>1</v>
      </c>
      <c r="N14" s="75">
        <f t="shared" ref="N14:N21" si="12">COUNTIF(B14:I14,"Fail")</f>
        <v>0</v>
      </c>
      <c r="R14" s="33" t="s">
        <v>243</v>
      </c>
      <c r="S14" s="33">
        <v>40.0</v>
      </c>
    </row>
    <row r="15">
      <c r="A15" s="74" t="s">
        <v>222</v>
      </c>
      <c r="B15" s="75" t="s">
        <v>239</v>
      </c>
      <c r="C15" s="75" t="s">
        <v>237</v>
      </c>
      <c r="D15" s="75" t="s">
        <v>238</v>
      </c>
      <c r="E15" s="75" t="s">
        <v>238</v>
      </c>
      <c r="F15" s="75" t="s">
        <v>239</v>
      </c>
      <c r="G15" s="75" t="s">
        <v>237</v>
      </c>
      <c r="H15" s="75" t="s">
        <v>237</v>
      </c>
      <c r="I15" s="75" t="s">
        <v>238</v>
      </c>
      <c r="J15" s="75">
        <f t="shared" si="8"/>
        <v>3</v>
      </c>
      <c r="K15" s="75">
        <f t="shared" si="9"/>
        <v>3</v>
      </c>
      <c r="L15" s="75">
        <f t="shared" si="10"/>
        <v>2</v>
      </c>
      <c r="M15" s="75">
        <f t="shared" si="11"/>
        <v>0</v>
      </c>
      <c r="N15" s="75">
        <f t="shared" si="12"/>
        <v>0</v>
      </c>
    </row>
    <row r="16">
      <c r="A16" s="74" t="s">
        <v>223</v>
      </c>
      <c r="B16" s="75" t="s">
        <v>238</v>
      </c>
      <c r="C16" s="75" t="s">
        <v>237</v>
      </c>
      <c r="D16" s="75" t="s">
        <v>240</v>
      </c>
      <c r="E16" s="75" t="s">
        <v>239</v>
      </c>
      <c r="F16" s="75" t="s">
        <v>239</v>
      </c>
      <c r="G16" s="75" t="s">
        <v>238</v>
      </c>
      <c r="H16" s="75" t="s">
        <v>239</v>
      </c>
      <c r="I16" s="75" t="s">
        <v>239</v>
      </c>
      <c r="J16" s="75">
        <f t="shared" si="8"/>
        <v>1</v>
      </c>
      <c r="K16" s="75">
        <f t="shared" si="9"/>
        <v>2</v>
      </c>
      <c r="L16" s="75">
        <f t="shared" si="10"/>
        <v>4</v>
      </c>
      <c r="M16" s="75">
        <f t="shared" si="11"/>
        <v>1</v>
      </c>
      <c r="N16" s="75">
        <f t="shared" si="12"/>
        <v>0</v>
      </c>
    </row>
    <row r="17">
      <c r="A17" s="74" t="s">
        <v>224</v>
      </c>
      <c r="B17" s="75" t="s">
        <v>239</v>
      </c>
      <c r="C17" s="75" t="s">
        <v>237</v>
      </c>
      <c r="D17" s="75" t="s">
        <v>239</v>
      </c>
      <c r="E17" s="75" t="s">
        <v>238</v>
      </c>
      <c r="F17" s="75" t="s">
        <v>239</v>
      </c>
      <c r="G17" s="75" t="s">
        <v>239</v>
      </c>
      <c r="H17" s="75" t="s">
        <v>238</v>
      </c>
      <c r="I17" s="75" t="s">
        <v>239</v>
      </c>
      <c r="J17" s="75">
        <f t="shared" si="8"/>
        <v>1</v>
      </c>
      <c r="K17" s="75">
        <f t="shared" si="9"/>
        <v>2</v>
      </c>
      <c r="L17" s="75">
        <f t="shared" si="10"/>
        <v>5</v>
      </c>
      <c r="M17" s="75">
        <f t="shared" si="11"/>
        <v>0</v>
      </c>
      <c r="N17" s="75">
        <f t="shared" si="12"/>
        <v>0</v>
      </c>
    </row>
    <row r="18">
      <c r="A18" s="74" t="s">
        <v>226</v>
      </c>
      <c r="B18" s="75" t="s">
        <v>239</v>
      </c>
      <c r="C18" s="75" t="s">
        <v>237</v>
      </c>
      <c r="D18" s="75" t="s">
        <v>239</v>
      </c>
      <c r="E18" s="75" t="s">
        <v>238</v>
      </c>
      <c r="F18" s="75" t="s">
        <v>239</v>
      </c>
      <c r="G18" s="75" t="s">
        <v>238</v>
      </c>
      <c r="H18" s="75" t="s">
        <v>238</v>
      </c>
      <c r="I18" s="75" t="s">
        <v>238</v>
      </c>
      <c r="J18" s="75">
        <f t="shared" si="8"/>
        <v>1</v>
      </c>
      <c r="K18" s="75">
        <f t="shared" si="9"/>
        <v>4</v>
      </c>
      <c r="L18" s="75">
        <f t="shared" si="10"/>
        <v>3</v>
      </c>
      <c r="M18" s="75">
        <f t="shared" si="11"/>
        <v>0</v>
      </c>
      <c r="N18" s="75">
        <f t="shared" si="12"/>
        <v>0</v>
      </c>
    </row>
    <row r="19">
      <c r="A19" s="74" t="s">
        <v>228</v>
      </c>
      <c r="B19" s="75" t="s">
        <v>240</v>
      </c>
      <c r="C19" s="75" t="s">
        <v>238</v>
      </c>
      <c r="D19" s="75" t="s">
        <v>239</v>
      </c>
      <c r="E19" s="75" t="s">
        <v>238</v>
      </c>
      <c r="F19" s="75" t="s">
        <v>240</v>
      </c>
      <c r="G19" s="75" t="s">
        <v>237</v>
      </c>
      <c r="H19" s="75" t="s">
        <v>238</v>
      </c>
      <c r="I19" s="75" t="s">
        <v>238</v>
      </c>
      <c r="J19" s="75">
        <f t="shared" si="8"/>
        <v>1</v>
      </c>
      <c r="K19" s="75">
        <f t="shared" si="9"/>
        <v>4</v>
      </c>
      <c r="L19" s="75">
        <f t="shared" si="10"/>
        <v>1</v>
      </c>
      <c r="M19" s="75">
        <f t="shared" si="11"/>
        <v>2</v>
      </c>
      <c r="N19" s="75">
        <f t="shared" si="12"/>
        <v>0</v>
      </c>
    </row>
    <row r="20">
      <c r="A20" s="74" t="s">
        <v>230</v>
      </c>
      <c r="B20" s="75" t="s">
        <v>238</v>
      </c>
      <c r="C20" s="75" t="s">
        <v>237</v>
      </c>
      <c r="D20" s="75" t="s">
        <v>239</v>
      </c>
      <c r="E20" s="75" t="s">
        <v>239</v>
      </c>
      <c r="F20" s="75" t="s">
        <v>240</v>
      </c>
      <c r="G20" s="75" t="s">
        <v>237</v>
      </c>
      <c r="H20" s="75" t="s">
        <v>237</v>
      </c>
      <c r="I20" s="75" t="s">
        <v>239</v>
      </c>
      <c r="J20" s="75">
        <f t="shared" si="8"/>
        <v>3</v>
      </c>
      <c r="K20" s="75">
        <f t="shared" si="9"/>
        <v>1</v>
      </c>
      <c r="L20" s="75">
        <f t="shared" si="10"/>
        <v>3</v>
      </c>
      <c r="M20" s="75">
        <f t="shared" si="11"/>
        <v>1</v>
      </c>
      <c r="N20" s="75">
        <f t="shared" si="12"/>
        <v>0</v>
      </c>
    </row>
    <row r="21" ht="15.75" customHeight="1">
      <c r="A21" s="74" t="s">
        <v>231</v>
      </c>
      <c r="B21" s="75" t="s">
        <v>240</v>
      </c>
      <c r="C21" s="75" t="s">
        <v>237</v>
      </c>
      <c r="D21" s="75" t="s">
        <v>238</v>
      </c>
      <c r="E21" s="75" t="s">
        <v>244</v>
      </c>
      <c r="F21" s="75" t="s">
        <v>244</v>
      </c>
      <c r="G21" s="75" t="s">
        <v>239</v>
      </c>
      <c r="H21" s="75" t="s">
        <v>237</v>
      </c>
      <c r="I21" s="75" t="s">
        <v>239</v>
      </c>
      <c r="J21" s="75">
        <f t="shared" si="8"/>
        <v>2</v>
      </c>
      <c r="K21" s="75">
        <f t="shared" si="9"/>
        <v>1</v>
      </c>
      <c r="L21" s="75">
        <f t="shared" si="10"/>
        <v>2</v>
      </c>
      <c r="M21" s="75">
        <f t="shared" si="11"/>
        <v>1</v>
      </c>
      <c r="N21" s="75">
        <f t="shared" si="12"/>
        <v>2</v>
      </c>
    </row>
    <row r="22" ht="15.75" customHeight="1"/>
    <row r="23" ht="15.75" customHeight="1">
      <c r="A23" s="74" t="s">
        <v>245</v>
      </c>
      <c r="B23" s="75">
        <f>COUNTIF(B11:I11,"&gt;70")</f>
        <v>3</v>
      </c>
    </row>
    <row r="24" ht="15.75" customHeight="1">
      <c r="A24" s="74" t="s">
        <v>246</v>
      </c>
      <c r="B24" s="75">
        <f>COUNTIF(B2:I2,"&gt;80")</f>
        <v>2</v>
      </c>
    </row>
    <row r="25" ht="15.75" customHeight="1">
      <c r="A25" s="74" t="s">
        <v>247</v>
      </c>
      <c r="B25" s="75">
        <f>COUNTIF(B5:I5,"&gt;80")</f>
        <v>1</v>
      </c>
    </row>
    <row r="26" ht="15.75" customHeight="1">
      <c r="A26" s="74" t="s">
        <v>248</v>
      </c>
      <c r="B26" s="75">
        <f>COUNTIF(B8:I8,"&gt;80")</f>
        <v>3</v>
      </c>
    </row>
    <row r="27" ht="15.75" customHeight="1">
      <c r="A27" s="74" t="s">
        <v>249</v>
      </c>
      <c r="B27" s="75">
        <f>COUNTIF(C14:C21,"a")</f>
        <v>7</v>
      </c>
    </row>
    <row r="28" ht="15.75" customHeight="1">
      <c r="A28" s="74" t="s">
        <v>250</v>
      </c>
      <c r="B28" s="75">
        <f>COUNTIF(B2:I9,"&gt;90")</f>
        <v>6</v>
      </c>
    </row>
    <row r="29" ht="15.75" customHeight="1">
      <c r="A29" s="74" t="s">
        <v>251</v>
      </c>
      <c r="B29" s="75">
        <f>COUNTIF(B19:I19,"b")</f>
        <v>4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70.71"/>
    <col customWidth="1" min="3" max="3" width="19.29"/>
    <col customWidth="1" min="4" max="26" width="8.71"/>
  </cols>
  <sheetData>
    <row r="1">
      <c r="A1" s="74" t="s">
        <v>252</v>
      </c>
      <c r="B1" s="74" t="s">
        <v>253</v>
      </c>
      <c r="C1" s="74" t="s">
        <v>254</v>
      </c>
      <c r="D1" s="47"/>
    </row>
    <row r="2">
      <c r="A2" s="75" t="s">
        <v>221</v>
      </c>
      <c r="B2" s="75">
        <v>6.0</v>
      </c>
      <c r="C2" s="75">
        <v>600.0</v>
      </c>
    </row>
    <row r="3">
      <c r="A3" s="75" t="s">
        <v>222</v>
      </c>
      <c r="B3" s="75">
        <v>5.0</v>
      </c>
      <c r="C3" s="75">
        <v>500.0</v>
      </c>
    </row>
    <row r="4">
      <c r="A4" s="75" t="s">
        <v>224</v>
      </c>
      <c r="B4" s="75">
        <v>3.0</v>
      </c>
      <c r="C4" s="75">
        <v>300.0</v>
      </c>
    </row>
    <row r="5">
      <c r="A5" s="75" t="s">
        <v>226</v>
      </c>
      <c r="B5" s="75">
        <v>2.0</v>
      </c>
      <c r="C5" s="75">
        <v>200.0</v>
      </c>
    </row>
    <row r="6">
      <c r="A6" s="75" t="s">
        <v>223</v>
      </c>
      <c r="B6" s="75">
        <v>8.0</v>
      </c>
      <c r="C6" s="75">
        <v>800.0</v>
      </c>
    </row>
    <row r="7">
      <c r="A7" s="75" t="s">
        <v>255</v>
      </c>
      <c r="B7" s="75">
        <v>2.0</v>
      </c>
      <c r="C7" s="75">
        <v>200.0</v>
      </c>
    </row>
    <row r="8">
      <c r="A8" s="75" t="s">
        <v>230</v>
      </c>
      <c r="B8" s="75">
        <v>1.0</v>
      </c>
      <c r="C8" s="75">
        <v>100.0</v>
      </c>
      <c r="G8" s="33" t="s">
        <v>256</v>
      </c>
      <c r="H8" s="33">
        <v>85.0</v>
      </c>
    </row>
    <row r="9">
      <c r="A9" s="75" t="s">
        <v>257</v>
      </c>
      <c r="B9" s="75">
        <v>0.0</v>
      </c>
      <c r="C9" s="75">
        <v>0.0</v>
      </c>
      <c r="G9" s="33" t="s">
        <v>258</v>
      </c>
      <c r="H9" s="33">
        <v>45.0</v>
      </c>
    </row>
    <row r="10">
      <c r="A10" s="8"/>
      <c r="B10" s="8"/>
      <c r="C10" s="8"/>
      <c r="G10" s="33" t="s">
        <v>259</v>
      </c>
      <c r="H10" s="33">
        <v>65.0</v>
      </c>
    </row>
    <row r="11">
      <c r="A11" s="8"/>
      <c r="B11" s="76" t="s">
        <v>260</v>
      </c>
      <c r="C11" s="76">
        <v>1900.0</v>
      </c>
      <c r="G11" s="33" t="s">
        <v>261</v>
      </c>
      <c r="H11" s="33">
        <v>53.0</v>
      </c>
    </row>
    <row r="12">
      <c r="G12" s="33" t="s">
        <v>256</v>
      </c>
      <c r="H12" s="33">
        <v>25.0</v>
      </c>
    </row>
    <row r="13">
      <c r="A13" s="33" t="s">
        <v>262</v>
      </c>
      <c r="B13" s="33">
        <f>SUM(B2:B9)</f>
        <v>27</v>
      </c>
      <c r="C13" s="33">
        <f>SUMIF(B2:B9,E13,C2:C9)</f>
        <v>1900</v>
      </c>
      <c r="E13" s="33" t="s">
        <v>263</v>
      </c>
      <c r="G13" s="33" t="s">
        <v>258</v>
      </c>
      <c r="H13" s="33">
        <v>62.0</v>
      </c>
    </row>
    <row r="14">
      <c r="A14" s="33" t="s">
        <v>264</v>
      </c>
      <c r="B14" s="33">
        <f>SUM(C2:C9)</f>
        <v>2700</v>
      </c>
      <c r="C14" s="33">
        <f>SUMIF(B2:B9,E14,C2:C9)</f>
        <v>1900</v>
      </c>
      <c r="E14" s="33" t="s">
        <v>265</v>
      </c>
      <c r="G14" s="33" t="s">
        <v>259</v>
      </c>
      <c r="H14" s="33">
        <v>32.0</v>
      </c>
    </row>
    <row r="15">
      <c r="A15" s="33" t="s">
        <v>266</v>
      </c>
      <c r="B15" s="33">
        <f>SUM(B2,B4,B6,C3,C5,C7,B8,C8)</f>
        <v>1018</v>
      </c>
      <c r="C15" s="33">
        <f>SUMIF(B2:B9,"&gt;=6",C2:C9)</f>
        <v>1400</v>
      </c>
      <c r="E15" s="33" t="s">
        <v>267</v>
      </c>
      <c r="G15" s="33" t="s">
        <v>261</v>
      </c>
      <c r="H15" s="33">
        <v>20.0</v>
      </c>
    </row>
    <row r="16">
      <c r="A16" s="33" t="s">
        <v>268</v>
      </c>
      <c r="B16" s="33">
        <f>SUM(B2:B9,30)</f>
        <v>57</v>
      </c>
      <c r="C16" s="33">
        <f>SUMIF(B2:B9,E16,C2:C9)</f>
        <v>800</v>
      </c>
      <c r="E16" s="33" t="s">
        <v>269</v>
      </c>
      <c r="G16" s="33" t="s">
        <v>256</v>
      </c>
      <c r="H16" s="33">
        <v>15.0</v>
      </c>
    </row>
    <row r="17">
      <c r="A17" s="33" t="s">
        <v>270</v>
      </c>
      <c r="B17" s="33">
        <f>SUM(12,45,74,58,65,4589,54,25,65,74,52)</f>
        <v>5113</v>
      </c>
      <c r="C17" s="33">
        <f>SUMIF(B2:B9,E17,C2:C9)</f>
        <v>800</v>
      </c>
      <c r="E17" s="33" t="s">
        <v>271</v>
      </c>
      <c r="G17" s="33" t="s">
        <v>258</v>
      </c>
      <c r="H17" s="33">
        <v>24.0</v>
      </c>
    </row>
    <row r="18">
      <c r="C18" s="33">
        <f>SUMIF(B2:B9,"&gt;=9",C2:C9)</f>
        <v>0</v>
      </c>
      <c r="E18" s="33" t="s">
        <v>272</v>
      </c>
      <c r="G18" s="33" t="s">
        <v>259</v>
      </c>
      <c r="H18" s="33">
        <v>85.0</v>
      </c>
    </row>
    <row r="19">
      <c r="B19" s="33">
        <f>SUM(B2,B9,B7)</f>
        <v>8</v>
      </c>
      <c r="G19" s="33" t="s">
        <v>261</v>
      </c>
      <c r="H19" s="33">
        <v>45.0</v>
      </c>
    </row>
    <row r="20">
      <c r="B20" s="33">
        <f>SUM(B2:B9,30)</f>
        <v>57</v>
      </c>
      <c r="G20" s="33" t="s">
        <v>256</v>
      </c>
      <c r="H20" s="33">
        <v>30.0</v>
      </c>
    </row>
    <row r="21" ht="15.75" customHeight="1">
      <c r="B21" s="33">
        <f>SUM(B6:B7)</f>
        <v>10</v>
      </c>
    </row>
    <row r="22" ht="15.75" customHeight="1">
      <c r="B22" s="33">
        <f>SUM(41,87,9,0,1)</f>
        <v>138</v>
      </c>
      <c r="G22" s="33" t="s">
        <v>256</v>
      </c>
      <c r="H22" s="33">
        <f>SUMIF(G8:G20,G22,H8:H20)</f>
        <v>155</v>
      </c>
      <c r="J22" s="33">
        <f>+SUMIF(G8:G20,G22,H8:H20)</f>
        <v>155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" width="11.57"/>
    <col customWidth="1" min="3" max="3" width="13.0"/>
    <col customWidth="1" min="4" max="4" width="10.71"/>
    <col customWidth="1" min="5" max="5" width="17.86"/>
    <col customWidth="1" min="6" max="26" width="8.71"/>
  </cols>
  <sheetData>
    <row r="1">
      <c r="A1" s="47" t="s">
        <v>273</v>
      </c>
      <c r="B1" s="47"/>
      <c r="C1" s="47"/>
      <c r="D1" s="47"/>
    </row>
    <row r="2">
      <c r="A2" s="91" t="s">
        <v>92</v>
      </c>
      <c r="B2" s="91" t="s">
        <v>274</v>
      </c>
      <c r="C2" s="91" t="s">
        <v>275</v>
      </c>
      <c r="D2" s="91" t="s">
        <v>22</v>
      </c>
      <c r="E2" s="91" t="s">
        <v>33</v>
      </c>
      <c r="F2" s="92"/>
    </row>
    <row r="3">
      <c r="A3" s="91" t="s">
        <v>169</v>
      </c>
      <c r="B3" s="75">
        <v>50000.0</v>
      </c>
      <c r="C3" s="75">
        <v>43000.0</v>
      </c>
      <c r="D3" s="75">
        <v>93000.0</v>
      </c>
      <c r="E3" s="75">
        <v>3720.0</v>
      </c>
    </row>
    <row r="4">
      <c r="A4" s="91" t="s">
        <v>276</v>
      </c>
      <c r="B4" s="75">
        <v>78000.0</v>
      </c>
      <c r="C4" s="75">
        <v>21000.0</v>
      </c>
      <c r="D4" s="75">
        <v>99000.0</v>
      </c>
      <c r="E4" s="75">
        <v>3960.0</v>
      </c>
    </row>
    <row r="5">
      <c r="A5" s="91" t="s">
        <v>277</v>
      </c>
      <c r="B5" s="75">
        <v>23000.0</v>
      </c>
      <c r="C5" s="75">
        <v>34000.0</v>
      </c>
      <c r="D5" s="75">
        <v>57000.0</v>
      </c>
      <c r="E5" s="75">
        <v>2280.0</v>
      </c>
    </row>
    <row r="6">
      <c r="A6" s="91" t="s">
        <v>278</v>
      </c>
      <c r="B6" s="75">
        <v>54000.0</v>
      </c>
      <c r="C6" s="75">
        <v>32000.0</v>
      </c>
      <c r="D6" s="75">
        <v>86000.0</v>
      </c>
      <c r="E6" s="75">
        <v>3440.0</v>
      </c>
    </row>
    <row r="7">
      <c r="A7" s="91" t="s">
        <v>279</v>
      </c>
      <c r="B7" s="75">
        <v>25000.0</v>
      </c>
      <c r="C7" s="75">
        <v>34000.0</v>
      </c>
      <c r="D7" s="75">
        <v>59000.0</v>
      </c>
      <c r="E7" s="75">
        <v>2360.0</v>
      </c>
    </row>
    <row r="8">
      <c r="A8" s="91" t="s">
        <v>280</v>
      </c>
      <c r="B8" s="75">
        <v>43000.0</v>
      </c>
      <c r="C8" s="75">
        <v>65000.0</v>
      </c>
      <c r="D8" s="75">
        <v>108000.0</v>
      </c>
      <c r="E8" s="75">
        <v>4320.0</v>
      </c>
    </row>
    <row r="9">
      <c r="A9" s="91" t="s">
        <v>281</v>
      </c>
      <c r="B9" s="75">
        <v>12000.0</v>
      </c>
      <c r="C9" s="75">
        <v>75000.0</v>
      </c>
      <c r="D9" s="75">
        <v>87000.0</v>
      </c>
      <c r="E9" s="75">
        <v>3480.0</v>
      </c>
    </row>
    <row r="10">
      <c r="A10" s="91" t="s">
        <v>282</v>
      </c>
      <c r="B10" s="75">
        <v>23000.0</v>
      </c>
      <c r="C10" s="75">
        <v>89000.0</v>
      </c>
      <c r="D10" s="75">
        <v>112000.0</v>
      </c>
      <c r="E10" s="75">
        <v>4480.0</v>
      </c>
    </row>
    <row r="11">
      <c r="A11" s="91" t="s">
        <v>283</v>
      </c>
      <c r="B11" s="75">
        <v>45000.0</v>
      </c>
      <c r="C11" s="75">
        <v>56000.0</v>
      </c>
      <c r="D11" s="75">
        <v>101000.0</v>
      </c>
      <c r="E11" s="75">
        <v>4040.0</v>
      </c>
    </row>
    <row r="16">
      <c r="A16" s="93" t="s">
        <v>284</v>
      </c>
      <c r="B16" s="80">
        <f>COUNTIF(D3:D11,"&gt;100000")</f>
        <v>3</v>
      </c>
    </row>
    <row r="17">
      <c r="A17" s="93" t="s">
        <v>285</v>
      </c>
      <c r="B17" s="80">
        <f>COUNTIF(B3:B11,"&gt;50000")</f>
        <v>2</v>
      </c>
    </row>
    <row r="18">
      <c r="A18" s="93" t="s">
        <v>286</v>
      </c>
      <c r="B18" s="80">
        <f>COUNTIF(E3:E11,"&gt;3500")</f>
        <v>5</v>
      </c>
    </row>
    <row r="19">
      <c r="A19" s="93" t="s">
        <v>287</v>
      </c>
      <c r="B19" s="80">
        <f>COUNTIF(D3:D11,"&lt;75000")</f>
        <v>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6FF66"/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12.14"/>
    <col customWidth="1" min="3" max="3" width="12.57"/>
    <col customWidth="1" min="4" max="4" width="10.29"/>
    <col customWidth="1" min="5" max="5" width="8.71"/>
    <col customWidth="1" min="6" max="6" width="13.29"/>
    <col customWidth="1" min="7" max="7" width="12.43"/>
    <col customWidth="1" min="8" max="8" width="16.29"/>
    <col customWidth="1" min="9" max="9" width="7.29"/>
    <col customWidth="1" min="10" max="10" width="9.43"/>
    <col customWidth="1" min="11" max="11" width="7.71"/>
    <col customWidth="1" min="12" max="12" width="9.43"/>
    <col customWidth="1" min="13" max="13" width="6.29"/>
    <col customWidth="1" min="14" max="14" width="9.14"/>
    <col customWidth="1" min="15" max="15" width="11.29"/>
    <col customWidth="1" min="16" max="17" width="15.86"/>
    <col customWidth="1" min="18" max="18" width="12.43"/>
    <col customWidth="1" min="19" max="26" width="8.71"/>
  </cols>
  <sheetData>
    <row r="1">
      <c r="A1" s="47" t="s">
        <v>288</v>
      </c>
      <c r="B1" s="47" t="s">
        <v>289</v>
      </c>
      <c r="C1" s="47" t="s">
        <v>185</v>
      </c>
      <c r="D1" s="47" t="s">
        <v>290</v>
      </c>
    </row>
    <row r="2">
      <c r="A2" s="78" t="s">
        <v>291</v>
      </c>
      <c r="B2" s="78" t="s">
        <v>222</v>
      </c>
      <c r="C2" s="78" t="s">
        <v>292</v>
      </c>
      <c r="D2" s="78">
        <v>51.0</v>
      </c>
      <c r="G2" s="94"/>
      <c r="H2" s="52"/>
    </row>
    <row r="3">
      <c r="A3" s="78" t="s">
        <v>291</v>
      </c>
      <c r="B3" s="78" t="s">
        <v>221</v>
      </c>
      <c r="C3" s="78" t="s">
        <v>292</v>
      </c>
      <c r="D3" s="78">
        <v>72.0</v>
      </c>
      <c r="G3" s="95"/>
      <c r="H3" s="96"/>
    </row>
    <row r="4">
      <c r="A4" s="78" t="s">
        <v>291</v>
      </c>
      <c r="B4" s="78" t="s">
        <v>223</v>
      </c>
      <c r="C4" s="78" t="s">
        <v>292</v>
      </c>
      <c r="D4" s="78">
        <v>89.0</v>
      </c>
      <c r="F4" s="5"/>
    </row>
    <row r="5">
      <c r="A5" s="78" t="s">
        <v>291</v>
      </c>
      <c r="B5" s="78" t="s">
        <v>228</v>
      </c>
      <c r="C5" s="78" t="s">
        <v>292</v>
      </c>
      <c r="D5" s="78">
        <v>83.0</v>
      </c>
      <c r="F5" s="5"/>
    </row>
    <row r="6">
      <c r="A6" s="78" t="s">
        <v>291</v>
      </c>
      <c r="B6" s="78" t="s">
        <v>224</v>
      </c>
      <c r="C6" s="78" t="s">
        <v>292</v>
      </c>
      <c r="D6" s="78">
        <v>84.0</v>
      </c>
    </row>
    <row r="7">
      <c r="A7" s="78" t="s">
        <v>291</v>
      </c>
      <c r="B7" s="78" t="s">
        <v>298</v>
      </c>
      <c r="C7" s="78" t="s">
        <v>292</v>
      </c>
      <c r="D7" s="78">
        <v>57.0</v>
      </c>
    </row>
    <row r="8">
      <c r="A8" s="78" t="s">
        <v>291</v>
      </c>
      <c r="B8" s="78" t="s">
        <v>222</v>
      </c>
      <c r="C8" s="78" t="s">
        <v>301</v>
      </c>
      <c r="D8" s="78">
        <v>68.0</v>
      </c>
    </row>
    <row r="9">
      <c r="A9" s="78" t="s">
        <v>291</v>
      </c>
      <c r="B9" s="78" t="s">
        <v>221</v>
      </c>
      <c r="C9" s="78" t="s">
        <v>208</v>
      </c>
      <c r="D9" s="78">
        <v>54.0</v>
      </c>
    </row>
    <row r="10">
      <c r="A10" s="78" t="s">
        <v>291</v>
      </c>
      <c r="B10" s="78" t="s">
        <v>223</v>
      </c>
      <c r="C10" s="78" t="s">
        <v>208</v>
      </c>
      <c r="D10" s="78">
        <v>56.0</v>
      </c>
    </row>
    <row r="11">
      <c r="A11" s="78" t="s">
        <v>291</v>
      </c>
      <c r="B11" s="78" t="s">
        <v>228</v>
      </c>
      <c r="C11" s="78" t="s">
        <v>208</v>
      </c>
      <c r="D11" s="78">
        <v>59.0</v>
      </c>
    </row>
    <row r="12">
      <c r="A12" s="78" t="s">
        <v>291</v>
      </c>
      <c r="B12" s="78" t="s">
        <v>224</v>
      </c>
      <c r="C12" s="78" t="s">
        <v>208</v>
      </c>
      <c r="D12" s="78">
        <v>61.0</v>
      </c>
    </row>
    <row r="13">
      <c r="A13" s="78" t="s">
        <v>291</v>
      </c>
      <c r="B13" s="78" t="s">
        <v>298</v>
      </c>
      <c r="C13" s="78" t="s">
        <v>208</v>
      </c>
      <c r="D13" s="78">
        <v>93.0</v>
      </c>
    </row>
    <row r="14">
      <c r="A14" s="78" t="s">
        <v>305</v>
      </c>
      <c r="B14" s="78" t="s">
        <v>222</v>
      </c>
      <c r="C14" s="78" t="s">
        <v>303</v>
      </c>
      <c r="D14" s="78">
        <v>87.0</v>
      </c>
    </row>
    <row r="15">
      <c r="A15" s="78" t="s">
        <v>305</v>
      </c>
      <c r="B15" s="78" t="s">
        <v>221</v>
      </c>
      <c r="C15" s="78" t="s">
        <v>292</v>
      </c>
      <c r="D15" s="78">
        <v>65.0</v>
      </c>
    </row>
    <row r="16">
      <c r="A16" s="78" t="s">
        <v>305</v>
      </c>
      <c r="B16" s="78" t="s">
        <v>223</v>
      </c>
      <c r="C16" s="78" t="s">
        <v>292</v>
      </c>
      <c r="D16" s="78">
        <v>58.0</v>
      </c>
      <c r="G16" s="8"/>
    </row>
    <row r="17">
      <c r="A17" s="78" t="s">
        <v>305</v>
      </c>
      <c r="B17" s="78" t="s">
        <v>228</v>
      </c>
      <c r="C17" s="78" t="s">
        <v>292</v>
      </c>
      <c r="D17" s="78">
        <v>89.0</v>
      </c>
    </row>
    <row r="18">
      <c r="A18" s="78" t="s">
        <v>305</v>
      </c>
      <c r="B18" s="78" t="s">
        <v>224</v>
      </c>
      <c r="C18" s="78" t="s">
        <v>292</v>
      </c>
      <c r="D18" s="78">
        <v>81.0</v>
      </c>
    </row>
    <row r="19">
      <c r="A19" s="78" t="s">
        <v>305</v>
      </c>
      <c r="B19" s="78" t="s">
        <v>298</v>
      </c>
      <c r="C19" s="78" t="s">
        <v>292</v>
      </c>
      <c r="D19" s="78">
        <v>62.0</v>
      </c>
      <c r="Q19" s="94"/>
      <c r="R19" s="94"/>
    </row>
    <row r="20">
      <c r="A20" s="78" t="s">
        <v>305</v>
      </c>
      <c r="B20" s="78" t="s">
        <v>222</v>
      </c>
      <c r="C20" s="78" t="s">
        <v>304</v>
      </c>
      <c r="D20" s="78">
        <v>87.0</v>
      </c>
      <c r="Q20" s="94"/>
      <c r="R20" s="94"/>
    </row>
    <row r="21" ht="15.75" customHeight="1">
      <c r="A21" s="78" t="s">
        <v>305</v>
      </c>
      <c r="B21" s="78" t="s">
        <v>221</v>
      </c>
      <c r="C21" s="78" t="s">
        <v>208</v>
      </c>
      <c r="D21" s="78">
        <v>53.0</v>
      </c>
      <c r="Q21" s="94"/>
      <c r="R21" s="94"/>
    </row>
    <row r="22" ht="15.75" customHeight="1">
      <c r="A22" s="78" t="s">
        <v>305</v>
      </c>
      <c r="B22" s="78" t="s">
        <v>223</v>
      </c>
      <c r="C22" s="78" t="s">
        <v>208</v>
      </c>
      <c r="D22" s="78">
        <v>35.0</v>
      </c>
    </row>
    <row r="23" ht="15.75" customHeight="1">
      <c r="A23" s="78" t="s">
        <v>305</v>
      </c>
      <c r="B23" s="78" t="s">
        <v>228</v>
      </c>
      <c r="C23" s="78" t="s">
        <v>208</v>
      </c>
      <c r="D23" s="78">
        <v>61.0</v>
      </c>
    </row>
    <row r="24" ht="15.75" customHeight="1">
      <c r="A24" s="78" t="s">
        <v>305</v>
      </c>
      <c r="B24" s="78" t="s">
        <v>224</v>
      </c>
      <c r="C24" s="78" t="s">
        <v>208</v>
      </c>
      <c r="D24" s="78">
        <v>58.0</v>
      </c>
    </row>
    <row r="25" ht="15.75" customHeight="1">
      <c r="A25" s="78" t="s">
        <v>305</v>
      </c>
      <c r="B25" s="78" t="s">
        <v>298</v>
      </c>
      <c r="C25" s="78" t="s">
        <v>208</v>
      </c>
      <c r="D25" s="78">
        <v>92.0</v>
      </c>
    </row>
    <row r="26" ht="15.75" customHeight="1">
      <c r="A26" s="78" t="s">
        <v>307</v>
      </c>
      <c r="B26" s="78" t="s">
        <v>222</v>
      </c>
      <c r="C26" s="78" t="s">
        <v>292</v>
      </c>
      <c r="D26" s="78">
        <v>41.0</v>
      </c>
    </row>
    <row r="27" ht="15.75" customHeight="1">
      <c r="A27" s="78" t="s">
        <v>307</v>
      </c>
      <c r="B27" s="78" t="s">
        <v>221</v>
      </c>
      <c r="C27" s="78" t="s">
        <v>302</v>
      </c>
      <c r="D27" s="78">
        <v>71.0</v>
      </c>
    </row>
    <row r="28" ht="15.75" customHeight="1">
      <c r="A28" s="78" t="s">
        <v>307</v>
      </c>
      <c r="B28" s="78" t="s">
        <v>223</v>
      </c>
      <c r="C28" s="78" t="s">
        <v>292</v>
      </c>
      <c r="D28" s="78">
        <v>41.0</v>
      </c>
    </row>
    <row r="29" ht="15.75" customHeight="1">
      <c r="A29" s="78" t="s">
        <v>307</v>
      </c>
      <c r="B29" s="78" t="s">
        <v>228</v>
      </c>
      <c r="C29" s="78" t="s">
        <v>292</v>
      </c>
      <c r="D29" s="78">
        <v>92.0</v>
      </c>
    </row>
    <row r="30" ht="15.75" customHeight="1">
      <c r="A30" s="78" t="s">
        <v>307</v>
      </c>
      <c r="B30" s="78" t="s">
        <v>224</v>
      </c>
      <c r="C30" s="78" t="s">
        <v>292</v>
      </c>
      <c r="D30" s="78">
        <v>91.0</v>
      </c>
    </row>
    <row r="31" ht="15.75" customHeight="1">
      <c r="A31" s="78" t="s">
        <v>307</v>
      </c>
      <c r="B31" s="78" t="s">
        <v>298</v>
      </c>
      <c r="C31" s="78" t="s">
        <v>292</v>
      </c>
      <c r="D31" s="78">
        <v>56.0</v>
      </c>
    </row>
    <row r="32" ht="15.75" customHeight="1">
      <c r="A32" s="78" t="s">
        <v>307</v>
      </c>
      <c r="B32" s="78" t="s">
        <v>222</v>
      </c>
      <c r="C32" s="78" t="s">
        <v>208</v>
      </c>
      <c r="D32" s="78">
        <v>41.0</v>
      </c>
    </row>
    <row r="33" ht="15.75" customHeight="1">
      <c r="A33" s="78" t="s">
        <v>307</v>
      </c>
      <c r="B33" s="78" t="s">
        <v>221</v>
      </c>
      <c r="C33" s="78" t="s">
        <v>208</v>
      </c>
      <c r="D33" s="78">
        <v>35.0</v>
      </c>
    </row>
    <row r="34" ht="15.75" customHeight="1">
      <c r="A34" s="78" t="s">
        <v>307</v>
      </c>
      <c r="B34" s="78" t="s">
        <v>223</v>
      </c>
      <c r="C34" s="78" t="s">
        <v>208</v>
      </c>
      <c r="D34" s="78">
        <v>41.0</v>
      </c>
    </row>
    <row r="35" ht="15.75" customHeight="1">
      <c r="A35" s="78" t="s">
        <v>307</v>
      </c>
      <c r="B35" s="78" t="s">
        <v>228</v>
      </c>
      <c r="C35" s="78" t="s">
        <v>208</v>
      </c>
      <c r="D35" s="78">
        <v>58.0</v>
      </c>
    </row>
    <row r="36" ht="15.75" customHeight="1">
      <c r="A36" s="78" t="s">
        <v>307</v>
      </c>
      <c r="B36" s="78" t="s">
        <v>224</v>
      </c>
      <c r="C36" s="78" t="s">
        <v>208</v>
      </c>
      <c r="D36" s="78">
        <v>67.0</v>
      </c>
    </row>
    <row r="37" ht="15.75" customHeight="1">
      <c r="A37" s="78" t="s">
        <v>307</v>
      </c>
      <c r="B37" s="78" t="s">
        <v>298</v>
      </c>
      <c r="C37" s="78" t="s">
        <v>208</v>
      </c>
      <c r="D37" s="78">
        <v>90.0</v>
      </c>
    </row>
    <row r="38" ht="15.75" customHeight="1">
      <c r="A38" s="78" t="s">
        <v>308</v>
      </c>
      <c r="B38" s="78" t="s">
        <v>299</v>
      </c>
      <c r="C38" s="78" t="s">
        <v>300</v>
      </c>
      <c r="D38" s="78">
        <v>57.0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5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0.43"/>
    <col customWidth="1" min="3" max="3" width="11.86"/>
    <col customWidth="1" min="4" max="4" width="10.0"/>
    <col customWidth="1" min="5" max="26" width="8.71"/>
  </cols>
  <sheetData>
    <row r="1">
      <c r="A1" s="47" t="s">
        <v>313</v>
      </c>
      <c r="B1" s="47"/>
      <c r="C1" s="47"/>
    </row>
    <row r="2">
      <c r="A2" s="73" t="s">
        <v>92</v>
      </c>
      <c r="B2" s="73" t="s">
        <v>123</v>
      </c>
      <c r="C2" s="73" t="s">
        <v>17</v>
      </c>
      <c r="D2" s="73" t="s">
        <v>44</v>
      </c>
    </row>
    <row r="3">
      <c r="A3" s="75" t="s">
        <v>169</v>
      </c>
      <c r="B3" s="102" t="s">
        <v>314</v>
      </c>
      <c r="C3" s="102" t="s">
        <v>275</v>
      </c>
      <c r="D3" s="102">
        <v>10000.0</v>
      </c>
    </row>
    <row r="4">
      <c r="A4" s="75" t="s">
        <v>276</v>
      </c>
      <c r="B4" s="102" t="s">
        <v>315</v>
      </c>
      <c r="C4" s="102" t="s">
        <v>316</v>
      </c>
      <c r="D4" s="102">
        <v>32000.0</v>
      </c>
    </row>
    <row r="5">
      <c r="A5" s="75" t="s">
        <v>277</v>
      </c>
      <c r="B5" s="102" t="s">
        <v>314</v>
      </c>
      <c r="C5" s="102" t="s">
        <v>316</v>
      </c>
      <c r="D5" s="102">
        <v>56000.0</v>
      </c>
    </row>
    <row r="6">
      <c r="A6" s="75" t="s">
        <v>278</v>
      </c>
      <c r="B6" s="102" t="s">
        <v>314</v>
      </c>
      <c r="C6" s="102" t="s">
        <v>316</v>
      </c>
      <c r="D6" s="102">
        <v>54000.0</v>
      </c>
    </row>
    <row r="7">
      <c r="A7" s="75" t="s">
        <v>279</v>
      </c>
      <c r="B7" s="102" t="s">
        <v>314</v>
      </c>
      <c r="C7" s="102" t="s">
        <v>316</v>
      </c>
      <c r="D7" s="102">
        <v>78000.0</v>
      </c>
    </row>
    <row r="8">
      <c r="A8" s="75" t="s">
        <v>280</v>
      </c>
      <c r="B8" s="102" t="s">
        <v>315</v>
      </c>
      <c r="C8" s="102" t="s">
        <v>316</v>
      </c>
      <c r="D8" s="102">
        <v>43000.0</v>
      </c>
    </row>
    <row r="9">
      <c r="A9" s="75" t="s">
        <v>281</v>
      </c>
      <c r="B9" s="102" t="s">
        <v>315</v>
      </c>
      <c r="C9" s="102" t="s">
        <v>275</v>
      </c>
      <c r="D9" s="102">
        <v>12000.0</v>
      </c>
    </row>
    <row r="10">
      <c r="A10" s="75" t="s">
        <v>282</v>
      </c>
      <c r="B10" s="102" t="s">
        <v>315</v>
      </c>
      <c r="C10" s="102" t="s">
        <v>275</v>
      </c>
      <c r="D10" s="102">
        <v>23000.0</v>
      </c>
    </row>
    <row r="11">
      <c r="A11" s="75" t="s">
        <v>283</v>
      </c>
      <c r="B11" s="102" t="s">
        <v>315</v>
      </c>
      <c r="C11" s="102" t="s">
        <v>275</v>
      </c>
      <c r="D11" s="102">
        <v>56000.0</v>
      </c>
    </row>
    <row r="12">
      <c r="A12" s="75" t="s">
        <v>169</v>
      </c>
      <c r="B12" s="102" t="s">
        <v>315</v>
      </c>
      <c r="C12" s="102" t="s">
        <v>275</v>
      </c>
      <c r="D12" s="102">
        <v>45000.0</v>
      </c>
    </row>
    <row r="13">
      <c r="A13" s="75" t="s">
        <v>276</v>
      </c>
      <c r="B13" s="102" t="s">
        <v>314</v>
      </c>
      <c r="C13" s="102" t="s">
        <v>275</v>
      </c>
      <c r="D13" s="102">
        <v>78000.0</v>
      </c>
    </row>
    <row r="14">
      <c r="A14" s="75" t="s">
        <v>277</v>
      </c>
      <c r="B14" s="102" t="s">
        <v>314</v>
      </c>
      <c r="C14" s="102" t="s">
        <v>274</v>
      </c>
      <c r="D14" s="102">
        <v>89000.0</v>
      </c>
    </row>
    <row r="15">
      <c r="A15" s="75" t="s">
        <v>278</v>
      </c>
      <c r="B15" s="102" t="s">
        <v>314</v>
      </c>
      <c r="C15" s="102" t="s">
        <v>274</v>
      </c>
      <c r="D15" s="102">
        <v>21000.0</v>
      </c>
    </row>
    <row r="16">
      <c r="A16" s="75" t="s">
        <v>279</v>
      </c>
      <c r="B16" s="102" t="s">
        <v>314</v>
      </c>
      <c r="C16" s="102" t="s">
        <v>274</v>
      </c>
      <c r="D16" s="102">
        <v>23000.0</v>
      </c>
    </row>
    <row r="17">
      <c r="A17" s="75" t="s">
        <v>280</v>
      </c>
      <c r="B17" s="102" t="s">
        <v>314</v>
      </c>
      <c r="C17" s="102" t="s">
        <v>274</v>
      </c>
      <c r="D17" s="102">
        <v>65000.0</v>
      </c>
    </row>
    <row r="18">
      <c r="A18" s="75" t="s">
        <v>281</v>
      </c>
      <c r="B18" s="102" t="s">
        <v>315</v>
      </c>
      <c r="C18" s="102" t="s">
        <v>274</v>
      </c>
      <c r="D18" s="102">
        <v>78000.0</v>
      </c>
    </row>
    <row r="19">
      <c r="A19" s="75" t="s">
        <v>282</v>
      </c>
      <c r="B19" s="102" t="s">
        <v>315</v>
      </c>
      <c r="C19" s="102" t="s">
        <v>275</v>
      </c>
      <c r="D19" s="102">
        <v>54000.0</v>
      </c>
    </row>
    <row r="20">
      <c r="A20" s="75" t="s">
        <v>283</v>
      </c>
      <c r="B20" s="102" t="s">
        <v>315</v>
      </c>
      <c r="C20" s="102" t="s">
        <v>275</v>
      </c>
      <c r="D20" s="102">
        <v>21000.0</v>
      </c>
    </row>
    <row r="21" ht="15.75" customHeight="1">
      <c r="A21" s="75" t="s">
        <v>169</v>
      </c>
      <c r="B21" s="102" t="s">
        <v>315</v>
      </c>
      <c r="C21" s="102" t="s">
        <v>275</v>
      </c>
      <c r="D21" s="102">
        <v>78000.0</v>
      </c>
    </row>
    <row r="22" ht="15.75" customHeight="1">
      <c r="A22" s="75" t="s">
        <v>276</v>
      </c>
      <c r="B22" s="102" t="s">
        <v>314</v>
      </c>
      <c r="C22" s="102" t="s">
        <v>275</v>
      </c>
      <c r="D22" s="102">
        <v>89000.0</v>
      </c>
    </row>
    <row r="23" ht="15.75" customHeight="1">
      <c r="A23" s="75" t="s">
        <v>277</v>
      </c>
      <c r="B23" s="102" t="s">
        <v>314</v>
      </c>
      <c r="C23" s="102" t="s">
        <v>275</v>
      </c>
      <c r="D23" s="102">
        <v>21000.0</v>
      </c>
    </row>
    <row r="24" ht="15.75" customHeight="1">
      <c r="A24" s="75" t="s">
        <v>278</v>
      </c>
      <c r="B24" s="102" t="s">
        <v>314</v>
      </c>
      <c r="C24" s="102" t="s">
        <v>317</v>
      </c>
      <c r="D24" s="102">
        <v>23000.0</v>
      </c>
    </row>
    <row r="25" ht="15.75" customHeight="1">
      <c r="A25" s="75" t="s">
        <v>279</v>
      </c>
      <c r="B25" s="102" t="s">
        <v>314</v>
      </c>
      <c r="C25" s="102" t="s">
        <v>274</v>
      </c>
      <c r="D25" s="102">
        <v>65000.0</v>
      </c>
    </row>
    <row r="26" ht="15.75" customHeight="1">
      <c r="A26" s="75" t="s">
        <v>280</v>
      </c>
      <c r="B26" s="102" t="s">
        <v>314</v>
      </c>
      <c r="C26" s="102" t="s">
        <v>318</v>
      </c>
      <c r="D26" s="102">
        <v>78000.0</v>
      </c>
    </row>
    <row r="27" ht="15.75" customHeight="1">
      <c r="A27" s="75" t="s">
        <v>281</v>
      </c>
      <c r="B27" s="102" t="s">
        <v>314</v>
      </c>
      <c r="C27" s="102" t="s">
        <v>275</v>
      </c>
      <c r="D27" s="102">
        <v>54000.0</v>
      </c>
    </row>
    <row r="28" ht="15.75" customHeight="1">
      <c r="A28" s="75" t="s">
        <v>282</v>
      </c>
      <c r="B28" s="102" t="s">
        <v>319</v>
      </c>
      <c r="C28" s="102" t="s">
        <v>274</v>
      </c>
      <c r="D28" s="102">
        <v>21000.0</v>
      </c>
    </row>
    <row r="29" ht="15.75" customHeight="1">
      <c r="A29" s="75" t="s">
        <v>283</v>
      </c>
      <c r="B29" s="102" t="s">
        <v>315</v>
      </c>
      <c r="C29" s="102" t="s">
        <v>274</v>
      </c>
      <c r="D29" s="102">
        <v>78000.0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6FF66"/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11.43"/>
    <col customWidth="1" min="3" max="3" width="8.86"/>
    <col customWidth="1" min="4" max="4" width="8.71"/>
    <col customWidth="1" min="5" max="5" width="15.14"/>
    <col customWidth="1" min="6" max="26" width="8.71"/>
  </cols>
  <sheetData>
    <row r="1">
      <c r="A1" s="103"/>
      <c r="B1" s="103" t="s">
        <v>207</v>
      </c>
      <c r="C1" s="103" t="s">
        <v>208</v>
      </c>
      <c r="D1" s="103" t="s">
        <v>209</v>
      </c>
      <c r="E1" s="103" t="s">
        <v>210</v>
      </c>
      <c r="F1" s="103" t="s">
        <v>211</v>
      </c>
      <c r="G1" s="103" t="s">
        <v>212</v>
      </c>
      <c r="H1" s="103" t="s">
        <v>213</v>
      </c>
      <c r="I1" s="103" t="s">
        <v>214</v>
      </c>
      <c r="L1" s="12">
        <v>44680.0</v>
      </c>
    </row>
    <row r="2">
      <c r="A2" s="103" t="s">
        <v>221</v>
      </c>
      <c r="B2" s="104">
        <v>76.0</v>
      </c>
      <c r="C2" s="104">
        <v>89.0</v>
      </c>
      <c r="D2" s="104">
        <v>43.0</v>
      </c>
      <c r="E2" s="104">
        <v>48.0</v>
      </c>
      <c r="F2" s="104">
        <v>51.0</v>
      </c>
      <c r="G2" s="104">
        <v>76.0</v>
      </c>
      <c r="H2" s="104">
        <v>87.0</v>
      </c>
      <c r="I2" s="104">
        <v>56.0</v>
      </c>
      <c r="L2" s="12">
        <v>44681.0</v>
      </c>
    </row>
    <row r="3">
      <c r="A3" s="103" t="s">
        <v>222</v>
      </c>
      <c r="B3" s="104">
        <v>55.0</v>
      </c>
      <c r="C3" s="104">
        <v>85.0</v>
      </c>
      <c r="D3" s="104">
        <v>78.0</v>
      </c>
      <c r="E3" s="104">
        <v>61.0</v>
      </c>
      <c r="F3" s="104">
        <v>47.0</v>
      </c>
      <c r="G3" s="104">
        <v>87.0</v>
      </c>
      <c r="H3" s="104">
        <v>91.0</v>
      </c>
      <c r="I3" s="104">
        <v>73.0</v>
      </c>
      <c r="L3" s="12">
        <v>44682.0</v>
      </c>
      <c r="N3" s="12"/>
    </row>
    <row r="4">
      <c r="A4" s="103" t="s">
        <v>223</v>
      </c>
      <c r="B4" s="104">
        <v>65.0</v>
      </c>
      <c r="C4" s="104">
        <v>82.0</v>
      </c>
      <c r="D4" s="104">
        <v>39.0</v>
      </c>
      <c r="E4" s="104">
        <v>58.0</v>
      </c>
      <c r="F4" s="104">
        <v>52.0</v>
      </c>
      <c r="G4" s="104">
        <v>65.0</v>
      </c>
      <c r="H4" s="104">
        <v>57.0</v>
      </c>
      <c r="I4" s="104">
        <v>45.0</v>
      </c>
      <c r="L4" s="12">
        <v>44683.0</v>
      </c>
      <c r="N4" s="12"/>
    </row>
    <row r="5">
      <c r="A5" s="103" t="s">
        <v>224</v>
      </c>
      <c r="B5" s="104">
        <v>45.0</v>
      </c>
      <c r="C5" s="104">
        <v>91.0</v>
      </c>
      <c r="D5" s="104">
        <v>56.0</v>
      </c>
      <c r="E5" s="104">
        <v>72.0</v>
      </c>
      <c r="F5" s="104">
        <v>49.0</v>
      </c>
      <c r="G5" s="104">
        <v>56.0</v>
      </c>
      <c r="H5" s="104">
        <v>78.0</v>
      </c>
      <c r="I5" s="104">
        <v>56.0</v>
      </c>
      <c r="L5" s="12">
        <v>44684.0</v>
      </c>
    </row>
    <row r="6">
      <c r="A6" s="103" t="s">
        <v>226</v>
      </c>
      <c r="B6" s="104">
        <v>51.0</v>
      </c>
      <c r="C6" s="104">
        <v>84.0</v>
      </c>
      <c r="D6" s="104">
        <v>54.0</v>
      </c>
      <c r="E6" s="104">
        <v>64.0</v>
      </c>
      <c r="F6" s="104">
        <v>47.0</v>
      </c>
      <c r="G6" s="104">
        <v>64.0</v>
      </c>
      <c r="H6" s="104">
        <v>67.0</v>
      </c>
      <c r="I6" s="104">
        <v>67.0</v>
      </c>
      <c r="L6" s="12">
        <v>44685.0</v>
      </c>
    </row>
    <row r="7">
      <c r="A7" s="103" t="s">
        <v>228</v>
      </c>
      <c r="B7" s="104">
        <v>43.0</v>
      </c>
      <c r="C7" s="104">
        <v>63.0</v>
      </c>
      <c r="D7" s="104">
        <v>49.0</v>
      </c>
      <c r="E7" s="104">
        <v>62.0</v>
      </c>
      <c r="F7" s="104">
        <v>39.0</v>
      </c>
      <c r="G7" s="104">
        <v>89.0</v>
      </c>
      <c r="H7" s="104">
        <v>64.0</v>
      </c>
      <c r="I7" s="104">
        <v>63.0</v>
      </c>
      <c r="L7" s="12">
        <v>44686.0</v>
      </c>
    </row>
    <row r="8">
      <c r="A8" s="103" t="s">
        <v>230</v>
      </c>
      <c r="B8" s="104">
        <v>63.0</v>
      </c>
      <c r="C8" s="104">
        <v>95.0</v>
      </c>
      <c r="D8" s="104">
        <v>45.0</v>
      </c>
      <c r="E8" s="104">
        <v>59.0</v>
      </c>
      <c r="F8" s="104">
        <v>41.0</v>
      </c>
      <c r="G8" s="104">
        <v>92.0</v>
      </c>
      <c r="H8" s="104">
        <v>89.0</v>
      </c>
      <c r="I8" s="104">
        <v>52.0</v>
      </c>
      <c r="L8" s="12">
        <v>44687.0</v>
      </c>
    </row>
    <row r="9">
      <c r="A9" s="103" t="s">
        <v>231</v>
      </c>
      <c r="B9" s="104">
        <v>35.0</v>
      </c>
      <c r="C9" s="104">
        <v>91.0</v>
      </c>
      <c r="D9" s="104">
        <v>65.0</v>
      </c>
      <c r="E9" s="104">
        <v>26.0</v>
      </c>
      <c r="F9" s="104">
        <v>28.0</v>
      </c>
      <c r="G9" s="104">
        <v>51.0</v>
      </c>
      <c r="H9" s="104">
        <v>92.0</v>
      </c>
      <c r="I9" s="104">
        <v>56.0</v>
      </c>
      <c r="L9" s="12">
        <v>44688.0</v>
      </c>
    </row>
    <row r="10">
      <c r="A10" s="103"/>
      <c r="B10" s="105"/>
      <c r="C10" s="105"/>
      <c r="D10" s="105"/>
      <c r="E10" s="105"/>
      <c r="F10" s="105"/>
      <c r="G10" s="105"/>
      <c r="H10" s="105"/>
      <c r="I10" s="105"/>
      <c r="L10" s="12">
        <v>44689.0</v>
      </c>
    </row>
    <row r="11">
      <c r="A11" s="103" t="s">
        <v>234</v>
      </c>
      <c r="B11" s="106">
        <f t="shared" ref="B11:I11" si="1">AVERAGE(B2:B9)</f>
        <v>54.125</v>
      </c>
      <c r="C11" s="106">
        <f t="shared" si="1"/>
        <v>85</v>
      </c>
      <c r="D11" s="106">
        <f t="shared" si="1"/>
        <v>53.625</v>
      </c>
      <c r="E11" s="106">
        <f t="shared" si="1"/>
        <v>56.25</v>
      </c>
      <c r="F11" s="106">
        <f t="shared" si="1"/>
        <v>44.25</v>
      </c>
      <c r="G11" s="106">
        <f t="shared" si="1"/>
        <v>72.5</v>
      </c>
      <c r="H11" s="106">
        <f t="shared" si="1"/>
        <v>78.125</v>
      </c>
      <c r="I11" s="106">
        <f t="shared" si="1"/>
        <v>58.5</v>
      </c>
      <c r="L11" s="12">
        <v>44690.0</v>
      </c>
    </row>
    <row r="12">
      <c r="A12" s="106"/>
      <c r="B12" s="106"/>
      <c r="C12" s="106"/>
      <c r="D12" s="106"/>
      <c r="E12" s="106"/>
      <c r="F12" s="106"/>
      <c r="G12" s="106"/>
      <c r="H12" s="106"/>
      <c r="I12" s="106"/>
      <c r="L12" s="12">
        <v>44691.0</v>
      </c>
    </row>
    <row r="13">
      <c r="A13" s="106"/>
      <c r="B13" s="103" t="s">
        <v>207</v>
      </c>
      <c r="C13" s="103" t="s">
        <v>208</v>
      </c>
      <c r="D13" s="103" t="s">
        <v>209</v>
      </c>
      <c r="E13" s="103" t="s">
        <v>210</v>
      </c>
      <c r="F13" s="103" t="s">
        <v>211</v>
      </c>
      <c r="G13" s="103" t="s">
        <v>212</v>
      </c>
      <c r="H13" s="103" t="s">
        <v>213</v>
      </c>
      <c r="I13" s="103" t="s">
        <v>214</v>
      </c>
      <c r="L13" s="12">
        <v>44692.0</v>
      </c>
    </row>
    <row r="14">
      <c r="A14" s="103" t="s">
        <v>221</v>
      </c>
      <c r="B14" s="107" t="s">
        <v>238</v>
      </c>
      <c r="C14" s="107" t="s">
        <v>237</v>
      </c>
      <c r="D14" s="107" t="s">
        <v>240</v>
      </c>
      <c r="E14" s="107" t="s">
        <v>239</v>
      </c>
      <c r="F14" s="107" t="s">
        <v>239</v>
      </c>
      <c r="G14" s="107" t="s">
        <v>238</v>
      </c>
      <c r="H14" s="107" t="s">
        <v>237</v>
      </c>
      <c r="I14" s="107" t="s">
        <v>239</v>
      </c>
      <c r="L14" s="12">
        <v>44693.0</v>
      </c>
    </row>
    <row r="15">
      <c r="A15" s="103" t="s">
        <v>222</v>
      </c>
      <c r="B15" s="107" t="s">
        <v>239</v>
      </c>
      <c r="C15" s="107" t="s">
        <v>237</v>
      </c>
      <c r="D15" s="107" t="s">
        <v>238</v>
      </c>
      <c r="E15" s="107" t="s">
        <v>238</v>
      </c>
      <c r="F15" s="107" t="s">
        <v>239</v>
      </c>
      <c r="G15" s="107" t="s">
        <v>237</v>
      </c>
      <c r="H15" s="107" t="s">
        <v>237</v>
      </c>
      <c r="I15" s="107" t="s">
        <v>238</v>
      </c>
      <c r="L15" s="12">
        <v>44694.0</v>
      </c>
    </row>
    <row r="16">
      <c r="A16" s="103" t="s">
        <v>223</v>
      </c>
      <c r="B16" s="107" t="s">
        <v>238</v>
      </c>
      <c r="C16" s="107" t="s">
        <v>237</v>
      </c>
      <c r="D16" s="107" t="s">
        <v>240</v>
      </c>
      <c r="E16" s="107" t="s">
        <v>239</v>
      </c>
      <c r="F16" s="107" t="s">
        <v>239</v>
      </c>
      <c r="G16" s="107" t="s">
        <v>238</v>
      </c>
      <c r="H16" s="107" t="s">
        <v>239</v>
      </c>
      <c r="I16" s="107" t="s">
        <v>239</v>
      </c>
      <c r="L16" s="12">
        <v>44695.0</v>
      </c>
    </row>
    <row r="17">
      <c r="A17" s="103" t="s">
        <v>224</v>
      </c>
      <c r="B17" s="107" t="s">
        <v>239</v>
      </c>
      <c r="C17" s="107" t="s">
        <v>237</v>
      </c>
      <c r="D17" s="107" t="s">
        <v>239</v>
      </c>
      <c r="E17" s="107" t="s">
        <v>238</v>
      </c>
      <c r="F17" s="107" t="s">
        <v>239</v>
      </c>
      <c r="G17" s="107" t="s">
        <v>239</v>
      </c>
      <c r="H17" s="107" t="s">
        <v>238</v>
      </c>
      <c r="I17" s="107" t="s">
        <v>239</v>
      </c>
      <c r="L17" s="12">
        <v>44696.0</v>
      </c>
    </row>
    <row r="18">
      <c r="A18" s="103" t="s">
        <v>226</v>
      </c>
      <c r="B18" s="107" t="s">
        <v>239</v>
      </c>
      <c r="C18" s="107" t="s">
        <v>237</v>
      </c>
      <c r="D18" s="107" t="s">
        <v>239</v>
      </c>
      <c r="E18" s="107" t="s">
        <v>238</v>
      </c>
      <c r="F18" s="107" t="s">
        <v>239</v>
      </c>
      <c r="G18" s="107" t="s">
        <v>238</v>
      </c>
      <c r="H18" s="107" t="s">
        <v>238</v>
      </c>
      <c r="I18" s="107" t="s">
        <v>238</v>
      </c>
      <c r="L18" s="12">
        <v>44697.0</v>
      </c>
    </row>
    <row r="19">
      <c r="A19" s="103" t="s">
        <v>228</v>
      </c>
      <c r="B19" s="107" t="s">
        <v>240</v>
      </c>
      <c r="C19" s="107" t="s">
        <v>238</v>
      </c>
      <c r="D19" s="107" t="s">
        <v>239</v>
      </c>
      <c r="E19" s="107" t="s">
        <v>238</v>
      </c>
      <c r="F19" s="107" t="s">
        <v>240</v>
      </c>
      <c r="G19" s="107" t="s">
        <v>237</v>
      </c>
      <c r="H19" s="107" t="s">
        <v>238</v>
      </c>
      <c r="I19" s="107" t="s">
        <v>238</v>
      </c>
      <c r="L19" s="12">
        <v>44698.0</v>
      </c>
    </row>
    <row r="20">
      <c r="A20" s="103" t="s">
        <v>230</v>
      </c>
      <c r="B20" s="107" t="s">
        <v>238</v>
      </c>
      <c r="C20" s="107" t="s">
        <v>237</v>
      </c>
      <c r="D20" s="107" t="s">
        <v>239</v>
      </c>
      <c r="E20" s="107" t="s">
        <v>239</v>
      </c>
      <c r="F20" s="107" t="s">
        <v>240</v>
      </c>
      <c r="G20" s="107" t="s">
        <v>237</v>
      </c>
      <c r="H20" s="107" t="s">
        <v>237</v>
      </c>
      <c r="I20" s="107" t="s">
        <v>239</v>
      </c>
      <c r="L20" s="12">
        <v>44699.0</v>
      </c>
    </row>
    <row r="21" ht="15.75" customHeight="1">
      <c r="A21" s="103" t="s">
        <v>231</v>
      </c>
      <c r="B21" s="107" t="s">
        <v>240</v>
      </c>
      <c r="C21" s="107" t="s">
        <v>237</v>
      </c>
      <c r="D21" s="107" t="s">
        <v>238</v>
      </c>
      <c r="E21" s="107" t="s">
        <v>244</v>
      </c>
      <c r="F21" s="107" t="s">
        <v>244</v>
      </c>
      <c r="G21" s="107" t="s">
        <v>239</v>
      </c>
      <c r="H21" s="107" t="s">
        <v>237</v>
      </c>
      <c r="I21" s="107" t="s">
        <v>239</v>
      </c>
      <c r="L21" s="12">
        <v>44700.0</v>
      </c>
    </row>
    <row r="22" ht="15.75" customHeight="1">
      <c r="L22" s="12">
        <v>44701.0</v>
      </c>
    </row>
    <row r="23" ht="15.75" customHeight="1">
      <c r="L23" s="12">
        <v>44702.0</v>
      </c>
    </row>
    <row r="24" ht="15.75" customHeight="1">
      <c r="B24" s="5"/>
      <c r="C24" s="5"/>
      <c r="D24" s="5"/>
      <c r="E24" s="5"/>
      <c r="F24" s="5"/>
      <c r="L24" s="12">
        <v>44703.0</v>
      </c>
    </row>
    <row r="25" ht="15.75" customHeight="1">
      <c r="B25" s="5"/>
      <c r="C25" s="5"/>
      <c r="D25" s="5"/>
      <c r="E25" s="5"/>
      <c r="F25" s="5"/>
      <c r="L25" s="12">
        <v>44704.0</v>
      </c>
    </row>
    <row r="26" ht="15.75" customHeight="1">
      <c r="B26" s="5"/>
      <c r="C26" s="5">
        <v>54.0</v>
      </c>
      <c r="D26" s="5"/>
      <c r="E26" s="5"/>
      <c r="F26" s="5"/>
      <c r="L26" s="12">
        <v>44705.0</v>
      </c>
    </row>
    <row r="27" ht="15.75" customHeight="1">
      <c r="B27" s="5"/>
      <c r="C27" s="5"/>
      <c r="D27" s="5">
        <v>417.0</v>
      </c>
      <c r="E27" s="5">
        <v>45.0</v>
      </c>
      <c r="F27" s="5"/>
      <c r="L27" s="12">
        <v>44706.0</v>
      </c>
    </row>
    <row r="28" ht="15.75" customHeight="1">
      <c r="B28" s="5"/>
      <c r="C28" s="5"/>
      <c r="D28" s="5"/>
      <c r="E28" s="5">
        <v>47.0</v>
      </c>
      <c r="F28" s="5"/>
      <c r="L28" s="12">
        <v>44707.0</v>
      </c>
    </row>
    <row r="29" ht="15.75" customHeight="1">
      <c r="B29" s="5"/>
      <c r="C29" s="5">
        <v>41.0</v>
      </c>
      <c r="D29" s="5">
        <v>4.0</v>
      </c>
      <c r="E29" s="5">
        <v>542.0</v>
      </c>
      <c r="F29" s="5">
        <v>55.0</v>
      </c>
      <c r="L29" s="12">
        <v>44708.0</v>
      </c>
    </row>
    <row r="30" ht="15.75" customHeight="1">
      <c r="B30" s="5"/>
      <c r="C30" s="5"/>
      <c r="D30" s="5"/>
      <c r="E30" s="5"/>
      <c r="F30" s="5"/>
      <c r="L30" s="12">
        <v>44709.0</v>
      </c>
    </row>
    <row r="31" ht="15.75" customHeight="1">
      <c r="B31" s="5"/>
      <c r="C31" s="5">
        <v>89.0</v>
      </c>
      <c r="D31" s="5"/>
      <c r="E31" s="5">
        <v>56.0</v>
      </c>
      <c r="F31" s="5"/>
      <c r="L31" s="12">
        <v>44710.0</v>
      </c>
    </row>
    <row r="32" ht="15.75" customHeight="1">
      <c r="F32" s="33">
        <v>52.0</v>
      </c>
      <c r="L32" s="12">
        <v>44711.0</v>
      </c>
    </row>
    <row r="33" ht="15.75" customHeight="1">
      <c r="L33" s="12">
        <v>44712.0</v>
      </c>
    </row>
    <row r="34" ht="15.75" customHeight="1">
      <c r="E34" s="33">
        <v>557.0</v>
      </c>
      <c r="L34" s="12">
        <v>44713.0</v>
      </c>
    </row>
    <row r="35" ht="15.75" customHeight="1">
      <c r="L35" s="12">
        <v>44714.0</v>
      </c>
    </row>
    <row r="36" ht="15.75" customHeight="1">
      <c r="L36" s="12">
        <v>44715.0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B2:I9">
    <cfRule type="cellIs" dxfId="0" priority="1" operator="between">
      <formula>80</formula>
      <formula>100</formula>
    </cfRule>
  </conditionalFormatting>
  <conditionalFormatting sqref="B2:I9">
    <cfRule type="cellIs" dxfId="1" priority="2" operator="between">
      <formula>65</formula>
      <formula>79</formula>
    </cfRule>
  </conditionalFormatting>
  <conditionalFormatting sqref="B2:I9">
    <cfRule type="cellIs" dxfId="2" priority="3" operator="between">
      <formula>50</formula>
      <formula>64</formula>
    </cfRule>
  </conditionalFormatting>
  <conditionalFormatting sqref="B2:I9">
    <cfRule type="cellIs" dxfId="3" priority="4" operator="between">
      <formula>38</formula>
      <formula>49</formula>
    </cfRule>
  </conditionalFormatting>
  <conditionalFormatting sqref="B2:I9">
    <cfRule type="cellIs" dxfId="4" priority="5" operator="between">
      <formula>1</formula>
      <formula>37</formula>
    </cfRule>
  </conditionalFormatting>
  <conditionalFormatting sqref="B14:I21">
    <cfRule type="containsText" dxfId="5" priority="6" operator="containsText" text="Fail">
      <formula>NOT(ISERROR(SEARCH(("Fail"),(B14))))</formula>
    </cfRule>
  </conditionalFormatting>
  <conditionalFormatting sqref="B14:I21">
    <cfRule type="containsText" dxfId="6" priority="7" operator="containsText" text="D">
      <formula>NOT(ISERROR(SEARCH(("D"),(B14))))</formula>
    </cfRule>
  </conditionalFormatting>
  <conditionalFormatting sqref="B14:I21">
    <cfRule type="endsWith" dxfId="1" priority="8" operator="endsWith" text="C">
      <formula>RIGHT((B14),LEN("C"))=("C")</formula>
    </cfRule>
  </conditionalFormatting>
  <conditionalFormatting sqref="B14:I21">
    <cfRule type="containsText" dxfId="7" priority="9" operator="containsText" text="B">
      <formula>NOT(ISERROR(SEARCH(("B"),(B14))))</formula>
    </cfRule>
  </conditionalFormatting>
  <conditionalFormatting sqref="B14:I21">
    <cfRule type="beginsWith" dxfId="8" priority="10" operator="beginsWith" text="A">
      <formula>LEFT((B14),LEN("A"))=("A")</formula>
    </cfRule>
  </conditionalFormatting>
  <conditionalFormatting sqref="B24:I35">
    <cfRule type="cellIs" dxfId="9" priority="11" operator="between">
      <formula>48</formula>
      <formula>98</formula>
    </cfRule>
  </conditionalFormatting>
  <conditionalFormatting sqref="B24:I35">
    <cfRule type="cellIs" dxfId="10" priority="12" operator="between">
      <formula>1</formula>
      <formula>47</formula>
    </cfRule>
  </conditionalFormatting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Col="1" outlineLevelRow="1"/>
  <cols>
    <col customWidth="1" min="1" max="2" width="8.71"/>
    <col customWidth="1" min="3" max="3" width="5.71"/>
    <col customWidth="1" min="4" max="7" width="13.14" outlineLevel="1"/>
    <col customWidth="1" min="8" max="26" width="8.71"/>
  </cols>
  <sheetData>
    <row r="2">
      <c r="B2" s="108" t="s">
        <v>320</v>
      </c>
      <c r="C2" s="108"/>
      <c r="D2" s="109"/>
      <c r="E2" s="109"/>
      <c r="F2" s="109"/>
      <c r="G2" s="109"/>
    </row>
    <row r="3" collapsed="1">
      <c r="B3" s="110"/>
      <c r="C3" s="110"/>
      <c r="D3" s="111" t="s">
        <v>321</v>
      </c>
      <c r="E3" s="111" t="s">
        <v>322</v>
      </c>
      <c r="F3" s="111" t="s">
        <v>323</v>
      </c>
      <c r="G3" s="111" t="s">
        <v>324</v>
      </c>
    </row>
    <row r="4" hidden="1" outlineLevel="1">
      <c r="B4" s="112"/>
      <c r="C4" s="112"/>
      <c r="D4" s="5"/>
      <c r="E4" s="113" t="s">
        <v>325</v>
      </c>
      <c r="F4" s="113" t="s">
        <v>325</v>
      </c>
      <c r="G4" s="113" t="s">
        <v>325</v>
      </c>
    </row>
    <row r="5">
      <c r="B5" s="114" t="s">
        <v>326</v>
      </c>
      <c r="C5" s="114"/>
      <c r="D5" s="115"/>
      <c r="E5" s="115"/>
      <c r="F5" s="115"/>
      <c r="G5" s="115"/>
    </row>
    <row r="6" outlineLevel="1">
      <c r="B6" s="112"/>
      <c r="C6" s="112" t="s">
        <v>327</v>
      </c>
      <c r="D6" s="5">
        <v>1400.0</v>
      </c>
      <c r="E6" s="116">
        <v>1400.0</v>
      </c>
      <c r="F6" s="5">
        <v>1400.0</v>
      </c>
      <c r="G6" s="5">
        <v>1400.0</v>
      </c>
    </row>
    <row r="7" outlineLevel="1">
      <c r="B7" s="112"/>
      <c r="C7" s="112" t="s">
        <v>328</v>
      </c>
      <c r="D7" s="5">
        <v>123.0</v>
      </c>
      <c r="E7" s="5">
        <v>123.0</v>
      </c>
      <c r="F7" s="116">
        <v>123.0</v>
      </c>
      <c r="G7" s="5">
        <v>123.0</v>
      </c>
    </row>
    <row r="8" outlineLevel="1">
      <c r="B8" s="112"/>
      <c r="C8" s="112" t="s">
        <v>329</v>
      </c>
      <c r="D8" s="5">
        <v>71.0</v>
      </c>
      <c r="E8" s="5">
        <v>71.0</v>
      </c>
      <c r="F8" s="5">
        <v>71.0</v>
      </c>
      <c r="G8" s="116">
        <v>71.0</v>
      </c>
    </row>
    <row r="9">
      <c r="B9" s="114" t="s">
        <v>330</v>
      </c>
      <c r="C9" s="114"/>
      <c r="D9" s="115"/>
      <c r="E9" s="115"/>
      <c r="F9" s="115"/>
      <c r="G9" s="115"/>
    </row>
    <row r="10" outlineLevel="1">
      <c r="B10" s="117"/>
      <c r="C10" s="117" t="s">
        <v>331</v>
      </c>
      <c r="D10" s="118">
        <v>182.0</v>
      </c>
      <c r="E10" s="118">
        <v>182.0</v>
      </c>
      <c r="F10" s="118">
        <v>182.0</v>
      </c>
      <c r="G10" s="118">
        <v>182.0</v>
      </c>
    </row>
    <row r="11">
      <c r="B11" s="33" t="s">
        <v>332</v>
      </c>
    </row>
    <row r="12">
      <c r="B12" s="33" t="s">
        <v>333</v>
      </c>
    </row>
    <row r="13">
      <c r="B13" s="33" t="s">
        <v>334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16.43"/>
    <col customWidth="1" min="3" max="3" width="11.86"/>
    <col customWidth="1" min="4" max="7" width="8.71"/>
    <col customWidth="1" min="8" max="8" width="33.14"/>
    <col customWidth="1" min="9" max="9" width="16.43"/>
    <col customWidth="1" min="10" max="10" width="11.86"/>
    <col customWidth="1" min="11" max="26" width="8.71"/>
  </cols>
  <sheetData>
    <row r="1">
      <c r="A1" s="119" t="s">
        <v>335</v>
      </c>
      <c r="B1" s="119"/>
      <c r="H1" s="119" t="s">
        <v>335</v>
      </c>
      <c r="I1" s="119"/>
    </row>
    <row r="2">
      <c r="A2" s="120" t="s">
        <v>42</v>
      </c>
      <c r="B2" s="120" t="s">
        <v>336</v>
      </c>
      <c r="C2" s="120" t="s">
        <v>337</v>
      </c>
      <c r="D2" s="121"/>
      <c r="E2" s="121"/>
      <c r="F2" s="121"/>
      <c r="G2" s="121"/>
      <c r="H2" s="120" t="s">
        <v>42</v>
      </c>
      <c r="I2" s="120" t="s">
        <v>336</v>
      </c>
      <c r="J2" s="120" t="s">
        <v>337</v>
      </c>
    </row>
    <row r="3">
      <c r="A3" s="122" t="s">
        <v>338</v>
      </c>
      <c r="B3" s="75">
        <v>440.0</v>
      </c>
      <c r="C3" s="75">
        <v>1200.0</v>
      </c>
      <c r="D3" s="121"/>
      <c r="E3" s="121"/>
      <c r="F3" s="121"/>
      <c r="G3" s="121"/>
      <c r="H3" s="122" t="s">
        <v>338</v>
      </c>
      <c r="I3" s="75">
        <v>440.0</v>
      </c>
      <c r="J3" s="75">
        <v>1400.0</v>
      </c>
    </row>
    <row r="4">
      <c r="A4" s="122" t="s">
        <v>323</v>
      </c>
      <c r="B4" s="75">
        <v>85.0</v>
      </c>
      <c r="C4" s="75"/>
      <c r="D4" s="121"/>
      <c r="E4" s="121"/>
      <c r="F4" s="121"/>
      <c r="G4" s="121"/>
      <c r="H4" s="122" t="s">
        <v>323</v>
      </c>
      <c r="I4" s="75">
        <v>123.0</v>
      </c>
      <c r="J4" s="75"/>
    </row>
    <row r="5">
      <c r="A5" s="122" t="s">
        <v>339</v>
      </c>
      <c r="B5" s="75">
        <v>45.0</v>
      </c>
      <c r="C5" s="75"/>
      <c r="D5" s="121"/>
      <c r="E5" s="121"/>
      <c r="F5" s="121"/>
      <c r="G5" s="121"/>
      <c r="H5" s="122" t="s">
        <v>339</v>
      </c>
      <c r="I5" s="75">
        <v>45.0</v>
      </c>
      <c r="J5" s="75"/>
    </row>
    <row r="6">
      <c r="A6" s="122" t="s">
        <v>340</v>
      </c>
      <c r="B6" s="75">
        <v>29.0</v>
      </c>
      <c r="C6" s="75"/>
      <c r="D6" s="121"/>
      <c r="E6" s="121"/>
      <c r="F6" s="121"/>
      <c r="G6" s="121"/>
      <c r="H6" s="122" t="s">
        <v>340</v>
      </c>
      <c r="I6" s="75">
        <v>29.0</v>
      </c>
      <c r="J6" s="75"/>
    </row>
    <row r="7">
      <c r="A7" s="122" t="s">
        <v>341</v>
      </c>
      <c r="B7" s="75">
        <v>280.0</v>
      </c>
      <c r="C7" s="75"/>
      <c r="D7" s="121"/>
      <c r="E7" s="121"/>
      <c r="F7" s="121"/>
      <c r="G7" s="121"/>
      <c r="H7" s="122" t="s">
        <v>341</v>
      </c>
      <c r="I7" s="75">
        <v>280.0</v>
      </c>
      <c r="J7" s="75"/>
    </row>
    <row r="8">
      <c r="A8" s="122" t="s">
        <v>342</v>
      </c>
      <c r="B8" s="75">
        <v>150.0</v>
      </c>
      <c r="C8" s="75"/>
      <c r="D8" s="121"/>
      <c r="E8" s="121"/>
      <c r="F8" s="121"/>
      <c r="G8" s="121"/>
      <c r="H8" s="122" t="s">
        <v>342</v>
      </c>
      <c r="I8" s="75">
        <v>150.0</v>
      </c>
      <c r="J8" s="75"/>
    </row>
    <row r="9">
      <c r="A9" s="122" t="s">
        <v>324</v>
      </c>
      <c r="B9" s="75">
        <v>45.0</v>
      </c>
      <c r="C9" s="75"/>
      <c r="D9" s="121"/>
      <c r="E9" s="121"/>
      <c r="F9" s="121"/>
      <c r="G9" s="121"/>
      <c r="H9" s="122" t="s">
        <v>324</v>
      </c>
      <c r="I9" s="75">
        <v>71.0</v>
      </c>
      <c r="J9" s="75"/>
    </row>
    <row r="10">
      <c r="A10" s="122" t="s">
        <v>343</v>
      </c>
      <c r="B10" s="75">
        <v>80.0</v>
      </c>
      <c r="C10" s="75"/>
      <c r="D10" s="121"/>
      <c r="E10" s="121"/>
      <c r="F10" s="121"/>
      <c r="G10" s="121"/>
      <c r="H10" s="122" t="s">
        <v>343</v>
      </c>
      <c r="I10" s="75">
        <v>80.0</v>
      </c>
      <c r="J10" s="75"/>
    </row>
    <row r="11">
      <c r="A11" s="122"/>
      <c r="B11" s="75"/>
      <c r="C11" s="75"/>
      <c r="D11" s="121"/>
      <c r="E11" s="121"/>
      <c r="F11" s="121"/>
      <c r="G11" s="121"/>
      <c r="H11" s="122"/>
      <c r="I11" s="75"/>
      <c r="J11" s="75"/>
    </row>
    <row r="12">
      <c r="A12" s="122" t="s">
        <v>344</v>
      </c>
      <c r="B12" s="75">
        <f>SUM(B3:B10)</f>
        <v>1154</v>
      </c>
      <c r="C12" s="75"/>
      <c r="D12" s="121"/>
      <c r="E12" s="121"/>
      <c r="F12" s="121"/>
      <c r="G12" s="121"/>
      <c r="H12" s="122" t="s">
        <v>344</v>
      </c>
      <c r="I12" s="75">
        <f>SUM(I3:I10)</f>
        <v>1218</v>
      </c>
      <c r="J12" s="75"/>
    </row>
    <row r="13">
      <c r="A13" s="122" t="s">
        <v>345</v>
      </c>
      <c r="B13" s="75"/>
      <c r="C13" s="75">
        <f>C3-B12</f>
        <v>46</v>
      </c>
      <c r="D13" s="121"/>
      <c r="E13" s="121"/>
      <c r="F13" s="121"/>
      <c r="G13" s="121"/>
      <c r="H13" s="122" t="s">
        <v>345</v>
      </c>
      <c r="I13" s="75"/>
      <c r="J13" s="75">
        <f>J3-I12</f>
        <v>182</v>
      </c>
    </row>
    <row r="14">
      <c r="A14" s="36"/>
      <c r="B14" s="8"/>
      <c r="C14" s="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Col="1" outlineLevelRow="1"/>
  <cols>
    <col customWidth="1" min="1" max="2" width="8.71"/>
    <col customWidth="1" min="3" max="3" width="6.14"/>
    <col customWidth="1" min="4" max="8" width="13.14" outlineLevel="1"/>
    <col customWidth="1" min="9" max="26" width="8.71"/>
  </cols>
  <sheetData>
    <row r="2">
      <c r="B2" s="108" t="s">
        <v>320</v>
      </c>
      <c r="C2" s="108"/>
      <c r="D2" s="109"/>
      <c r="E2" s="109"/>
      <c r="F2" s="109"/>
      <c r="G2" s="109"/>
      <c r="H2" s="109"/>
    </row>
    <row r="3" collapsed="1">
      <c r="B3" s="110"/>
      <c r="C3" s="110"/>
      <c r="D3" s="111" t="s">
        <v>321</v>
      </c>
      <c r="E3" s="111" t="s">
        <v>346</v>
      </c>
      <c r="F3" s="111" t="s">
        <v>52</v>
      </c>
      <c r="G3" s="111" t="s">
        <v>347</v>
      </c>
      <c r="H3" s="111" t="s">
        <v>337</v>
      </c>
    </row>
    <row r="4" hidden="1" outlineLevel="1">
      <c r="B4" s="112"/>
      <c r="C4" s="112"/>
      <c r="D4" s="5"/>
      <c r="E4" s="113" t="s">
        <v>325</v>
      </c>
      <c r="F4" s="113" t="s">
        <v>325</v>
      </c>
      <c r="G4" s="113" t="s">
        <v>325</v>
      </c>
      <c r="H4" s="113" t="s">
        <v>325</v>
      </c>
    </row>
    <row r="5">
      <c r="B5" s="114" t="s">
        <v>326</v>
      </c>
      <c r="C5" s="114"/>
      <c r="D5" s="115"/>
      <c r="E5" s="115"/>
      <c r="F5" s="115"/>
      <c r="G5" s="115"/>
      <c r="H5" s="115"/>
    </row>
    <row r="6" outlineLevel="1">
      <c r="B6" s="112"/>
      <c r="C6" s="112" t="s">
        <v>348</v>
      </c>
      <c r="D6" s="5">
        <v>31573.0</v>
      </c>
      <c r="E6" s="116">
        <v>31573.0</v>
      </c>
      <c r="F6" s="5">
        <v>31573.0</v>
      </c>
      <c r="G6" s="5">
        <v>31573.0</v>
      </c>
      <c r="H6" s="5">
        <v>31573.0</v>
      </c>
    </row>
    <row r="7" outlineLevel="1">
      <c r="B7" s="112"/>
      <c r="C7" s="112" t="s">
        <v>349</v>
      </c>
      <c r="D7" s="5">
        <v>23579.0</v>
      </c>
      <c r="E7" s="5">
        <v>23579.0</v>
      </c>
      <c r="F7" s="116">
        <v>23579.0</v>
      </c>
      <c r="G7" s="5">
        <v>23579.0</v>
      </c>
      <c r="H7" s="5">
        <v>23579.0</v>
      </c>
    </row>
    <row r="8" outlineLevel="1">
      <c r="B8" s="112"/>
      <c r="C8" s="112" t="s">
        <v>350</v>
      </c>
      <c r="D8" s="5">
        <v>21397.0</v>
      </c>
      <c r="E8" s="5">
        <v>21397.0</v>
      </c>
      <c r="F8" s="5">
        <v>21397.0</v>
      </c>
      <c r="G8" s="116">
        <v>21397.0</v>
      </c>
      <c r="H8" s="5">
        <v>21397.0</v>
      </c>
    </row>
    <row r="9" outlineLevel="1">
      <c r="B9" s="112"/>
      <c r="C9" s="112" t="s">
        <v>351</v>
      </c>
      <c r="D9" s="5">
        <v>328976.0</v>
      </c>
      <c r="E9" s="5">
        <v>328976.0</v>
      </c>
      <c r="F9" s="5">
        <v>328976.0</v>
      </c>
      <c r="G9" s="5">
        <v>328976.0</v>
      </c>
      <c r="H9" s="116">
        <v>328976.0</v>
      </c>
    </row>
    <row r="10">
      <c r="B10" s="114" t="s">
        <v>330</v>
      </c>
      <c r="C10" s="114"/>
      <c r="D10" s="115"/>
      <c r="E10" s="115"/>
      <c r="F10" s="115"/>
      <c r="G10" s="115"/>
      <c r="H10" s="115"/>
    </row>
    <row r="11" outlineLevel="1">
      <c r="B11" s="117"/>
      <c r="C11" s="117" t="s">
        <v>352</v>
      </c>
      <c r="D11" s="118">
        <v>200427.0</v>
      </c>
      <c r="E11" s="118">
        <v>200427.0</v>
      </c>
      <c r="F11" s="118">
        <v>200427.0</v>
      </c>
      <c r="G11" s="118">
        <v>200427.0</v>
      </c>
      <c r="H11" s="118">
        <v>200427.0</v>
      </c>
    </row>
    <row r="12">
      <c r="B12" s="33" t="s">
        <v>332</v>
      </c>
    </row>
    <row r="13">
      <c r="B13" s="33" t="s">
        <v>333</v>
      </c>
    </row>
    <row r="14">
      <c r="B14" s="33" t="s">
        <v>334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71"/>
    <col customWidth="1" min="2" max="2" width="17.86"/>
    <col customWidth="1" min="3" max="3" width="14.0"/>
    <col customWidth="1" min="4" max="4" width="11.86"/>
    <col customWidth="1" min="5" max="8" width="8.71"/>
    <col customWidth="1" min="9" max="9" width="34.14"/>
    <col customWidth="1" min="10" max="10" width="17.0"/>
    <col customWidth="1" min="11" max="11" width="14.71"/>
    <col customWidth="1" min="12" max="12" width="11.86"/>
    <col customWidth="1" min="13" max="26" width="8.71"/>
  </cols>
  <sheetData>
    <row r="1">
      <c r="A1" s="119" t="s">
        <v>353</v>
      </c>
      <c r="B1" s="119"/>
      <c r="C1" s="119"/>
      <c r="D1" s="78"/>
      <c r="E1" s="78"/>
      <c r="F1" s="78"/>
      <c r="G1" s="78"/>
      <c r="I1" s="119" t="s">
        <v>353</v>
      </c>
      <c r="J1" s="119"/>
      <c r="K1" s="119"/>
      <c r="L1" s="78"/>
    </row>
    <row r="2">
      <c r="A2" s="78"/>
      <c r="B2" s="47" t="s">
        <v>354</v>
      </c>
      <c r="C2" s="74" t="s">
        <v>337</v>
      </c>
      <c r="E2" s="78"/>
      <c r="F2" s="78"/>
      <c r="G2" s="78"/>
      <c r="I2" s="78"/>
      <c r="J2" s="47" t="s">
        <v>354</v>
      </c>
      <c r="K2" s="74" t="s">
        <v>337</v>
      </c>
      <c r="L2" s="47"/>
    </row>
    <row r="3">
      <c r="A3" s="78"/>
      <c r="B3" s="78"/>
      <c r="C3" s="75">
        <v>100000.0</v>
      </c>
      <c r="E3" s="78"/>
      <c r="F3" s="78"/>
      <c r="G3" s="78"/>
      <c r="I3" s="78"/>
      <c r="J3" s="78"/>
      <c r="K3" s="75">
        <v>328976.0</v>
      </c>
      <c r="L3" s="78"/>
    </row>
    <row r="4">
      <c r="A4" s="78" t="s">
        <v>52</v>
      </c>
      <c r="B4" s="75">
        <v>25000.0</v>
      </c>
      <c r="C4" s="75"/>
      <c r="D4" s="78"/>
      <c r="E4" s="78"/>
      <c r="F4" s="78"/>
      <c r="G4" s="78"/>
      <c r="I4" s="78" t="s">
        <v>52</v>
      </c>
      <c r="J4" s="75">
        <v>23579.0</v>
      </c>
      <c r="K4" s="75"/>
      <c r="L4" s="78"/>
    </row>
    <row r="5">
      <c r="A5" s="78" t="s">
        <v>346</v>
      </c>
      <c r="B5" s="75">
        <v>30000.0</v>
      </c>
      <c r="C5" s="75"/>
      <c r="D5" s="78"/>
      <c r="E5" s="78"/>
      <c r="F5" s="78"/>
      <c r="G5" s="78"/>
      <c r="I5" s="78" t="s">
        <v>346</v>
      </c>
      <c r="J5" s="75">
        <v>31573.0</v>
      </c>
      <c r="K5" s="75"/>
      <c r="L5" s="78"/>
    </row>
    <row r="6">
      <c r="A6" s="78" t="s">
        <v>347</v>
      </c>
      <c r="B6" s="75">
        <v>15000.0</v>
      </c>
      <c r="C6" s="75"/>
      <c r="D6" s="78"/>
      <c r="E6" s="78"/>
      <c r="F6" s="78"/>
      <c r="G6" s="78"/>
      <c r="I6" s="78" t="s">
        <v>347</v>
      </c>
      <c r="J6" s="75">
        <v>21397.0</v>
      </c>
      <c r="K6" s="75"/>
      <c r="L6" s="78"/>
    </row>
    <row r="7">
      <c r="A7" s="78" t="s">
        <v>355</v>
      </c>
      <c r="B7" s="75">
        <v>5000.0</v>
      </c>
      <c r="C7" s="75"/>
      <c r="D7" s="78"/>
      <c r="E7" s="78"/>
      <c r="F7" s="78"/>
      <c r="G7" s="78"/>
      <c r="I7" s="78" t="s">
        <v>355</v>
      </c>
      <c r="J7" s="75">
        <v>5000.0</v>
      </c>
      <c r="K7" s="75"/>
      <c r="L7" s="78"/>
    </row>
    <row r="8">
      <c r="A8" s="78" t="s">
        <v>356</v>
      </c>
      <c r="B8" s="75">
        <v>2000.0</v>
      </c>
      <c r="C8" s="75"/>
      <c r="D8" s="78"/>
      <c r="E8" s="78"/>
      <c r="F8" s="78"/>
      <c r="G8" s="78"/>
      <c r="I8" s="78" t="s">
        <v>356</v>
      </c>
      <c r="J8" s="75">
        <v>2000.0</v>
      </c>
      <c r="K8" s="75"/>
      <c r="L8" s="78"/>
    </row>
    <row r="9">
      <c r="A9" s="78" t="s">
        <v>357</v>
      </c>
      <c r="B9" s="75">
        <v>10000.0</v>
      </c>
      <c r="C9" s="75"/>
      <c r="D9" s="78"/>
      <c r="E9" s="78"/>
      <c r="F9" s="78"/>
      <c r="G9" s="78"/>
      <c r="I9" s="78" t="s">
        <v>357</v>
      </c>
      <c r="J9" s="75">
        <v>10000.0</v>
      </c>
      <c r="K9" s="75"/>
      <c r="L9" s="78"/>
    </row>
    <row r="10">
      <c r="A10" s="78" t="s">
        <v>358</v>
      </c>
      <c r="B10" s="75">
        <v>15000.0</v>
      </c>
      <c r="C10" s="75"/>
      <c r="D10" s="78"/>
      <c r="E10" s="78"/>
      <c r="F10" s="78"/>
      <c r="G10" s="78"/>
      <c r="I10" s="78" t="s">
        <v>358</v>
      </c>
      <c r="J10" s="75">
        <v>15000.0</v>
      </c>
      <c r="K10" s="75"/>
      <c r="L10" s="78"/>
    </row>
    <row r="11">
      <c r="A11" s="78" t="s">
        <v>359</v>
      </c>
      <c r="B11" s="75">
        <v>20000.0</v>
      </c>
      <c r="C11" s="75"/>
      <c r="D11" s="78"/>
      <c r="E11" s="78"/>
      <c r="F11" s="78"/>
      <c r="G11" s="78"/>
      <c r="I11" s="78" t="s">
        <v>359</v>
      </c>
      <c r="J11" s="75">
        <v>20000.0</v>
      </c>
      <c r="K11" s="75"/>
      <c r="L11" s="78"/>
    </row>
    <row r="12">
      <c r="A12" s="78"/>
      <c r="B12" s="75"/>
      <c r="C12" s="75"/>
      <c r="D12" s="78"/>
      <c r="E12" s="78"/>
      <c r="F12" s="78"/>
      <c r="G12" s="78"/>
      <c r="I12" s="78"/>
      <c r="J12" s="75"/>
      <c r="K12" s="75"/>
      <c r="L12" s="78"/>
    </row>
    <row r="13">
      <c r="A13" s="78" t="s">
        <v>360</v>
      </c>
      <c r="B13" s="75">
        <f>SUM(B4:B11)</f>
        <v>122000</v>
      </c>
      <c r="C13" s="8"/>
      <c r="D13" s="78"/>
      <c r="E13" s="78"/>
      <c r="F13" s="78"/>
      <c r="G13" s="78"/>
      <c r="I13" s="78" t="s">
        <v>360</v>
      </c>
      <c r="J13" s="75">
        <f>SUM(J4:J11)</f>
        <v>128549</v>
      </c>
      <c r="K13" s="8"/>
      <c r="L13" s="78"/>
    </row>
    <row r="14">
      <c r="A14" s="78"/>
      <c r="B14" s="78"/>
      <c r="C14" s="78"/>
      <c r="D14" s="78"/>
      <c r="E14" s="78"/>
      <c r="F14" s="78"/>
      <c r="G14" s="78"/>
      <c r="I14" s="78"/>
      <c r="J14" s="78"/>
      <c r="K14" s="78"/>
      <c r="L14" s="78"/>
    </row>
    <row r="15">
      <c r="A15" s="78" t="s">
        <v>361</v>
      </c>
      <c r="B15" s="78"/>
      <c r="C15" s="78">
        <f>C3-B13</f>
        <v>-22000</v>
      </c>
      <c r="D15" s="78"/>
      <c r="E15" s="78"/>
      <c r="F15" s="78"/>
      <c r="G15" s="78"/>
      <c r="I15" s="78" t="s">
        <v>361</v>
      </c>
      <c r="J15" s="78"/>
      <c r="K15" s="78">
        <f>K3-J13</f>
        <v>200427</v>
      </c>
      <c r="L15" s="78"/>
    </row>
    <row r="16">
      <c r="A16" s="78"/>
      <c r="B16" s="78"/>
      <c r="C16" s="78"/>
      <c r="D16" s="78"/>
      <c r="E16" s="78"/>
      <c r="F16" s="78"/>
      <c r="G16" s="7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29"/>
    <col customWidth="1" min="3" max="26" width="8.71"/>
  </cols>
  <sheetData>
    <row r="1">
      <c r="A1" s="33">
        <v>1.0</v>
      </c>
      <c r="B1" s="33" t="str">
        <f t="shared" ref="B1:B4" si="1">AuTxt(A1)</f>
        <v>#NAME?</v>
      </c>
    </row>
    <row r="2">
      <c r="A2" s="33">
        <v>2.0</v>
      </c>
      <c r="B2" s="33" t="str">
        <f t="shared" si="1"/>
        <v>#NAME?</v>
      </c>
    </row>
    <row r="3">
      <c r="A3" s="33">
        <v>3.0</v>
      </c>
      <c r="B3" s="33" t="str">
        <f t="shared" si="1"/>
        <v>#NAME?</v>
      </c>
    </row>
    <row r="4">
      <c r="A4" s="33">
        <v>4.0</v>
      </c>
      <c r="B4" s="33" t="str">
        <f t="shared" si="1"/>
        <v>#NAME?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71"/>
    <col customWidth="1" min="3" max="26" width="8.71"/>
  </cols>
  <sheetData>
    <row r="2">
      <c r="A2" s="33">
        <v>1.0</v>
      </c>
      <c r="B2" s="33" t="str">
        <f t="shared" ref="B2:B5" si="1">Baka(A2)</f>
        <v>#NAME?</v>
      </c>
    </row>
    <row r="3">
      <c r="A3" s="33">
        <v>2.0</v>
      </c>
      <c r="B3" s="33" t="str">
        <f t="shared" si="1"/>
        <v>#NAME?</v>
      </c>
    </row>
    <row r="4">
      <c r="A4" s="33">
        <v>3.0</v>
      </c>
      <c r="B4" s="33" t="str">
        <f t="shared" si="1"/>
        <v>#NAME?</v>
      </c>
    </row>
    <row r="5">
      <c r="A5" s="33">
        <v>4.0</v>
      </c>
      <c r="B5" s="33" t="str">
        <f t="shared" si="1"/>
        <v>#NAME?</v>
      </c>
      <c r="G5" s="33">
        <v>1.0</v>
      </c>
    </row>
    <row r="6">
      <c r="G6" s="33">
        <v>2.0</v>
      </c>
    </row>
    <row r="7">
      <c r="G7" s="33">
        <v>3.0</v>
      </c>
    </row>
    <row r="8">
      <c r="G8" s="33">
        <v>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28.14"/>
    <col customWidth="1" min="3" max="3" width="26.0"/>
    <col customWidth="1" min="4" max="4" width="12.14"/>
    <col customWidth="1" min="5" max="6" width="8.71"/>
    <col customWidth="1" min="7" max="7" width="12.71"/>
    <col customWidth="1" min="8" max="26" width="8.71"/>
  </cols>
  <sheetData>
    <row r="1">
      <c r="A1" s="119" t="s">
        <v>362</v>
      </c>
      <c r="B1" s="119"/>
      <c r="C1" s="119"/>
      <c r="D1" s="78"/>
    </row>
    <row r="2">
      <c r="A2" s="47" t="s">
        <v>363</v>
      </c>
      <c r="B2" s="47" t="s">
        <v>364</v>
      </c>
      <c r="C2" s="47" t="s">
        <v>365</v>
      </c>
      <c r="D2" s="47"/>
      <c r="E2" s="123"/>
    </row>
    <row r="3">
      <c r="A3" s="75">
        <v>7.0901001E7</v>
      </c>
      <c r="B3" s="75" t="s">
        <v>366</v>
      </c>
      <c r="C3" s="75">
        <v>7.9</v>
      </c>
      <c r="D3" s="78"/>
    </row>
    <row r="4">
      <c r="A4" s="75">
        <v>7.0901003E7</v>
      </c>
      <c r="B4" s="75" t="s">
        <v>367</v>
      </c>
      <c r="C4" s="75">
        <v>53.5</v>
      </c>
      <c r="D4" s="78"/>
    </row>
    <row r="5">
      <c r="A5" s="75">
        <v>7.0901004E7</v>
      </c>
      <c r="B5" s="75" t="s">
        <v>368</v>
      </c>
      <c r="C5" s="75">
        <v>305.0</v>
      </c>
      <c r="D5" s="78"/>
    </row>
    <row r="6">
      <c r="A6" s="75">
        <v>7.0901005E7</v>
      </c>
      <c r="B6" s="75" t="s">
        <v>369</v>
      </c>
      <c r="C6" s="75">
        <v>0.25</v>
      </c>
      <c r="D6" s="78"/>
    </row>
    <row r="7">
      <c r="A7" s="75">
        <v>7.0901006E7</v>
      </c>
      <c r="B7" s="75" t="s">
        <v>370</v>
      </c>
      <c r="C7" s="75">
        <v>70.5</v>
      </c>
      <c r="D7" s="78"/>
    </row>
    <row r="8">
      <c r="A8" s="75">
        <v>7.0901007E7</v>
      </c>
      <c r="B8" s="75" t="s">
        <v>371</v>
      </c>
      <c r="C8" s="75">
        <v>21.0</v>
      </c>
      <c r="D8" s="78"/>
    </row>
    <row r="10">
      <c r="B10" s="75" t="s">
        <v>372</v>
      </c>
      <c r="D10" s="78" t="s">
        <v>373</v>
      </c>
      <c r="E10" s="78"/>
      <c r="F10" s="78"/>
      <c r="G10" s="78" t="s">
        <v>374</v>
      </c>
    </row>
    <row r="11">
      <c r="D11" s="78"/>
      <c r="E11" s="78"/>
      <c r="F11" s="78"/>
      <c r="G11" s="78"/>
    </row>
    <row r="12">
      <c r="B12" s="33">
        <f>VLOOKUP(70901007,$A$2:$C$8,3,0)</f>
        <v>21</v>
      </c>
      <c r="D12" s="33" t="str">
        <f>VLOOKUP(A4,$A$2:$C$8,2,0)</f>
        <v>15Days</v>
      </c>
      <c r="G12" s="33">
        <f>VLOOKUP(F13,$A$2:$C$8,3,0)</f>
        <v>7.9</v>
      </c>
    </row>
    <row r="13">
      <c r="F13" s="33">
        <v>7.0901001E7</v>
      </c>
    </row>
    <row r="14">
      <c r="B14" s="33" t="str">
        <f>VLOOKUP(70901005,$A$2:$C$8,2,0)</f>
        <v>25Days</v>
      </c>
      <c r="D14" s="33">
        <f>VLOOKUP(B3,$B$2:$C$8,2,0)</f>
        <v>7.9</v>
      </c>
    </row>
    <row r="16">
      <c r="B16" s="33">
        <f>VLOOKUP("26days",$B$2:$C$8,2,0)</f>
        <v>70.5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57"/>
    <col customWidth="1" min="2" max="3" width="28.14"/>
    <col customWidth="1" min="4" max="4" width="26.0"/>
    <col customWidth="1" min="5" max="26" width="8.71"/>
  </cols>
  <sheetData>
    <row r="1">
      <c r="A1" s="119" t="s">
        <v>362</v>
      </c>
      <c r="B1" s="119"/>
      <c r="C1" s="119"/>
    </row>
    <row r="2">
      <c r="A2" s="79" t="s">
        <v>363</v>
      </c>
      <c r="B2" s="81" t="s">
        <v>364</v>
      </c>
      <c r="C2" s="81" t="s">
        <v>365</v>
      </c>
    </row>
    <row r="3">
      <c r="A3" s="80">
        <v>7.0901001E7</v>
      </c>
      <c r="B3" s="80" t="s">
        <v>366</v>
      </c>
      <c r="C3" s="80">
        <v>7.9</v>
      </c>
    </row>
    <row r="4">
      <c r="A4" s="80">
        <v>7.0901003E7</v>
      </c>
      <c r="B4" s="80" t="s">
        <v>367</v>
      </c>
      <c r="C4" s="80">
        <v>53.5</v>
      </c>
    </row>
    <row r="5">
      <c r="A5" s="80">
        <v>7.0901004E7</v>
      </c>
      <c r="B5" s="80" t="s">
        <v>368</v>
      </c>
      <c r="C5" s="80">
        <v>305.0</v>
      </c>
    </row>
    <row r="6">
      <c r="A6" s="80">
        <v>7.0901005E7</v>
      </c>
      <c r="B6" s="80" t="s">
        <v>369</v>
      </c>
      <c r="C6" s="80">
        <v>0.25</v>
      </c>
    </row>
    <row r="7">
      <c r="A7" s="80">
        <v>7.0901006E7</v>
      </c>
      <c r="B7" s="80" t="s">
        <v>370</v>
      </c>
      <c r="C7" s="80">
        <v>70.5</v>
      </c>
    </row>
    <row r="8">
      <c r="A8" s="80">
        <v>7.0901007E7</v>
      </c>
      <c r="B8" s="80" t="s">
        <v>371</v>
      </c>
      <c r="C8" s="80">
        <v>21.0</v>
      </c>
    </row>
    <row r="9">
      <c r="A9" s="52"/>
      <c r="B9" s="52"/>
      <c r="C9" s="52"/>
    </row>
    <row r="10">
      <c r="A10" s="81" t="s">
        <v>375</v>
      </c>
      <c r="B10" s="79" t="s">
        <v>376</v>
      </c>
      <c r="C10" s="81" t="s">
        <v>364</v>
      </c>
      <c r="D10" s="81" t="s">
        <v>365</v>
      </c>
    </row>
    <row r="11">
      <c r="A11" s="80">
        <v>7.0901001E7</v>
      </c>
      <c r="B11" s="124">
        <v>39827.0</v>
      </c>
      <c r="C11" s="52" t="str">
        <f t="shared" ref="C11:C14" si="1">VLOOKUP(A11,$A$2:$C$8,2,0)</f>
        <v>COD</v>
      </c>
      <c r="D11" s="33">
        <f t="shared" ref="D11:D14" si="2">VLOOKUP(A11,$A$2:$C$8,3,0)</f>
        <v>7.9</v>
      </c>
    </row>
    <row r="12">
      <c r="A12" s="80">
        <v>7.0901005E7</v>
      </c>
      <c r="B12" s="124">
        <v>39832.0</v>
      </c>
      <c r="C12" s="52" t="str">
        <f t="shared" si="1"/>
        <v>25Days</v>
      </c>
      <c r="D12" s="33">
        <f t="shared" si="2"/>
        <v>0.25</v>
      </c>
    </row>
    <row r="13">
      <c r="A13" s="80">
        <v>7.0901007E7</v>
      </c>
      <c r="B13" s="124">
        <v>39841.0</v>
      </c>
      <c r="C13" s="52" t="str">
        <f t="shared" si="1"/>
        <v>30Days</v>
      </c>
      <c r="D13" s="33">
        <f t="shared" si="2"/>
        <v>21</v>
      </c>
    </row>
    <row r="14">
      <c r="A14" s="80">
        <v>7.0901004E7</v>
      </c>
      <c r="B14" s="124">
        <v>39849.0</v>
      </c>
      <c r="C14" s="52" t="str">
        <f t="shared" si="1"/>
        <v>20Days</v>
      </c>
      <c r="D14" s="33">
        <f t="shared" si="2"/>
        <v>305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6" width="8.71"/>
  </cols>
  <sheetData>
    <row r="1">
      <c r="B1" s="33" t="s">
        <v>377</v>
      </c>
      <c r="C1" s="33" t="s">
        <v>378</v>
      </c>
      <c r="D1" s="33" t="s">
        <v>379</v>
      </c>
      <c r="E1" s="33" t="s">
        <v>380</v>
      </c>
      <c r="F1" s="33" t="s">
        <v>381</v>
      </c>
      <c r="G1" s="33" t="s">
        <v>382</v>
      </c>
    </row>
    <row r="2">
      <c r="A2" s="33" t="s">
        <v>383</v>
      </c>
      <c r="B2" s="125">
        <v>50.5</v>
      </c>
      <c r="C2" s="125">
        <v>3.3</v>
      </c>
      <c r="D2" s="125">
        <v>4.3</v>
      </c>
      <c r="E2" s="125">
        <v>5.3</v>
      </c>
      <c r="F2" s="125">
        <v>6.3</v>
      </c>
      <c r="G2" s="125">
        <v>7.3</v>
      </c>
    </row>
    <row r="3">
      <c r="B3" s="125">
        <v>61.1</v>
      </c>
      <c r="C3" s="125">
        <v>4.3</v>
      </c>
      <c r="D3" s="125">
        <v>6.0</v>
      </c>
      <c r="E3" s="125">
        <v>7.0</v>
      </c>
      <c r="F3" s="125">
        <v>8.0</v>
      </c>
      <c r="G3" s="125">
        <v>9.0</v>
      </c>
    </row>
    <row r="4">
      <c r="B4" s="125">
        <v>67.8</v>
      </c>
      <c r="C4" s="125">
        <v>5.3</v>
      </c>
      <c r="D4" s="125">
        <v>7.0</v>
      </c>
      <c r="E4" s="125">
        <v>7.8</v>
      </c>
      <c r="F4" s="125">
        <v>8.8</v>
      </c>
      <c r="G4" s="125">
        <v>9.8</v>
      </c>
    </row>
    <row r="5">
      <c r="B5" s="125">
        <v>72.3</v>
      </c>
      <c r="C5" s="125">
        <v>6.3</v>
      </c>
      <c r="D5" s="125">
        <v>8.0</v>
      </c>
      <c r="E5" s="125">
        <v>8.8</v>
      </c>
      <c r="F5" s="125">
        <v>9.2</v>
      </c>
      <c r="G5" s="125">
        <v>10.2</v>
      </c>
    </row>
    <row r="6">
      <c r="B6" s="125">
        <v>76.1</v>
      </c>
      <c r="C6" s="125">
        <v>7.3</v>
      </c>
      <c r="D6" s="125">
        <v>9.0</v>
      </c>
      <c r="E6" s="125">
        <v>9.8</v>
      </c>
      <c r="F6" s="125">
        <v>10.2</v>
      </c>
      <c r="G6" s="125">
        <v>10.2</v>
      </c>
    </row>
    <row r="8">
      <c r="C8" s="33" t="s">
        <v>372</v>
      </c>
      <c r="E8" s="33" t="s">
        <v>373</v>
      </c>
      <c r="G8" s="33" t="s">
        <v>374</v>
      </c>
    </row>
    <row r="9">
      <c r="C9" s="126">
        <f>HLOOKUP("Birth",$B$1:$G$6,4,0)</f>
        <v>5.3</v>
      </c>
      <c r="E9" s="126">
        <f>HLOOKUP(E1,$B$1:$G$6,5,0)</f>
        <v>8.8</v>
      </c>
      <c r="G9" s="126">
        <f>HLOOKUP(F10,$B$1:$G$6,6,0)</f>
        <v>10.2</v>
      </c>
    </row>
    <row r="10">
      <c r="F10" s="33" t="s">
        <v>384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0.29"/>
    <col customWidth="1" min="3" max="3" width="18.86"/>
    <col customWidth="1" min="4" max="5" width="8.71"/>
    <col customWidth="1" min="6" max="6" width="27.29"/>
    <col customWidth="1" min="7" max="26" width="8.71"/>
  </cols>
  <sheetData>
    <row r="1">
      <c r="A1" s="47" t="s">
        <v>92</v>
      </c>
      <c r="B1" s="47" t="s">
        <v>44</v>
      </c>
      <c r="C1" s="47" t="s">
        <v>385</v>
      </c>
      <c r="D1" s="47"/>
      <c r="E1" s="47" t="s">
        <v>44</v>
      </c>
      <c r="F1" s="47" t="s">
        <v>386</v>
      </c>
      <c r="G1" s="47"/>
    </row>
    <row r="2">
      <c r="A2" s="91" t="s">
        <v>169</v>
      </c>
      <c r="B2" s="75">
        <v>3000.0</v>
      </c>
      <c r="C2" s="78">
        <f t="shared" ref="C2:C10" si="1">VLOOKUP(B2,$E$1:$F$5,2,1)*B2</f>
        <v>120</v>
      </c>
      <c r="D2" s="78"/>
      <c r="E2" s="75">
        <v>2000.0</v>
      </c>
      <c r="F2" s="127">
        <v>0.04</v>
      </c>
    </row>
    <row r="3">
      <c r="A3" s="91" t="s">
        <v>276</v>
      </c>
      <c r="B3" s="75">
        <v>2000.0</v>
      </c>
      <c r="C3" s="78">
        <f t="shared" si="1"/>
        <v>80</v>
      </c>
      <c r="D3" s="78"/>
      <c r="E3" s="75">
        <v>4000.0</v>
      </c>
      <c r="F3" s="127">
        <v>0.05</v>
      </c>
    </row>
    <row r="4">
      <c r="A4" s="91" t="s">
        <v>277</v>
      </c>
      <c r="B4" s="75">
        <v>5000.0</v>
      </c>
      <c r="C4" s="78">
        <f t="shared" si="1"/>
        <v>250</v>
      </c>
      <c r="D4" s="78"/>
      <c r="E4" s="75">
        <v>6000.0</v>
      </c>
      <c r="F4" s="127">
        <v>0.06</v>
      </c>
    </row>
    <row r="5">
      <c r="A5" s="91" t="s">
        <v>278</v>
      </c>
      <c r="B5" s="75">
        <v>5000.0</v>
      </c>
      <c r="C5" s="78">
        <f t="shared" si="1"/>
        <v>250</v>
      </c>
      <c r="D5" s="78"/>
      <c r="E5" s="75">
        <v>8000.0</v>
      </c>
      <c r="F5" s="127">
        <v>0.07</v>
      </c>
    </row>
    <row r="6">
      <c r="A6" s="91" t="s">
        <v>279</v>
      </c>
      <c r="B6" s="75">
        <v>6700.0</v>
      </c>
      <c r="C6" s="78">
        <f t="shared" si="1"/>
        <v>402</v>
      </c>
      <c r="D6" s="78"/>
      <c r="E6" s="78"/>
      <c r="F6" s="78"/>
    </row>
    <row r="7">
      <c r="A7" s="91" t="s">
        <v>280</v>
      </c>
      <c r="B7" s="75">
        <v>8700.0</v>
      </c>
      <c r="C7" s="78">
        <f t="shared" si="1"/>
        <v>609</v>
      </c>
      <c r="D7" s="78"/>
      <c r="E7" s="78"/>
      <c r="F7" s="78"/>
    </row>
    <row r="8">
      <c r="A8" s="91" t="s">
        <v>281</v>
      </c>
      <c r="B8" s="75">
        <v>7800.0</v>
      </c>
      <c r="C8" s="78">
        <f t="shared" si="1"/>
        <v>468</v>
      </c>
      <c r="D8" s="78"/>
      <c r="E8" s="78"/>
      <c r="F8" s="78"/>
    </row>
    <row r="9">
      <c r="A9" s="91" t="s">
        <v>282</v>
      </c>
      <c r="B9" s="75">
        <v>5500.0</v>
      </c>
      <c r="C9" s="78">
        <f t="shared" si="1"/>
        <v>275</v>
      </c>
      <c r="D9" s="78"/>
      <c r="E9" s="78"/>
      <c r="F9" s="78"/>
    </row>
    <row r="10">
      <c r="A10" s="91" t="s">
        <v>283</v>
      </c>
      <c r="B10" s="75">
        <v>10000.0</v>
      </c>
      <c r="C10" s="78">
        <f t="shared" si="1"/>
        <v>700</v>
      </c>
      <c r="D10" s="78"/>
      <c r="E10" s="78"/>
      <c r="F10" s="78"/>
    </row>
    <row r="12">
      <c r="A12" s="91"/>
    </row>
    <row r="13">
      <c r="A13" s="74" t="s">
        <v>92</v>
      </c>
      <c r="B13" s="74" t="s">
        <v>387</v>
      </c>
      <c r="C13" s="74" t="s">
        <v>187</v>
      </c>
      <c r="D13" s="74"/>
      <c r="E13" s="74" t="s">
        <v>387</v>
      </c>
      <c r="F13" s="74" t="s">
        <v>187</v>
      </c>
    </row>
    <row r="14">
      <c r="A14" s="91" t="s">
        <v>169</v>
      </c>
      <c r="B14" s="75">
        <v>95.0</v>
      </c>
      <c r="C14" s="75" t="str">
        <f t="shared" ref="C14:C22" si="2">VLOOKUP(B14,$E$13:$F$18,2,1)</f>
        <v>A*</v>
      </c>
      <c r="D14" s="75"/>
      <c r="E14" s="75">
        <v>0.0</v>
      </c>
      <c r="F14" s="127" t="s">
        <v>244</v>
      </c>
    </row>
    <row r="15">
      <c r="A15" s="91" t="s">
        <v>276</v>
      </c>
      <c r="B15" s="75">
        <v>85.0</v>
      </c>
      <c r="C15" s="75" t="str">
        <f t="shared" si="2"/>
        <v>A*</v>
      </c>
      <c r="D15" s="75"/>
      <c r="E15" s="75">
        <v>50.0</v>
      </c>
      <c r="F15" s="127" t="s">
        <v>239</v>
      </c>
    </row>
    <row r="16">
      <c r="A16" s="91" t="s">
        <v>277</v>
      </c>
      <c r="B16" s="75">
        <v>75.0</v>
      </c>
      <c r="C16" s="127" t="str">
        <f t="shared" si="2"/>
        <v>A</v>
      </c>
      <c r="D16" s="75"/>
      <c r="E16" s="75">
        <v>6.0</v>
      </c>
      <c r="F16" s="127" t="s">
        <v>238</v>
      </c>
    </row>
    <row r="17">
      <c r="A17" s="91" t="s">
        <v>278</v>
      </c>
      <c r="B17" s="75">
        <v>55.0</v>
      </c>
      <c r="C17" s="127" t="str">
        <f t="shared" si="2"/>
        <v>B</v>
      </c>
      <c r="D17" s="75"/>
      <c r="E17" s="75">
        <v>70.0</v>
      </c>
      <c r="F17" s="127" t="s">
        <v>237</v>
      </c>
    </row>
    <row r="18">
      <c r="A18" s="91" t="s">
        <v>279</v>
      </c>
      <c r="B18" s="75">
        <v>65.0</v>
      </c>
      <c r="C18" s="127" t="str">
        <f t="shared" si="2"/>
        <v>B</v>
      </c>
      <c r="D18" s="75"/>
      <c r="E18" s="75">
        <v>85.0</v>
      </c>
      <c r="F18" s="75" t="s">
        <v>388</v>
      </c>
    </row>
    <row r="19">
      <c r="A19" s="91" t="s">
        <v>280</v>
      </c>
      <c r="B19" s="75">
        <v>45.0</v>
      </c>
      <c r="C19" s="127" t="str">
        <f t="shared" si="2"/>
        <v>B</v>
      </c>
      <c r="D19" s="75"/>
      <c r="E19" s="75"/>
      <c r="F19" s="75"/>
    </row>
    <row r="20">
      <c r="A20" s="91" t="s">
        <v>281</v>
      </c>
      <c r="B20" s="75">
        <v>77.0</v>
      </c>
      <c r="C20" s="127" t="str">
        <f t="shared" si="2"/>
        <v>A</v>
      </c>
      <c r="D20" s="75"/>
      <c r="E20" s="75"/>
      <c r="F20" s="75"/>
    </row>
    <row r="21" ht="15.75" customHeight="1">
      <c r="A21" s="91" t="s">
        <v>282</v>
      </c>
      <c r="B21" s="75">
        <v>85.0</v>
      </c>
      <c r="C21" s="75" t="str">
        <f t="shared" si="2"/>
        <v>A*</v>
      </c>
      <c r="D21" s="75"/>
      <c r="E21" s="75"/>
      <c r="F21" s="75"/>
    </row>
    <row r="22" ht="15.75" customHeight="1">
      <c r="A22" s="91" t="s">
        <v>283</v>
      </c>
      <c r="B22" s="75">
        <v>51.0</v>
      </c>
      <c r="C22" s="127" t="str">
        <f t="shared" si="2"/>
        <v>B</v>
      </c>
      <c r="D22" s="75"/>
      <c r="E22" s="75"/>
      <c r="F22" s="75"/>
    </row>
    <row r="23" ht="15.75" customHeight="1">
      <c r="A23" s="8"/>
      <c r="B23" s="8"/>
      <c r="C23" s="8"/>
      <c r="D23" s="8"/>
      <c r="E23" s="8"/>
      <c r="F23" s="8"/>
    </row>
    <row r="24" ht="15.75" customHeight="1">
      <c r="A24" s="8"/>
      <c r="B24" s="8"/>
      <c r="C24" s="8"/>
      <c r="D24" s="8"/>
      <c r="E24" s="8"/>
      <c r="F24" s="8"/>
    </row>
    <row r="25" ht="15.75" customHeight="1">
      <c r="A25" s="8"/>
      <c r="B25" s="8"/>
      <c r="C25" s="8"/>
      <c r="D25" s="8"/>
      <c r="E25" s="8"/>
      <c r="F25" s="8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12.29"/>
    <col customWidth="1" min="3" max="3" width="13.43"/>
    <col customWidth="1" min="4" max="4" width="12.57"/>
    <col customWidth="1" min="5" max="5" width="11.43"/>
    <col customWidth="1" min="6" max="26" width="8.71"/>
  </cols>
  <sheetData>
    <row r="1">
      <c r="A1" s="128"/>
      <c r="B1" s="79" t="s">
        <v>169</v>
      </c>
      <c r="C1" s="79" t="s">
        <v>278</v>
      </c>
      <c r="D1" s="79" t="s">
        <v>280</v>
      </c>
      <c r="E1" s="79" t="s">
        <v>389</v>
      </c>
      <c r="F1" s="78"/>
      <c r="G1" s="78"/>
      <c r="H1" s="78"/>
      <c r="I1" s="78"/>
      <c r="J1" s="78"/>
    </row>
    <row r="2">
      <c r="A2" s="79" t="s">
        <v>390</v>
      </c>
      <c r="B2" s="80" t="s">
        <v>391</v>
      </c>
      <c r="C2" s="80" t="s">
        <v>392</v>
      </c>
      <c r="D2" s="80" t="s">
        <v>393</v>
      </c>
      <c r="E2" s="80" t="s">
        <v>394</v>
      </c>
      <c r="F2" s="78"/>
      <c r="G2" s="78"/>
      <c r="H2" s="78"/>
      <c r="I2" s="78"/>
      <c r="J2" s="78"/>
    </row>
    <row r="3">
      <c r="A3" s="129" t="s">
        <v>395</v>
      </c>
      <c r="B3" s="80">
        <v>34000.0</v>
      </c>
      <c r="C3" s="80">
        <v>12000.0</v>
      </c>
      <c r="D3" s="80">
        <v>61000.0</v>
      </c>
      <c r="E3" s="80">
        <v>76000.0</v>
      </c>
      <c r="F3" s="78"/>
      <c r="G3" s="78"/>
      <c r="H3" s="78"/>
      <c r="I3" s="78"/>
      <c r="J3" s="78"/>
    </row>
    <row r="4">
      <c r="A4" s="129" t="s">
        <v>396</v>
      </c>
      <c r="B4" s="80">
        <v>82000.0</v>
      </c>
      <c r="C4" s="80">
        <v>31000.0</v>
      </c>
      <c r="D4" s="80">
        <v>71000.0</v>
      </c>
      <c r="E4" s="80">
        <v>23000.0</v>
      </c>
      <c r="F4" s="78"/>
      <c r="G4" s="78"/>
      <c r="H4" s="78"/>
      <c r="I4" s="78"/>
      <c r="J4" s="78"/>
    </row>
    <row r="5">
      <c r="A5" s="129" t="s">
        <v>397</v>
      </c>
      <c r="B5" s="80">
        <v>56000.0</v>
      </c>
      <c r="C5" s="80">
        <v>29000.0</v>
      </c>
      <c r="D5" s="80">
        <v>43000.0</v>
      </c>
      <c r="E5" s="80">
        <v>72000.0</v>
      </c>
      <c r="F5" s="78"/>
      <c r="G5" s="78"/>
      <c r="H5" s="78"/>
      <c r="I5" s="78"/>
      <c r="J5" s="78"/>
    </row>
    <row r="6">
      <c r="A6" s="129" t="s">
        <v>398</v>
      </c>
      <c r="B6" s="80">
        <v>82000.0</v>
      </c>
      <c r="C6" s="80">
        <v>87000.0</v>
      </c>
      <c r="D6" s="80">
        <v>22000.0</v>
      </c>
      <c r="E6" s="80">
        <v>34000.0</v>
      </c>
      <c r="F6" s="78"/>
      <c r="G6" s="78"/>
      <c r="H6" s="78"/>
      <c r="I6" s="78"/>
      <c r="J6" s="78"/>
    </row>
    <row r="7">
      <c r="A7" s="78"/>
      <c r="B7" s="78"/>
      <c r="C7" s="78"/>
      <c r="D7" s="78"/>
      <c r="E7" s="78"/>
      <c r="F7" s="78"/>
      <c r="G7" s="78"/>
      <c r="H7" s="78"/>
      <c r="I7" s="78"/>
      <c r="J7" s="78"/>
    </row>
    <row r="8">
      <c r="A8" s="78" t="s">
        <v>399</v>
      </c>
      <c r="B8" s="78" t="str">
        <f>HLOOKUP(B1,$B$1:$E$6,2,0)</f>
        <v>Malad</v>
      </c>
      <c r="C8" s="78"/>
      <c r="D8" s="78"/>
      <c r="E8" s="78"/>
      <c r="F8" s="78"/>
      <c r="G8" s="78"/>
      <c r="H8" s="78"/>
      <c r="I8" s="78"/>
      <c r="J8" s="78"/>
    </row>
    <row r="9">
      <c r="A9" s="78" t="s">
        <v>400</v>
      </c>
      <c r="B9" s="78">
        <f>HLOOKUP(C1,B1:$E$6,3,0)</f>
        <v>12000</v>
      </c>
      <c r="C9" s="78"/>
      <c r="D9" s="78"/>
      <c r="E9" s="78"/>
      <c r="F9" s="78"/>
      <c r="G9" s="78"/>
      <c r="H9" s="78"/>
      <c r="I9" s="78"/>
      <c r="J9" s="78"/>
    </row>
    <row r="10">
      <c r="A10" s="78" t="s">
        <v>401</v>
      </c>
      <c r="B10" s="78">
        <f>HLOOKUP(E1,$B$1:$E$6,6,0)</f>
        <v>34000</v>
      </c>
      <c r="C10" s="78"/>
      <c r="D10" s="78"/>
      <c r="E10" s="78"/>
      <c r="F10" s="78"/>
      <c r="G10" s="78"/>
      <c r="H10" s="78"/>
      <c r="I10" s="78"/>
      <c r="J10" s="78"/>
    </row>
    <row r="11">
      <c r="A11" s="78" t="s">
        <v>402</v>
      </c>
      <c r="B11" s="78">
        <f>HLOOKUP(D1,$B$1:$E$6,6,0)</f>
        <v>22000</v>
      </c>
      <c r="C11" s="78"/>
      <c r="D11" s="78"/>
      <c r="E11" s="78"/>
      <c r="F11" s="78"/>
      <c r="G11" s="78"/>
      <c r="H11" s="78"/>
      <c r="I11" s="78"/>
      <c r="J11" s="78"/>
    </row>
    <row r="12">
      <c r="A12" s="78"/>
      <c r="B12" s="78"/>
      <c r="C12" s="78"/>
      <c r="D12" s="78"/>
      <c r="E12" s="78"/>
      <c r="F12" s="78"/>
      <c r="G12" s="78"/>
      <c r="H12" s="78"/>
      <c r="I12" s="78"/>
      <c r="J12" s="78"/>
    </row>
    <row r="13">
      <c r="A13" s="78"/>
      <c r="B13" s="78"/>
      <c r="C13" s="78"/>
      <c r="D13" s="78"/>
      <c r="E13" s="78"/>
      <c r="F13" s="78"/>
      <c r="G13" s="78"/>
      <c r="H13" s="78"/>
      <c r="I13" s="78"/>
      <c r="J13" s="78"/>
    </row>
    <row r="14">
      <c r="A14" s="78"/>
      <c r="B14" s="78"/>
      <c r="C14" s="78"/>
      <c r="D14" s="78"/>
      <c r="E14" s="78"/>
      <c r="F14" s="78"/>
      <c r="G14" s="78"/>
      <c r="H14" s="78"/>
      <c r="I14" s="78"/>
      <c r="J14" s="78"/>
    </row>
    <row r="15">
      <c r="A15" s="78"/>
      <c r="B15" s="78"/>
      <c r="C15" s="78"/>
      <c r="D15" s="78"/>
      <c r="E15" s="78"/>
      <c r="F15" s="78"/>
      <c r="G15" s="78"/>
      <c r="H15" s="78"/>
      <c r="I15" s="78"/>
      <c r="J15" s="7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1.43"/>
    <col customWidth="1" min="3" max="3" width="17.71"/>
    <col customWidth="1" min="4" max="4" width="21.43"/>
    <col customWidth="1" min="5" max="5" width="15.43"/>
    <col customWidth="1" min="6" max="6" width="10.57"/>
    <col customWidth="1" min="7" max="26" width="8.71"/>
  </cols>
  <sheetData>
    <row r="1">
      <c r="A1" s="81" t="s">
        <v>403</v>
      </c>
      <c r="B1" s="81" t="s">
        <v>92</v>
      </c>
      <c r="C1" s="81" t="s">
        <v>404</v>
      </c>
      <c r="D1" s="81" t="s">
        <v>405</v>
      </c>
      <c r="E1" s="81" t="s">
        <v>406</v>
      </c>
    </row>
    <row r="2">
      <c r="A2" s="80">
        <v>53702.0</v>
      </c>
      <c r="B2" s="80" t="s">
        <v>407</v>
      </c>
      <c r="C2" s="80">
        <v>6.0</v>
      </c>
      <c r="D2" s="130">
        <v>10740.4</v>
      </c>
      <c r="E2" s="80" t="str">
        <f t="shared" ref="E2:E11" si="1">IF(AND(C2&gt;=5,D2&gt;=12000),D2*20%,"No Bonus")</f>
        <v>No Bonus</v>
      </c>
    </row>
    <row r="3">
      <c r="A3" s="80">
        <v>75220.0</v>
      </c>
      <c r="B3" s="80" t="s">
        <v>408</v>
      </c>
      <c r="C3" s="80">
        <v>7.0</v>
      </c>
      <c r="D3" s="130">
        <v>15044.0</v>
      </c>
      <c r="E3" s="80">
        <f t="shared" si="1"/>
        <v>3008.8</v>
      </c>
    </row>
    <row r="4">
      <c r="A4" s="80">
        <v>29324.0</v>
      </c>
      <c r="B4" s="80" t="s">
        <v>409</v>
      </c>
      <c r="C4" s="80">
        <v>2.0</v>
      </c>
      <c r="D4" s="130">
        <v>5864.8</v>
      </c>
      <c r="E4" s="80" t="str">
        <f t="shared" si="1"/>
        <v>No Bonus</v>
      </c>
    </row>
    <row r="5">
      <c r="A5" s="80">
        <v>61286.0</v>
      </c>
      <c r="B5" s="80" t="s">
        <v>410</v>
      </c>
      <c r="C5" s="80">
        <v>6.0</v>
      </c>
      <c r="D5" s="130">
        <v>12257.2</v>
      </c>
      <c r="E5" s="80">
        <f t="shared" si="1"/>
        <v>2451.44</v>
      </c>
    </row>
    <row r="6">
      <c r="A6" s="80">
        <v>69436.0</v>
      </c>
      <c r="B6" s="80" t="s">
        <v>411</v>
      </c>
      <c r="C6" s="80">
        <v>4.0</v>
      </c>
      <c r="D6" s="130">
        <v>13887.2</v>
      </c>
      <c r="E6" s="80" t="str">
        <f t="shared" si="1"/>
        <v>No Bonus</v>
      </c>
    </row>
    <row r="7">
      <c r="A7" s="80">
        <v>72724.0</v>
      </c>
      <c r="B7" s="80" t="s">
        <v>412</v>
      </c>
      <c r="C7" s="80">
        <v>7.0</v>
      </c>
      <c r="D7" s="130">
        <v>14544.8</v>
      </c>
      <c r="E7" s="80">
        <f t="shared" si="1"/>
        <v>2908.96</v>
      </c>
    </row>
    <row r="8">
      <c r="A8" s="80">
        <v>77384.0</v>
      </c>
      <c r="B8" s="80" t="s">
        <v>413</v>
      </c>
      <c r="C8" s="80">
        <v>7.0</v>
      </c>
      <c r="D8" s="130">
        <v>15476.8</v>
      </c>
      <c r="E8" s="80">
        <f t="shared" si="1"/>
        <v>3095.36</v>
      </c>
    </row>
    <row r="9">
      <c r="A9" s="80">
        <v>13230.0</v>
      </c>
      <c r="B9" s="80" t="s">
        <v>414</v>
      </c>
      <c r="C9" s="80">
        <v>1.0</v>
      </c>
      <c r="D9" s="130">
        <v>2646.0</v>
      </c>
      <c r="E9" s="80" t="str">
        <f t="shared" si="1"/>
        <v>No Bonus</v>
      </c>
    </row>
    <row r="10">
      <c r="A10" s="80">
        <v>73004.0</v>
      </c>
      <c r="B10" s="80" t="s">
        <v>415</v>
      </c>
      <c r="C10" s="80">
        <v>7.0</v>
      </c>
      <c r="D10" s="130">
        <v>14600.8</v>
      </c>
      <c r="E10" s="80">
        <f t="shared" si="1"/>
        <v>2920.16</v>
      </c>
    </row>
    <row r="11">
      <c r="A11" s="80">
        <v>48830.0</v>
      </c>
      <c r="B11" s="80" t="s">
        <v>416</v>
      </c>
      <c r="C11" s="80">
        <v>4.0</v>
      </c>
      <c r="D11" s="130">
        <v>9766.0</v>
      </c>
      <c r="E11" s="80" t="str">
        <f t="shared" si="1"/>
        <v>No Bonus</v>
      </c>
    </row>
    <row r="12">
      <c r="A12" s="75"/>
      <c r="B12" s="75"/>
      <c r="C12" s="75"/>
      <c r="D12" s="75"/>
      <c r="E12" s="7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86"/>
    <col customWidth="1" min="2" max="26" width="8.71"/>
  </cols>
  <sheetData>
    <row r="1">
      <c r="A1" s="131" t="s">
        <v>417</v>
      </c>
      <c r="B1" s="131"/>
      <c r="C1" s="78"/>
      <c r="D1" s="78"/>
      <c r="E1" s="78"/>
      <c r="F1" s="78"/>
      <c r="G1" s="78"/>
    </row>
    <row r="2">
      <c r="A2" s="131" t="s">
        <v>418</v>
      </c>
      <c r="B2" s="131">
        <v>34.0</v>
      </c>
      <c r="C2" s="78"/>
      <c r="D2" s="78"/>
      <c r="E2" s="78"/>
      <c r="F2" s="78"/>
      <c r="G2" s="78"/>
    </row>
    <row r="3">
      <c r="A3" s="131" t="s">
        <v>419</v>
      </c>
      <c r="B3" s="131">
        <v>60.0</v>
      </c>
      <c r="C3" s="78"/>
      <c r="D3" s="78"/>
      <c r="E3" s="78"/>
      <c r="F3" s="78"/>
      <c r="G3" s="78"/>
    </row>
    <row r="4">
      <c r="A4" s="131" t="s">
        <v>420</v>
      </c>
      <c r="B4" s="131">
        <f>IF(AND(B3&gt;=60,B3&gt;B2),B3-B2," ")</f>
        <v>26</v>
      </c>
      <c r="C4" s="78"/>
      <c r="D4" s="78"/>
      <c r="E4" s="78"/>
      <c r="F4" s="78"/>
      <c r="G4" s="78"/>
    </row>
    <row r="5">
      <c r="A5" s="78"/>
      <c r="B5" s="78"/>
      <c r="C5" s="78"/>
      <c r="D5" s="78"/>
      <c r="E5" s="78"/>
      <c r="F5" s="78"/>
      <c r="G5" s="78"/>
    </row>
    <row r="6">
      <c r="A6" s="78"/>
      <c r="B6" s="78"/>
      <c r="C6" s="78"/>
      <c r="D6" s="78"/>
      <c r="E6" s="78"/>
      <c r="F6" s="78"/>
      <c r="G6" s="7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0"/>
    <col customWidth="1" min="3" max="3" width="16.57"/>
    <col customWidth="1" min="4" max="4" width="14.0"/>
    <col customWidth="1" min="5" max="5" width="11.0"/>
    <col customWidth="1" min="6" max="26" width="8.71"/>
  </cols>
  <sheetData>
    <row r="1">
      <c r="A1" s="81" t="s">
        <v>421</v>
      </c>
      <c r="B1" s="81" t="s">
        <v>422</v>
      </c>
      <c r="C1" s="81" t="s">
        <v>423</v>
      </c>
      <c r="D1" s="81" t="s">
        <v>424</v>
      </c>
      <c r="E1" s="81" t="s">
        <v>425</v>
      </c>
      <c r="F1" s="81" t="s">
        <v>22</v>
      </c>
      <c r="G1" s="47"/>
    </row>
    <row r="2">
      <c r="A2" s="131" t="s">
        <v>426</v>
      </c>
      <c r="B2" s="132">
        <v>0.3333333333333333</v>
      </c>
      <c r="C2" s="132">
        <v>0.5416666666666666</v>
      </c>
      <c r="D2" s="132">
        <v>0.5833333333333334</v>
      </c>
      <c r="E2" s="132">
        <v>0.7083333333333334</v>
      </c>
      <c r="F2" s="132">
        <f t="shared" ref="F2:F7" si="1">(E2-B2)-(D2-C2)</f>
        <v>0.3333333333</v>
      </c>
      <c r="G2" s="78"/>
    </row>
    <row r="3">
      <c r="A3" s="131" t="s">
        <v>427</v>
      </c>
      <c r="B3" s="132">
        <v>0.3645833333333333</v>
      </c>
      <c r="C3" s="132">
        <v>0.5208333333333334</v>
      </c>
      <c r="D3" s="132">
        <v>0.5625</v>
      </c>
      <c r="E3" s="132">
        <v>0.7083333333333334</v>
      </c>
      <c r="F3" s="132">
        <f t="shared" si="1"/>
        <v>0.3020833333</v>
      </c>
      <c r="G3" s="78"/>
    </row>
    <row r="4">
      <c r="A4" s="131" t="s">
        <v>428</v>
      </c>
      <c r="B4" s="132">
        <v>0.375</v>
      </c>
      <c r="C4" s="132">
        <v>0.5416666666666666</v>
      </c>
      <c r="D4" s="132">
        <v>0.5833333333333334</v>
      </c>
      <c r="E4" s="132">
        <v>0.75</v>
      </c>
      <c r="F4" s="132">
        <f t="shared" si="1"/>
        <v>0.3333333333</v>
      </c>
      <c r="G4" s="78"/>
    </row>
    <row r="5">
      <c r="A5" s="131" t="s">
        <v>429</v>
      </c>
      <c r="B5" s="132">
        <v>0.3541666666666667</v>
      </c>
      <c r="C5" s="132">
        <v>0.5416666666666666</v>
      </c>
      <c r="D5" s="132">
        <v>0.5833333333333334</v>
      </c>
      <c r="E5" s="132">
        <v>0.7083333333333334</v>
      </c>
      <c r="F5" s="132">
        <f t="shared" si="1"/>
        <v>0.3125</v>
      </c>
      <c r="G5" s="78"/>
    </row>
    <row r="6">
      <c r="A6" s="131" t="s">
        <v>430</v>
      </c>
      <c r="B6" s="132">
        <v>0.3333333333333333</v>
      </c>
      <c r="C6" s="132">
        <v>0.5</v>
      </c>
      <c r="D6" s="132">
        <v>0.5416666666666666</v>
      </c>
      <c r="E6" s="132">
        <v>0.7083333333333334</v>
      </c>
      <c r="F6" s="132">
        <f t="shared" si="1"/>
        <v>0.3333333333</v>
      </c>
      <c r="G6" s="78"/>
    </row>
    <row r="7">
      <c r="A7" s="131" t="s">
        <v>431</v>
      </c>
      <c r="B7" s="132">
        <v>0.3541666666666667</v>
      </c>
      <c r="C7" s="132">
        <v>0.5</v>
      </c>
      <c r="D7" s="132">
        <v>0.5416666666666666</v>
      </c>
      <c r="E7" s="132">
        <v>0.7083333333333334</v>
      </c>
      <c r="F7" s="132">
        <f t="shared" si="1"/>
        <v>0.3125</v>
      </c>
      <c r="G7" s="78"/>
    </row>
    <row r="8">
      <c r="A8" s="78"/>
      <c r="B8" s="78"/>
      <c r="C8" s="78"/>
      <c r="D8" s="78"/>
      <c r="E8" s="78"/>
      <c r="F8" s="78"/>
      <c r="G8" s="7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2.14"/>
    <col customWidth="1" min="5" max="13" width="8.71"/>
    <col customWidth="1" min="14" max="14" width="10.14"/>
    <col customWidth="1" min="15" max="26" width="8.71"/>
  </cols>
  <sheetData>
    <row r="1">
      <c r="A1" s="12">
        <v>44682.0</v>
      </c>
      <c r="J1" s="12">
        <v>44713.0</v>
      </c>
      <c r="N1" s="12">
        <v>44621.0</v>
      </c>
    </row>
    <row r="2">
      <c r="A2" s="12">
        <v>44683.0</v>
      </c>
      <c r="J2" s="12">
        <v>44714.0</v>
      </c>
      <c r="N2" s="12">
        <v>44622.0</v>
      </c>
    </row>
    <row r="3">
      <c r="A3" s="12">
        <v>44684.0</v>
      </c>
      <c r="J3" s="12">
        <v>44715.0</v>
      </c>
      <c r="N3" s="12">
        <v>44623.0</v>
      </c>
    </row>
    <row r="4">
      <c r="A4" s="12">
        <v>44685.0</v>
      </c>
      <c r="D4" s="33" t="s">
        <v>432</v>
      </c>
      <c r="E4" s="33">
        <v>1.0</v>
      </c>
      <c r="J4" s="12">
        <v>44716.0</v>
      </c>
      <c r="N4" s="12">
        <v>44624.0</v>
      </c>
    </row>
    <row r="5">
      <c r="A5" s="12">
        <v>44686.0</v>
      </c>
      <c r="D5" s="33" t="s">
        <v>433</v>
      </c>
      <c r="E5" s="33">
        <v>2.0</v>
      </c>
      <c r="J5" s="12">
        <v>44717.0</v>
      </c>
      <c r="N5" s="12">
        <v>44625.0</v>
      </c>
    </row>
    <row r="6">
      <c r="A6" s="12">
        <v>44687.0</v>
      </c>
      <c r="D6" s="33" t="s">
        <v>434</v>
      </c>
      <c r="E6" s="33">
        <v>3.0</v>
      </c>
      <c r="J6" s="12">
        <v>44718.0</v>
      </c>
      <c r="N6" s="12">
        <v>44626.0</v>
      </c>
    </row>
    <row r="7">
      <c r="A7" s="12">
        <v>44688.0</v>
      </c>
      <c r="D7" s="33" t="s">
        <v>435</v>
      </c>
      <c r="E7" s="33">
        <v>4.0</v>
      </c>
      <c r="J7" s="12">
        <v>44719.0</v>
      </c>
      <c r="N7" s="12">
        <v>44627.0</v>
      </c>
    </row>
    <row r="8">
      <c r="A8" s="12">
        <v>44689.0</v>
      </c>
      <c r="D8" s="33" t="s">
        <v>436</v>
      </c>
      <c r="E8" s="33">
        <v>5.0</v>
      </c>
      <c r="J8" s="12">
        <v>44720.0</v>
      </c>
      <c r="N8" s="12">
        <v>44628.0</v>
      </c>
    </row>
    <row r="9">
      <c r="A9" s="12">
        <v>44690.0</v>
      </c>
      <c r="D9" s="33" t="s">
        <v>437</v>
      </c>
      <c r="E9" s="33">
        <v>6.0</v>
      </c>
      <c r="J9" s="12">
        <v>44721.0</v>
      </c>
      <c r="N9" s="12">
        <v>44629.0</v>
      </c>
    </row>
    <row r="10">
      <c r="A10" s="12">
        <v>44691.0</v>
      </c>
      <c r="D10" s="33" t="s">
        <v>438</v>
      </c>
      <c r="E10" s="33">
        <v>7.0</v>
      </c>
      <c r="J10" s="12">
        <v>44722.0</v>
      </c>
      <c r="N10" s="12">
        <v>44630.0</v>
      </c>
    </row>
    <row r="11">
      <c r="A11" s="12">
        <v>44692.0</v>
      </c>
      <c r="J11" s="12">
        <v>44723.0</v>
      </c>
      <c r="N11" s="12">
        <v>44631.0</v>
      </c>
    </row>
    <row r="12">
      <c r="A12" s="12">
        <v>44693.0</v>
      </c>
      <c r="J12" s="12">
        <v>44724.0</v>
      </c>
      <c r="N12" s="12">
        <v>44632.0</v>
      </c>
    </row>
    <row r="13">
      <c r="A13" s="12">
        <v>44694.0</v>
      </c>
      <c r="J13" s="12">
        <v>44725.0</v>
      </c>
      <c r="N13" s="12">
        <v>44633.0</v>
      </c>
    </row>
    <row r="14">
      <c r="A14" s="12">
        <v>44695.0</v>
      </c>
      <c r="J14" s="12">
        <v>44726.0</v>
      </c>
      <c r="N14" s="12">
        <v>44634.0</v>
      </c>
    </row>
    <row r="15">
      <c r="A15" s="12">
        <v>44696.0</v>
      </c>
      <c r="J15" s="12">
        <v>44727.0</v>
      </c>
      <c r="N15" s="12">
        <v>44635.0</v>
      </c>
    </row>
    <row r="16">
      <c r="A16" s="12">
        <v>44697.0</v>
      </c>
      <c r="J16" s="12">
        <v>44728.0</v>
      </c>
      <c r="N16" s="12">
        <v>44636.0</v>
      </c>
    </row>
    <row r="17">
      <c r="A17" s="12">
        <v>44698.0</v>
      </c>
      <c r="J17" s="12">
        <v>44729.0</v>
      </c>
      <c r="N17" s="12">
        <v>44637.0</v>
      </c>
    </row>
    <row r="18">
      <c r="A18" s="12">
        <v>44699.0</v>
      </c>
      <c r="J18" s="12">
        <v>44730.0</v>
      </c>
      <c r="N18" s="12">
        <v>44638.0</v>
      </c>
    </row>
    <row r="19">
      <c r="A19" s="12">
        <v>44700.0</v>
      </c>
      <c r="J19" s="12">
        <v>44731.0</v>
      </c>
      <c r="N19" s="12">
        <v>44639.0</v>
      </c>
    </row>
    <row r="20">
      <c r="A20" s="12">
        <v>44701.0</v>
      </c>
      <c r="J20" s="12">
        <v>44732.0</v>
      </c>
      <c r="N20" s="12">
        <v>44640.0</v>
      </c>
    </row>
    <row r="21" ht="15.75" customHeight="1">
      <c r="A21" s="12">
        <v>44702.0</v>
      </c>
      <c r="J21" s="12">
        <v>44733.0</v>
      </c>
      <c r="N21" s="12">
        <v>44641.0</v>
      </c>
    </row>
    <row r="22" ht="15.75" customHeight="1">
      <c r="A22" s="12">
        <v>44703.0</v>
      </c>
      <c r="J22" s="12">
        <v>44734.0</v>
      </c>
      <c r="N22" s="12">
        <v>44642.0</v>
      </c>
    </row>
    <row r="23" ht="15.75" customHeight="1">
      <c r="A23" s="12">
        <v>44704.0</v>
      </c>
      <c r="J23" s="12">
        <v>44735.0</v>
      </c>
      <c r="N23" s="12">
        <v>44643.0</v>
      </c>
    </row>
    <row r="24" ht="15.75" customHeight="1">
      <c r="A24" s="12">
        <v>44705.0</v>
      </c>
      <c r="J24" s="12">
        <v>44736.0</v>
      </c>
      <c r="N24" s="12">
        <v>44644.0</v>
      </c>
    </row>
    <row r="25" ht="15.75" customHeight="1">
      <c r="A25" s="12">
        <v>44706.0</v>
      </c>
      <c r="J25" s="12">
        <v>44737.0</v>
      </c>
      <c r="N25" s="12">
        <v>44645.0</v>
      </c>
    </row>
    <row r="26" ht="15.75" customHeight="1">
      <c r="A26" s="12">
        <v>44707.0</v>
      </c>
      <c r="J26" s="12">
        <v>44738.0</v>
      </c>
      <c r="N26" s="12">
        <v>44646.0</v>
      </c>
    </row>
    <row r="27" ht="15.75" customHeight="1">
      <c r="A27" s="12">
        <v>44708.0</v>
      </c>
      <c r="J27" s="12">
        <v>44739.0</v>
      </c>
      <c r="N27" s="12">
        <v>44647.0</v>
      </c>
    </row>
    <row r="28" ht="15.75" customHeight="1">
      <c r="A28" s="12">
        <v>44709.0</v>
      </c>
      <c r="J28" s="12">
        <v>44740.0</v>
      </c>
      <c r="N28" s="12">
        <v>44648.0</v>
      </c>
    </row>
    <row r="29" ht="15.75" customHeight="1">
      <c r="A29" s="12">
        <v>44710.0</v>
      </c>
      <c r="J29" s="12">
        <v>44741.0</v>
      </c>
      <c r="N29" s="12">
        <v>44649.0</v>
      </c>
    </row>
    <row r="30" ht="15.75" customHeight="1">
      <c r="A30" s="12">
        <v>44711.0</v>
      </c>
      <c r="J30" s="12">
        <v>44742.0</v>
      </c>
      <c r="N30" s="12">
        <v>44650.0</v>
      </c>
    </row>
    <row r="31" ht="15.75" customHeight="1">
      <c r="A31" s="12">
        <v>44712.0</v>
      </c>
      <c r="N31" s="12">
        <v>44651.0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1:A31">
    <cfRule type="expression" dxfId="11" priority="1">
      <formula>OR(WEEKDAY(A1)=7,WEEKDAY(A1)=1)</formula>
    </cfRule>
  </conditionalFormatting>
  <conditionalFormatting sqref="J1:J30">
    <cfRule type="expression" dxfId="12" priority="2">
      <formula>(WEEKDAY(J1)=3)</formula>
    </cfRule>
  </conditionalFormatting>
  <conditionalFormatting sqref="N1:N31">
    <cfRule type="expression" dxfId="13" priority="3">
      <formula>OR(WEEKDAY(N1)=7,WEEKDAY(N1)=1)</formula>
    </cfRule>
  </conditionalFormatting>
  <printOptions/>
  <pageMargins bottom="0.75" footer="0.0" header="0.0" left="0.7" right="0.7" top="0.75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2.14"/>
    <col customWidth="1" min="3" max="3" width="17.57"/>
    <col customWidth="1" min="4" max="4" width="12.71"/>
    <col customWidth="1" min="5" max="26" width="8.71"/>
  </cols>
  <sheetData>
    <row r="1">
      <c r="A1" s="81" t="s">
        <v>92</v>
      </c>
      <c r="B1" s="81" t="s">
        <v>123</v>
      </c>
      <c r="C1" s="81" t="s">
        <v>42</v>
      </c>
      <c r="D1" s="81" t="s">
        <v>43</v>
      </c>
    </row>
    <row r="2">
      <c r="A2" s="80" t="s">
        <v>439</v>
      </c>
      <c r="B2" s="80" t="s">
        <v>314</v>
      </c>
      <c r="C2" s="80" t="s">
        <v>440</v>
      </c>
      <c r="D2" s="80">
        <v>100.0</v>
      </c>
    </row>
    <row r="3">
      <c r="A3" s="80" t="s">
        <v>441</v>
      </c>
      <c r="B3" s="80" t="s">
        <v>203</v>
      </c>
      <c r="C3" s="80" t="s">
        <v>442</v>
      </c>
      <c r="D3" s="80">
        <v>50.0</v>
      </c>
    </row>
    <row r="4">
      <c r="A4" s="80" t="s">
        <v>439</v>
      </c>
      <c r="B4" s="80" t="s">
        <v>202</v>
      </c>
      <c r="C4" s="80" t="s">
        <v>443</v>
      </c>
      <c r="D4" s="80">
        <v>100.0</v>
      </c>
    </row>
    <row r="5">
      <c r="A5" s="80" t="s">
        <v>444</v>
      </c>
      <c r="B5" s="80" t="s">
        <v>314</v>
      </c>
      <c r="C5" s="80" t="s">
        <v>440</v>
      </c>
      <c r="D5" s="80">
        <v>75.0</v>
      </c>
    </row>
    <row r="6">
      <c r="A6" s="80" t="s">
        <v>445</v>
      </c>
      <c r="B6" s="80" t="s">
        <v>203</v>
      </c>
      <c r="C6" s="80" t="s">
        <v>443</v>
      </c>
      <c r="D6" s="80">
        <v>50.0</v>
      </c>
    </row>
    <row r="7">
      <c r="A7" s="80" t="s">
        <v>439</v>
      </c>
      <c r="B7" s="80" t="s">
        <v>314</v>
      </c>
      <c r="C7" s="80" t="s">
        <v>442</v>
      </c>
      <c r="D7" s="80">
        <v>50.0</v>
      </c>
    </row>
    <row r="8">
      <c r="A8" s="80" t="s">
        <v>446</v>
      </c>
      <c r="B8" s="80" t="s">
        <v>203</v>
      </c>
      <c r="C8" s="80" t="s">
        <v>440</v>
      </c>
      <c r="D8" s="80">
        <v>100.0</v>
      </c>
    </row>
    <row r="9">
      <c r="A9" s="8"/>
      <c r="B9" s="8"/>
      <c r="C9" s="8"/>
      <c r="D9" s="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1:D8">
    <cfRule type="expression" dxfId="14" priority="1">
      <formula>COUNTIF($A$1:$A$8,$A1)&gt;1</formula>
    </cfRule>
  </conditionalFormatting>
  <printOptions/>
  <pageMargins bottom="0.75" footer="0.0" header="0.0" left="0.7" right="0.7" top="0.75"/>
  <pageSetup orientation="landscape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2.43"/>
    <col customWidth="1" min="3" max="3" width="16.0"/>
    <col customWidth="1" min="4" max="4" width="13.71"/>
    <col customWidth="1" min="5" max="26" width="8.71"/>
  </cols>
  <sheetData>
    <row r="1">
      <c r="A1" s="79" t="s">
        <v>92</v>
      </c>
      <c r="B1" s="79" t="s">
        <v>187</v>
      </c>
      <c r="C1" s="79" t="s">
        <v>447</v>
      </c>
      <c r="D1" s="79" t="s">
        <v>448</v>
      </c>
      <c r="E1" s="47"/>
      <c r="F1" s="78"/>
    </row>
    <row r="2">
      <c r="A2" s="80" t="s">
        <v>449</v>
      </c>
      <c r="B2" s="80" t="s">
        <v>237</v>
      </c>
      <c r="C2" s="80">
        <v>10000.0</v>
      </c>
      <c r="D2" s="80">
        <f t="shared" ref="D2:D7" si="1">VLOOKUP(B2,$A$10:$B$13,2,0)*C2</f>
        <v>1000</v>
      </c>
      <c r="E2" s="78"/>
      <c r="F2" s="78"/>
    </row>
    <row r="3">
      <c r="A3" s="80" t="s">
        <v>446</v>
      </c>
      <c r="B3" s="80" t="s">
        <v>238</v>
      </c>
      <c r="C3" s="80">
        <v>20000.0</v>
      </c>
      <c r="D3" s="80">
        <f t="shared" si="1"/>
        <v>3000</v>
      </c>
      <c r="E3" s="78"/>
      <c r="F3" s="78"/>
    </row>
    <row r="4">
      <c r="A4" s="80" t="s">
        <v>450</v>
      </c>
      <c r="B4" s="80" t="s">
        <v>239</v>
      </c>
      <c r="C4" s="80">
        <v>30000.0</v>
      </c>
      <c r="D4" s="80">
        <f t="shared" si="1"/>
        <v>6000</v>
      </c>
      <c r="E4" s="78"/>
      <c r="F4" s="78"/>
    </row>
    <row r="5">
      <c r="A5" s="80" t="s">
        <v>451</v>
      </c>
      <c r="B5" s="80" t="s">
        <v>238</v>
      </c>
      <c r="C5" s="80">
        <v>25000.0</v>
      </c>
      <c r="D5" s="80">
        <f t="shared" si="1"/>
        <v>3750</v>
      </c>
      <c r="E5" s="78"/>
      <c r="F5" s="78"/>
    </row>
    <row r="6">
      <c r="A6" s="80" t="s">
        <v>452</v>
      </c>
      <c r="B6" s="80" t="s">
        <v>239</v>
      </c>
      <c r="C6" s="80">
        <v>32000.0</v>
      </c>
      <c r="D6" s="80">
        <f t="shared" si="1"/>
        <v>6400</v>
      </c>
      <c r="E6" s="78"/>
      <c r="F6" s="78"/>
    </row>
    <row r="7">
      <c r="A7" s="80" t="s">
        <v>453</v>
      </c>
      <c r="B7" s="80" t="s">
        <v>237</v>
      </c>
      <c r="C7" s="80">
        <v>12000.0</v>
      </c>
      <c r="D7" s="80">
        <f t="shared" si="1"/>
        <v>1200</v>
      </c>
      <c r="E7" s="78"/>
      <c r="F7" s="78"/>
    </row>
    <row r="8">
      <c r="A8" s="75"/>
      <c r="B8" s="75"/>
      <c r="C8" s="75"/>
      <c r="D8" s="75"/>
      <c r="E8" s="78"/>
      <c r="F8" s="78"/>
    </row>
    <row r="9">
      <c r="A9" s="75"/>
      <c r="B9" s="75"/>
      <c r="C9" s="75"/>
      <c r="D9" s="75"/>
      <c r="E9" s="78"/>
      <c r="F9" s="78"/>
    </row>
    <row r="10">
      <c r="A10" s="79" t="s">
        <v>187</v>
      </c>
      <c r="B10" s="79" t="s">
        <v>454</v>
      </c>
      <c r="C10" s="75"/>
      <c r="D10" s="75"/>
      <c r="E10" s="78"/>
      <c r="F10" s="78"/>
    </row>
    <row r="11">
      <c r="A11" s="80" t="s">
        <v>237</v>
      </c>
      <c r="B11" s="133">
        <v>0.1</v>
      </c>
      <c r="C11" s="75"/>
      <c r="D11" s="75"/>
      <c r="E11" s="78"/>
      <c r="F11" s="78"/>
    </row>
    <row r="12">
      <c r="A12" s="80" t="s">
        <v>238</v>
      </c>
      <c r="B12" s="133">
        <v>0.15</v>
      </c>
      <c r="C12" s="75"/>
      <c r="D12" s="75"/>
      <c r="E12" s="78"/>
      <c r="F12" s="78"/>
    </row>
    <row r="13">
      <c r="A13" s="80" t="s">
        <v>239</v>
      </c>
      <c r="B13" s="133">
        <v>0.2</v>
      </c>
      <c r="C13" s="75"/>
      <c r="D13" s="75"/>
      <c r="E13" s="78"/>
      <c r="F13" s="78"/>
    </row>
    <row r="14">
      <c r="A14" s="75"/>
      <c r="B14" s="75"/>
      <c r="C14" s="75"/>
      <c r="D14" s="75"/>
      <c r="E14" s="78"/>
      <c r="F14" s="78"/>
    </row>
    <row r="15">
      <c r="A15" s="78"/>
      <c r="B15" s="78"/>
      <c r="C15" s="78"/>
      <c r="D15" s="78"/>
      <c r="E15" s="78"/>
      <c r="F15" s="78"/>
    </row>
    <row r="16">
      <c r="A16" s="78"/>
      <c r="B16" s="78"/>
      <c r="C16" s="78"/>
      <c r="D16" s="78"/>
      <c r="E16" s="78"/>
      <c r="F16" s="7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18.86"/>
    <col customWidth="1" min="3" max="4" width="10.71"/>
    <col customWidth="1" min="5" max="26" width="8.71"/>
  </cols>
  <sheetData>
    <row r="1">
      <c r="A1" s="81" t="s">
        <v>92</v>
      </c>
      <c r="B1" s="81" t="s">
        <v>116</v>
      </c>
      <c r="C1" s="81" t="s">
        <v>117</v>
      </c>
      <c r="D1" s="81" t="s">
        <v>32</v>
      </c>
      <c r="E1" s="78"/>
      <c r="F1" s="78"/>
      <c r="G1" s="78"/>
    </row>
    <row r="2">
      <c r="A2" s="80" t="s">
        <v>449</v>
      </c>
      <c r="B2" s="80">
        <v>10.0</v>
      </c>
      <c r="C2" s="80">
        <v>80.0</v>
      </c>
      <c r="D2" s="80">
        <v>97.0</v>
      </c>
      <c r="E2" s="75"/>
      <c r="F2" s="75"/>
      <c r="G2" s="78"/>
    </row>
    <row r="3">
      <c r="A3" s="80" t="s">
        <v>446</v>
      </c>
      <c r="B3" s="80">
        <v>20.0</v>
      </c>
      <c r="C3" s="80">
        <v>90.0</v>
      </c>
      <c r="D3" s="80">
        <v>69.0</v>
      </c>
      <c r="E3" s="75"/>
      <c r="F3" s="75"/>
      <c r="G3" s="78"/>
    </row>
    <row r="4">
      <c r="A4" s="80" t="s">
        <v>455</v>
      </c>
      <c r="B4" s="80">
        <v>30.0</v>
      </c>
      <c r="C4" s="80">
        <v>100.0</v>
      </c>
      <c r="D4" s="80">
        <v>45.0</v>
      </c>
      <c r="E4" s="75"/>
      <c r="F4" s="75"/>
      <c r="G4" s="78"/>
    </row>
    <row r="5">
      <c r="A5" s="80" t="s">
        <v>451</v>
      </c>
      <c r="B5" s="80">
        <v>40.0</v>
      </c>
      <c r="C5" s="80">
        <v>110.0</v>
      </c>
      <c r="D5" s="80">
        <v>51.0</v>
      </c>
      <c r="E5" s="75"/>
      <c r="F5" s="75"/>
      <c r="G5" s="78"/>
    </row>
    <row r="6">
      <c r="A6" s="80" t="s">
        <v>456</v>
      </c>
      <c r="B6" s="80">
        <v>50.0</v>
      </c>
      <c r="C6" s="80">
        <v>120.0</v>
      </c>
      <c r="D6" s="80">
        <v>77.0</v>
      </c>
      <c r="E6" s="75"/>
      <c r="F6" s="75"/>
      <c r="G6" s="78"/>
    </row>
    <row r="7">
      <c r="A7" s="80" t="s">
        <v>457</v>
      </c>
      <c r="B7" s="80">
        <v>60.0</v>
      </c>
      <c r="C7" s="80">
        <v>130.0</v>
      </c>
      <c r="D7" s="80">
        <v>28.0</v>
      </c>
      <c r="E7" s="75"/>
      <c r="F7" s="75"/>
      <c r="G7" s="78"/>
    </row>
    <row r="8">
      <c r="A8" s="80" t="s">
        <v>458</v>
      </c>
      <c r="B8" s="80">
        <v>70.0</v>
      </c>
      <c r="C8" s="80">
        <v>140.0</v>
      </c>
      <c r="D8" s="80">
        <v>73.0</v>
      </c>
      <c r="E8" s="75"/>
      <c r="F8" s="75"/>
      <c r="G8" s="78"/>
    </row>
    <row r="9">
      <c r="A9" s="80"/>
      <c r="B9" s="80"/>
      <c r="C9" s="80"/>
      <c r="D9" s="80"/>
      <c r="E9" s="75"/>
      <c r="F9" s="75"/>
      <c r="G9" s="78"/>
    </row>
    <row r="10">
      <c r="A10" s="128" t="s">
        <v>0</v>
      </c>
      <c r="B10" s="80" t="s">
        <v>459</v>
      </c>
      <c r="C10" s="80"/>
      <c r="D10" s="80"/>
      <c r="E10" s="75"/>
      <c r="F10" s="75"/>
      <c r="G10" s="78"/>
    </row>
    <row r="11">
      <c r="A11" s="128" t="s">
        <v>460</v>
      </c>
      <c r="B11" s="80">
        <f>VLOOKUP(B10,A1:D8,2,0)</f>
        <v>60</v>
      </c>
      <c r="C11" s="80"/>
      <c r="D11" s="80"/>
      <c r="E11" s="75"/>
      <c r="F11" s="75"/>
      <c r="G11" s="78"/>
    </row>
    <row r="12">
      <c r="A12" s="131" t="s">
        <v>461</v>
      </c>
      <c r="B12" s="80">
        <f>VLOOKUP(B10,A1:D8,3,0)</f>
        <v>130</v>
      </c>
      <c r="C12" s="131"/>
      <c r="D12" s="131"/>
      <c r="E12" s="78"/>
      <c r="F12" s="78"/>
      <c r="G12" s="78"/>
    </row>
    <row r="13">
      <c r="A13" s="131" t="s">
        <v>462</v>
      </c>
      <c r="B13" s="80">
        <f>VLOOKUP(B10,A1:D8,4,0)</f>
        <v>28</v>
      </c>
      <c r="C13" s="131"/>
      <c r="D13" s="131"/>
      <c r="E13" s="78"/>
      <c r="F13" s="78"/>
      <c r="G13" s="78"/>
    </row>
    <row r="14">
      <c r="A14" s="78"/>
      <c r="B14" s="78"/>
      <c r="C14" s="78"/>
      <c r="D14" s="78"/>
      <c r="E14" s="78"/>
      <c r="F14" s="78"/>
      <c r="G14" s="7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14.14"/>
    <col customWidth="1" min="3" max="26" width="8.71"/>
  </cols>
  <sheetData>
    <row r="1">
      <c r="A1" s="81" t="s">
        <v>463</v>
      </c>
      <c r="B1" s="81" t="s">
        <v>464</v>
      </c>
      <c r="C1" s="78"/>
      <c r="D1" s="78"/>
    </row>
    <row r="2">
      <c r="A2" s="80">
        <v>0.0</v>
      </c>
      <c r="B2" s="134">
        <v>0.15</v>
      </c>
      <c r="C2" s="78"/>
      <c r="D2" s="78"/>
    </row>
    <row r="3">
      <c r="A3" s="80">
        <v>2651.0</v>
      </c>
      <c r="B3" s="134">
        <v>0.28</v>
      </c>
      <c r="C3" s="78"/>
      <c r="D3" s="78"/>
    </row>
    <row r="4">
      <c r="A4" s="80">
        <v>27301.0</v>
      </c>
      <c r="B4" s="134">
        <v>0.31</v>
      </c>
      <c r="C4" s="78"/>
      <c r="D4" s="78"/>
    </row>
    <row r="5">
      <c r="A5" s="80">
        <v>58501.0</v>
      </c>
      <c r="B5" s="134">
        <v>0.36</v>
      </c>
      <c r="C5" s="78"/>
      <c r="D5" s="78"/>
    </row>
    <row r="6">
      <c r="A6" s="80">
        <v>131801.0</v>
      </c>
      <c r="B6" s="134">
        <v>0.396</v>
      </c>
      <c r="C6" s="78"/>
      <c r="D6" s="78"/>
    </row>
    <row r="7">
      <c r="A7" s="80">
        <v>284701.0</v>
      </c>
      <c r="B7" s="134">
        <v>0.4525</v>
      </c>
      <c r="C7" s="78"/>
      <c r="D7" s="78"/>
    </row>
    <row r="8">
      <c r="A8" s="80"/>
      <c r="B8" s="80"/>
      <c r="C8" s="78"/>
      <c r="D8" s="78"/>
    </row>
    <row r="9">
      <c r="A9" s="80"/>
      <c r="B9" s="80"/>
      <c r="C9" s="78"/>
      <c r="D9" s="78"/>
    </row>
    <row r="10">
      <c r="A10" s="80" t="s">
        <v>465</v>
      </c>
      <c r="B10" s="80">
        <v>1000.0</v>
      </c>
      <c r="C10" s="78"/>
      <c r="D10" s="78"/>
    </row>
    <row r="11">
      <c r="A11" s="80" t="s">
        <v>466</v>
      </c>
      <c r="B11" s="134">
        <f>VLOOKUP(B10,A1:B7,2,1)</f>
        <v>0.15</v>
      </c>
      <c r="C11" s="78"/>
      <c r="D11" s="78"/>
    </row>
    <row r="12">
      <c r="A12" s="78"/>
      <c r="B12" s="78"/>
      <c r="C12" s="78"/>
      <c r="D12" s="7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86"/>
    <col customWidth="1" min="2" max="2" width="44.71"/>
    <col customWidth="1" min="3" max="3" width="16.86"/>
    <col customWidth="1" min="4" max="26" width="8.71"/>
  </cols>
  <sheetData>
    <row r="1">
      <c r="A1" s="93" t="s">
        <v>467</v>
      </c>
      <c r="B1" s="93" t="s">
        <v>468</v>
      </c>
      <c r="C1" s="73"/>
    </row>
    <row r="2">
      <c r="A2" s="131" t="s">
        <v>469</v>
      </c>
      <c r="B2" s="131" t="str">
        <f t="shared" ref="B2:B5" si="1">PROPER(TRIM(A2))</f>
        <v>Books Are There In The Liabrary</v>
      </c>
      <c r="C2" s="78"/>
    </row>
    <row r="3">
      <c r="A3" s="131" t="s">
        <v>470</v>
      </c>
      <c r="B3" s="131" t="str">
        <f t="shared" si="1"/>
        <v>Magazines Are All Over The House</v>
      </c>
      <c r="C3" s="78"/>
    </row>
    <row r="4">
      <c r="A4" s="131" t="s">
        <v>471</v>
      </c>
      <c r="B4" s="131" t="str">
        <f t="shared" si="1"/>
        <v>Notebooks Are In The Shop</v>
      </c>
      <c r="C4" s="78"/>
    </row>
    <row r="5">
      <c r="A5" s="131" t="s">
        <v>472</v>
      </c>
      <c r="B5" s="131" t="str">
        <f t="shared" si="1"/>
        <v>Pens Are Not Working So Buy New</v>
      </c>
      <c r="C5" s="78"/>
    </row>
    <row r="8">
      <c r="A8" s="81" t="s">
        <v>473</v>
      </c>
      <c r="B8" s="81" t="s">
        <v>474</v>
      </c>
    </row>
    <row r="9">
      <c r="A9" s="131" t="s">
        <v>475</v>
      </c>
      <c r="B9" s="131" t="str">
        <f t="shared" ref="B9:B12" si="2">UPPER(A9)</f>
        <v>SHAH RUKH KHAN</v>
      </c>
    </row>
    <row r="10">
      <c r="A10" s="131" t="s">
        <v>476</v>
      </c>
      <c r="B10" s="131" t="str">
        <f t="shared" si="2"/>
        <v>BILL GATES</v>
      </c>
    </row>
    <row r="11">
      <c r="A11" s="131" t="s">
        <v>477</v>
      </c>
      <c r="B11" s="131" t="str">
        <f t="shared" si="2"/>
        <v>RAHUL GAMDHI</v>
      </c>
    </row>
    <row r="12">
      <c r="A12" s="131" t="s">
        <v>478</v>
      </c>
      <c r="B12" s="131" t="str">
        <f t="shared" si="2"/>
        <v>KAJAL SINGHANIA</v>
      </c>
    </row>
    <row r="13">
      <c r="A13" s="78"/>
      <c r="B13" s="78"/>
    </row>
    <row r="14">
      <c r="A14" s="78"/>
      <c r="B14" s="78"/>
    </row>
    <row r="15">
      <c r="A15" s="81" t="s">
        <v>479</v>
      </c>
      <c r="B15" s="81" t="s">
        <v>480</v>
      </c>
    </row>
    <row r="16">
      <c r="A16" s="131" t="s">
        <v>481</v>
      </c>
      <c r="B16" s="131" t="str">
        <f t="shared" ref="B16:B19" si="3">LOWER(A16)</f>
        <v>shah rukh khan</v>
      </c>
    </row>
    <row r="17">
      <c r="A17" s="131" t="s">
        <v>482</v>
      </c>
      <c r="B17" s="131" t="str">
        <f t="shared" si="3"/>
        <v>bill gates</v>
      </c>
    </row>
    <row r="18">
      <c r="A18" s="131" t="s">
        <v>483</v>
      </c>
      <c r="B18" s="131" t="str">
        <f t="shared" si="3"/>
        <v>rahul gandhi</v>
      </c>
    </row>
    <row r="19">
      <c r="A19" s="131" t="s">
        <v>484</v>
      </c>
      <c r="B19" s="131" t="str">
        <f t="shared" si="3"/>
        <v>kajal singhania</v>
      </c>
    </row>
    <row r="20">
      <c r="A20" s="78"/>
      <c r="B20" s="78"/>
    </row>
    <row r="21" ht="15.75" customHeight="1">
      <c r="A21" s="78"/>
      <c r="B21" s="78"/>
    </row>
    <row r="22" ht="15.75" customHeight="1">
      <c r="A22" s="93" t="s">
        <v>485</v>
      </c>
      <c r="B22" s="93" t="s">
        <v>486</v>
      </c>
    </row>
    <row r="23" ht="15.75" customHeight="1">
      <c r="A23" s="131" t="s">
        <v>487</v>
      </c>
      <c r="B23" s="131" t="str">
        <f t="shared" ref="B23:B25" si="4">PROPER(A23)</f>
        <v>Tit For Tat</v>
      </c>
    </row>
    <row r="24" ht="15.75" customHeight="1">
      <c r="A24" s="131" t="s">
        <v>488</v>
      </c>
      <c r="B24" s="131" t="str">
        <f t="shared" si="4"/>
        <v>Honesty Is The Best Policy</v>
      </c>
    </row>
    <row r="25" ht="15.75" customHeight="1">
      <c r="A25" s="131" t="s">
        <v>489</v>
      </c>
      <c r="B25" s="131" t="str">
        <f t="shared" si="4"/>
        <v>Silence Is Golden</v>
      </c>
    </row>
    <row r="26" ht="15.75" customHeight="1">
      <c r="A26" s="78"/>
      <c r="B26" s="78"/>
    </row>
    <row r="27" ht="15.75" customHeight="1">
      <c r="A27" s="78"/>
      <c r="B27" s="78"/>
    </row>
    <row r="28" ht="15.75" customHeight="1">
      <c r="A28" s="80" t="s">
        <v>490</v>
      </c>
      <c r="B28" s="80" t="s">
        <v>491</v>
      </c>
      <c r="C28" s="131" t="s">
        <v>492</v>
      </c>
    </row>
    <row r="29" ht="15.75" customHeight="1">
      <c r="A29" s="80">
        <v>1.0</v>
      </c>
      <c r="B29" s="80" t="str">
        <f t="shared" ref="B29:B33" si="5">ROMAN(A29)</f>
        <v>I</v>
      </c>
      <c r="C29" s="131">
        <f t="shared" ref="C29:C33" si="6">ARABIC(B29)</f>
        <v>1</v>
      </c>
    </row>
    <row r="30" ht="15.75" customHeight="1">
      <c r="A30" s="80">
        <v>2.0</v>
      </c>
      <c r="B30" s="80" t="str">
        <f t="shared" si="5"/>
        <v>II</v>
      </c>
      <c r="C30" s="131">
        <f t="shared" si="6"/>
        <v>2</v>
      </c>
    </row>
    <row r="31" ht="15.75" customHeight="1">
      <c r="A31" s="80">
        <v>4.0</v>
      </c>
      <c r="B31" s="80" t="str">
        <f t="shared" si="5"/>
        <v>IV</v>
      </c>
      <c r="C31" s="131">
        <f t="shared" si="6"/>
        <v>4</v>
      </c>
    </row>
    <row r="32" ht="15.75" customHeight="1">
      <c r="A32" s="80">
        <v>10.0</v>
      </c>
      <c r="B32" s="80" t="str">
        <f t="shared" si="5"/>
        <v>X</v>
      </c>
      <c r="C32" s="131">
        <f t="shared" si="6"/>
        <v>10</v>
      </c>
    </row>
    <row r="33" ht="15.75" customHeight="1">
      <c r="A33" s="80">
        <v>3998.0</v>
      </c>
      <c r="B33" s="80" t="str">
        <f t="shared" si="5"/>
        <v>MMMCMXCVIII</v>
      </c>
      <c r="C33" s="131">
        <f t="shared" si="6"/>
        <v>3998</v>
      </c>
    </row>
    <row r="34" ht="15.75" customHeight="1">
      <c r="A34" s="78"/>
      <c r="B34" s="78"/>
    </row>
    <row r="35" ht="15.75" customHeight="1">
      <c r="A35" s="78"/>
      <c r="B35" s="78"/>
    </row>
    <row r="36" ht="15.75" customHeight="1">
      <c r="A36" s="78"/>
      <c r="B36" s="78"/>
    </row>
    <row r="37" ht="15.75" customHeight="1">
      <c r="A37" s="78"/>
      <c r="B37" s="78"/>
    </row>
    <row r="38" ht="15.75" customHeight="1">
      <c r="A38" s="78"/>
      <c r="B38" s="78"/>
    </row>
    <row r="39" ht="15.75" customHeight="1">
      <c r="A39" s="78"/>
      <c r="B39" s="78"/>
    </row>
    <row r="40" ht="15.75" customHeight="1">
      <c r="A40" s="78"/>
      <c r="B40" s="78"/>
    </row>
    <row r="41" ht="15.75" customHeight="1">
      <c r="A41" s="78"/>
      <c r="B41" s="78"/>
    </row>
    <row r="42" ht="15.75" customHeight="1">
      <c r="A42" s="78"/>
      <c r="B42" s="78"/>
    </row>
    <row r="43" ht="15.75" customHeight="1">
      <c r="A43" s="78"/>
      <c r="B43" s="78"/>
    </row>
    <row r="44" ht="15.75" customHeight="1">
      <c r="A44" s="78"/>
      <c r="B44" s="78"/>
    </row>
    <row r="45" ht="15.75" customHeight="1">
      <c r="A45" s="78"/>
      <c r="B45" s="78"/>
    </row>
    <row r="46" ht="15.75" customHeight="1">
      <c r="A46" s="78"/>
      <c r="B46" s="78"/>
    </row>
    <row r="47" ht="15.75" customHeight="1">
      <c r="A47" s="78"/>
      <c r="B47" s="78"/>
    </row>
    <row r="48" ht="15.75" customHeight="1">
      <c r="A48" s="78"/>
      <c r="B48" s="78"/>
    </row>
    <row r="49" ht="15.75" customHeight="1">
      <c r="A49" s="78"/>
      <c r="B49" s="78"/>
    </row>
    <row r="50" ht="15.75" customHeight="1">
      <c r="A50" s="78"/>
      <c r="B50" s="78"/>
    </row>
    <row r="51" ht="15.75" customHeight="1">
      <c r="A51" s="78"/>
      <c r="B51" s="78"/>
    </row>
    <row r="52" ht="15.75" customHeight="1">
      <c r="A52" s="78"/>
      <c r="B52" s="78"/>
    </row>
    <row r="53" ht="15.75" customHeight="1">
      <c r="A53" s="78"/>
      <c r="B53" s="78"/>
    </row>
    <row r="54" ht="15.75" customHeight="1">
      <c r="A54" s="78"/>
      <c r="B54" s="78"/>
    </row>
    <row r="55" ht="15.75" customHeight="1">
      <c r="A55" s="78"/>
      <c r="B55" s="78"/>
    </row>
    <row r="56" ht="15.75" customHeight="1">
      <c r="A56" s="78"/>
      <c r="B56" s="78"/>
    </row>
    <row r="57" ht="15.75" customHeight="1">
      <c r="A57" s="78"/>
      <c r="B57" s="78"/>
    </row>
    <row r="58" ht="15.75" customHeight="1">
      <c r="A58" s="78"/>
      <c r="B58" s="78"/>
    </row>
    <row r="59" ht="15.75" customHeight="1">
      <c r="A59" s="78"/>
      <c r="B59" s="78"/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13.43"/>
    <col customWidth="1" min="3" max="3" width="22.14"/>
    <col customWidth="1" min="4" max="4" width="27.43"/>
    <col customWidth="1" min="5" max="26" width="8.71"/>
  </cols>
  <sheetData>
    <row r="1">
      <c r="A1" s="81" t="s">
        <v>493</v>
      </c>
      <c r="B1" s="81" t="s">
        <v>494</v>
      </c>
      <c r="C1" s="81" t="s">
        <v>495</v>
      </c>
      <c r="D1" s="81" t="s">
        <v>496</v>
      </c>
      <c r="E1" s="47"/>
      <c r="F1" s="123"/>
    </row>
    <row r="2">
      <c r="A2" s="131" t="s">
        <v>497</v>
      </c>
      <c r="B2" s="131">
        <v>1000.0</v>
      </c>
      <c r="C2" s="131" t="s">
        <v>498</v>
      </c>
      <c r="D2" s="131">
        <f t="shared" ref="D2:D9" si="1">IF(OR(C2="visa",C2="Mastercard"),50,0)</f>
        <v>0</v>
      </c>
      <c r="E2" s="78"/>
    </row>
    <row r="3">
      <c r="A3" s="131" t="s">
        <v>499</v>
      </c>
      <c r="B3" s="131">
        <v>1000.0</v>
      </c>
      <c r="C3" s="131" t="s">
        <v>500</v>
      </c>
      <c r="D3" s="131">
        <f t="shared" si="1"/>
        <v>50</v>
      </c>
      <c r="E3" s="78"/>
    </row>
    <row r="4">
      <c r="A4" s="131" t="s">
        <v>501</v>
      </c>
      <c r="B4" s="131">
        <v>2000.0</v>
      </c>
      <c r="C4" s="131" t="s">
        <v>502</v>
      </c>
      <c r="D4" s="131">
        <f t="shared" si="1"/>
        <v>0</v>
      </c>
      <c r="E4" s="78"/>
    </row>
    <row r="5">
      <c r="A5" s="131" t="s">
        <v>503</v>
      </c>
      <c r="B5" s="131">
        <v>5000.0</v>
      </c>
      <c r="C5" s="131" t="s">
        <v>504</v>
      </c>
      <c r="D5" s="131">
        <f t="shared" si="1"/>
        <v>50</v>
      </c>
      <c r="E5" s="78"/>
    </row>
    <row r="6">
      <c r="A6" s="131" t="s">
        <v>505</v>
      </c>
      <c r="B6" s="131">
        <v>6000.0</v>
      </c>
      <c r="C6" s="131" t="s">
        <v>498</v>
      </c>
      <c r="D6" s="131">
        <f t="shared" si="1"/>
        <v>0</v>
      </c>
      <c r="E6" s="78"/>
    </row>
    <row r="7">
      <c r="A7" s="131" t="s">
        <v>506</v>
      </c>
      <c r="B7" s="131">
        <v>2500.0</v>
      </c>
      <c r="C7" s="131" t="s">
        <v>502</v>
      </c>
      <c r="D7" s="131">
        <f t="shared" si="1"/>
        <v>0</v>
      </c>
      <c r="E7" s="78"/>
    </row>
    <row r="8">
      <c r="A8" s="131" t="s">
        <v>507</v>
      </c>
      <c r="B8" s="131">
        <v>1500.0</v>
      </c>
      <c r="C8" s="131" t="s">
        <v>500</v>
      </c>
      <c r="D8" s="131">
        <f t="shared" si="1"/>
        <v>50</v>
      </c>
      <c r="E8" s="78"/>
    </row>
    <row r="9">
      <c r="A9" s="131" t="s">
        <v>508</v>
      </c>
      <c r="B9" s="131">
        <v>9500.0</v>
      </c>
      <c r="C9" s="131" t="s">
        <v>504</v>
      </c>
      <c r="D9" s="131">
        <f t="shared" si="1"/>
        <v>50</v>
      </c>
      <c r="E9" s="78"/>
    </row>
    <row r="10">
      <c r="A10" s="78"/>
      <c r="B10" s="78"/>
      <c r="C10" s="78"/>
      <c r="D10" s="78"/>
      <c r="E10" s="78"/>
    </row>
    <row r="11">
      <c r="A11" s="78"/>
      <c r="B11" s="78"/>
      <c r="C11" s="78"/>
      <c r="D11" s="78"/>
      <c r="E11" s="78"/>
    </row>
    <row r="12">
      <c r="A12" s="78"/>
      <c r="B12" s="78"/>
      <c r="C12" s="78"/>
      <c r="D12" s="78"/>
      <c r="E12" s="78"/>
    </row>
    <row r="13">
      <c r="A13" s="78"/>
      <c r="B13" s="78"/>
      <c r="C13" s="78"/>
      <c r="D13" s="78"/>
      <c r="E13" s="78"/>
    </row>
    <row r="14">
      <c r="A14" s="78"/>
      <c r="B14" s="78"/>
      <c r="C14" s="78"/>
      <c r="D14" s="78"/>
      <c r="E14" s="78"/>
    </row>
    <row r="15">
      <c r="A15" s="78"/>
      <c r="B15" s="78"/>
      <c r="C15" s="78"/>
      <c r="D15" s="78"/>
      <c r="E15" s="78"/>
    </row>
    <row r="16">
      <c r="A16" s="78"/>
      <c r="B16" s="78"/>
      <c r="C16" s="78"/>
      <c r="D16" s="78"/>
      <c r="E16" s="78"/>
    </row>
    <row r="17">
      <c r="A17" s="78"/>
      <c r="B17" s="78"/>
      <c r="C17" s="78"/>
      <c r="D17" s="78"/>
      <c r="E17" s="78"/>
    </row>
    <row r="18">
      <c r="A18" s="78"/>
      <c r="B18" s="78"/>
      <c r="C18" s="78"/>
      <c r="D18" s="78"/>
      <c r="E18" s="78"/>
    </row>
    <row r="19">
      <c r="A19" s="78"/>
      <c r="B19" s="78"/>
      <c r="C19" s="78"/>
      <c r="D19" s="78"/>
      <c r="E19" s="78"/>
    </row>
    <row r="20">
      <c r="A20" s="78"/>
      <c r="B20" s="78"/>
      <c r="C20" s="78"/>
      <c r="D20" s="78"/>
      <c r="E20" s="7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11.0"/>
    <col customWidth="1" min="3" max="3" width="12.71"/>
    <col customWidth="1" min="4" max="4" width="13.0"/>
    <col customWidth="1" min="5" max="26" width="8.71"/>
  </cols>
  <sheetData>
    <row r="1">
      <c r="A1" s="81" t="s">
        <v>490</v>
      </c>
      <c r="B1" s="81" t="s">
        <v>509</v>
      </c>
      <c r="C1" s="81" t="s">
        <v>17</v>
      </c>
      <c r="D1" s="135" t="s">
        <v>510</v>
      </c>
    </row>
    <row r="2">
      <c r="A2" s="131">
        <v>3.0</v>
      </c>
      <c r="B2" s="131">
        <v>2.0</v>
      </c>
      <c r="C2" s="131">
        <f t="shared" ref="C2:C5" si="1">PRODUCT(A2,B2)</f>
        <v>6</v>
      </c>
      <c r="D2" s="131">
        <f t="shared" ref="D2:D5" si="2">POWER(A2,B2)</f>
        <v>9</v>
      </c>
    </row>
    <row r="3">
      <c r="A3" s="131">
        <v>3.0</v>
      </c>
      <c r="B3" s="131">
        <v>4.0</v>
      </c>
      <c r="C3" s="131">
        <f t="shared" si="1"/>
        <v>12</v>
      </c>
      <c r="D3" s="131">
        <f t="shared" si="2"/>
        <v>81</v>
      </c>
    </row>
    <row r="4">
      <c r="A4" s="131">
        <v>5.0</v>
      </c>
      <c r="B4" s="131">
        <v>2.0</v>
      </c>
      <c r="C4" s="131">
        <f t="shared" si="1"/>
        <v>10</v>
      </c>
      <c r="D4" s="131">
        <f t="shared" si="2"/>
        <v>25</v>
      </c>
    </row>
    <row r="5">
      <c r="A5" s="131">
        <v>5.0</v>
      </c>
      <c r="B5" s="131">
        <v>4.0</v>
      </c>
      <c r="C5" s="131">
        <f t="shared" si="1"/>
        <v>20</v>
      </c>
      <c r="D5" s="131">
        <f t="shared" si="2"/>
        <v>625</v>
      </c>
    </row>
    <row r="6">
      <c r="A6" s="78"/>
      <c r="B6" s="78"/>
      <c r="C6" s="78"/>
    </row>
    <row r="7">
      <c r="A7" s="78"/>
      <c r="B7" s="78"/>
      <c r="C7" s="78"/>
    </row>
    <row r="8">
      <c r="A8" s="78"/>
      <c r="B8" s="78"/>
      <c r="C8" s="78"/>
    </row>
    <row r="9">
      <c r="A9" s="78"/>
      <c r="B9" s="78"/>
      <c r="C9" s="78"/>
    </row>
    <row r="10">
      <c r="A10" s="78"/>
      <c r="B10" s="78"/>
      <c r="C10" s="78"/>
    </row>
    <row r="11">
      <c r="A11" s="78"/>
      <c r="B11" s="78"/>
      <c r="C11" s="78"/>
    </row>
    <row r="12">
      <c r="A12" s="78"/>
      <c r="B12" s="78"/>
      <c r="C12" s="78"/>
    </row>
    <row r="13">
      <c r="A13" s="78"/>
      <c r="B13" s="78"/>
      <c r="C13" s="78"/>
    </row>
    <row r="14">
      <c r="A14" s="78"/>
      <c r="B14" s="78"/>
      <c r="C14" s="78"/>
    </row>
    <row r="15">
      <c r="A15" s="78"/>
      <c r="B15" s="78"/>
      <c r="C15" s="7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1.71"/>
    <col customWidth="1" min="3" max="3" width="21.43"/>
    <col customWidth="1" min="4" max="4" width="8.71"/>
    <col customWidth="1" min="5" max="5" width="12.29"/>
    <col customWidth="1" min="6" max="26" width="8.71"/>
  </cols>
  <sheetData>
    <row r="1">
      <c r="A1" s="81" t="s">
        <v>511</v>
      </c>
      <c r="B1" s="81" t="s">
        <v>512</v>
      </c>
      <c r="C1" s="81" t="s">
        <v>513</v>
      </c>
      <c r="D1" s="47"/>
    </row>
    <row r="2">
      <c r="A2" s="131" t="s">
        <v>415</v>
      </c>
      <c r="B2" s="132">
        <v>0.0625</v>
      </c>
      <c r="C2" s="131">
        <f t="shared" ref="C2:C7" si="1">RANK(B2,B2:B7,1)</f>
        <v>4</v>
      </c>
      <c r="D2" s="78"/>
      <c r="E2" s="136"/>
      <c r="F2" s="78"/>
    </row>
    <row r="3">
      <c r="A3" s="131" t="s">
        <v>449</v>
      </c>
      <c r="B3" s="132">
        <v>0.07291666666666667</v>
      </c>
      <c r="C3" s="131">
        <f t="shared" si="1"/>
        <v>5</v>
      </c>
      <c r="D3" s="78"/>
      <c r="E3" s="136"/>
      <c r="F3" s="78"/>
    </row>
    <row r="4">
      <c r="A4" s="131" t="s">
        <v>451</v>
      </c>
      <c r="B4" s="132">
        <v>0.04305555555555556</v>
      </c>
      <c r="C4" s="131">
        <f t="shared" si="1"/>
        <v>1</v>
      </c>
      <c r="D4" s="78"/>
      <c r="E4" s="136"/>
      <c r="F4" s="78"/>
    </row>
    <row r="5">
      <c r="A5" s="131" t="s">
        <v>514</v>
      </c>
      <c r="B5" s="132">
        <v>0.06666666666666667</v>
      </c>
      <c r="C5" s="131">
        <f t="shared" si="1"/>
        <v>3</v>
      </c>
      <c r="D5" s="78"/>
      <c r="E5" s="136"/>
      <c r="F5" s="78"/>
    </row>
    <row r="6">
      <c r="A6" s="131" t="s">
        <v>515</v>
      </c>
      <c r="B6" s="132">
        <v>0.06041666666666667</v>
      </c>
      <c r="C6" s="131">
        <f t="shared" si="1"/>
        <v>2</v>
      </c>
      <c r="D6" s="78"/>
      <c r="E6" s="136"/>
      <c r="F6" s="78"/>
    </row>
    <row r="7">
      <c r="A7" s="131" t="s">
        <v>516</v>
      </c>
      <c r="B7" s="132">
        <v>0.043750000000000004</v>
      </c>
      <c r="C7" s="131">
        <f t="shared" si="1"/>
        <v>1</v>
      </c>
      <c r="D7" s="78"/>
      <c r="E7" s="136"/>
      <c r="F7" s="78"/>
    </row>
    <row r="8">
      <c r="A8" s="78"/>
      <c r="B8" s="78"/>
      <c r="C8" s="78"/>
      <c r="D8" s="78"/>
    </row>
    <row r="9">
      <c r="A9" s="78"/>
      <c r="B9" s="78"/>
      <c r="C9" s="78"/>
      <c r="D9" s="78"/>
    </row>
    <row r="10">
      <c r="A10" s="78"/>
      <c r="B10" s="78"/>
      <c r="C10" s="78"/>
      <c r="D10" s="78"/>
    </row>
    <row r="11">
      <c r="A11" s="78"/>
      <c r="B11" s="78"/>
      <c r="C11" s="78"/>
      <c r="D11" s="78"/>
    </row>
    <row r="12">
      <c r="A12" s="78"/>
      <c r="B12" s="78"/>
      <c r="C12" s="78"/>
      <c r="D12" s="78"/>
    </row>
    <row r="13">
      <c r="A13" s="78"/>
      <c r="B13" s="78"/>
      <c r="C13" s="78"/>
      <c r="D13" s="78"/>
    </row>
    <row r="14">
      <c r="A14" s="78"/>
      <c r="B14" s="78"/>
      <c r="C14" s="78"/>
      <c r="D14" s="7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17.0"/>
    <col customWidth="1" min="3" max="3" width="18.14"/>
    <col customWidth="1" min="4" max="4" width="20.57"/>
    <col customWidth="1" min="5" max="26" width="8.71"/>
  </cols>
  <sheetData>
    <row r="1">
      <c r="A1" s="137" t="s">
        <v>517</v>
      </c>
      <c r="B1" s="137"/>
      <c r="C1" s="137"/>
      <c r="D1" s="131"/>
      <c r="E1" s="78"/>
      <c r="F1" s="5"/>
    </row>
    <row r="2">
      <c r="A2" s="137" t="s">
        <v>518</v>
      </c>
      <c r="B2" s="137"/>
      <c r="C2" s="137"/>
      <c r="D2" s="131"/>
      <c r="E2" s="78"/>
      <c r="F2" s="5"/>
    </row>
    <row r="3">
      <c r="A3" s="80"/>
      <c r="B3" s="138" t="str">
        <f>Sheet29!D4:D9</f>
        <v>#VALUE!</v>
      </c>
      <c r="C3" s="138" t="s">
        <v>519</v>
      </c>
      <c r="D3" s="138" t="s">
        <v>520</v>
      </c>
      <c r="E3" s="76"/>
      <c r="F3" s="5"/>
    </row>
    <row r="4">
      <c r="A4" s="138" t="s">
        <v>521</v>
      </c>
      <c r="B4" s="82">
        <v>38718.0</v>
      </c>
      <c r="C4" s="82">
        <v>39263.0</v>
      </c>
      <c r="D4" s="80">
        <f t="shared" ref="D4:D8" si="1">(YEAR(C5)-YEAR(B5))*12+MONTH(C5)-MONTH(B5)</f>
        <v>17</v>
      </c>
      <c r="E4" s="75"/>
      <c r="F4" s="5"/>
      <c r="H4" s="12"/>
      <c r="J4" s="12"/>
    </row>
    <row r="5">
      <c r="A5" s="138" t="s">
        <v>522</v>
      </c>
      <c r="B5" s="82">
        <v>38914.0</v>
      </c>
      <c r="C5" s="82">
        <v>39437.0</v>
      </c>
      <c r="D5" s="80">
        <f t="shared" si="1"/>
        <v>9</v>
      </c>
      <c r="E5" s="75"/>
      <c r="F5" s="5"/>
      <c r="H5" s="12"/>
      <c r="J5" s="12"/>
    </row>
    <row r="6">
      <c r="A6" s="138" t="s">
        <v>523</v>
      </c>
      <c r="B6" s="82">
        <v>38983.0</v>
      </c>
      <c r="C6" s="82">
        <v>39238.0</v>
      </c>
      <c r="D6" s="80">
        <f t="shared" si="1"/>
        <v>13</v>
      </c>
      <c r="E6" s="75"/>
      <c r="F6" s="5"/>
    </row>
    <row r="7">
      <c r="A7" s="138" t="s">
        <v>524</v>
      </c>
      <c r="B7" s="82">
        <v>39009.0</v>
      </c>
      <c r="C7" s="82">
        <v>39411.0</v>
      </c>
      <c r="D7" s="80">
        <f t="shared" si="1"/>
        <v>19</v>
      </c>
      <c r="E7" s="75"/>
      <c r="F7" s="5"/>
    </row>
    <row r="8">
      <c r="A8" s="138" t="s">
        <v>525</v>
      </c>
      <c r="B8" s="82">
        <v>39126.0</v>
      </c>
      <c r="C8" s="82">
        <v>39718.0</v>
      </c>
      <c r="D8" s="80">
        <f t="shared" si="1"/>
        <v>14</v>
      </c>
      <c r="E8" s="75"/>
      <c r="F8" s="5"/>
    </row>
    <row r="9">
      <c r="A9" s="138" t="s">
        <v>526</v>
      </c>
      <c r="B9" s="82">
        <v>39175.0</v>
      </c>
      <c r="C9" s="82">
        <v>39602.0</v>
      </c>
      <c r="D9" s="80">
        <f>YEAR(C9)-YEAR(B4)</f>
        <v>2</v>
      </c>
      <c r="E9" s="75"/>
      <c r="F9" s="5"/>
    </row>
    <row r="10">
      <c r="A10" s="138" t="s">
        <v>527</v>
      </c>
      <c r="B10" s="80"/>
      <c r="C10" s="80"/>
      <c r="E10" s="75"/>
      <c r="F10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14.43"/>
    <col customWidth="1" min="3" max="26" width="8.71"/>
  </cols>
  <sheetData>
    <row r="1">
      <c r="A1" s="138" t="s">
        <v>528</v>
      </c>
      <c r="B1" s="139">
        <v>26783.0</v>
      </c>
    </row>
    <row r="2">
      <c r="A2" s="75"/>
      <c r="B2" s="75"/>
    </row>
    <row r="3">
      <c r="A3" s="80" t="s">
        <v>529</v>
      </c>
      <c r="B3" s="80">
        <f>DATEDIF(B1,TODAY(),"y")</f>
        <v>49</v>
      </c>
    </row>
    <row r="4">
      <c r="A4" s="80" t="s">
        <v>530</v>
      </c>
      <c r="B4" s="80">
        <f>DATEDIF(B1,TODAY(),"ym")</f>
        <v>10</v>
      </c>
    </row>
    <row r="5">
      <c r="A5" s="80" t="s">
        <v>531</v>
      </c>
      <c r="B5" s="80">
        <f>DATEDIF(B1,TODAY(),"md")</f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86"/>
    <col customWidth="1" min="2" max="2" width="14.57"/>
    <col customWidth="1" min="3" max="4" width="13.14"/>
    <col customWidth="1" min="5" max="26" width="8.71"/>
  </cols>
  <sheetData>
    <row r="1">
      <c r="A1" s="131" t="s">
        <v>532</v>
      </c>
      <c r="B1" s="140">
        <v>0.075</v>
      </c>
      <c r="C1" s="78"/>
      <c r="D1" s="78"/>
      <c r="E1" s="78"/>
    </row>
    <row r="2">
      <c r="A2" s="131" t="s">
        <v>533</v>
      </c>
      <c r="B2" s="131">
        <v>10.0</v>
      </c>
      <c r="C2" s="78"/>
      <c r="D2" s="78"/>
      <c r="E2" s="78"/>
    </row>
    <row r="3">
      <c r="A3" s="131" t="s">
        <v>534</v>
      </c>
      <c r="B3" s="131">
        <v>25000.0</v>
      </c>
      <c r="C3" s="78"/>
      <c r="D3" s="78"/>
      <c r="E3" s="78"/>
    </row>
    <row r="4">
      <c r="A4" s="78" t="s">
        <v>535</v>
      </c>
      <c r="B4" s="78">
        <v>12.0</v>
      </c>
      <c r="C4" s="78"/>
      <c r="D4" s="78"/>
      <c r="E4" s="78"/>
    </row>
    <row r="5">
      <c r="A5" s="78"/>
      <c r="B5" s="78"/>
      <c r="C5" s="78"/>
      <c r="D5" s="78"/>
      <c r="E5" s="78"/>
    </row>
    <row r="6">
      <c r="A6" s="78" t="s">
        <v>288</v>
      </c>
      <c r="B6" s="78" t="s">
        <v>536</v>
      </c>
      <c r="C6" s="78" t="s">
        <v>537</v>
      </c>
      <c r="D6" s="78" t="s">
        <v>538</v>
      </c>
      <c r="E6" s="78"/>
    </row>
    <row r="7">
      <c r="A7" s="78">
        <v>1.0</v>
      </c>
      <c r="B7" s="141">
        <f t="shared" ref="B7:B126" si="1">ABS(PMT($B$1/$B$4,$B$2*$B$4,$B$3))</f>
        <v>296.7544228</v>
      </c>
      <c r="C7" s="141">
        <f t="shared" ref="C7:C126" si="2">ABS(IPMT($B$1/$B$4,A7,$B$2*$B$4,$B$3))</f>
        <v>156.25</v>
      </c>
      <c r="D7" s="141">
        <f t="shared" ref="D7:D126" si="3">ABS(PPMT($B$1/$B$4,A7,$B$2*$B$4,$B$3))</f>
        <v>140.5044228</v>
      </c>
      <c r="E7" s="142"/>
      <c r="F7" s="142"/>
      <c r="G7" s="142"/>
    </row>
    <row r="8">
      <c r="A8" s="78">
        <v>2.0</v>
      </c>
      <c r="B8" s="141">
        <f t="shared" si="1"/>
        <v>296.7544228</v>
      </c>
      <c r="C8" s="141">
        <f t="shared" si="2"/>
        <v>155.3718474</v>
      </c>
      <c r="D8" s="141">
        <f t="shared" si="3"/>
        <v>141.3825755</v>
      </c>
      <c r="E8" s="78"/>
    </row>
    <row r="9">
      <c r="A9" s="78">
        <v>3.0</v>
      </c>
      <c r="B9" s="141">
        <f t="shared" si="1"/>
        <v>296.7544228</v>
      </c>
      <c r="C9" s="141">
        <f t="shared" si="2"/>
        <v>154.4882063</v>
      </c>
      <c r="D9" s="141">
        <f t="shared" si="3"/>
        <v>142.2662166</v>
      </c>
    </row>
    <row r="10">
      <c r="A10" s="78">
        <v>4.0</v>
      </c>
      <c r="B10" s="141">
        <f t="shared" si="1"/>
        <v>296.7544228</v>
      </c>
      <c r="C10" s="141">
        <f t="shared" si="2"/>
        <v>153.5990424</v>
      </c>
      <c r="D10" s="141">
        <f t="shared" si="3"/>
        <v>143.1553804</v>
      </c>
    </row>
    <row r="11">
      <c r="A11" s="78">
        <v>5.0</v>
      </c>
      <c r="B11" s="141">
        <f t="shared" si="1"/>
        <v>296.7544228</v>
      </c>
      <c r="C11" s="141">
        <f t="shared" si="2"/>
        <v>152.7043213</v>
      </c>
      <c r="D11" s="141">
        <f t="shared" si="3"/>
        <v>144.0501016</v>
      </c>
    </row>
    <row r="12">
      <c r="A12" s="78">
        <v>6.0</v>
      </c>
      <c r="B12" s="141">
        <f t="shared" si="1"/>
        <v>296.7544228</v>
      </c>
      <c r="C12" s="141">
        <f t="shared" si="2"/>
        <v>151.8040081</v>
      </c>
      <c r="D12" s="141">
        <f t="shared" si="3"/>
        <v>144.9504147</v>
      </c>
    </row>
    <row r="13">
      <c r="A13" s="78">
        <v>7.0</v>
      </c>
      <c r="B13" s="141">
        <f t="shared" si="1"/>
        <v>296.7544228</v>
      </c>
      <c r="C13" s="141">
        <f t="shared" si="2"/>
        <v>150.8980681</v>
      </c>
      <c r="D13" s="141">
        <f t="shared" si="3"/>
        <v>145.8563548</v>
      </c>
    </row>
    <row r="14">
      <c r="A14" s="78">
        <v>8.0</v>
      </c>
      <c r="B14" s="141">
        <f t="shared" si="1"/>
        <v>296.7544228</v>
      </c>
      <c r="C14" s="141">
        <f t="shared" si="2"/>
        <v>149.9864658</v>
      </c>
      <c r="D14" s="141">
        <f t="shared" si="3"/>
        <v>146.767957</v>
      </c>
    </row>
    <row r="15">
      <c r="A15" s="78">
        <v>9.0</v>
      </c>
      <c r="B15" s="141">
        <f t="shared" si="1"/>
        <v>296.7544228</v>
      </c>
      <c r="C15" s="141">
        <f t="shared" si="2"/>
        <v>149.0691661</v>
      </c>
      <c r="D15" s="141">
        <f t="shared" si="3"/>
        <v>147.6852567</v>
      </c>
    </row>
    <row r="16">
      <c r="A16" s="78">
        <v>10.0</v>
      </c>
      <c r="B16" s="141">
        <f t="shared" si="1"/>
        <v>296.7544228</v>
      </c>
      <c r="C16" s="141">
        <f t="shared" si="2"/>
        <v>148.1461332</v>
      </c>
      <c r="D16" s="141">
        <f t="shared" si="3"/>
        <v>148.6082896</v>
      </c>
    </row>
    <row r="17">
      <c r="A17" s="78">
        <v>11.0</v>
      </c>
      <c r="B17" s="141">
        <f t="shared" si="1"/>
        <v>296.7544228</v>
      </c>
      <c r="C17" s="141">
        <f t="shared" si="2"/>
        <v>147.2173314</v>
      </c>
      <c r="D17" s="141">
        <f t="shared" si="3"/>
        <v>149.5370914</v>
      </c>
    </row>
    <row r="18">
      <c r="A18" s="78">
        <v>12.0</v>
      </c>
      <c r="B18" s="141">
        <f t="shared" si="1"/>
        <v>296.7544228</v>
      </c>
      <c r="C18" s="141">
        <f t="shared" si="2"/>
        <v>146.2827246</v>
      </c>
      <c r="D18" s="141">
        <f t="shared" si="3"/>
        <v>150.4716982</v>
      </c>
    </row>
    <row r="19">
      <c r="A19" s="78">
        <v>13.0</v>
      </c>
      <c r="B19" s="141">
        <f t="shared" si="1"/>
        <v>296.7544228</v>
      </c>
      <c r="C19" s="141">
        <f t="shared" si="2"/>
        <v>145.3422765</v>
      </c>
      <c r="D19" s="141">
        <f t="shared" si="3"/>
        <v>151.4121463</v>
      </c>
    </row>
    <row r="20">
      <c r="A20" s="78">
        <v>14.0</v>
      </c>
      <c r="B20" s="141">
        <f t="shared" si="1"/>
        <v>296.7544228</v>
      </c>
      <c r="C20" s="141">
        <f t="shared" si="2"/>
        <v>144.3959506</v>
      </c>
      <c r="D20" s="141">
        <f t="shared" si="3"/>
        <v>152.3584723</v>
      </c>
    </row>
    <row r="21" ht="15.75" customHeight="1">
      <c r="A21" s="78">
        <v>15.0</v>
      </c>
      <c r="B21" s="141">
        <f t="shared" si="1"/>
        <v>296.7544228</v>
      </c>
      <c r="C21" s="141">
        <f t="shared" si="2"/>
        <v>143.4437101</v>
      </c>
      <c r="D21" s="141">
        <f t="shared" si="3"/>
        <v>153.3107127</v>
      </c>
    </row>
    <row r="22" ht="15.75" customHeight="1">
      <c r="A22" s="78">
        <v>16.0</v>
      </c>
      <c r="B22" s="141">
        <f t="shared" si="1"/>
        <v>296.7544228</v>
      </c>
      <c r="C22" s="141">
        <f t="shared" si="2"/>
        <v>142.4855182</v>
      </c>
      <c r="D22" s="141">
        <f t="shared" si="3"/>
        <v>154.2689047</v>
      </c>
    </row>
    <row r="23" ht="15.75" customHeight="1">
      <c r="A23" s="78">
        <v>17.0</v>
      </c>
      <c r="B23" s="141">
        <f t="shared" si="1"/>
        <v>296.7544228</v>
      </c>
      <c r="C23" s="141">
        <f t="shared" si="2"/>
        <v>141.5213375</v>
      </c>
      <c r="D23" s="141">
        <f t="shared" si="3"/>
        <v>155.2330853</v>
      </c>
    </row>
    <row r="24" ht="15.75" customHeight="1">
      <c r="A24" s="78">
        <v>18.0</v>
      </c>
      <c r="B24" s="141">
        <f t="shared" si="1"/>
        <v>296.7544228</v>
      </c>
      <c r="C24" s="141">
        <f t="shared" si="2"/>
        <v>140.5511307</v>
      </c>
      <c r="D24" s="141">
        <f t="shared" si="3"/>
        <v>156.2032921</v>
      </c>
    </row>
    <row r="25" ht="15.75" customHeight="1">
      <c r="A25" s="78">
        <v>19.0</v>
      </c>
      <c r="B25" s="141">
        <f t="shared" si="1"/>
        <v>296.7544228</v>
      </c>
      <c r="C25" s="141">
        <f t="shared" si="2"/>
        <v>139.5748602</v>
      </c>
      <c r="D25" s="141">
        <f t="shared" si="3"/>
        <v>157.1795627</v>
      </c>
    </row>
    <row r="26" ht="15.75" customHeight="1">
      <c r="A26" s="78">
        <v>20.0</v>
      </c>
      <c r="B26" s="141">
        <f t="shared" si="1"/>
        <v>296.7544228</v>
      </c>
      <c r="C26" s="141">
        <f t="shared" si="2"/>
        <v>138.5924879</v>
      </c>
      <c r="D26" s="141">
        <f t="shared" si="3"/>
        <v>158.1619349</v>
      </c>
    </row>
    <row r="27" ht="15.75" customHeight="1">
      <c r="A27" s="78">
        <v>21.0</v>
      </c>
      <c r="B27" s="141">
        <f t="shared" si="1"/>
        <v>296.7544228</v>
      </c>
      <c r="C27" s="141">
        <f t="shared" si="2"/>
        <v>137.6039758</v>
      </c>
      <c r="D27" s="141">
        <f t="shared" si="3"/>
        <v>159.150447</v>
      </c>
    </row>
    <row r="28" ht="15.75" customHeight="1">
      <c r="A28" s="78">
        <v>22.0</v>
      </c>
      <c r="B28" s="141">
        <f t="shared" si="1"/>
        <v>296.7544228</v>
      </c>
      <c r="C28" s="141">
        <f t="shared" si="2"/>
        <v>136.6092855</v>
      </c>
      <c r="D28" s="141">
        <f t="shared" si="3"/>
        <v>160.1451373</v>
      </c>
    </row>
    <row r="29" ht="15.75" customHeight="1">
      <c r="A29" s="78">
        <v>23.0</v>
      </c>
      <c r="B29" s="141">
        <f t="shared" si="1"/>
        <v>296.7544228</v>
      </c>
      <c r="C29" s="141">
        <f t="shared" si="2"/>
        <v>135.6083784</v>
      </c>
      <c r="D29" s="141">
        <f t="shared" si="3"/>
        <v>161.1460444</v>
      </c>
    </row>
    <row r="30" ht="15.75" customHeight="1">
      <c r="A30" s="78">
        <v>24.0</v>
      </c>
      <c r="B30" s="141">
        <f t="shared" si="1"/>
        <v>296.7544228</v>
      </c>
      <c r="C30" s="141">
        <f t="shared" si="2"/>
        <v>134.6012156</v>
      </c>
      <c r="D30" s="141">
        <f t="shared" si="3"/>
        <v>162.1532072</v>
      </c>
    </row>
    <row r="31" ht="15.75" customHeight="1">
      <c r="A31" s="78">
        <v>25.0</v>
      </c>
      <c r="B31" s="141">
        <f t="shared" si="1"/>
        <v>296.7544228</v>
      </c>
      <c r="C31" s="141">
        <f t="shared" si="2"/>
        <v>133.5877581</v>
      </c>
      <c r="D31" s="141">
        <f t="shared" si="3"/>
        <v>163.1666648</v>
      </c>
    </row>
    <row r="32" ht="15.75" customHeight="1">
      <c r="A32" s="78">
        <v>26.0</v>
      </c>
      <c r="B32" s="141">
        <f t="shared" si="1"/>
        <v>296.7544228</v>
      </c>
      <c r="C32" s="141">
        <f t="shared" si="2"/>
        <v>132.5679664</v>
      </c>
      <c r="D32" s="141">
        <f t="shared" si="3"/>
        <v>164.1864564</v>
      </c>
    </row>
    <row r="33" ht="15.75" customHeight="1">
      <c r="A33" s="78">
        <v>27.0</v>
      </c>
      <c r="B33" s="141">
        <f t="shared" si="1"/>
        <v>296.7544228</v>
      </c>
      <c r="C33" s="141">
        <f t="shared" si="2"/>
        <v>131.5418011</v>
      </c>
      <c r="D33" s="141">
        <f t="shared" si="3"/>
        <v>165.2126218</v>
      </c>
    </row>
    <row r="34" ht="15.75" customHeight="1">
      <c r="A34" s="78">
        <v>28.0</v>
      </c>
      <c r="B34" s="141">
        <f t="shared" si="1"/>
        <v>296.7544228</v>
      </c>
      <c r="C34" s="141">
        <f t="shared" si="2"/>
        <v>130.5092222</v>
      </c>
      <c r="D34" s="141">
        <f t="shared" si="3"/>
        <v>166.2452006</v>
      </c>
    </row>
    <row r="35" ht="15.75" customHeight="1">
      <c r="A35" s="78">
        <v>29.0</v>
      </c>
      <c r="B35" s="141">
        <f t="shared" si="1"/>
        <v>296.7544228</v>
      </c>
      <c r="C35" s="141">
        <f t="shared" si="2"/>
        <v>129.4701897</v>
      </c>
      <c r="D35" s="141">
        <f t="shared" si="3"/>
        <v>167.2842332</v>
      </c>
    </row>
    <row r="36" ht="15.75" customHeight="1">
      <c r="A36" s="78">
        <v>30.0</v>
      </c>
      <c r="B36" s="141">
        <f t="shared" si="1"/>
        <v>296.7544228</v>
      </c>
      <c r="C36" s="141">
        <f t="shared" si="2"/>
        <v>128.4246632</v>
      </c>
      <c r="D36" s="141">
        <f t="shared" si="3"/>
        <v>168.3297596</v>
      </c>
    </row>
    <row r="37" ht="15.75" customHeight="1">
      <c r="A37" s="78">
        <v>31.0</v>
      </c>
      <c r="B37" s="141">
        <f t="shared" si="1"/>
        <v>296.7544228</v>
      </c>
      <c r="C37" s="141">
        <f t="shared" si="2"/>
        <v>127.3726022</v>
      </c>
      <c r="D37" s="141">
        <f t="shared" si="3"/>
        <v>169.3818206</v>
      </c>
    </row>
    <row r="38" ht="15.75" customHeight="1">
      <c r="A38" s="78">
        <v>32.0</v>
      </c>
      <c r="B38" s="141">
        <f t="shared" si="1"/>
        <v>296.7544228</v>
      </c>
      <c r="C38" s="141">
        <f t="shared" si="2"/>
        <v>126.3139659</v>
      </c>
      <c r="D38" s="141">
        <f t="shared" si="3"/>
        <v>170.440457</v>
      </c>
    </row>
    <row r="39" ht="15.75" customHeight="1">
      <c r="A39" s="78">
        <v>33.0</v>
      </c>
      <c r="B39" s="141">
        <f t="shared" si="1"/>
        <v>296.7544228</v>
      </c>
      <c r="C39" s="141">
        <f t="shared" si="2"/>
        <v>125.248713</v>
      </c>
      <c r="D39" s="141">
        <f t="shared" si="3"/>
        <v>171.5057098</v>
      </c>
    </row>
    <row r="40" ht="15.75" customHeight="1">
      <c r="A40" s="78">
        <v>34.0</v>
      </c>
      <c r="B40" s="141">
        <f t="shared" si="1"/>
        <v>296.7544228</v>
      </c>
      <c r="C40" s="141">
        <f t="shared" si="2"/>
        <v>124.1768023</v>
      </c>
      <c r="D40" s="141">
        <f t="shared" si="3"/>
        <v>172.5776205</v>
      </c>
    </row>
    <row r="41" ht="15.75" customHeight="1">
      <c r="A41" s="78">
        <v>35.0</v>
      </c>
      <c r="B41" s="141">
        <f t="shared" si="1"/>
        <v>296.7544228</v>
      </c>
      <c r="C41" s="141">
        <f t="shared" si="2"/>
        <v>123.0981922</v>
      </c>
      <c r="D41" s="141">
        <f t="shared" si="3"/>
        <v>173.6562307</v>
      </c>
    </row>
    <row r="42" ht="15.75" customHeight="1">
      <c r="A42" s="78">
        <v>36.0</v>
      </c>
      <c r="B42" s="141">
        <f t="shared" si="1"/>
        <v>296.7544228</v>
      </c>
      <c r="C42" s="141">
        <f t="shared" si="2"/>
        <v>122.0128407</v>
      </c>
      <c r="D42" s="141">
        <f t="shared" si="3"/>
        <v>174.7415821</v>
      </c>
    </row>
    <row r="43" ht="15.75" customHeight="1">
      <c r="A43" s="78">
        <v>37.0</v>
      </c>
      <c r="B43" s="141">
        <f t="shared" si="1"/>
        <v>296.7544228</v>
      </c>
      <c r="C43" s="141">
        <f t="shared" si="2"/>
        <v>120.9207059</v>
      </c>
      <c r="D43" s="141">
        <f t="shared" si="3"/>
        <v>175.833717</v>
      </c>
    </row>
    <row r="44" ht="15.75" customHeight="1">
      <c r="A44" s="78">
        <v>38.0</v>
      </c>
      <c r="B44" s="141">
        <f t="shared" si="1"/>
        <v>296.7544228</v>
      </c>
      <c r="C44" s="141">
        <f t="shared" si="2"/>
        <v>119.8217451</v>
      </c>
      <c r="D44" s="141">
        <f t="shared" si="3"/>
        <v>176.9326777</v>
      </c>
    </row>
    <row r="45" ht="15.75" customHeight="1">
      <c r="A45" s="78">
        <v>39.0</v>
      </c>
      <c r="B45" s="141">
        <f t="shared" si="1"/>
        <v>296.7544228</v>
      </c>
      <c r="C45" s="141">
        <f t="shared" si="2"/>
        <v>118.7159159</v>
      </c>
      <c r="D45" s="141">
        <f t="shared" si="3"/>
        <v>178.038507</v>
      </c>
    </row>
    <row r="46" ht="15.75" customHeight="1">
      <c r="A46" s="78">
        <v>40.0</v>
      </c>
      <c r="B46" s="141">
        <f t="shared" si="1"/>
        <v>296.7544228</v>
      </c>
      <c r="C46" s="141">
        <f t="shared" si="2"/>
        <v>117.6031752</v>
      </c>
      <c r="D46" s="141">
        <f t="shared" si="3"/>
        <v>179.1512476</v>
      </c>
    </row>
    <row r="47" ht="15.75" customHeight="1">
      <c r="A47" s="78">
        <v>41.0</v>
      </c>
      <c r="B47" s="141">
        <f t="shared" si="1"/>
        <v>296.7544228</v>
      </c>
      <c r="C47" s="141">
        <f t="shared" si="2"/>
        <v>116.4834799</v>
      </c>
      <c r="D47" s="141">
        <f t="shared" si="3"/>
        <v>180.2709429</v>
      </c>
    </row>
    <row r="48" ht="15.75" customHeight="1">
      <c r="A48" s="78">
        <v>42.0</v>
      </c>
      <c r="B48" s="141">
        <f t="shared" si="1"/>
        <v>296.7544228</v>
      </c>
      <c r="C48" s="141">
        <f t="shared" si="2"/>
        <v>115.3567865</v>
      </c>
      <c r="D48" s="141">
        <f t="shared" si="3"/>
        <v>181.3976363</v>
      </c>
    </row>
    <row r="49" ht="15.75" customHeight="1">
      <c r="A49" s="78">
        <v>43.0</v>
      </c>
      <c r="B49" s="141">
        <f t="shared" si="1"/>
        <v>296.7544228</v>
      </c>
      <c r="C49" s="141">
        <f t="shared" si="2"/>
        <v>114.2230513</v>
      </c>
      <c r="D49" s="141">
        <f t="shared" si="3"/>
        <v>182.5313715</v>
      </c>
    </row>
    <row r="50" ht="15.75" customHeight="1">
      <c r="A50" s="78">
        <v>44.0</v>
      </c>
      <c r="B50" s="141">
        <f t="shared" si="1"/>
        <v>296.7544228</v>
      </c>
      <c r="C50" s="141">
        <f t="shared" si="2"/>
        <v>113.0822302</v>
      </c>
      <c r="D50" s="141">
        <f t="shared" si="3"/>
        <v>183.6721926</v>
      </c>
    </row>
    <row r="51" ht="15.75" customHeight="1">
      <c r="A51" s="78">
        <v>45.0</v>
      </c>
      <c r="B51" s="141">
        <f t="shared" si="1"/>
        <v>296.7544228</v>
      </c>
      <c r="C51" s="141">
        <f t="shared" si="2"/>
        <v>111.934279</v>
      </c>
      <c r="D51" s="141">
        <f t="shared" si="3"/>
        <v>184.8201438</v>
      </c>
    </row>
    <row r="52" ht="15.75" customHeight="1">
      <c r="A52" s="78">
        <v>46.0</v>
      </c>
      <c r="B52" s="141">
        <f t="shared" si="1"/>
        <v>296.7544228</v>
      </c>
      <c r="C52" s="141">
        <f t="shared" si="2"/>
        <v>110.7791531</v>
      </c>
      <c r="D52" s="141">
        <f t="shared" si="3"/>
        <v>185.9752697</v>
      </c>
    </row>
    <row r="53" ht="15.75" customHeight="1">
      <c r="A53" s="78">
        <v>47.0</v>
      </c>
      <c r="B53" s="141">
        <f t="shared" si="1"/>
        <v>296.7544228</v>
      </c>
      <c r="C53" s="141">
        <f t="shared" si="2"/>
        <v>109.6168077</v>
      </c>
      <c r="D53" s="141">
        <f t="shared" si="3"/>
        <v>187.1376151</v>
      </c>
    </row>
    <row r="54" ht="15.75" customHeight="1">
      <c r="A54" s="78">
        <v>48.0</v>
      </c>
      <c r="B54" s="141">
        <f t="shared" si="1"/>
        <v>296.7544228</v>
      </c>
      <c r="C54" s="141">
        <f t="shared" si="2"/>
        <v>108.4471976</v>
      </c>
      <c r="D54" s="141">
        <f t="shared" si="3"/>
        <v>188.3072252</v>
      </c>
    </row>
    <row r="55" ht="15.75" customHeight="1">
      <c r="A55" s="78">
        <v>49.0</v>
      </c>
      <c r="B55" s="141">
        <f t="shared" si="1"/>
        <v>296.7544228</v>
      </c>
      <c r="C55" s="141">
        <f t="shared" si="2"/>
        <v>107.2702774</v>
      </c>
      <c r="D55" s="141">
        <f t="shared" si="3"/>
        <v>189.4841454</v>
      </c>
    </row>
    <row r="56" ht="15.75" customHeight="1">
      <c r="A56" s="78">
        <v>50.0</v>
      </c>
      <c r="B56" s="141">
        <f t="shared" si="1"/>
        <v>296.7544228</v>
      </c>
      <c r="C56" s="141">
        <f t="shared" si="2"/>
        <v>106.0860015</v>
      </c>
      <c r="D56" s="141">
        <f t="shared" si="3"/>
        <v>190.6684213</v>
      </c>
    </row>
    <row r="57" ht="15.75" customHeight="1">
      <c r="A57" s="78">
        <v>51.0</v>
      </c>
      <c r="B57" s="141">
        <f t="shared" si="1"/>
        <v>296.7544228</v>
      </c>
      <c r="C57" s="141">
        <f t="shared" si="2"/>
        <v>104.8943239</v>
      </c>
      <c r="D57" s="141">
        <f t="shared" si="3"/>
        <v>191.8600989</v>
      </c>
    </row>
    <row r="58" ht="15.75" customHeight="1">
      <c r="A58" s="78">
        <v>52.0</v>
      </c>
      <c r="B58" s="141">
        <f t="shared" si="1"/>
        <v>296.7544228</v>
      </c>
      <c r="C58" s="141">
        <f t="shared" si="2"/>
        <v>103.6951983</v>
      </c>
      <c r="D58" s="141">
        <f t="shared" si="3"/>
        <v>193.0592246</v>
      </c>
    </row>
    <row r="59" ht="15.75" customHeight="1">
      <c r="A59" s="78">
        <v>53.0</v>
      </c>
      <c r="B59" s="141">
        <f t="shared" si="1"/>
        <v>296.7544228</v>
      </c>
      <c r="C59" s="141">
        <f t="shared" si="2"/>
        <v>102.4885781</v>
      </c>
      <c r="D59" s="141">
        <f t="shared" si="3"/>
        <v>194.2658447</v>
      </c>
    </row>
    <row r="60" ht="15.75" customHeight="1">
      <c r="A60" s="78">
        <v>54.0</v>
      </c>
      <c r="B60" s="141">
        <f t="shared" si="1"/>
        <v>296.7544228</v>
      </c>
      <c r="C60" s="141">
        <f t="shared" si="2"/>
        <v>101.2744166</v>
      </c>
      <c r="D60" s="141">
        <f t="shared" si="3"/>
        <v>195.4800062</v>
      </c>
    </row>
    <row r="61" ht="15.75" customHeight="1">
      <c r="A61" s="78">
        <v>55.0</v>
      </c>
      <c r="B61" s="141">
        <f t="shared" si="1"/>
        <v>296.7544228</v>
      </c>
      <c r="C61" s="141">
        <f t="shared" si="2"/>
        <v>100.0526666</v>
      </c>
      <c r="D61" s="141">
        <f t="shared" si="3"/>
        <v>196.7017563</v>
      </c>
    </row>
    <row r="62" ht="15.75" customHeight="1">
      <c r="A62" s="78">
        <v>56.0</v>
      </c>
      <c r="B62" s="141">
        <f t="shared" si="1"/>
        <v>296.7544228</v>
      </c>
      <c r="C62" s="141">
        <f t="shared" si="2"/>
        <v>98.82328058</v>
      </c>
      <c r="D62" s="141">
        <f t="shared" si="3"/>
        <v>197.9311423</v>
      </c>
    </row>
    <row r="63" ht="15.75" customHeight="1">
      <c r="A63" s="78">
        <v>57.0</v>
      </c>
      <c r="B63" s="141">
        <f t="shared" si="1"/>
        <v>296.7544228</v>
      </c>
      <c r="C63" s="141">
        <f t="shared" si="2"/>
        <v>97.58621094</v>
      </c>
      <c r="D63" s="141">
        <f t="shared" si="3"/>
        <v>199.1682119</v>
      </c>
    </row>
    <row r="64" ht="15.75" customHeight="1">
      <c r="A64" s="78">
        <v>58.0</v>
      </c>
      <c r="B64" s="141">
        <f t="shared" si="1"/>
        <v>296.7544228</v>
      </c>
      <c r="C64" s="141">
        <f t="shared" si="2"/>
        <v>96.34140962</v>
      </c>
      <c r="D64" s="141">
        <f t="shared" si="3"/>
        <v>200.4130132</v>
      </c>
    </row>
    <row r="65" ht="15.75" customHeight="1">
      <c r="A65" s="78">
        <v>59.0</v>
      </c>
      <c r="B65" s="141">
        <f t="shared" si="1"/>
        <v>296.7544228</v>
      </c>
      <c r="C65" s="141">
        <f t="shared" si="2"/>
        <v>95.08882828</v>
      </c>
      <c r="D65" s="141">
        <f t="shared" si="3"/>
        <v>201.6655946</v>
      </c>
    </row>
    <row r="66" ht="15.75" customHeight="1">
      <c r="A66" s="78">
        <v>60.0</v>
      </c>
      <c r="B66" s="141">
        <f t="shared" si="1"/>
        <v>296.7544228</v>
      </c>
      <c r="C66" s="141">
        <f t="shared" si="2"/>
        <v>93.82841832</v>
      </c>
      <c r="D66" s="141">
        <f t="shared" si="3"/>
        <v>202.9260045</v>
      </c>
    </row>
    <row r="67" ht="15.75" customHeight="1">
      <c r="A67" s="78">
        <v>61.0</v>
      </c>
      <c r="B67" s="141">
        <f t="shared" si="1"/>
        <v>296.7544228</v>
      </c>
      <c r="C67" s="141">
        <f t="shared" si="2"/>
        <v>92.56013079</v>
      </c>
      <c r="D67" s="141">
        <f t="shared" si="3"/>
        <v>204.1942921</v>
      </c>
    </row>
    <row r="68" ht="15.75" customHeight="1">
      <c r="A68" s="78">
        <v>62.0</v>
      </c>
      <c r="B68" s="141">
        <f t="shared" si="1"/>
        <v>296.7544228</v>
      </c>
      <c r="C68" s="141">
        <f t="shared" si="2"/>
        <v>91.28391646</v>
      </c>
      <c r="D68" s="141">
        <f t="shared" si="3"/>
        <v>205.4705064</v>
      </c>
    </row>
    <row r="69" ht="15.75" customHeight="1">
      <c r="A69" s="78">
        <v>63.0</v>
      </c>
      <c r="B69" s="141">
        <f t="shared" si="1"/>
        <v>296.7544228</v>
      </c>
      <c r="C69" s="141">
        <f t="shared" si="2"/>
        <v>89.9997258</v>
      </c>
      <c r="D69" s="141">
        <f t="shared" si="3"/>
        <v>206.754697</v>
      </c>
    </row>
    <row r="70" ht="15.75" customHeight="1">
      <c r="A70" s="78">
        <v>64.0</v>
      </c>
      <c r="B70" s="141">
        <f t="shared" si="1"/>
        <v>296.7544228</v>
      </c>
      <c r="C70" s="141">
        <f t="shared" si="2"/>
        <v>88.70750894</v>
      </c>
      <c r="D70" s="141">
        <f t="shared" si="3"/>
        <v>208.0469139</v>
      </c>
    </row>
    <row r="71" ht="15.75" customHeight="1">
      <c r="A71" s="78">
        <v>65.0</v>
      </c>
      <c r="B71" s="141">
        <f t="shared" si="1"/>
        <v>296.7544228</v>
      </c>
      <c r="C71" s="141">
        <f t="shared" si="2"/>
        <v>87.40721573</v>
      </c>
      <c r="D71" s="141">
        <f t="shared" si="3"/>
        <v>209.3472071</v>
      </c>
    </row>
    <row r="72" ht="15.75" customHeight="1">
      <c r="A72" s="78">
        <v>66.0</v>
      </c>
      <c r="B72" s="141">
        <f t="shared" si="1"/>
        <v>296.7544228</v>
      </c>
      <c r="C72" s="141">
        <f t="shared" si="2"/>
        <v>86.09879569</v>
      </c>
      <c r="D72" s="141">
        <f t="shared" si="3"/>
        <v>210.6556272</v>
      </c>
    </row>
    <row r="73" ht="15.75" customHeight="1">
      <c r="A73" s="78">
        <v>67.0</v>
      </c>
      <c r="B73" s="141">
        <f t="shared" si="1"/>
        <v>296.7544228</v>
      </c>
      <c r="C73" s="141">
        <f t="shared" si="2"/>
        <v>84.78219802</v>
      </c>
      <c r="D73" s="141">
        <f t="shared" si="3"/>
        <v>211.9722248</v>
      </c>
    </row>
    <row r="74" ht="15.75" customHeight="1">
      <c r="A74" s="78">
        <v>68.0</v>
      </c>
      <c r="B74" s="141">
        <f t="shared" si="1"/>
        <v>296.7544228</v>
      </c>
      <c r="C74" s="141">
        <f t="shared" si="2"/>
        <v>83.45737161</v>
      </c>
      <c r="D74" s="141">
        <f t="shared" si="3"/>
        <v>213.2970512</v>
      </c>
    </row>
    <row r="75" ht="15.75" customHeight="1">
      <c r="A75" s="78">
        <v>69.0</v>
      </c>
      <c r="B75" s="141">
        <f t="shared" si="1"/>
        <v>296.7544228</v>
      </c>
      <c r="C75" s="141">
        <f t="shared" si="2"/>
        <v>82.12426504</v>
      </c>
      <c r="D75" s="141">
        <f t="shared" si="3"/>
        <v>214.6301578</v>
      </c>
    </row>
    <row r="76" ht="15.75" customHeight="1">
      <c r="A76" s="78">
        <v>70.0</v>
      </c>
      <c r="B76" s="141">
        <f t="shared" si="1"/>
        <v>296.7544228</v>
      </c>
      <c r="C76" s="141">
        <f t="shared" si="2"/>
        <v>80.78282655</v>
      </c>
      <c r="D76" s="141">
        <f t="shared" si="3"/>
        <v>215.9715963</v>
      </c>
    </row>
    <row r="77" ht="15.75" customHeight="1">
      <c r="A77" s="78">
        <v>71.0</v>
      </c>
      <c r="B77" s="141">
        <f t="shared" si="1"/>
        <v>296.7544228</v>
      </c>
      <c r="C77" s="141">
        <f t="shared" si="2"/>
        <v>79.43300408</v>
      </c>
      <c r="D77" s="141">
        <f t="shared" si="3"/>
        <v>217.3214188</v>
      </c>
    </row>
    <row r="78" ht="15.75" customHeight="1">
      <c r="A78" s="78">
        <v>72.0</v>
      </c>
      <c r="B78" s="141">
        <f t="shared" si="1"/>
        <v>296.7544228</v>
      </c>
      <c r="C78" s="141">
        <f t="shared" si="2"/>
        <v>78.07474521</v>
      </c>
      <c r="D78" s="141">
        <f t="shared" si="3"/>
        <v>218.6796776</v>
      </c>
    </row>
    <row r="79" ht="15.75" customHeight="1">
      <c r="A79" s="78">
        <v>73.0</v>
      </c>
      <c r="B79" s="141">
        <f t="shared" si="1"/>
        <v>296.7544228</v>
      </c>
      <c r="C79" s="141">
        <f t="shared" si="2"/>
        <v>76.70799723</v>
      </c>
      <c r="D79" s="141">
        <f t="shared" si="3"/>
        <v>220.0464256</v>
      </c>
    </row>
    <row r="80" ht="15.75" customHeight="1">
      <c r="A80" s="78">
        <v>74.0</v>
      </c>
      <c r="B80" s="141">
        <f t="shared" si="1"/>
        <v>296.7544228</v>
      </c>
      <c r="C80" s="141">
        <f t="shared" si="2"/>
        <v>75.33270707</v>
      </c>
      <c r="D80" s="141">
        <f t="shared" si="3"/>
        <v>221.4217158</v>
      </c>
    </row>
    <row r="81" ht="15.75" customHeight="1">
      <c r="A81" s="78">
        <v>75.0</v>
      </c>
      <c r="B81" s="141">
        <f t="shared" si="1"/>
        <v>296.7544228</v>
      </c>
      <c r="C81" s="141">
        <f t="shared" si="2"/>
        <v>73.94882134</v>
      </c>
      <c r="D81" s="141">
        <f t="shared" si="3"/>
        <v>222.8056015</v>
      </c>
    </row>
    <row r="82" ht="15.75" customHeight="1">
      <c r="A82" s="78">
        <v>76.0</v>
      </c>
      <c r="B82" s="141">
        <f t="shared" si="1"/>
        <v>296.7544228</v>
      </c>
      <c r="C82" s="141">
        <f t="shared" si="2"/>
        <v>72.55628633</v>
      </c>
      <c r="D82" s="141">
        <f t="shared" si="3"/>
        <v>224.1981365</v>
      </c>
    </row>
    <row r="83" ht="15.75" customHeight="1">
      <c r="A83" s="78">
        <v>77.0</v>
      </c>
      <c r="B83" s="141">
        <f t="shared" si="1"/>
        <v>296.7544228</v>
      </c>
      <c r="C83" s="141">
        <f t="shared" si="2"/>
        <v>71.15504798</v>
      </c>
      <c r="D83" s="141">
        <f t="shared" si="3"/>
        <v>225.5993749</v>
      </c>
    </row>
    <row r="84" ht="15.75" customHeight="1">
      <c r="A84" s="78">
        <v>78.0</v>
      </c>
      <c r="B84" s="141">
        <f t="shared" si="1"/>
        <v>296.7544228</v>
      </c>
      <c r="C84" s="141">
        <f t="shared" si="2"/>
        <v>69.74505189</v>
      </c>
      <c r="D84" s="141">
        <f t="shared" si="3"/>
        <v>227.009371</v>
      </c>
    </row>
    <row r="85" ht="15.75" customHeight="1">
      <c r="A85" s="78">
        <v>79.0</v>
      </c>
      <c r="B85" s="141">
        <f t="shared" si="1"/>
        <v>296.7544228</v>
      </c>
      <c r="C85" s="141">
        <f t="shared" si="2"/>
        <v>68.32624332</v>
      </c>
      <c r="D85" s="141">
        <f t="shared" si="3"/>
        <v>228.4281795</v>
      </c>
    </row>
    <row r="86" ht="15.75" customHeight="1">
      <c r="A86" s="78">
        <v>80.0</v>
      </c>
      <c r="B86" s="141">
        <f t="shared" si="1"/>
        <v>296.7544228</v>
      </c>
      <c r="C86" s="141">
        <f t="shared" si="2"/>
        <v>66.8985672</v>
      </c>
      <c r="D86" s="141">
        <f t="shared" si="3"/>
        <v>229.8558556</v>
      </c>
    </row>
    <row r="87" ht="15.75" customHeight="1">
      <c r="A87" s="78">
        <v>81.0</v>
      </c>
      <c r="B87" s="141">
        <f t="shared" si="1"/>
        <v>296.7544228</v>
      </c>
      <c r="C87" s="141">
        <f t="shared" si="2"/>
        <v>65.4619681</v>
      </c>
      <c r="D87" s="141">
        <f t="shared" si="3"/>
        <v>231.2924547</v>
      </c>
    </row>
    <row r="88" ht="15.75" customHeight="1">
      <c r="A88" s="78">
        <v>82.0</v>
      </c>
      <c r="B88" s="141">
        <f t="shared" si="1"/>
        <v>296.7544228</v>
      </c>
      <c r="C88" s="141">
        <f t="shared" si="2"/>
        <v>64.01639026</v>
      </c>
      <c r="D88" s="141">
        <f t="shared" si="3"/>
        <v>232.7380326</v>
      </c>
    </row>
    <row r="89" ht="15.75" customHeight="1">
      <c r="A89" s="78">
        <v>83.0</v>
      </c>
      <c r="B89" s="141">
        <f t="shared" si="1"/>
        <v>296.7544228</v>
      </c>
      <c r="C89" s="141">
        <f t="shared" si="2"/>
        <v>62.56177755</v>
      </c>
      <c r="D89" s="141">
        <f t="shared" si="3"/>
        <v>234.1926453</v>
      </c>
    </row>
    <row r="90" ht="15.75" customHeight="1">
      <c r="A90" s="78">
        <v>84.0</v>
      </c>
      <c r="B90" s="141">
        <f t="shared" si="1"/>
        <v>296.7544228</v>
      </c>
      <c r="C90" s="141">
        <f t="shared" si="2"/>
        <v>61.09807352</v>
      </c>
      <c r="D90" s="141">
        <f t="shared" si="3"/>
        <v>235.6563493</v>
      </c>
    </row>
    <row r="91" ht="15.75" customHeight="1">
      <c r="A91" s="78">
        <v>85.0</v>
      </c>
      <c r="B91" s="141">
        <f t="shared" si="1"/>
        <v>296.7544228</v>
      </c>
      <c r="C91" s="141">
        <f t="shared" si="2"/>
        <v>59.62522134</v>
      </c>
      <c r="D91" s="141">
        <f t="shared" si="3"/>
        <v>237.1292015</v>
      </c>
    </row>
    <row r="92" ht="15.75" customHeight="1">
      <c r="A92" s="78">
        <v>86.0</v>
      </c>
      <c r="B92" s="141">
        <f t="shared" si="1"/>
        <v>296.7544228</v>
      </c>
      <c r="C92" s="141">
        <f t="shared" si="2"/>
        <v>58.14316383</v>
      </c>
      <c r="D92" s="141">
        <f t="shared" si="3"/>
        <v>238.611259</v>
      </c>
    </row>
    <row r="93" ht="15.75" customHeight="1">
      <c r="A93" s="78">
        <v>87.0</v>
      </c>
      <c r="B93" s="141">
        <f t="shared" si="1"/>
        <v>296.7544228</v>
      </c>
      <c r="C93" s="141">
        <f t="shared" si="2"/>
        <v>56.65184346</v>
      </c>
      <c r="D93" s="141">
        <f t="shared" si="3"/>
        <v>240.1025794</v>
      </c>
    </row>
    <row r="94" ht="15.75" customHeight="1">
      <c r="A94" s="78">
        <v>88.0</v>
      </c>
      <c r="B94" s="141">
        <f t="shared" si="1"/>
        <v>296.7544228</v>
      </c>
      <c r="C94" s="141">
        <f t="shared" si="2"/>
        <v>55.15120234</v>
      </c>
      <c r="D94" s="141">
        <f t="shared" si="3"/>
        <v>241.6032205</v>
      </c>
    </row>
    <row r="95" ht="15.75" customHeight="1">
      <c r="A95" s="78">
        <v>89.0</v>
      </c>
      <c r="B95" s="141">
        <f t="shared" si="1"/>
        <v>296.7544228</v>
      </c>
      <c r="C95" s="141">
        <f t="shared" si="2"/>
        <v>53.64118221</v>
      </c>
      <c r="D95" s="141">
        <f t="shared" si="3"/>
        <v>243.1132406</v>
      </c>
    </row>
    <row r="96" ht="15.75" customHeight="1">
      <c r="A96" s="78">
        <v>90.0</v>
      </c>
      <c r="B96" s="141">
        <f t="shared" si="1"/>
        <v>296.7544228</v>
      </c>
      <c r="C96" s="141">
        <f t="shared" si="2"/>
        <v>52.12172445</v>
      </c>
      <c r="D96" s="141">
        <f t="shared" si="3"/>
        <v>244.6326984</v>
      </c>
    </row>
    <row r="97" ht="15.75" customHeight="1">
      <c r="A97" s="78">
        <v>91.0</v>
      </c>
      <c r="B97" s="141">
        <f t="shared" si="1"/>
        <v>296.7544228</v>
      </c>
      <c r="C97" s="141">
        <f t="shared" si="2"/>
        <v>50.59277009</v>
      </c>
      <c r="D97" s="141">
        <f t="shared" si="3"/>
        <v>246.1616528</v>
      </c>
    </row>
    <row r="98" ht="15.75" customHeight="1">
      <c r="A98" s="78">
        <v>92.0</v>
      </c>
      <c r="B98" s="141">
        <f t="shared" si="1"/>
        <v>296.7544228</v>
      </c>
      <c r="C98" s="141">
        <f t="shared" si="2"/>
        <v>49.05425976</v>
      </c>
      <c r="D98" s="141">
        <f t="shared" si="3"/>
        <v>247.7001631</v>
      </c>
    </row>
    <row r="99" ht="15.75" customHeight="1">
      <c r="A99" s="78">
        <v>93.0</v>
      </c>
      <c r="B99" s="141">
        <f t="shared" si="1"/>
        <v>296.7544228</v>
      </c>
      <c r="C99" s="141">
        <f t="shared" si="2"/>
        <v>47.50613374</v>
      </c>
      <c r="D99" s="141">
        <f t="shared" si="3"/>
        <v>249.2482891</v>
      </c>
    </row>
    <row r="100" ht="15.75" customHeight="1">
      <c r="A100" s="78">
        <v>94.0</v>
      </c>
      <c r="B100" s="141">
        <f t="shared" si="1"/>
        <v>296.7544228</v>
      </c>
      <c r="C100" s="141">
        <f t="shared" si="2"/>
        <v>45.94833193</v>
      </c>
      <c r="D100" s="141">
        <f t="shared" si="3"/>
        <v>250.8060909</v>
      </c>
    </row>
    <row r="101" ht="15.75" customHeight="1">
      <c r="A101" s="78">
        <v>95.0</v>
      </c>
      <c r="B101" s="141">
        <f t="shared" si="1"/>
        <v>296.7544228</v>
      </c>
      <c r="C101" s="141">
        <f t="shared" si="2"/>
        <v>44.38079387</v>
      </c>
      <c r="D101" s="141">
        <f t="shared" si="3"/>
        <v>252.373629</v>
      </c>
    </row>
    <row r="102" ht="15.75" customHeight="1">
      <c r="A102" s="78">
        <v>96.0</v>
      </c>
      <c r="B102" s="141">
        <f t="shared" si="1"/>
        <v>296.7544228</v>
      </c>
      <c r="C102" s="141">
        <f t="shared" si="2"/>
        <v>42.80345868</v>
      </c>
      <c r="D102" s="141">
        <f t="shared" si="3"/>
        <v>253.9509642</v>
      </c>
    </row>
    <row r="103" ht="15.75" customHeight="1">
      <c r="A103" s="78">
        <v>97.0</v>
      </c>
      <c r="B103" s="141">
        <f t="shared" si="1"/>
        <v>296.7544228</v>
      </c>
      <c r="C103" s="141">
        <f t="shared" si="2"/>
        <v>41.21626516</v>
      </c>
      <c r="D103" s="141">
        <f t="shared" si="3"/>
        <v>255.5381577</v>
      </c>
    </row>
    <row r="104" ht="15.75" customHeight="1">
      <c r="A104" s="78">
        <v>98.0</v>
      </c>
      <c r="B104" s="141">
        <f t="shared" si="1"/>
        <v>296.7544228</v>
      </c>
      <c r="C104" s="141">
        <f t="shared" si="2"/>
        <v>39.61915167</v>
      </c>
      <c r="D104" s="141">
        <f t="shared" si="3"/>
        <v>257.1352712</v>
      </c>
    </row>
    <row r="105" ht="15.75" customHeight="1">
      <c r="A105" s="78">
        <v>99.0</v>
      </c>
      <c r="B105" s="141">
        <f t="shared" si="1"/>
        <v>296.7544228</v>
      </c>
      <c r="C105" s="141">
        <f t="shared" si="2"/>
        <v>38.01205623</v>
      </c>
      <c r="D105" s="141">
        <f t="shared" si="3"/>
        <v>258.7423666</v>
      </c>
    </row>
    <row r="106" ht="15.75" customHeight="1">
      <c r="A106" s="78">
        <v>100.0</v>
      </c>
      <c r="B106" s="141">
        <f t="shared" si="1"/>
        <v>296.7544228</v>
      </c>
      <c r="C106" s="141">
        <f t="shared" si="2"/>
        <v>36.39491644</v>
      </c>
      <c r="D106" s="141">
        <f t="shared" si="3"/>
        <v>260.3595064</v>
      </c>
    </row>
    <row r="107" ht="15.75" customHeight="1">
      <c r="A107" s="78">
        <v>101.0</v>
      </c>
      <c r="B107" s="141">
        <f t="shared" si="1"/>
        <v>296.7544228</v>
      </c>
      <c r="C107" s="141">
        <f t="shared" si="2"/>
        <v>34.76766952</v>
      </c>
      <c r="D107" s="141">
        <f t="shared" si="3"/>
        <v>261.9867533</v>
      </c>
    </row>
    <row r="108" ht="15.75" customHeight="1">
      <c r="A108" s="78">
        <v>102.0</v>
      </c>
      <c r="B108" s="141">
        <f t="shared" si="1"/>
        <v>296.7544228</v>
      </c>
      <c r="C108" s="141">
        <f t="shared" si="2"/>
        <v>33.13025231</v>
      </c>
      <c r="D108" s="141">
        <f t="shared" si="3"/>
        <v>263.6241705</v>
      </c>
    </row>
    <row r="109" ht="15.75" customHeight="1">
      <c r="A109" s="78">
        <v>103.0</v>
      </c>
      <c r="B109" s="141">
        <f t="shared" si="1"/>
        <v>296.7544228</v>
      </c>
      <c r="C109" s="141">
        <f t="shared" si="2"/>
        <v>31.48260125</v>
      </c>
      <c r="D109" s="141">
        <f t="shared" si="3"/>
        <v>265.2718216</v>
      </c>
    </row>
    <row r="110" ht="15.75" customHeight="1">
      <c r="A110" s="78">
        <v>104.0</v>
      </c>
      <c r="B110" s="141">
        <f t="shared" si="1"/>
        <v>296.7544228</v>
      </c>
      <c r="C110" s="141">
        <f t="shared" si="2"/>
        <v>29.82465236</v>
      </c>
      <c r="D110" s="141">
        <f t="shared" si="3"/>
        <v>266.9297705</v>
      </c>
    </row>
    <row r="111" ht="15.75" customHeight="1">
      <c r="A111" s="78">
        <v>105.0</v>
      </c>
      <c r="B111" s="141">
        <f t="shared" si="1"/>
        <v>296.7544228</v>
      </c>
      <c r="C111" s="141">
        <f t="shared" si="2"/>
        <v>28.1563413</v>
      </c>
      <c r="D111" s="141">
        <f t="shared" si="3"/>
        <v>268.5980815</v>
      </c>
    </row>
    <row r="112" ht="15.75" customHeight="1">
      <c r="A112" s="78">
        <v>106.0</v>
      </c>
      <c r="B112" s="141">
        <f t="shared" si="1"/>
        <v>296.7544228</v>
      </c>
      <c r="C112" s="141">
        <f t="shared" si="2"/>
        <v>26.47760329</v>
      </c>
      <c r="D112" s="141">
        <f t="shared" si="3"/>
        <v>270.2768196</v>
      </c>
    </row>
    <row r="113" ht="15.75" customHeight="1">
      <c r="A113" s="78">
        <v>107.0</v>
      </c>
      <c r="B113" s="141">
        <f t="shared" si="1"/>
        <v>296.7544228</v>
      </c>
      <c r="C113" s="141">
        <f t="shared" si="2"/>
        <v>24.78837317</v>
      </c>
      <c r="D113" s="141">
        <f t="shared" si="3"/>
        <v>271.9660497</v>
      </c>
    </row>
    <row r="114" ht="15.75" customHeight="1">
      <c r="A114" s="78">
        <v>108.0</v>
      </c>
      <c r="B114" s="141">
        <f t="shared" si="1"/>
        <v>296.7544228</v>
      </c>
      <c r="C114" s="141">
        <f t="shared" si="2"/>
        <v>23.08858535</v>
      </c>
      <c r="D114" s="141">
        <f t="shared" si="3"/>
        <v>273.6658375</v>
      </c>
    </row>
    <row r="115" ht="15.75" customHeight="1">
      <c r="A115" s="78">
        <v>109.0</v>
      </c>
      <c r="B115" s="141">
        <f t="shared" si="1"/>
        <v>296.7544228</v>
      </c>
      <c r="C115" s="141">
        <f t="shared" si="2"/>
        <v>21.37817387</v>
      </c>
      <c r="D115" s="141">
        <f t="shared" si="3"/>
        <v>275.376249</v>
      </c>
    </row>
    <row r="116" ht="15.75" customHeight="1">
      <c r="A116" s="78">
        <v>110.0</v>
      </c>
      <c r="B116" s="141">
        <f t="shared" si="1"/>
        <v>296.7544228</v>
      </c>
      <c r="C116" s="141">
        <f t="shared" si="2"/>
        <v>19.65707231</v>
      </c>
      <c r="D116" s="141">
        <f t="shared" si="3"/>
        <v>277.0973505</v>
      </c>
    </row>
    <row r="117" ht="15.75" customHeight="1">
      <c r="A117" s="78">
        <v>111.0</v>
      </c>
      <c r="B117" s="141">
        <f t="shared" si="1"/>
        <v>296.7544228</v>
      </c>
      <c r="C117" s="141">
        <f t="shared" si="2"/>
        <v>17.92521387</v>
      </c>
      <c r="D117" s="141">
        <f t="shared" si="3"/>
        <v>278.829209</v>
      </c>
    </row>
    <row r="118" ht="15.75" customHeight="1">
      <c r="A118" s="78">
        <v>112.0</v>
      </c>
      <c r="B118" s="141">
        <f t="shared" si="1"/>
        <v>296.7544228</v>
      </c>
      <c r="C118" s="141">
        <f t="shared" si="2"/>
        <v>16.18253132</v>
      </c>
      <c r="D118" s="141">
        <f t="shared" si="3"/>
        <v>280.5718915</v>
      </c>
    </row>
    <row r="119" ht="15.75" customHeight="1">
      <c r="A119" s="78">
        <v>113.0</v>
      </c>
      <c r="B119" s="141">
        <f t="shared" si="1"/>
        <v>296.7544228</v>
      </c>
      <c r="C119" s="141">
        <f t="shared" si="2"/>
        <v>14.428957</v>
      </c>
      <c r="D119" s="141">
        <f t="shared" si="3"/>
        <v>282.3254658</v>
      </c>
    </row>
    <row r="120" ht="15.75" customHeight="1">
      <c r="A120" s="78">
        <v>114.0</v>
      </c>
      <c r="B120" s="141">
        <f t="shared" si="1"/>
        <v>296.7544228</v>
      </c>
      <c r="C120" s="141">
        <f t="shared" si="2"/>
        <v>12.66442283</v>
      </c>
      <c r="D120" s="141">
        <f t="shared" si="3"/>
        <v>284.09</v>
      </c>
    </row>
    <row r="121" ht="15.75" customHeight="1">
      <c r="A121" s="78">
        <v>115.0</v>
      </c>
      <c r="B121" s="141">
        <f t="shared" si="1"/>
        <v>296.7544228</v>
      </c>
      <c r="C121" s="141">
        <f t="shared" si="2"/>
        <v>10.88886033</v>
      </c>
      <c r="D121" s="141">
        <f t="shared" si="3"/>
        <v>285.8655625</v>
      </c>
    </row>
    <row r="122" ht="15.75" customHeight="1">
      <c r="A122" s="78">
        <v>116.0</v>
      </c>
      <c r="B122" s="141">
        <f t="shared" si="1"/>
        <v>296.7544228</v>
      </c>
      <c r="C122" s="141">
        <f t="shared" si="2"/>
        <v>9.102200569</v>
      </c>
      <c r="D122" s="141">
        <f t="shared" si="3"/>
        <v>287.6522223</v>
      </c>
    </row>
    <row r="123" ht="15.75" customHeight="1">
      <c r="A123" s="78">
        <v>117.0</v>
      </c>
      <c r="B123" s="141">
        <f t="shared" si="1"/>
        <v>296.7544228</v>
      </c>
      <c r="C123" s="141">
        <f t="shared" si="2"/>
        <v>7.304374179</v>
      </c>
      <c r="D123" s="141">
        <f t="shared" si="3"/>
        <v>289.4500487</v>
      </c>
    </row>
    <row r="124" ht="15.75" customHeight="1">
      <c r="A124" s="78">
        <v>118.0</v>
      </c>
      <c r="B124" s="141">
        <f t="shared" si="1"/>
        <v>296.7544228</v>
      </c>
      <c r="C124" s="141">
        <f t="shared" si="2"/>
        <v>5.495311375</v>
      </c>
      <c r="D124" s="141">
        <f t="shared" si="3"/>
        <v>291.2591115</v>
      </c>
    </row>
    <row r="125" ht="15.75" customHeight="1">
      <c r="A125" s="78">
        <v>119.0</v>
      </c>
      <c r="B125" s="141">
        <f t="shared" si="1"/>
        <v>296.7544228</v>
      </c>
      <c r="C125" s="141">
        <f t="shared" si="2"/>
        <v>3.674941929</v>
      </c>
      <c r="D125" s="141">
        <f t="shared" si="3"/>
        <v>293.0794809</v>
      </c>
    </row>
    <row r="126" ht="15.75" customHeight="1">
      <c r="A126" s="78">
        <v>120.0</v>
      </c>
      <c r="B126" s="141">
        <f t="shared" si="1"/>
        <v>296.7544228</v>
      </c>
      <c r="C126" s="141">
        <f t="shared" si="2"/>
        <v>1.843195173</v>
      </c>
      <c r="D126" s="141">
        <f t="shared" si="3"/>
        <v>294.9112277</v>
      </c>
    </row>
    <row r="127" ht="15.75" customHeight="1">
      <c r="B127" s="78"/>
      <c r="C127" s="78"/>
      <c r="D127" s="78"/>
    </row>
    <row r="128" ht="15.75" customHeight="1">
      <c r="B128" s="78"/>
      <c r="C128" s="78"/>
      <c r="D128" s="78"/>
    </row>
    <row r="129" ht="15.75" customHeight="1">
      <c r="B129" s="78"/>
      <c r="C129" s="78"/>
      <c r="D129" s="78"/>
    </row>
    <row r="130" ht="15.75" customHeight="1">
      <c r="B130" s="78"/>
      <c r="C130" s="78"/>
      <c r="D130" s="78"/>
    </row>
    <row r="131" ht="15.75" customHeight="1">
      <c r="B131" s="78"/>
      <c r="C131" s="78"/>
      <c r="D131" s="78"/>
    </row>
    <row r="132" ht="15.75" customHeight="1">
      <c r="B132" s="78"/>
      <c r="C132" s="78"/>
      <c r="D132" s="78"/>
    </row>
    <row r="133" ht="15.75" customHeight="1">
      <c r="B133" s="78"/>
      <c r="C133" s="78"/>
      <c r="D133" s="78"/>
    </row>
    <row r="134" ht="15.75" customHeight="1">
      <c r="B134" s="78"/>
      <c r="C134" s="78"/>
      <c r="D134" s="78"/>
    </row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0"/>
    <col customWidth="1" min="2" max="3" width="14.0"/>
    <col customWidth="1" min="4" max="4" width="10.14"/>
    <col customWidth="1" min="5" max="5" width="12.71"/>
    <col customWidth="1" min="6" max="26" width="8.71"/>
  </cols>
  <sheetData>
    <row r="1">
      <c r="A1" s="131" t="s">
        <v>539</v>
      </c>
    </row>
    <row r="2">
      <c r="A2" s="131" t="s">
        <v>540</v>
      </c>
    </row>
    <row r="3">
      <c r="A3" s="131" t="s">
        <v>541</v>
      </c>
    </row>
    <row r="5">
      <c r="D5" s="33" t="str">
        <f t="array" ref="D5:F5">TRANSPOSE(A1:A3)</f>
        <v>Cabbages</v>
      </c>
      <c r="E5" s="33" t="s">
        <v>540</v>
      </c>
      <c r="F5" s="33" t="s">
        <v>541</v>
      </c>
    </row>
    <row r="6">
      <c r="B6" s="5"/>
      <c r="D6" s="5"/>
      <c r="E6" s="5"/>
      <c r="F6" s="5"/>
    </row>
    <row r="7">
      <c r="B7" s="5"/>
      <c r="C7" s="131" t="s">
        <v>539</v>
      </c>
      <c r="D7" s="131" t="s">
        <v>540</v>
      </c>
      <c r="E7" s="131" t="s">
        <v>541</v>
      </c>
      <c r="F7" s="5"/>
    </row>
    <row r="8">
      <c r="B8" s="131" t="s">
        <v>539</v>
      </c>
      <c r="D8" s="78"/>
      <c r="E8" s="5"/>
      <c r="F8" s="5"/>
    </row>
    <row r="9">
      <c r="B9" s="131" t="s">
        <v>540</v>
      </c>
      <c r="C9" s="5"/>
      <c r="D9" s="5"/>
      <c r="E9" s="5"/>
      <c r="F9" s="5"/>
    </row>
    <row r="10">
      <c r="B10" s="131" t="s">
        <v>541</v>
      </c>
      <c r="C10" s="5"/>
      <c r="D10" s="5"/>
      <c r="E10" s="5"/>
      <c r="F10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29"/>
    <col customWidth="1" min="2" max="26" width="8.71"/>
  </cols>
  <sheetData>
    <row r="1">
      <c r="A1" s="131" t="s">
        <v>542</v>
      </c>
      <c r="B1" s="131">
        <v>1106.3372717508055</v>
      </c>
      <c r="C1" s="131"/>
      <c r="D1" s="78"/>
      <c r="E1" s="78"/>
      <c r="F1" s="78"/>
      <c r="G1" s="78"/>
    </row>
    <row r="2">
      <c r="A2" s="131" t="s">
        <v>543</v>
      </c>
      <c r="B2" s="131">
        <f>B1*5%</f>
        <v>55.31686359</v>
      </c>
      <c r="C2" s="131"/>
      <c r="D2" s="78"/>
      <c r="E2" s="78"/>
      <c r="F2" s="78"/>
      <c r="G2" s="78"/>
    </row>
    <row r="3">
      <c r="A3" s="131" t="s">
        <v>544</v>
      </c>
      <c r="B3" s="131">
        <f>B1-B2</f>
        <v>1051.020408</v>
      </c>
      <c r="C3" s="131"/>
      <c r="D3" s="78"/>
      <c r="E3" s="78"/>
      <c r="F3" s="78"/>
      <c r="G3" s="78"/>
    </row>
    <row r="4">
      <c r="A4" s="131" t="s">
        <v>545</v>
      </c>
      <c r="B4" s="131">
        <f>B3*2%</f>
        <v>21.02040816</v>
      </c>
      <c r="C4" s="131"/>
      <c r="D4" s="78"/>
      <c r="E4" s="78"/>
      <c r="F4" s="78"/>
      <c r="G4" s="78"/>
    </row>
    <row r="5">
      <c r="A5" s="131" t="s">
        <v>546</v>
      </c>
      <c r="B5" s="131">
        <f>B3-B4</f>
        <v>1030</v>
      </c>
      <c r="C5" s="131"/>
      <c r="D5" s="78"/>
      <c r="E5" s="78"/>
      <c r="F5" s="78"/>
      <c r="G5" s="78"/>
    </row>
    <row r="6">
      <c r="A6" s="78"/>
      <c r="B6" s="78"/>
      <c r="C6" s="78"/>
      <c r="D6" s="78"/>
      <c r="E6" s="78"/>
      <c r="F6" s="78"/>
      <c r="G6" s="78"/>
    </row>
    <row r="7">
      <c r="A7" s="78"/>
      <c r="B7" s="78"/>
      <c r="C7" s="78"/>
      <c r="D7" s="78"/>
      <c r="E7" s="78"/>
      <c r="F7" s="78"/>
      <c r="G7" s="78"/>
    </row>
    <row r="8">
      <c r="A8" s="78"/>
      <c r="B8" s="78"/>
      <c r="C8" s="78"/>
      <c r="D8" s="78"/>
      <c r="E8" s="78"/>
      <c r="F8" s="78"/>
      <c r="G8" s="78"/>
    </row>
    <row r="9">
      <c r="A9" s="78"/>
      <c r="B9" s="78"/>
      <c r="C9" s="78"/>
      <c r="D9" s="78"/>
      <c r="E9" s="78"/>
      <c r="F9" s="78"/>
      <c r="G9" s="7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14"/>
    <col customWidth="1" min="2" max="2" width="11.0"/>
    <col customWidth="1" min="3" max="3" width="14.71"/>
    <col customWidth="1" min="4" max="26" width="8.71"/>
  </cols>
  <sheetData>
    <row r="1">
      <c r="A1" s="81" t="s">
        <v>547</v>
      </c>
      <c r="B1" s="81" t="s">
        <v>548</v>
      </c>
      <c r="C1" s="81" t="s">
        <v>549</v>
      </c>
    </row>
    <row r="2">
      <c r="A2" s="131" t="s">
        <v>550</v>
      </c>
      <c r="B2" s="131">
        <v>5.0</v>
      </c>
      <c r="C2" s="131">
        <v>99.99</v>
      </c>
    </row>
    <row r="3">
      <c r="A3" s="131" t="s">
        <v>551</v>
      </c>
      <c r="B3" s="131">
        <v>10.0</v>
      </c>
      <c r="C3" s="131">
        <v>5.99</v>
      </c>
    </row>
    <row r="4">
      <c r="A4" s="131" t="s">
        <v>552</v>
      </c>
      <c r="B4" s="131">
        <v>29.0</v>
      </c>
      <c r="C4" s="131">
        <v>3.45</v>
      </c>
    </row>
    <row r="5">
      <c r="A5" s="131" t="s">
        <v>553</v>
      </c>
      <c r="B5" s="131">
        <v>15.0</v>
      </c>
      <c r="C5" s="131">
        <v>19.99</v>
      </c>
    </row>
    <row r="6">
      <c r="A6" s="131" t="s">
        <v>554</v>
      </c>
      <c r="B6" s="131">
        <v>11.0</v>
      </c>
      <c r="C6" s="131">
        <v>159.95</v>
      </c>
    </row>
    <row r="7">
      <c r="A7" s="131" t="s">
        <v>555</v>
      </c>
      <c r="B7" s="131">
        <v>9.0</v>
      </c>
      <c r="C7" s="131">
        <v>999.99</v>
      </c>
    </row>
    <row r="8">
      <c r="A8" s="131"/>
      <c r="B8" s="131"/>
      <c r="C8" s="131"/>
    </row>
    <row r="9">
      <c r="A9" s="93" t="s">
        <v>556</v>
      </c>
      <c r="B9" s="131"/>
      <c r="C9" s="131">
        <f>SUMPRODUCT(B2:B7,C2:C7)</f>
        <v>11719.11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14"/>
    <col customWidth="1" min="2" max="2" width="31.0"/>
    <col customWidth="1" min="3" max="3" width="32.14"/>
    <col customWidth="1" min="4" max="26" width="8.71"/>
  </cols>
  <sheetData>
    <row r="1">
      <c r="A1" s="79" t="s">
        <v>557</v>
      </c>
      <c r="B1" s="81" t="s">
        <v>558</v>
      </c>
      <c r="C1" s="81" t="s">
        <v>559</v>
      </c>
      <c r="D1" s="78"/>
      <c r="E1" s="78"/>
    </row>
    <row r="2">
      <c r="A2" s="80">
        <v>2005.0</v>
      </c>
      <c r="B2" s="131">
        <v>10.0</v>
      </c>
      <c r="C2" s="143">
        <v>5000.0</v>
      </c>
      <c r="D2" s="78"/>
      <c r="E2" s="78"/>
    </row>
    <row r="3">
      <c r="A3" s="80">
        <v>2006.0</v>
      </c>
      <c r="B3" s="131">
        <v>20.0</v>
      </c>
      <c r="C3" s="143">
        <v>8000.0</v>
      </c>
      <c r="D3" s="78"/>
      <c r="E3" s="78"/>
    </row>
    <row r="4">
      <c r="A4" s="80">
        <v>2007.0</v>
      </c>
      <c r="B4" s="131">
        <v>30.0</v>
      </c>
      <c r="C4" s="143">
        <v>8500.0</v>
      </c>
      <c r="D4" s="78"/>
      <c r="E4" s="78"/>
    </row>
    <row r="5">
      <c r="A5" s="93" t="s">
        <v>560</v>
      </c>
      <c r="B5" s="131">
        <v>40.0</v>
      </c>
      <c r="C5" s="131"/>
      <c r="D5" s="78"/>
      <c r="E5" s="78"/>
    </row>
    <row r="6">
      <c r="A6" s="131" t="s">
        <v>561</v>
      </c>
      <c r="B6" s="144"/>
      <c r="C6" s="143">
        <f>FORECAST(B5,C2:C4,B2:B4)</f>
        <v>10666.66667</v>
      </c>
      <c r="D6" s="78"/>
      <c r="E6" s="7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3" width="8.71"/>
    <col customWidth="1" min="4" max="4" width="16.43"/>
    <col customWidth="1" min="5" max="5" width="21.43"/>
    <col customWidth="1" min="6" max="26" width="8.71"/>
  </cols>
  <sheetData>
    <row r="1">
      <c r="A1" s="78" t="s">
        <v>562</v>
      </c>
      <c r="B1" s="78"/>
      <c r="C1" s="78"/>
      <c r="D1" s="78"/>
      <c r="E1" s="78"/>
      <c r="F1" s="78"/>
    </row>
    <row r="2">
      <c r="A2" s="78" t="s">
        <v>563</v>
      </c>
      <c r="B2" s="78"/>
      <c r="C2" s="78"/>
      <c r="D2" s="78"/>
      <c r="E2" s="78" t="s">
        <v>564</v>
      </c>
      <c r="F2" s="78"/>
    </row>
    <row r="3">
      <c r="A3" s="78" t="s">
        <v>564</v>
      </c>
      <c r="B3" s="78"/>
      <c r="C3" s="78"/>
      <c r="D3" s="78"/>
      <c r="E3" s="78"/>
      <c r="F3" s="78"/>
    </row>
    <row r="4">
      <c r="A4" s="78" t="s">
        <v>565</v>
      </c>
      <c r="B4" s="78"/>
      <c r="C4" s="78"/>
      <c r="D4" s="78"/>
      <c r="E4" s="78"/>
      <c r="F4" s="78"/>
    </row>
    <row r="5">
      <c r="A5" s="78"/>
      <c r="B5" s="78"/>
      <c r="C5" s="78"/>
      <c r="D5" s="78"/>
      <c r="E5" s="78"/>
      <c r="F5" s="78"/>
    </row>
    <row r="6">
      <c r="A6" s="78"/>
      <c r="B6" s="78"/>
      <c r="C6" s="78"/>
      <c r="D6" s="78"/>
      <c r="E6" s="78"/>
      <c r="F6" s="78"/>
    </row>
    <row r="7">
      <c r="A7" s="78"/>
      <c r="B7" s="78"/>
      <c r="C7" s="78"/>
      <c r="D7" s="78"/>
      <c r="E7" s="78"/>
      <c r="F7" s="78"/>
    </row>
    <row r="8">
      <c r="A8" s="78"/>
      <c r="B8" s="78"/>
      <c r="C8" s="78"/>
      <c r="D8" s="78"/>
      <c r="E8" s="78"/>
      <c r="F8" s="78"/>
    </row>
    <row r="9">
      <c r="A9" s="78"/>
      <c r="B9" s="78"/>
      <c r="C9" s="78"/>
      <c r="D9" s="78"/>
      <c r="E9" s="78"/>
      <c r="F9" s="7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E2">
      <formula1>Cookies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3" width="8.71"/>
    <col customWidth="1" min="4" max="4" width="16.71"/>
    <col customWidth="1" min="5" max="26" width="8.71"/>
  </cols>
  <sheetData>
    <row r="1">
      <c r="A1" s="131" t="s">
        <v>566</v>
      </c>
      <c r="B1" s="131">
        <v>100.0</v>
      </c>
      <c r="C1" s="78"/>
      <c r="D1" s="78"/>
      <c r="E1" s="78"/>
    </row>
    <row r="2">
      <c r="A2" s="131" t="s">
        <v>567</v>
      </c>
      <c r="B2" s="131">
        <v>200.0</v>
      </c>
      <c r="C2" s="78"/>
      <c r="D2" s="78"/>
      <c r="E2" s="78"/>
    </row>
    <row r="3">
      <c r="A3" s="131" t="s">
        <v>568</v>
      </c>
      <c r="B3" s="131">
        <v>150.0</v>
      </c>
      <c r="C3" s="78"/>
      <c r="D3" s="78"/>
      <c r="E3" s="78"/>
    </row>
    <row r="4">
      <c r="A4" s="131" t="s">
        <v>569</v>
      </c>
      <c r="B4" s="131">
        <v>100.0</v>
      </c>
      <c r="C4" s="78"/>
      <c r="D4" s="78"/>
      <c r="E4" s="78"/>
    </row>
    <row r="5">
      <c r="A5" s="131" t="s">
        <v>570</v>
      </c>
      <c r="B5" s="131">
        <v>200.0</v>
      </c>
      <c r="C5" s="78"/>
      <c r="D5" s="78"/>
      <c r="E5" s="78"/>
    </row>
    <row r="6">
      <c r="A6" s="131" t="s">
        <v>571</v>
      </c>
      <c r="B6" s="131">
        <v>500.0</v>
      </c>
      <c r="C6" s="78"/>
      <c r="D6" s="78" t="s">
        <v>5</v>
      </c>
      <c r="E6" s="78">
        <f>AVERAGE(B1:B14)</f>
        <v>300</v>
      </c>
    </row>
    <row r="7">
      <c r="A7" s="131" t="s">
        <v>572</v>
      </c>
      <c r="B7" s="131">
        <v>700.0</v>
      </c>
      <c r="C7" s="78"/>
      <c r="D7" s="78" t="s">
        <v>573</v>
      </c>
      <c r="E7" s="78">
        <f>AVERAGEA(B1,B3,B6,B9,B11,B13,B14)</f>
        <v>271.4285714</v>
      </c>
    </row>
    <row r="8">
      <c r="A8" s="131" t="s">
        <v>566</v>
      </c>
      <c r="B8" s="131">
        <v>450.0</v>
      </c>
      <c r="C8" s="78"/>
      <c r="D8" s="78"/>
      <c r="E8" s="78"/>
    </row>
    <row r="9">
      <c r="A9" s="131" t="s">
        <v>567</v>
      </c>
      <c r="B9" s="131">
        <v>250.0</v>
      </c>
      <c r="C9" s="78"/>
      <c r="D9" s="78"/>
      <c r="E9" s="78"/>
    </row>
    <row r="10">
      <c r="A10" s="131" t="s">
        <v>568</v>
      </c>
      <c r="B10" s="131">
        <v>350.0</v>
      </c>
      <c r="C10" s="78"/>
      <c r="D10" s="78"/>
      <c r="E10" s="78"/>
      <c r="H10" s="33">
        <f>AVERAGE(B1:B14)</f>
        <v>300</v>
      </c>
    </row>
    <row r="11">
      <c r="A11" s="131" t="s">
        <v>569</v>
      </c>
      <c r="B11" s="131">
        <v>200.0</v>
      </c>
      <c r="C11" s="78"/>
      <c r="D11" s="78"/>
      <c r="E11" s="78"/>
      <c r="H11" s="33">
        <f>AVERAGEA(B1,B3,B5,B7,B9,B11,B13)</f>
        <v>257.1428571</v>
      </c>
    </row>
    <row r="12">
      <c r="A12" s="131" t="s">
        <v>570</v>
      </c>
      <c r="B12" s="131">
        <v>300.0</v>
      </c>
      <c r="C12" s="78"/>
      <c r="D12" s="78"/>
      <c r="E12" s="78"/>
    </row>
    <row r="13">
      <c r="A13" s="131" t="s">
        <v>571</v>
      </c>
      <c r="B13" s="131">
        <v>200.0</v>
      </c>
      <c r="C13" s="78"/>
      <c r="D13" s="78"/>
      <c r="E13" s="78"/>
    </row>
    <row r="14">
      <c r="A14" s="131" t="s">
        <v>572</v>
      </c>
      <c r="B14" s="131">
        <v>500.0</v>
      </c>
      <c r="C14" s="78"/>
      <c r="D14" s="33">
        <f>AVERAGEIF(A1:A14,A11,B1:B14)</f>
        <v>150</v>
      </c>
      <c r="E14" s="78"/>
    </row>
    <row r="15">
      <c r="A15" s="78"/>
      <c r="B15" s="78"/>
      <c r="C15" s="78"/>
      <c r="D15" s="78"/>
      <c r="E15" s="78"/>
    </row>
    <row r="16">
      <c r="A16" s="131" t="s">
        <v>566</v>
      </c>
      <c r="B16" s="78">
        <f>AVERAGEIF(A1:A14,A16,B1:B14)</f>
        <v>275</v>
      </c>
      <c r="C16" s="78"/>
      <c r="D16" s="78"/>
      <c r="E16" s="78"/>
    </row>
    <row r="17">
      <c r="A17" s="131" t="s">
        <v>567</v>
      </c>
      <c r="B17" s="78">
        <f>AVERAGEIF(A1:A14,A17,B1:B14)</f>
        <v>225</v>
      </c>
      <c r="C17" s="78"/>
      <c r="D17" s="78"/>
      <c r="E17" s="78"/>
    </row>
    <row r="18">
      <c r="A18" s="131" t="s">
        <v>568</v>
      </c>
      <c r="B18" s="78">
        <f>AVERAGEIF(A1:A14,"WEDNESDAY",B1:B15)</f>
        <v>250</v>
      </c>
      <c r="C18" s="78"/>
      <c r="D18" s="78"/>
      <c r="E18" s="78"/>
    </row>
    <row r="19">
      <c r="A19" s="131" t="s">
        <v>569</v>
      </c>
      <c r="B19" s="78"/>
      <c r="C19" s="78"/>
      <c r="D19" s="78"/>
      <c r="E19" s="78"/>
    </row>
    <row r="20">
      <c r="A20" s="131" t="s">
        <v>570</v>
      </c>
      <c r="B20" s="78"/>
      <c r="C20" s="78"/>
      <c r="D20" s="78"/>
      <c r="E20" s="78"/>
    </row>
    <row r="21" ht="15.75" customHeight="1">
      <c r="A21" s="131" t="s">
        <v>571</v>
      </c>
      <c r="B21" s="78"/>
      <c r="C21" s="78"/>
      <c r="D21" s="78"/>
      <c r="E21" s="78"/>
    </row>
    <row r="22" ht="15.75" customHeight="1">
      <c r="A22" s="131" t="s">
        <v>572</v>
      </c>
      <c r="B22" s="78"/>
      <c r="C22" s="78"/>
      <c r="D22" s="78"/>
      <c r="E22" s="78"/>
    </row>
    <row r="23" ht="15.75" customHeight="1">
      <c r="A23" s="78"/>
      <c r="B23" s="78"/>
      <c r="C23" s="78"/>
      <c r="D23" s="78"/>
      <c r="E23" s="78"/>
    </row>
    <row r="24" ht="15.75" customHeight="1">
      <c r="A24" s="78"/>
      <c r="B24" s="78"/>
      <c r="C24" s="78"/>
      <c r="D24" s="78"/>
      <c r="E24" s="78"/>
    </row>
    <row r="25" ht="15.75" customHeight="1">
      <c r="A25" s="78"/>
      <c r="B25" s="78"/>
      <c r="C25" s="78"/>
      <c r="D25" s="78"/>
      <c r="E25" s="78"/>
    </row>
    <row r="26" ht="15.75" customHeight="1">
      <c r="A26" s="78"/>
      <c r="B26" s="78"/>
      <c r="C26" s="78"/>
      <c r="D26" s="78"/>
      <c r="E26" s="78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31">
        <v>155.0</v>
      </c>
      <c r="B1" s="131">
        <f t="shared" ref="B1:B3" si="1">CEILING(A1,100)</f>
        <v>200</v>
      </c>
      <c r="C1" s="78"/>
      <c r="D1" s="78"/>
      <c r="E1" s="78"/>
      <c r="F1" s="78"/>
    </row>
    <row r="2">
      <c r="A2" s="131">
        <v>91.0</v>
      </c>
      <c r="B2" s="131">
        <f t="shared" si="1"/>
        <v>100</v>
      </c>
      <c r="C2" s="78"/>
      <c r="D2" s="78"/>
      <c r="E2" s="78"/>
      <c r="F2" s="78"/>
    </row>
    <row r="3">
      <c r="A3" s="131">
        <v>221.0</v>
      </c>
      <c r="B3" s="131">
        <f t="shared" si="1"/>
        <v>300</v>
      </c>
      <c r="C3" s="78"/>
      <c r="D3" s="78"/>
      <c r="E3" s="78"/>
      <c r="F3" s="78"/>
    </row>
    <row r="4">
      <c r="A4" s="78"/>
      <c r="B4" s="78"/>
      <c r="C4" s="78"/>
      <c r="D4" s="78"/>
      <c r="E4" s="78"/>
      <c r="F4" s="78"/>
    </row>
    <row r="5">
      <c r="A5" s="78"/>
      <c r="B5" s="78"/>
      <c r="C5" s="78"/>
      <c r="D5" s="78"/>
      <c r="E5" s="78"/>
      <c r="F5" s="78"/>
    </row>
    <row r="6">
      <c r="A6" s="78"/>
      <c r="B6" s="78"/>
      <c r="C6" s="78"/>
      <c r="D6" s="78"/>
      <c r="E6" s="78"/>
      <c r="F6" s="78"/>
    </row>
    <row r="7">
      <c r="A7" s="78"/>
      <c r="B7" s="78"/>
      <c r="C7" s="78"/>
      <c r="D7" s="78"/>
      <c r="E7" s="78"/>
      <c r="F7" s="78"/>
    </row>
    <row r="8">
      <c r="A8" s="78"/>
      <c r="B8" s="78"/>
      <c r="C8" s="78"/>
      <c r="D8" s="78"/>
      <c r="E8" s="78"/>
      <c r="F8" s="7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6.71"/>
    <col customWidth="1" min="3" max="3" width="16.57"/>
    <col customWidth="1" min="4" max="4" width="22.43"/>
    <col customWidth="1" min="5" max="5" width="16.29"/>
    <col customWidth="1" min="6" max="6" width="17.14"/>
    <col customWidth="1" min="7" max="7" width="27.43"/>
    <col customWidth="1" min="8" max="8" width="23.29"/>
    <col customWidth="1" min="9" max="9" width="18.57"/>
    <col customWidth="1" min="10" max="26" width="8.71"/>
  </cols>
  <sheetData>
    <row r="1">
      <c r="A1" s="74" t="s">
        <v>574</v>
      </c>
      <c r="B1" s="74" t="s">
        <v>575</v>
      </c>
      <c r="C1" s="74" t="s">
        <v>576</v>
      </c>
      <c r="D1" s="74" t="s">
        <v>577</v>
      </c>
      <c r="E1" s="74" t="s">
        <v>123</v>
      </c>
      <c r="F1" s="74" t="s">
        <v>578</v>
      </c>
      <c r="G1" s="74" t="s">
        <v>579</v>
      </c>
      <c r="H1" s="74" t="s">
        <v>580</v>
      </c>
      <c r="I1" s="74" t="s">
        <v>581</v>
      </c>
      <c r="J1" s="47"/>
    </row>
    <row r="2">
      <c r="A2" s="47" t="s">
        <v>582</v>
      </c>
      <c r="B2" s="78" t="s">
        <v>583</v>
      </c>
      <c r="C2" s="78" t="s">
        <v>584</v>
      </c>
      <c r="D2" s="78" t="s">
        <v>585</v>
      </c>
      <c r="E2" s="78" t="s">
        <v>586</v>
      </c>
      <c r="F2" s="75" t="s">
        <v>587</v>
      </c>
      <c r="G2" s="75" t="s">
        <v>588</v>
      </c>
      <c r="H2" s="78">
        <v>65000.0</v>
      </c>
      <c r="I2" s="78" t="str">
        <f t="shared" ref="I2:I12" si="1">IF(H2&gt;=80000,"High 45",IF(H2&gt;=60000,"Meduim 35",IF(H2&gt;=30000,"Low 25",0)))</f>
        <v>Meduim 35</v>
      </c>
      <c r="J2" s="78"/>
    </row>
    <row r="3">
      <c r="A3" s="47" t="s">
        <v>589</v>
      </c>
      <c r="B3" s="78" t="s">
        <v>208</v>
      </c>
      <c r="C3" s="78" t="s">
        <v>590</v>
      </c>
      <c r="D3" s="78" t="s">
        <v>591</v>
      </c>
      <c r="E3" s="78" t="s">
        <v>586</v>
      </c>
      <c r="F3" s="75" t="s">
        <v>587</v>
      </c>
      <c r="G3" s="75" t="s">
        <v>592</v>
      </c>
      <c r="H3" s="78">
        <v>34000.0</v>
      </c>
      <c r="I3" s="78" t="str">
        <f t="shared" si="1"/>
        <v>Low 25</v>
      </c>
      <c r="J3" s="78"/>
    </row>
    <row r="4">
      <c r="A4" s="47" t="s">
        <v>589</v>
      </c>
      <c r="B4" s="78" t="s">
        <v>415</v>
      </c>
      <c r="C4" s="78" t="s">
        <v>593</v>
      </c>
      <c r="D4" s="78" t="s">
        <v>594</v>
      </c>
      <c r="E4" s="78" t="s">
        <v>595</v>
      </c>
      <c r="F4" s="75" t="s">
        <v>587</v>
      </c>
      <c r="G4" s="75" t="s">
        <v>596</v>
      </c>
      <c r="H4" s="78">
        <v>88000.0</v>
      </c>
      <c r="I4" s="78" t="str">
        <f t="shared" si="1"/>
        <v>High 45</v>
      </c>
      <c r="J4" s="78"/>
    </row>
    <row r="5">
      <c r="A5" s="47" t="s">
        <v>589</v>
      </c>
      <c r="B5" s="78" t="s">
        <v>597</v>
      </c>
      <c r="C5" s="78" t="s">
        <v>598</v>
      </c>
      <c r="D5" s="78" t="s">
        <v>599</v>
      </c>
      <c r="E5" s="78" t="s">
        <v>595</v>
      </c>
      <c r="F5" s="75" t="s">
        <v>587</v>
      </c>
      <c r="G5" s="75" t="s">
        <v>592</v>
      </c>
      <c r="H5" s="78">
        <v>38000.0</v>
      </c>
      <c r="I5" s="78" t="str">
        <f t="shared" si="1"/>
        <v>Low 25</v>
      </c>
      <c r="J5" s="78"/>
    </row>
    <row r="6">
      <c r="A6" s="47" t="s">
        <v>589</v>
      </c>
      <c r="B6" s="78" t="s">
        <v>600</v>
      </c>
      <c r="C6" s="78" t="s">
        <v>601</v>
      </c>
      <c r="D6" s="78" t="s">
        <v>602</v>
      </c>
      <c r="E6" s="78" t="s">
        <v>603</v>
      </c>
      <c r="F6" s="75" t="s">
        <v>604</v>
      </c>
      <c r="G6" s="75" t="s">
        <v>588</v>
      </c>
      <c r="H6" s="78">
        <v>68000.0</v>
      </c>
      <c r="I6" s="78" t="str">
        <f t="shared" si="1"/>
        <v>Meduim 35</v>
      </c>
      <c r="J6" s="78"/>
    </row>
    <row r="7">
      <c r="A7" s="47" t="s">
        <v>582</v>
      </c>
      <c r="B7" s="78" t="s">
        <v>605</v>
      </c>
      <c r="C7" s="78" t="s">
        <v>606</v>
      </c>
      <c r="D7" s="78" t="s">
        <v>607</v>
      </c>
      <c r="E7" s="78" t="s">
        <v>608</v>
      </c>
      <c r="F7" s="75" t="s">
        <v>604</v>
      </c>
      <c r="G7" s="75" t="s">
        <v>592</v>
      </c>
      <c r="H7" s="78">
        <v>31000.0</v>
      </c>
      <c r="I7" s="78" t="str">
        <f t="shared" si="1"/>
        <v>Low 25</v>
      </c>
      <c r="J7" s="78"/>
    </row>
    <row r="8">
      <c r="A8" s="47" t="s">
        <v>589</v>
      </c>
      <c r="B8" s="78" t="s">
        <v>211</v>
      </c>
      <c r="C8" s="78" t="s">
        <v>609</v>
      </c>
      <c r="D8" s="78" t="s">
        <v>610</v>
      </c>
      <c r="E8" s="78" t="s">
        <v>586</v>
      </c>
      <c r="F8" s="75" t="s">
        <v>587</v>
      </c>
      <c r="G8" s="75" t="s">
        <v>596</v>
      </c>
      <c r="H8" s="78">
        <v>85000.0</v>
      </c>
      <c r="I8" s="78" t="str">
        <f t="shared" si="1"/>
        <v>High 45</v>
      </c>
      <c r="J8" s="78"/>
    </row>
    <row r="9">
      <c r="A9" s="47" t="s">
        <v>589</v>
      </c>
      <c r="B9" s="78" t="s">
        <v>611</v>
      </c>
      <c r="C9" s="78" t="s">
        <v>612</v>
      </c>
      <c r="D9" s="78" t="s">
        <v>613</v>
      </c>
      <c r="E9" s="78" t="s">
        <v>603</v>
      </c>
      <c r="F9" s="75" t="s">
        <v>604</v>
      </c>
      <c r="G9" s="75" t="s">
        <v>592</v>
      </c>
      <c r="H9" s="78">
        <v>35000.0</v>
      </c>
      <c r="I9" s="78" t="str">
        <f t="shared" si="1"/>
        <v>Low 25</v>
      </c>
      <c r="J9" s="78"/>
    </row>
    <row r="10">
      <c r="A10" s="47" t="s">
        <v>589</v>
      </c>
      <c r="B10" s="78" t="s">
        <v>614</v>
      </c>
      <c r="C10" s="78" t="s">
        <v>590</v>
      </c>
      <c r="D10" s="78" t="s">
        <v>615</v>
      </c>
      <c r="E10" s="78" t="s">
        <v>586</v>
      </c>
      <c r="F10" s="75" t="s">
        <v>587</v>
      </c>
      <c r="G10" s="145" t="s">
        <v>596</v>
      </c>
      <c r="H10" s="78">
        <v>89000.0</v>
      </c>
      <c r="I10" s="78" t="str">
        <f t="shared" si="1"/>
        <v>High 45</v>
      </c>
      <c r="J10" s="78"/>
    </row>
    <row r="11">
      <c r="A11" s="47" t="s">
        <v>582</v>
      </c>
      <c r="B11" s="78" t="s">
        <v>616</v>
      </c>
      <c r="C11" s="78" t="s">
        <v>617</v>
      </c>
      <c r="D11" s="78" t="s">
        <v>618</v>
      </c>
      <c r="E11" s="78" t="s">
        <v>608</v>
      </c>
      <c r="F11" s="75" t="s">
        <v>604</v>
      </c>
      <c r="G11" s="75" t="s">
        <v>588</v>
      </c>
      <c r="H11" s="78">
        <v>66000.0</v>
      </c>
      <c r="I11" s="78" t="str">
        <f t="shared" si="1"/>
        <v>Meduim 35</v>
      </c>
      <c r="J11" s="78"/>
    </row>
    <row r="12">
      <c r="A12" s="47" t="s">
        <v>619</v>
      </c>
      <c r="B12" s="78" t="s">
        <v>606</v>
      </c>
      <c r="C12" s="78" t="s">
        <v>620</v>
      </c>
      <c r="D12" s="78" t="s">
        <v>621</v>
      </c>
      <c r="E12" s="78" t="s">
        <v>603</v>
      </c>
      <c r="F12" s="75" t="s">
        <v>604</v>
      </c>
      <c r="G12" s="75" t="s">
        <v>596</v>
      </c>
      <c r="H12" s="78">
        <v>87000.0</v>
      </c>
      <c r="I12" s="78" t="str">
        <f t="shared" si="1"/>
        <v>High 45</v>
      </c>
      <c r="J12" s="78"/>
    </row>
    <row r="13">
      <c r="A13" s="78"/>
      <c r="B13" s="78"/>
      <c r="C13" s="78"/>
      <c r="D13" s="78"/>
      <c r="E13" s="78"/>
      <c r="F13" s="78"/>
      <c r="G13" s="78"/>
      <c r="H13" s="78"/>
      <c r="I13" s="78"/>
      <c r="J13" s="78"/>
    </row>
    <row r="14">
      <c r="E14" s="78"/>
      <c r="F14" s="75"/>
      <c r="H14" s="33" t="s">
        <v>622</v>
      </c>
    </row>
    <row r="15">
      <c r="E15" s="78"/>
      <c r="F15" s="78"/>
      <c r="H15" s="33">
        <f>MAX(H2:H12)</f>
        <v>89000</v>
      </c>
    </row>
    <row r="16">
      <c r="E16" s="78"/>
      <c r="F16" s="75"/>
    </row>
    <row r="17">
      <c r="E17" s="78"/>
      <c r="F17" s="78"/>
    </row>
    <row r="18">
      <c r="E18" s="78"/>
      <c r="F18" s="78"/>
    </row>
    <row r="19">
      <c r="E19" s="78"/>
    </row>
    <row r="20">
      <c r="E20" s="78"/>
    </row>
    <row r="21" ht="15.75" customHeight="1">
      <c r="E21" s="78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G$1:$G$12"/>
  <printOptions/>
  <pageMargins bottom="0.75" footer="0.0" header="0.0" left="0.7" right="0.7" top="0.75"/>
  <pageSetup orientation="landscape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16.71"/>
    <col customWidth="1" min="3" max="3" width="16.57"/>
    <col customWidth="1" min="4" max="4" width="22.43"/>
    <col customWidth="1" min="5" max="5" width="11.29"/>
    <col customWidth="1" min="6" max="6" width="15.57"/>
    <col customWidth="1" min="7" max="7" width="27.43"/>
    <col customWidth="1" min="8" max="8" width="23.29"/>
    <col customWidth="1" min="9" max="9" width="18.57"/>
    <col customWidth="1" min="10" max="26" width="8.71"/>
  </cols>
  <sheetData>
    <row r="1">
      <c r="A1" s="74" t="s">
        <v>574</v>
      </c>
      <c r="B1" s="74" t="s">
        <v>575</v>
      </c>
      <c r="C1" s="74" t="s">
        <v>576</v>
      </c>
      <c r="D1" s="74" t="s">
        <v>577</v>
      </c>
      <c r="E1" s="74" t="s">
        <v>123</v>
      </c>
      <c r="F1" s="74" t="s">
        <v>578</v>
      </c>
      <c r="G1" s="74" t="s">
        <v>579</v>
      </c>
      <c r="H1" s="74" t="s">
        <v>580</v>
      </c>
      <c r="I1" s="74" t="s">
        <v>581</v>
      </c>
    </row>
    <row r="2">
      <c r="A2" s="47" t="s">
        <v>582</v>
      </c>
      <c r="B2" s="78" t="s">
        <v>583</v>
      </c>
      <c r="C2" s="78" t="s">
        <v>584</v>
      </c>
      <c r="D2" s="78" t="s">
        <v>585</v>
      </c>
      <c r="E2" s="78" t="s">
        <v>586</v>
      </c>
      <c r="F2" s="75" t="s">
        <v>587</v>
      </c>
      <c r="G2" s="75" t="s">
        <v>588</v>
      </c>
      <c r="H2" s="78">
        <v>65000.0</v>
      </c>
      <c r="I2" s="78" t="s">
        <v>623</v>
      </c>
    </row>
    <row r="3">
      <c r="A3" s="47" t="s">
        <v>589</v>
      </c>
      <c r="B3" s="78" t="s">
        <v>208</v>
      </c>
      <c r="C3" s="78" t="s">
        <v>590</v>
      </c>
      <c r="D3" s="78" t="s">
        <v>591</v>
      </c>
      <c r="E3" s="78" t="s">
        <v>586</v>
      </c>
      <c r="F3" s="75" t="s">
        <v>587</v>
      </c>
      <c r="G3" s="75" t="s">
        <v>592</v>
      </c>
      <c r="H3" s="78">
        <v>34000.0</v>
      </c>
      <c r="I3" s="78" t="s">
        <v>624</v>
      </c>
    </row>
    <row r="4">
      <c r="A4" s="47" t="s">
        <v>589</v>
      </c>
      <c r="B4" s="78" t="s">
        <v>415</v>
      </c>
      <c r="C4" s="78" t="s">
        <v>593</v>
      </c>
      <c r="D4" s="78" t="s">
        <v>594</v>
      </c>
      <c r="E4" s="78" t="s">
        <v>595</v>
      </c>
      <c r="F4" s="75" t="s">
        <v>587</v>
      </c>
      <c r="G4" s="75" t="s">
        <v>596</v>
      </c>
      <c r="H4" s="78">
        <v>88000.0</v>
      </c>
      <c r="I4" s="78" t="s">
        <v>625</v>
      </c>
    </row>
    <row r="5">
      <c r="A5" s="47" t="s">
        <v>589</v>
      </c>
      <c r="B5" s="78" t="s">
        <v>597</v>
      </c>
      <c r="C5" s="78" t="s">
        <v>598</v>
      </c>
      <c r="D5" s="78" t="s">
        <v>599</v>
      </c>
      <c r="E5" s="78" t="s">
        <v>626</v>
      </c>
      <c r="F5" s="75" t="s">
        <v>587</v>
      </c>
      <c r="G5" s="75" t="s">
        <v>592</v>
      </c>
      <c r="H5" s="78">
        <v>38000.0</v>
      </c>
      <c r="I5" s="78" t="s">
        <v>624</v>
      </c>
    </row>
    <row r="6">
      <c r="A6" s="47" t="s">
        <v>589</v>
      </c>
      <c r="B6" s="78" t="s">
        <v>211</v>
      </c>
      <c r="C6" s="78" t="s">
        <v>609</v>
      </c>
      <c r="D6" s="78" t="s">
        <v>610</v>
      </c>
      <c r="E6" s="78" t="s">
        <v>586</v>
      </c>
      <c r="F6" s="75" t="s">
        <v>587</v>
      </c>
      <c r="G6" s="75" t="s">
        <v>596</v>
      </c>
      <c r="H6" s="78">
        <v>85000.0</v>
      </c>
      <c r="I6" s="78" t="s">
        <v>625</v>
      </c>
    </row>
    <row r="7">
      <c r="A7" s="47" t="s">
        <v>589</v>
      </c>
      <c r="B7" s="78" t="s">
        <v>614</v>
      </c>
      <c r="C7" s="78" t="s">
        <v>590</v>
      </c>
      <c r="D7" s="78" t="s">
        <v>615</v>
      </c>
      <c r="E7" s="78" t="s">
        <v>586</v>
      </c>
      <c r="F7" s="75" t="s">
        <v>587</v>
      </c>
      <c r="G7" s="75" t="s">
        <v>596</v>
      </c>
      <c r="H7" s="78">
        <v>89000.0</v>
      </c>
      <c r="I7" s="78" t="s">
        <v>625</v>
      </c>
    </row>
    <row r="8">
      <c r="A8" s="78"/>
      <c r="B8" s="78"/>
      <c r="C8" s="78"/>
      <c r="D8" s="78"/>
      <c r="E8" s="78"/>
      <c r="F8" s="78"/>
      <c r="G8" s="78"/>
      <c r="H8" s="78"/>
      <c r="I8" s="78"/>
    </row>
    <row r="9">
      <c r="F9" s="75" t="s">
        <v>587</v>
      </c>
    </row>
    <row r="10">
      <c r="F10" s="78">
        <v>6.0</v>
      </c>
    </row>
    <row r="11">
      <c r="F11" s="75" t="s">
        <v>604</v>
      </c>
    </row>
    <row r="12">
      <c r="F12" s="78">
        <v>5.0</v>
      </c>
    </row>
    <row r="14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</row>
    <row r="16">
      <c r="A16" s="74" t="s">
        <v>574</v>
      </c>
      <c r="B16" s="74" t="s">
        <v>575</v>
      </c>
      <c r="C16" s="74" t="s">
        <v>576</v>
      </c>
      <c r="D16" s="74" t="s">
        <v>577</v>
      </c>
      <c r="E16" s="74" t="s">
        <v>123</v>
      </c>
      <c r="F16" s="74" t="s">
        <v>578</v>
      </c>
      <c r="G16" s="74" t="s">
        <v>579</v>
      </c>
      <c r="H16" s="74" t="s">
        <v>580</v>
      </c>
      <c r="I16" s="74" t="s">
        <v>581</v>
      </c>
    </row>
    <row r="17">
      <c r="A17" s="47" t="s">
        <v>582</v>
      </c>
      <c r="B17" s="78" t="s">
        <v>583</v>
      </c>
      <c r="C17" s="78" t="s">
        <v>584</v>
      </c>
      <c r="D17" s="78" t="s">
        <v>585</v>
      </c>
      <c r="E17" s="78" t="s">
        <v>586</v>
      </c>
      <c r="F17" s="75" t="s">
        <v>587</v>
      </c>
      <c r="G17" s="75" t="s">
        <v>588</v>
      </c>
      <c r="H17" s="78">
        <v>65000.0</v>
      </c>
      <c r="I17" s="78" t="s">
        <v>623</v>
      </c>
    </row>
    <row r="18">
      <c r="A18" s="47" t="s">
        <v>589</v>
      </c>
      <c r="B18" s="78" t="s">
        <v>208</v>
      </c>
      <c r="C18" s="78" t="s">
        <v>590</v>
      </c>
      <c r="D18" s="78" t="s">
        <v>591</v>
      </c>
      <c r="E18" s="78" t="s">
        <v>586</v>
      </c>
      <c r="F18" s="75" t="s">
        <v>587</v>
      </c>
      <c r="G18" s="75" t="s">
        <v>592</v>
      </c>
      <c r="H18" s="78">
        <v>34000.0</v>
      </c>
      <c r="I18" s="78" t="s">
        <v>624</v>
      </c>
    </row>
    <row r="19">
      <c r="A19" s="47" t="s">
        <v>589</v>
      </c>
      <c r="B19" s="78" t="s">
        <v>211</v>
      </c>
      <c r="C19" s="78" t="s">
        <v>609</v>
      </c>
      <c r="D19" s="78" t="s">
        <v>610</v>
      </c>
      <c r="E19" s="78" t="s">
        <v>586</v>
      </c>
      <c r="F19" s="75" t="s">
        <v>587</v>
      </c>
      <c r="G19" s="75" t="s">
        <v>596</v>
      </c>
      <c r="H19" s="78">
        <v>85000.0</v>
      </c>
      <c r="I19" s="78" t="s">
        <v>625</v>
      </c>
    </row>
    <row r="20">
      <c r="A20" s="47" t="s">
        <v>589</v>
      </c>
      <c r="B20" s="78" t="s">
        <v>614</v>
      </c>
      <c r="C20" s="78" t="s">
        <v>590</v>
      </c>
      <c r="D20" s="78" t="s">
        <v>615</v>
      </c>
      <c r="E20" s="78" t="s">
        <v>586</v>
      </c>
      <c r="F20" s="75" t="s">
        <v>587</v>
      </c>
      <c r="G20" s="75" t="s">
        <v>596</v>
      </c>
      <c r="H20" s="78">
        <v>89000.0</v>
      </c>
      <c r="I20" s="78" t="s">
        <v>625</v>
      </c>
    </row>
    <row r="21" ht="15.75" customHeight="1">
      <c r="A21" s="78"/>
      <c r="B21" s="78"/>
      <c r="C21" s="78"/>
      <c r="D21" s="78"/>
      <c r="E21" s="78"/>
      <c r="F21" s="78"/>
      <c r="G21" s="78"/>
      <c r="H21" s="78"/>
      <c r="I21" s="78"/>
    </row>
    <row r="22" ht="15.75" customHeight="1">
      <c r="E22" s="78" t="s">
        <v>586</v>
      </c>
      <c r="F22" s="75"/>
    </row>
    <row r="23" ht="15.75" customHeight="1">
      <c r="E23" s="78">
        <v>4.0</v>
      </c>
      <c r="F23" s="78"/>
    </row>
    <row r="24" ht="15.75" customHeight="1">
      <c r="E24" s="78" t="s">
        <v>595</v>
      </c>
      <c r="F24" s="75"/>
    </row>
    <row r="25" ht="15.75" customHeight="1">
      <c r="E25" s="78">
        <v>2.0</v>
      </c>
      <c r="F25" s="78"/>
    </row>
    <row r="26" ht="15.75" customHeight="1">
      <c r="E26" s="78" t="s">
        <v>603</v>
      </c>
      <c r="F26" s="78"/>
    </row>
    <row r="27" ht="15.75" customHeight="1">
      <c r="E27" s="78">
        <v>3.0</v>
      </c>
    </row>
    <row r="28" ht="15.75" customHeight="1">
      <c r="E28" s="78" t="s">
        <v>608</v>
      </c>
    </row>
    <row r="29" ht="15.75" customHeight="1">
      <c r="E29" s="78">
        <v>2.0</v>
      </c>
    </row>
    <row r="30" ht="15.75" customHeight="1"/>
    <row r="31" ht="15.75" customHeight="1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</row>
    <row r="32" ht="15.75" customHeight="1"/>
    <row r="33" ht="15.75" customHeight="1"/>
    <row r="34" ht="15.75" customHeight="1">
      <c r="A34" s="74" t="s">
        <v>574</v>
      </c>
      <c r="B34" s="74" t="s">
        <v>575</v>
      </c>
      <c r="C34" s="74" t="s">
        <v>576</v>
      </c>
      <c r="D34" s="74" t="s">
        <v>577</v>
      </c>
      <c r="E34" s="74" t="s">
        <v>123</v>
      </c>
      <c r="F34" s="74" t="s">
        <v>578</v>
      </c>
      <c r="G34" s="74" t="s">
        <v>579</v>
      </c>
      <c r="H34" s="74" t="s">
        <v>580</v>
      </c>
      <c r="I34" s="74" t="s">
        <v>581</v>
      </c>
    </row>
    <row r="35" ht="15.75" customHeight="1">
      <c r="A35" s="47" t="s">
        <v>589</v>
      </c>
      <c r="B35" s="78" t="s">
        <v>614</v>
      </c>
      <c r="C35" s="78" t="s">
        <v>590</v>
      </c>
      <c r="D35" s="78" t="s">
        <v>615</v>
      </c>
      <c r="E35" s="78" t="s">
        <v>586</v>
      </c>
      <c r="F35" s="75" t="s">
        <v>587</v>
      </c>
      <c r="G35" s="145" t="s">
        <v>596</v>
      </c>
      <c r="H35" s="78">
        <v>89000.0</v>
      </c>
      <c r="I35" s="78" t="s">
        <v>625</v>
      </c>
    </row>
    <row r="36" ht="15.75" customHeight="1">
      <c r="A36" s="78"/>
      <c r="B36" s="78"/>
      <c r="C36" s="78"/>
      <c r="D36" s="78"/>
      <c r="E36" s="78"/>
      <c r="F36" s="78"/>
      <c r="G36" s="78"/>
      <c r="H36" s="78"/>
      <c r="I36" s="78"/>
    </row>
    <row r="37" ht="15.75" customHeight="1">
      <c r="E37" s="78"/>
      <c r="F37" s="75"/>
      <c r="H37" s="33" t="s">
        <v>622</v>
      </c>
    </row>
    <row r="38" ht="15.75" customHeight="1">
      <c r="E38" s="78"/>
      <c r="F38" s="78"/>
      <c r="H38" s="33">
        <v>89000.0</v>
      </c>
    </row>
    <row r="39" ht="15.75" customHeight="1">
      <c r="E39" s="78"/>
      <c r="F39" s="75"/>
    </row>
    <row r="40" ht="15.75" customHeight="1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