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okan - Master File Coverage " sheetId="1" r:id="rId4"/>
    <sheet state="visible" name="Patokan - Master File Capacity " sheetId="2" r:id="rId5"/>
    <sheet state="visible" name="Banjarmasin (Coverage)" sheetId="3" r:id="rId6"/>
    <sheet state="visible" name="Banjarmasin (Capacity)" sheetId="4" r:id="rId7"/>
    <sheet state="visible" name="STEP PENGERJAAN" sheetId="5" r:id="rId8"/>
  </sheets>
  <definedNames/>
  <calcPr/>
  <extLst>
    <ext uri="GoogleSheetsCustomDataVersion2">
      <go:sheetsCustomData xmlns:go="http://customooxmlschemas.google.com/" r:id="rId9" roundtripDataChecksum="FdQ7oZNYbme6JGGhs0FOCzXajP6DuX2j17xi9PdTcRE="/>
    </ext>
  </extLst>
</workbook>
</file>

<file path=xl/sharedStrings.xml><?xml version="1.0" encoding="utf-8"?>
<sst xmlns="http://schemas.openxmlformats.org/spreadsheetml/2006/main" count="560" uniqueCount="216">
  <si>
    <t>TOTAL SITE CALCULATION (Uplink)</t>
  </si>
  <si>
    <t>3. PL (3GPP 38.901, UMa) (0.5 - 100 GHz)</t>
  </si>
  <si>
    <t>1. LINK BUDGET (UL) &gt; 3500 MHz</t>
  </si>
  <si>
    <t>Parameter</t>
  </si>
  <si>
    <t>Value</t>
  </si>
  <si>
    <t>PL2 Option (LOS) &gt; (UL)</t>
  </si>
  <si>
    <t>Transmitter</t>
  </si>
  <si>
    <t>Calculation</t>
  </si>
  <si>
    <t>Luas Area (Km^2)</t>
  </si>
  <si>
    <t>PL2 Option (LOS) &gt; (DL)</t>
  </si>
  <si>
    <t>UE TX Power (dBm)</t>
  </si>
  <si>
    <t>A</t>
  </si>
  <si>
    <t>Coverage per Site (3-SECTORAL) (km^2)</t>
  </si>
  <si>
    <t>Path Loss (NLOS) &gt; (UL)</t>
  </si>
  <si>
    <t>UE Gain (dBi)</t>
  </si>
  <si>
    <t>B</t>
  </si>
  <si>
    <t>Total SITE (3-SECTORAL)</t>
  </si>
  <si>
    <t>Path Loss (NLOS) &gt; (DL)</t>
  </si>
  <si>
    <t>Body Loss (dB)</t>
  </si>
  <si>
    <t>C</t>
  </si>
  <si>
    <t>REUSE DISTANCE (CLUSTERING 3 SEL) (km)</t>
  </si>
  <si>
    <t>D Break (m) &gt; For 2,6 GHz</t>
  </si>
  <si>
    <t>EIRP (dBm)</t>
  </si>
  <si>
    <t>D = A+B-C-Total SC</t>
  </si>
  <si>
    <t>TOTAL SITE CALCULATION (Dowlink)</t>
  </si>
  <si>
    <t>Path Loss (LOS) &gt; Max Value between UL/DL</t>
  </si>
  <si>
    <t>Total SC (100 MHz BW)</t>
  </si>
  <si>
    <t>Total RB x SC per RB</t>
  </si>
  <si>
    <t>Path Loss (NLOS) &gt; Max Value between UL/DL</t>
  </si>
  <si>
    <t>Receiver</t>
  </si>
  <si>
    <t>Thermal Noise</t>
  </si>
  <si>
    <t>Max(LOS, NLOS)</t>
  </si>
  <si>
    <t>gNB Noise Figure (dB)</t>
  </si>
  <si>
    <t>E</t>
  </si>
  <si>
    <t>k</t>
  </si>
  <si>
    <t>Coverage per Site (3-SECTORAL) (Km^2)</t>
  </si>
  <si>
    <t>Thermal Noise (dBm)</t>
  </si>
  <si>
    <t>F = k*T*BW</t>
  </si>
  <si>
    <t>T</t>
  </si>
  <si>
    <t>4. LINE OF SIGHT (PL2)</t>
  </si>
  <si>
    <t>SINR Demod TH (dB)</t>
  </si>
  <si>
    <t>G</t>
  </si>
  <si>
    <t>BW</t>
  </si>
  <si>
    <t>REUSE DISTANCE (CLUSTERING 3 SEL) (Km)</t>
  </si>
  <si>
    <t>MAPL (Uplink)</t>
  </si>
  <si>
    <t>Receiver Sensitivity (dBm)</t>
  </si>
  <si>
    <t>H = E+F+G</t>
  </si>
  <si>
    <t>F (Watt)</t>
  </si>
  <si>
    <t>3GPP 38.901 Urban Macro (0.5 - 100 GHz)</t>
  </si>
  <si>
    <t>LOS Cell Radius (Km) &gt; dBREAK = 100 m, jadi PL2</t>
  </si>
  <si>
    <t>Interference Margin (dB)</t>
  </si>
  <si>
    <t>I</t>
  </si>
  <si>
    <t>F (dBW)</t>
  </si>
  <si>
    <t>MAPL (Downlink)</t>
  </si>
  <si>
    <t>Slow Fading Margin (dB)</t>
  </si>
  <si>
    <t>J</t>
  </si>
  <si>
    <t>F (dBm)</t>
  </si>
  <si>
    <t>Penetration Loss (dB)</t>
  </si>
  <si>
    <t>K</t>
  </si>
  <si>
    <t>Feeder Loss (dB)</t>
  </si>
  <si>
    <t>L (Diabaikan)</t>
  </si>
  <si>
    <t>5. NON-LINE OF SIGHT</t>
  </si>
  <si>
    <t>gNB Gain (dBi)</t>
  </si>
  <si>
    <t>M</t>
  </si>
  <si>
    <t>MAPL (UL)</t>
  </si>
  <si>
    <t>O = D-H-I-J-K+M</t>
  </si>
  <si>
    <t>NLOS Cell Radius (Km)</t>
  </si>
  <si>
    <t>2. LINK BUDGET (DL) &gt; 3500 MHz</t>
  </si>
  <si>
    <t>gNB TX Power (dBm)</t>
  </si>
  <si>
    <t xml:space="preserve">gNB Gain (dBi) </t>
  </si>
  <si>
    <t>D = A+B+C-Total SC</t>
  </si>
  <si>
    <t>UE Noise Figure (dB)</t>
  </si>
  <si>
    <t>L</t>
  </si>
  <si>
    <t>Beamforming Gain (dB)</t>
  </si>
  <si>
    <t>P</t>
  </si>
  <si>
    <t>Vegetation Loss (dB)</t>
  </si>
  <si>
    <t>Q (N/A in MidBand)</t>
  </si>
  <si>
    <t>Rain Loss (dB)</t>
  </si>
  <si>
    <t>R (N/A in MidBand)</t>
  </si>
  <si>
    <t>MAPL (DL)</t>
  </si>
  <si>
    <t>O = D-H-I-J-K-L+M+P-Q-R</t>
  </si>
  <si>
    <t>1. Forecasting Number of Users (Kota Pontianak)</t>
  </si>
  <si>
    <t>2. SERVICE MODEL (HCIP, 2022)</t>
  </si>
  <si>
    <t>Jumlah Penduduk (2022)</t>
  </si>
  <si>
    <t>Traffic Parameters</t>
  </si>
  <si>
    <t>UPLINK</t>
  </si>
  <si>
    <t>DOWNLINK</t>
  </si>
  <si>
    <t>UL</t>
  </si>
  <si>
    <t>DL</t>
  </si>
  <si>
    <t>Pertumbuhan Penduduk</t>
  </si>
  <si>
    <t>Activation Rate</t>
  </si>
  <si>
    <t xml:space="preserve">Session </t>
  </si>
  <si>
    <t>Session</t>
  </si>
  <si>
    <t>Single Session</t>
  </si>
  <si>
    <t>Periode Perancangan</t>
  </si>
  <si>
    <t>5 Tahun</t>
  </si>
  <si>
    <t>(Kbps)</t>
  </si>
  <si>
    <t>Duration (s)</t>
  </si>
  <si>
    <t>Activation Ratio</t>
  </si>
  <si>
    <t>TP/Session (Kbps)</t>
  </si>
  <si>
    <t>Estimasi Penduduk (2027)</t>
  </si>
  <si>
    <t>Web Browsing</t>
  </si>
  <si>
    <t>Estimasi Penduduk Usia Produktif (Persentase)</t>
  </si>
  <si>
    <t>File Transfer</t>
  </si>
  <si>
    <t>Estimasi Penduduk Usia Produktif (Jumlah)</t>
  </si>
  <si>
    <t>Email</t>
  </si>
  <si>
    <t>Persentase Market Share</t>
  </si>
  <si>
    <t>P2P File Sharing</t>
  </si>
  <si>
    <t>Market Share</t>
  </si>
  <si>
    <t>VoIP</t>
  </si>
  <si>
    <t>Persentase 5G NR Subscriber</t>
  </si>
  <si>
    <t>Video Phone</t>
  </si>
  <si>
    <t>5G NR Subscriber (Target User)</t>
  </si>
  <si>
    <t>Video Conference</t>
  </si>
  <si>
    <t>Streaming Media</t>
  </si>
  <si>
    <t>7. TOTAL SITE CALCULATION</t>
  </si>
  <si>
    <t>Real Time Gaming</t>
  </si>
  <si>
    <t>Item</t>
  </si>
  <si>
    <t>Total TP/Session</t>
  </si>
  <si>
    <t>Luas Wilayah (km^2)</t>
  </si>
  <si>
    <t>Target User</t>
  </si>
  <si>
    <t>3. TRAFFIC MODEL (HCIP, 2021)</t>
  </si>
  <si>
    <t>Network TP (MAC) (Mbps)</t>
  </si>
  <si>
    <t>UE Behavior</t>
  </si>
  <si>
    <t>Dense Urban</t>
  </si>
  <si>
    <t>Urban</t>
  </si>
  <si>
    <t>Sub Urban</t>
  </si>
  <si>
    <t>Rural</t>
  </si>
  <si>
    <t>Cell Avg TP (Mbps)</t>
  </si>
  <si>
    <t>Service</t>
  </si>
  <si>
    <t>BHSA</t>
  </si>
  <si>
    <t>Site Capacity (Mbps)</t>
  </si>
  <si>
    <t>Penetration</t>
  </si>
  <si>
    <t>Jumlah Site</t>
  </si>
  <si>
    <t>Rate</t>
  </si>
  <si>
    <t>5G NR Users per Site</t>
  </si>
  <si>
    <t>Coverage per Site (km^2)</t>
  </si>
  <si>
    <t>Coverage per Cell (km^2)</t>
  </si>
  <si>
    <t>Cell Radius (km)</t>
  </si>
  <si>
    <t>DECISION</t>
  </si>
  <si>
    <t>eNB Num Based-on Capacity = max(gNB_UL,gNB_DL)</t>
  </si>
  <si>
    <t>We Get 31 5G NR Sites</t>
  </si>
  <si>
    <t>Pick the most site after comparing it with Coverage!</t>
  </si>
  <si>
    <t>So we got 31 Sites to deploy</t>
  </si>
  <si>
    <t>4. Single User Throughput (URBAN)</t>
  </si>
  <si>
    <t>5. NETWORK THROUGHPUT (Kbps)</t>
  </si>
  <si>
    <t>UL (Urban)</t>
  </si>
  <si>
    <t>DL (Urban)</t>
  </si>
  <si>
    <t xml:space="preserve"> </t>
  </si>
  <si>
    <t>SUT (Kbps)</t>
  </si>
  <si>
    <t>IP</t>
  </si>
  <si>
    <t>MAC</t>
  </si>
  <si>
    <t>SUT</t>
  </si>
  <si>
    <t>6. AVERAGE SINR 3500 MHz DISTRIBUTION &gt;&gt;&gt; Channel BW 100 MHz, MIMO 128X128</t>
  </si>
  <si>
    <t>Modulasi</t>
  </si>
  <si>
    <t>Code Bit</t>
  </si>
  <si>
    <t>Coding Rate</t>
  </si>
  <si>
    <t>SINR (min) dB</t>
  </si>
  <si>
    <t>SINR Prob</t>
  </si>
  <si>
    <t>DL Cell TP (Mbps)</t>
  </si>
  <si>
    <t>DL Cell Avg TP</t>
  </si>
  <si>
    <t>UL Cell TP (Mbps)</t>
  </si>
  <si>
    <t>UL Cell Avg TP</t>
  </si>
  <si>
    <t>QPSK 1/3</t>
  </si>
  <si>
    <t>QPSK 1/2</t>
  </si>
  <si>
    <t>QPSK 2/3</t>
  </si>
  <si>
    <t>16 QAM 1/2</t>
  </si>
  <si>
    <t>16 QAM 2/3</t>
  </si>
  <si>
    <t>16 QAM 4/5</t>
  </si>
  <si>
    <t>64 QAM 1/2</t>
  </si>
  <si>
    <t>64 QAM 2/3</t>
  </si>
  <si>
    <t>Cell Avg TP (MAC) (Mbps)</t>
  </si>
  <si>
    <t>1. LINK BUDGET (UL) &gt; 2600 MHz</t>
  </si>
  <si>
    <t>D Break (m) &gt; For 0,7 GHz</t>
  </si>
  <si>
    <t>TOTAL SITE CALCULATION (Downlink)</t>
  </si>
  <si>
    <t>Total SC (15 MHz BW)</t>
  </si>
  <si>
    <t>2. LINK BUDGET (DL) &gt; 700 MHz</t>
  </si>
  <si>
    <t>gNB Gain (dBi) &gt; 8T8R</t>
  </si>
  <si>
    <t>Q (N/A in LowBand)</t>
  </si>
  <si>
    <t>R (N/A in LowBand)</t>
  </si>
  <si>
    <t>1. Forecasting Number of Users (Kota Banjarmasin)</t>
  </si>
  <si>
    <t>2. SERVICE MODEL (HCIP, 2021)</t>
  </si>
  <si>
    <t>Jumlah Penduduk (2021)</t>
  </si>
  <si>
    <t>Estimasi Penduduk (2025)</t>
  </si>
  <si>
    <t>Persentase Market Share Suatu Operator</t>
  </si>
  <si>
    <t>Market Share Suatu Operator</t>
  </si>
  <si>
    <t>Persentase 5G Subscriber</t>
  </si>
  <si>
    <t>5G Subscriber (Target User)</t>
  </si>
  <si>
    <t>eNB Num Based-on Capacity = max(eNB_UL,eNB_DL)</t>
  </si>
  <si>
    <t>6. AVERAGE SINR 2600 MHz DISTRIBUTION &gt;&gt;&gt; Channel BW 15 MHz, MIMO 64X64</t>
  </si>
  <si>
    <t>No</t>
  </si>
  <si>
    <t>Procedure</t>
  </si>
  <si>
    <t>Business Scenario</t>
  </si>
  <si>
    <t>Planning Objective</t>
  </si>
  <si>
    <t>Overall Planning Solution</t>
  </si>
  <si>
    <t>Capacity Planning (UL/DL)</t>
  </si>
  <si>
    <t>eMBB</t>
  </si>
  <si>
    <t>1. Planning based on the continous rate and coverage rate at the cell edge</t>
  </si>
  <si>
    <t>Similar to LTE, with difference in the planning of Link Budget</t>
  </si>
  <si>
    <t>Coverage Planning (UL/DL)</t>
  </si>
  <si>
    <t>2. The Cell Edge rate can be converted to the edge RSRP and SINR</t>
  </si>
  <si>
    <t>and RF parameters due to the new Freq Bands and Massive MIMO</t>
  </si>
  <si>
    <t>Compare "1" and "2"</t>
  </si>
  <si>
    <t>uRLLC</t>
  </si>
  <si>
    <t>Latency-based planning</t>
  </si>
  <si>
    <t>The Specific Method is still under research</t>
  </si>
  <si>
    <t>The Properness of 5G Deployment is decided by</t>
  </si>
  <si>
    <t>mMTC</t>
  </si>
  <si>
    <t>Planning based on the number of UEs</t>
  </si>
  <si>
    <t>looking at the number of sites of Capacity vs Coverage.</t>
  </si>
  <si>
    <t>A dense-populated area is tend to have more sites from Capacity</t>
  </si>
  <si>
    <t>Approach rather than Coverage Approach</t>
  </si>
  <si>
    <t>A less-populated area is tend to have more sites from Coverage</t>
  </si>
  <si>
    <t>Approach rather than Capacity Approach</t>
  </si>
  <si>
    <t>Try to Simulate Scenario 1 (Conventional RAN) in Atoll</t>
  </si>
  <si>
    <r>
      <rPr>
        <rFont val="Calibri"/>
        <color theme="1"/>
        <sz val="11.0"/>
      </rPr>
      <t xml:space="preserve">Try to Simulate Scenario 2 (MORAN) in atoll </t>
    </r>
    <r>
      <rPr>
        <rFont val="Calibri"/>
        <b/>
        <color theme="1"/>
        <sz val="11.0"/>
      </rPr>
      <t>(Same eNB on
same tower, different antenna at different spectrum)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</si>
</sst>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b/>
      <sz val="11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FFFF"/>
        <bgColor rgb="FF00FFFF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7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ck">
        <color rgb="FF000000"/>
      </left>
      <top/>
      <bottom/>
    </border>
    <border>
      <top/>
      <bottom/>
    </border>
    <border>
      <right style="thick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thick">
        <color rgb="FF000000"/>
      </right>
      <top style="thick">
        <color rgb="FF000000"/>
      </top>
      <bottom/>
    </border>
    <border>
      <left/>
      <right style="thick">
        <color rgb="FF000000"/>
      </right>
      <top/>
      <bottom/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 style="medium">
        <color rgb="FF000000"/>
      </top>
      <bottom/>
    </border>
    <border>
      <lef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/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/>
      <right style="thick">
        <color rgb="FF000000"/>
      </right>
      <top style="medium">
        <color rgb="FF000000"/>
      </top>
      <bottom/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medium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/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3" fontId="1" numFmtId="0" xfId="0" applyAlignment="1" applyBorder="1" applyFont="1">
      <alignment horizontal="center"/>
    </xf>
    <xf borderId="6" fillId="0" fontId="2" numFmtId="0" xfId="0" applyBorder="1" applyFont="1"/>
    <xf borderId="7" fillId="4" fontId="1" numFmtId="0" xfId="0" applyAlignment="1" applyBorder="1" applyFill="1" applyFont="1">
      <alignment horizontal="center"/>
    </xf>
    <xf borderId="8" fillId="4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5" fontId="1" numFmtId="0" xfId="0" applyAlignment="1" applyBorder="1" applyFill="1" applyFont="1">
      <alignment horizontal="center" vertical="center"/>
    </xf>
    <xf borderId="12" fillId="4" fontId="1" numFmtId="0" xfId="0" applyAlignment="1" applyBorder="1" applyFont="1">
      <alignment horizontal="center"/>
    </xf>
    <xf borderId="13" fillId="3" fontId="1" numFmtId="0" xfId="0" applyAlignment="1" applyBorder="1" applyFont="1">
      <alignment horizontal="center"/>
    </xf>
    <xf borderId="13" fillId="5" fontId="1" numFmtId="0" xfId="0" applyAlignment="1" applyBorder="1" applyFont="1">
      <alignment horizontal="center"/>
    </xf>
    <xf borderId="14" fillId="4" fontId="1" numFmtId="0" xfId="0" applyAlignment="1" applyBorder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17" fillId="5" fontId="1" numFmtId="0" xfId="0" applyAlignment="1" applyBorder="1" applyFont="1">
      <alignment horizontal="center" vertical="center"/>
    </xf>
    <xf borderId="18" fillId="3" fontId="1" numFmtId="0" xfId="0" applyAlignment="1" applyBorder="1" applyFont="1">
      <alignment horizontal="center"/>
    </xf>
    <xf borderId="18" fillId="5" fontId="1" numFmtId="0" xfId="0" applyAlignment="1" applyBorder="1" applyFont="1">
      <alignment horizontal="center"/>
    </xf>
    <xf borderId="12" fillId="3" fontId="1" numFmtId="0" xfId="0" applyAlignment="1" applyBorder="1" applyFont="1">
      <alignment horizontal="center"/>
    </xf>
    <xf borderId="12" fillId="6" fontId="1" numFmtId="0" xfId="0" applyAlignment="1" applyBorder="1" applyFill="1" applyFont="1">
      <alignment horizontal="center"/>
    </xf>
    <xf borderId="12" fillId="5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/>
    </xf>
    <xf borderId="19" fillId="5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14" fillId="3" fontId="1" numFmtId="0" xfId="0" applyAlignment="1" applyBorder="1" applyFont="1">
      <alignment horizontal="center"/>
    </xf>
    <xf borderId="20" fillId="5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/>
    </xf>
    <xf borderId="21" fillId="3" fontId="1" numFmtId="0" xfId="0" applyAlignment="1" applyBorder="1" applyFont="1">
      <alignment horizontal="center"/>
    </xf>
    <xf borderId="22" fillId="0" fontId="2" numFmtId="0" xfId="0" applyBorder="1" applyFont="1"/>
    <xf borderId="23" fillId="0" fontId="2" numFmtId="0" xfId="0" applyBorder="1" applyFont="1"/>
    <xf borderId="24" fillId="6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18" fillId="5" fontId="1" numFmtId="0" xfId="0" applyAlignment="1" applyBorder="1" applyFont="1">
      <alignment horizontal="center" vertical="center"/>
    </xf>
    <xf borderId="18" fillId="3" fontId="1" numFmtId="0" xfId="0" applyAlignment="1" applyBorder="1" applyFont="1">
      <alignment horizontal="center" vertical="center"/>
    </xf>
    <xf borderId="25" fillId="3" fontId="1" numFmtId="0" xfId="0" applyAlignment="1" applyBorder="1" applyFont="1">
      <alignment horizontal="center"/>
    </xf>
    <xf borderId="3" fillId="4" fontId="1" numFmtId="0" xfId="0" applyAlignment="1" applyBorder="1" applyFont="1">
      <alignment horizontal="center"/>
    </xf>
    <xf borderId="11" fillId="5" fontId="1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26" fillId="3" fontId="1" numFmtId="0" xfId="0" applyAlignment="1" applyBorder="1" applyFont="1">
      <alignment horizontal="center"/>
    </xf>
    <xf borderId="27" fillId="0" fontId="2" numFmtId="0" xfId="0" applyBorder="1" applyFont="1"/>
    <xf borderId="28" fillId="0" fontId="2" numFmtId="0" xfId="0" applyBorder="1" applyFont="1"/>
    <xf borderId="29" fillId="5" fontId="1" numFmtId="0" xfId="0" applyAlignment="1" applyBorder="1" applyFont="1">
      <alignment horizontal="center"/>
    </xf>
    <xf borderId="17" fillId="5" fontId="1" numFmtId="0" xfId="0" applyAlignment="1" applyBorder="1" applyFont="1">
      <alignment horizontal="center"/>
    </xf>
    <xf borderId="0" fillId="0" fontId="1" numFmtId="0" xfId="0" applyFont="1"/>
    <xf borderId="30" fillId="4" fontId="1" numFmtId="0" xfId="0" applyAlignment="1" applyBorder="1" applyFont="1">
      <alignment horizontal="center"/>
    </xf>
    <xf borderId="31" fillId="0" fontId="2" numFmtId="0" xfId="0" applyBorder="1" applyFont="1"/>
    <xf borderId="7" fillId="3" fontId="1" numFmtId="0" xfId="0" applyAlignment="1" applyBorder="1" applyFont="1">
      <alignment horizontal="center" vertical="center"/>
    </xf>
    <xf borderId="7" fillId="5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3" fillId="3" fontId="1" numFmtId="0" xfId="0" applyAlignment="1" applyBorder="1" applyFont="1">
      <alignment horizontal="left"/>
    </xf>
    <xf borderId="32" fillId="4" fontId="1" numFmtId="0" xfId="0" applyAlignment="1" applyBorder="1" applyFont="1">
      <alignment horizontal="center" vertical="center"/>
    </xf>
    <xf borderId="33" fillId="4" fontId="1" numFmtId="0" xfId="0" applyAlignment="1" applyBorder="1" applyFont="1">
      <alignment horizontal="center"/>
    </xf>
    <xf borderId="18" fillId="3" fontId="1" numFmtId="0" xfId="0" applyAlignment="1" applyBorder="1" applyFont="1">
      <alignment horizontal="left"/>
    </xf>
    <xf borderId="17" fillId="5" fontId="1" numFmtId="10" xfId="0" applyAlignment="1" applyBorder="1" applyFont="1" applyNumberFormat="1">
      <alignment horizontal="center"/>
    </xf>
    <xf borderId="34" fillId="0" fontId="2" numFmtId="0" xfId="0" applyBorder="1" applyFont="1"/>
    <xf borderId="13" fillId="4" fontId="1" numFmtId="0" xfId="0" applyAlignment="1" applyBorder="1" applyFont="1">
      <alignment horizontal="center"/>
    </xf>
    <xf borderId="17" fillId="4" fontId="1" numFmtId="0" xfId="0" applyAlignment="1" applyBorder="1" applyFont="1">
      <alignment horizontal="center"/>
    </xf>
    <xf borderId="35" fillId="0" fontId="2" numFmtId="0" xfId="0" applyBorder="1" applyFont="1"/>
    <xf borderId="7" fillId="4" fontId="1" numFmtId="0" xfId="0" applyAlignment="1" applyBorder="1" applyFont="1">
      <alignment horizontal="left"/>
    </xf>
    <xf borderId="29" fillId="4" fontId="1" numFmtId="0" xfId="0" applyAlignment="1" applyBorder="1" applyFont="1">
      <alignment horizontal="center"/>
    </xf>
    <xf borderId="36" fillId="3" fontId="1" numFmtId="0" xfId="0" applyAlignment="1" applyBorder="1" applyFont="1">
      <alignment horizontal="center"/>
    </xf>
    <xf borderId="13" fillId="5" fontId="1" numFmtId="0" xfId="0" applyAlignment="1" applyBorder="1" applyFont="1">
      <alignment horizontal="center" vertical="center"/>
    </xf>
    <xf borderId="36" fillId="7" fontId="1" numFmtId="0" xfId="0" applyAlignment="1" applyBorder="1" applyFill="1" applyFont="1">
      <alignment horizontal="center" vertical="center"/>
    </xf>
    <xf borderId="13" fillId="7" fontId="1" numFmtId="0" xfId="0" applyAlignment="1" applyBorder="1" applyFont="1">
      <alignment horizontal="center" vertical="center"/>
    </xf>
    <xf borderId="37" fillId="3" fontId="1" numFmtId="0" xfId="0" applyAlignment="1" applyBorder="1" applyFont="1">
      <alignment horizontal="center"/>
    </xf>
    <xf borderId="37" fillId="7" fontId="1" numFmtId="0" xfId="0" applyAlignment="1" applyBorder="1" applyFont="1">
      <alignment horizontal="center" vertical="center"/>
    </xf>
    <xf borderId="18" fillId="7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38" fillId="3" fontId="1" numFmtId="0" xfId="0" applyAlignment="1" applyBorder="1" applyFont="1">
      <alignment horizontal="center"/>
    </xf>
    <xf borderId="38" fillId="7" fontId="1" numFmtId="0" xfId="0" applyAlignment="1" applyBorder="1" applyFont="1">
      <alignment horizontal="center" vertical="center"/>
    </xf>
    <xf borderId="7" fillId="7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39" fillId="5" fontId="1" numFmtId="0" xfId="0" applyAlignment="1" applyBorder="1" applyFont="1">
      <alignment horizontal="center" vertical="center"/>
    </xf>
    <xf borderId="40" fillId="5" fontId="1" numFmtId="0" xfId="0" applyAlignment="1" applyBorder="1" applyFont="1">
      <alignment horizontal="center" vertical="center"/>
    </xf>
    <xf borderId="41" fillId="4" fontId="1" numFmtId="0" xfId="0" applyAlignment="1" applyBorder="1" applyFont="1">
      <alignment horizontal="center" vertical="center"/>
    </xf>
    <xf borderId="42" fillId="0" fontId="2" numFmtId="0" xfId="0" applyBorder="1" applyFont="1"/>
    <xf borderId="18" fillId="4" fontId="1" numFmtId="0" xfId="0" applyAlignment="1" applyBorder="1" applyFont="1">
      <alignment horizontal="center"/>
    </xf>
    <xf borderId="18" fillId="6" fontId="1" numFmtId="0" xfId="0" applyAlignment="1" applyBorder="1" applyFont="1">
      <alignment horizontal="center" vertical="center"/>
    </xf>
    <xf borderId="43" fillId="0" fontId="2" numFmtId="0" xfId="0" applyBorder="1" applyFont="1"/>
    <xf borderId="13" fillId="7" fontId="1" numFmtId="0" xfId="0" applyAlignment="1" applyBorder="1" applyFont="1">
      <alignment horizontal="center"/>
    </xf>
    <xf borderId="17" fillId="7" fontId="1" numFmtId="0" xfId="0" applyAlignment="1" applyBorder="1" applyFont="1">
      <alignment horizontal="center"/>
    </xf>
    <xf borderId="18" fillId="7" fontId="1" numFmtId="0" xfId="0" applyAlignment="1" applyBorder="1" applyFont="1">
      <alignment horizontal="center"/>
    </xf>
    <xf borderId="29" fillId="5" fontId="1" numFmtId="0" xfId="0" applyAlignment="1" applyBorder="1" applyFont="1">
      <alignment horizontal="center" vertical="center"/>
    </xf>
    <xf borderId="44" fillId="5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18" fillId="5" fontId="1" numFmtId="0" xfId="0" applyAlignment="1" applyBorder="1" applyFont="1">
      <alignment horizontal="left"/>
    </xf>
    <xf borderId="7" fillId="5" fontId="1" numFmtId="0" xfId="0" applyAlignment="1" applyBorder="1" applyFont="1">
      <alignment horizontal="left"/>
    </xf>
    <xf borderId="25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44" fillId="4" fontId="1" numFmtId="0" xfId="0" applyAlignment="1" applyBorder="1" applyFont="1">
      <alignment horizontal="center" vertical="center"/>
    </xf>
    <xf borderId="29" fillId="4" fontId="1" numFmtId="0" xfId="0" applyAlignment="1" applyBorder="1" applyFont="1">
      <alignment horizontal="center" vertical="center"/>
    </xf>
    <xf borderId="45" fillId="0" fontId="1" numFmtId="0" xfId="0" applyBorder="1" applyFont="1"/>
    <xf borderId="12" fillId="7" fontId="1" numFmtId="0" xfId="0" applyAlignment="1" applyBorder="1" applyFont="1">
      <alignment horizontal="center"/>
    </xf>
    <xf borderId="46" fillId="0" fontId="2" numFmtId="0" xfId="0" applyBorder="1" applyFont="1"/>
    <xf borderId="36" fillId="5" fontId="1" numFmtId="0" xfId="0" applyAlignment="1" applyBorder="1" applyFont="1">
      <alignment horizontal="center"/>
    </xf>
    <xf borderId="37" fillId="5" fontId="1" numFmtId="0" xfId="0" applyAlignment="1" applyBorder="1" applyFont="1">
      <alignment horizontal="center"/>
    </xf>
    <xf borderId="38" fillId="5" fontId="1" numFmtId="0" xfId="0" applyAlignment="1" applyBorder="1" applyFont="1">
      <alignment horizontal="center"/>
    </xf>
    <xf borderId="47" fillId="0" fontId="2" numFmtId="0" xfId="0" applyBorder="1" applyFont="1"/>
    <xf borderId="25" fillId="7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13" fillId="3" fontId="1" numFmtId="0" xfId="0" applyBorder="1" applyFont="1"/>
    <xf borderId="48" fillId="5" fontId="1" numFmtId="0" xfId="0" applyAlignment="1" applyBorder="1" applyFont="1">
      <alignment horizontal="center"/>
    </xf>
    <xf borderId="11" fillId="7" fontId="1" numFmtId="0" xfId="0" applyAlignment="1" applyBorder="1" applyFont="1">
      <alignment horizontal="center"/>
    </xf>
    <xf borderId="18" fillId="3" fontId="1" numFmtId="0" xfId="0" applyBorder="1" applyFont="1"/>
    <xf borderId="49" fillId="5" fontId="1" numFmtId="0" xfId="0" applyAlignment="1" applyBorder="1" applyFont="1">
      <alignment horizontal="center"/>
    </xf>
    <xf borderId="7" fillId="3" fontId="1" numFmtId="0" xfId="0" applyBorder="1" applyFont="1"/>
    <xf borderId="50" fillId="5" fontId="1" numFmtId="0" xfId="0" applyAlignment="1" applyBorder="1" applyFont="1">
      <alignment horizontal="center"/>
    </xf>
    <xf borderId="7" fillId="7" fontId="1" numFmtId="0" xfId="0" applyAlignment="1" applyBorder="1" applyFont="1">
      <alignment horizontal="center"/>
    </xf>
    <xf borderId="29" fillId="7" fontId="1" numFmtId="0" xfId="0" applyAlignment="1" applyBorder="1" applyFont="1">
      <alignment horizontal="center"/>
    </xf>
    <xf borderId="26" fillId="5" fontId="1" numFmtId="0" xfId="0" applyAlignment="1" applyBorder="1" applyFont="1">
      <alignment horizontal="center"/>
    </xf>
    <xf borderId="40" fillId="7" fontId="1" numFmtId="0" xfId="0" applyAlignment="1" applyBorder="1" applyFont="1">
      <alignment horizontal="center"/>
    </xf>
    <xf borderId="51" fillId="3" fontId="1" numFmtId="0" xfId="0" applyAlignment="1" applyBorder="1" applyFont="1">
      <alignment horizontal="center"/>
    </xf>
    <xf borderId="52" fillId="0" fontId="2" numFmtId="0" xfId="0" applyBorder="1" applyFont="1"/>
    <xf borderId="53" fillId="0" fontId="2" numFmtId="0" xfId="0" applyBorder="1" applyFont="1"/>
    <xf borderId="54" fillId="5" fontId="1" numFmtId="0" xfId="0" applyAlignment="1" applyBorder="1" applyFont="1">
      <alignment horizontal="center" vertical="center"/>
    </xf>
    <xf borderId="54" fillId="4" fontId="1" numFmtId="0" xfId="0" applyAlignment="1" applyBorder="1" applyFont="1">
      <alignment horizontal="center"/>
    </xf>
    <xf borderId="55" fillId="4" fontId="1" numFmtId="0" xfId="0" applyAlignment="1" applyBorder="1" applyFont="1">
      <alignment horizontal="center"/>
    </xf>
    <xf borderId="56" fillId="5" fontId="1" numFmtId="0" xfId="0" applyAlignment="1" applyBorder="1" applyFont="1">
      <alignment horizontal="center" vertical="center"/>
    </xf>
    <xf borderId="54" fillId="3" fontId="1" numFmtId="0" xfId="0" applyAlignment="1" applyBorder="1" applyFont="1">
      <alignment horizontal="center"/>
    </xf>
    <xf borderId="54" fillId="5" fontId="1" numFmtId="0" xfId="0" applyAlignment="1" applyBorder="1" applyFont="1">
      <alignment horizontal="center"/>
    </xf>
    <xf borderId="19" fillId="5" fontId="1" numFmtId="0" xfId="0" applyAlignment="1" applyBorder="1" applyFont="1">
      <alignment horizontal="center"/>
    </xf>
    <xf borderId="56" fillId="3" fontId="1" numFmtId="0" xfId="0" applyAlignment="1" applyBorder="1" applyFont="1">
      <alignment horizontal="center"/>
    </xf>
    <xf borderId="56" fillId="5" fontId="1" numFmtId="0" xfId="0" applyAlignment="1" applyBorder="1" applyFont="1">
      <alignment horizontal="center"/>
    </xf>
    <xf borderId="20" fillId="5" fontId="1" numFmtId="0" xfId="0" applyAlignment="1" applyBorder="1" applyFont="1">
      <alignment horizontal="center"/>
    </xf>
    <xf borderId="57" fillId="5" fontId="1" numFmtId="0" xfId="0" applyAlignment="1" applyBorder="1" applyFont="1">
      <alignment horizontal="center" vertical="center"/>
    </xf>
    <xf borderId="57" fillId="3" fontId="1" numFmtId="0" xfId="0" applyAlignment="1" applyBorder="1" applyFont="1">
      <alignment horizontal="center"/>
    </xf>
    <xf borderId="57" fillId="5" fontId="1" numFmtId="0" xfId="0" applyAlignment="1" applyBorder="1" applyFont="1">
      <alignment horizontal="center"/>
    </xf>
    <xf borderId="24" fillId="5" fontId="1" numFmtId="0" xfId="0" applyAlignment="1" applyBorder="1" applyFont="1">
      <alignment horizontal="center"/>
    </xf>
    <xf borderId="58" fillId="4" fontId="1" numFmtId="0" xfId="0" applyAlignment="1" applyBorder="1" applyFont="1">
      <alignment horizontal="center"/>
    </xf>
    <xf borderId="59" fillId="4" fontId="1" numFmtId="0" xfId="0" applyAlignment="1" applyBorder="1" applyFont="1">
      <alignment horizontal="center"/>
    </xf>
    <xf borderId="60" fillId="3" fontId="1" numFmtId="0" xfId="0" applyAlignment="1" applyBorder="1" applyFont="1">
      <alignment horizontal="center" vertical="center"/>
    </xf>
    <xf borderId="56" fillId="3" fontId="1" numFmtId="0" xfId="0" applyAlignment="1" applyBorder="1" applyFont="1">
      <alignment horizontal="center" vertical="center"/>
    </xf>
    <xf borderId="58" fillId="3" fontId="1" numFmtId="0" xfId="0" applyAlignment="1" applyBorder="1" applyFont="1">
      <alignment horizontal="center" vertical="center"/>
    </xf>
    <xf borderId="58" fillId="5" fontId="1" numFmtId="0" xfId="0" applyAlignment="1" applyBorder="1" applyFont="1">
      <alignment horizontal="center" vertical="center"/>
    </xf>
    <xf borderId="59" fillId="5" fontId="1" numFmtId="0" xfId="0" applyAlignment="1" applyBorder="1" applyFont="1">
      <alignment horizontal="center" vertical="center"/>
    </xf>
    <xf borderId="61" fillId="3" fontId="1" numFmtId="0" xfId="0" applyAlignment="1" applyBorder="1" applyFont="1">
      <alignment horizontal="center"/>
    </xf>
    <xf borderId="61" fillId="5" fontId="1" numFmtId="0" xfId="0" applyAlignment="1" applyBorder="1" applyFont="1">
      <alignment horizontal="center"/>
    </xf>
    <xf borderId="62" fillId="5" fontId="1" numFmtId="0" xfId="0" applyAlignment="1" applyBorder="1" applyFont="1">
      <alignment horizontal="center"/>
    </xf>
    <xf borderId="63" fillId="4" fontId="1" numFmtId="0" xfId="0" applyAlignment="1" applyBorder="1" applyFont="1">
      <alignment horizontal="center"/>
    </xf>
    <xf borderId="64" fillId="4" fontId="1" numFmtId="0" xfId="0" applyAlignment="1" applyBorder="1" applyFont="1">
      <alignment horizontal="center"/>
    </xf>
    <xf borderId="24" fillId="5" fontId="1" numFmtId="0" xfId="0" applyAlignment="1" applyBorder="1" applyFont="1">
      <alignment horizontal="center" vertical="center"/>
    </xf>
    <xf borderId="11" fillId="4" fontId="1" numFmtId="0" xfId="0" applyAlignment="1" applyBorder="1" applyFont="1">
      <alignment horizontal="center"/>
    </xf>
    <xf borderId="63" fillId="0" fontId="4" numFmtId="0" xfId="0" applyAlignment="1" applyBorder="1" applyFont="1">
      <alignment horizontal="center"/>
    </xf>
    <xf borderId="53" fillId="0" fontId="4" numFmtId="0" xfId="0" applyAlignment="1" applyBorder="1" applyFont="1">
      <alignment horizontal="center"/>
    </xf>
    <xf borderId="13" fillId="8" fontId="1" numFmtId="0" xfId="0" applyAlignment="1" applyBorder="1" applyFill="1" applyFont="1">
      <alignment horizontal="center"/>
    </xf>
    <xf borderId="11" fillId="9" fontId="1" numFmtId="0" xfId="0" applyAlignment="1" applyBorder="1" applyFill="1" applyFont="1">
      <alignment horizontal="left"/>
    </xf>
    <xf borderId="65" fillId="0" fontId="1" numFmtId="0" xfId="0" applyAlignment="1" applyBorder="1" applyFont="1">
      <alignment horizontal="center" vertical="center"/>
    </xf>
    <xf borderId="65" fillId="0" fontId="1" numFmtId="0" xfId="0" applyAlignment="1" applyBorder="1" applyFont="1">
      <alignment horizontal="left"/>
    </xf>
    <xf borderId="66" fillId="0" fontId="1" numFmtId="0" xfId="0" applyAlignment="1" applyBorder="1" applyFont="1">
      <alignment horizontal="left"/>
    </xf>
    <xf borderId="12" fillId="8" fontId="1" numFmtId="0" xfId="0" applyAlignment="1" applyBorder="1" applyFont="1">
      <alignment horizontal="center"/>
    </xf>
    <xf borderId="33" fillId="9" fontId="1" numFmtId="0" xfId="0" applyAlignment="1" applyBorder="1" applyFont="1">
      <alignment horizontal="left"/>
    </xf>
    <xf borderId="67" fillId="0" fontId="2" numFmtId="0" xfId="0" applyBorder="1" applyFont="1"/>
    <xf borderId="67" fillId="0" fontId="1" numFmtId="0" xfId="0" applyAlignment="1" applyBorder="1" applyFont="1">
      <alignment horizontal="left"/>
    </xf>
    <xf borderId="68" fillId="0" fontId="1" numFmtId="0" xfId="0" applyAlignment="1" applyBorder="1" applyFont="1">
      <alignment horizontal="left"/>
    </xf>
    <xf borderId="33" fillId="10" fontId="1" numFmtId="0" xfId="0" applyAlignment="1" applyBorder="1" applyFill="1" applyFont="1">
      <alignment horizontal="left"/>
    </xf>
    <xf borderId="67" fillId="0" fontId="1" numFmtId="0" xfId="0" applyAlignment="1" applyBorder="1" applyFont="1">
      <alignment horizontal="center"/>
    </xf>
    <xf borderId="66" fillId="0" fontId="1" numFmtId="0" xfId="0" applyAlignment="1" applyBorder="1" applyFont="1">
      <alignment horizontal="left" vertical="center"/>
    </xf>
    <xf borderId="69" fillId="8" fontId="1" numFmtId="0" xfId="0" applyAlignment="1" applyBorder="1" applyFont="1">
      <alignment horizontal="center" vertical="center"/>
    </xf>
    <xf borderId="13" fillId="10" fontId="1" numFmtId="0" xfId="0" applyAlignment="1" applyBorder="1" applyFont="1">
      <alignment horizontal="left"/>
    </xf>
    <xf borderId="70" fillId="0" fontId="1" numFmtId="0" xfId="0" applyAlignment="1" applyBorder="1" applyFont="1">
      <alignment horizontal="center"/>
    </xf>
    <xf borderId="70" fillId="0" fontId="1" numFmtId="0" xfId="0" applyAlignment="1" applyBorder="1" applyFont="1">
      <alignment horizontal="left"/>
    </xf>
    <xf borderId="71" fillId="0" fontId="2" numFmtId="0" xfId="0" applyBorder="1" applyFont="1"/>
    <xf borderId="18" fillId="10" fontId="1" numFmtId="0" xfId="0" applyBorder="1" applyFont="1"/>
    <xf borderId="7" fillId="10" fontId="1" numFmtId="0" xfId="0" applyBorder="1" applyFont="1"/>
    <xf borderId="41" fillId="8" fontId="1" numFmtId="0" xfId="0" applyAlignment="1" applyBorder="1" applyFont="1">
      <alignment horizontal="center" vertical="center"/>
    </xf>
    <xf borderId="13" fillId="11" fontId="1" numFmtId="0" xfId="0" applyBorder="1" applyFill="1" applyFont="1"/>
    <xf borderId="7" fillId="11" fontId="1" numFmtId="0" xfId="0" applyBorder="1" applyFont="1"/>
    <xf borderId="18" fillId="11" fontId="1" numFmtId="0" xfId="0" applyBorder="1" applyFont="1"/>
    <xf borderId="25" fillId="12" fontId="1" numFmtId="0" xfId="0" applyAlignment="1" applyBorder="1" applyFill="1" applyFont="1">
      <alignment horizontal="center"/>
    </xf>
    <xf borderId="12" fillId="0" fontId="1" numFmtId="0" xfId="0" applyBorder="1" applyFont="1"/>
    <xf borderId="38" fillId="12" fontId="1" numFmtId="0" xfId="0" applyAlignment="1" applyBorder="1" applyFont="1">
      <alignment horizontal="center" vertical="center"/>
    </xf>
    <xf borderId="4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30</xdr:row>
      <xdr:rowOff>190500</xdr:rowOff>
    </xdr:from>
    <xdr:ext cx="7334250" cy="3810000"/>
    <xdr:pic>
      <xdr:nvPicPr>
        <xdr:cNvPr id="0" name="image7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14</xdr:row>
      <xdr:rowOff>95250</xdr:rowOff>
    </xdr:from>
    <xdr:ext cx="2933700" cy="1085850"/>
    <xdr:pic>
      <xdr:nvPicPr>
        <xdr:cNvPr id="0" name="image2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22</xdr:row>
      <xdr:rowOff>76200</xdr:rowOff>
    </xdr:from>
    <xdr:ext cx="7496175" cy="1666875"/>
    <xdr:pic>
      <xdr:nvPicPr>
        <xdr:cNvPr id="0" name="image1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247650</xdr:colOff>
      <xdr:row>2</xdr:row>
      <xdr:rowOff>190500</xdr:rowOff>
    </xdr:from>
    <xdr:ext cx="3057525" cy="3009900"/>
    <xdr:pic>
      <xdr:nvPicPr>
        <xdr:cNvPr id="0" name="image3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990600</xdr:colOff>
      <xdr:row>37</xdr:row>
      <xdr:rowOff>200025</xdr:rowOff>
    </xdr:from>
    <xdr:ext cx="2809875" cy="2105025"/>
    <xdr:pic>
      <xdr:nvPicPr>
        <xdr:cNvPr id="0" name="image5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37</xdr:row>
      <xdr:rowOff>200025</xdr:rowOff>
    </xdr:from>
    <xdr:ext cx="2676525" cy="609600"/>
    <xdr:pic>
      <xdr:nvPicPr>
        <xdr:cNvPr id="0" name="image4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32</xdr:row>
      <xdr:rowOff>19050</xdr:rowOff>
    </xdr:from>
    <xdr:ext cx="7334250" cy="3810000"/>
    <xdr:pic>
      <xdr:nvPicPr>
        <xdr:cNvPr id="0" name="image7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14</xdr:row>
      <xdr:rowOff>95250</xdr:rowOff>
    </xdr:from>
    <xdr:ext cx="2933700" cy="1085850"/>
    <xdr:pic>
      <xdr:nvPicPr>
        <xdr:cNvPr id="0" name="image2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22</xdr:row>
      <xdr:rowOff>76200</xdr:rowOff>
    </xdr:from>
    <xdr:ext cx="7496175" cy="1666875"/>
    <xdr:pic>
      <xdr:nvPicPr>
        <xdr:cNvPr id="0" name="image1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47625</xdr:colOff>
      <xdr:row>1</xdr:row>
      <xdr:rowOff>95250</xdr:rowOff>
    </xdr:from>
    <xdr:ext cx="3057525" cy="3009900"/>
    <xdr:pic>
      <xdr:nvPicPr>
        <xdr:cNvPr id="0" name="image3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0</xdr:row>
      <xdr:rowOff>0</xdr:rowOff>
    </xdr:from>
    <xdr:ext cx="3095625" cy="323850"/>
    <xdr:pic>
      <xdr:nvPicPr>
        <xdr:cNvPr id="0" name="image6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990600</xdr:colOff>
      <xdr:row>37</xdr:row>
      <xdr:rowOff>200025</xdr:rowOff>
    </xdr:from>
    <xdr:ext cx="2809875" cy="2105025"/>
    <xdr:pic>
      <xdr:nvPicPr>
        <xdr:cNvPr id="0" name="image5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37</xdr:row>
      <xdr:rowOff>200025</xdr:rowOff>
    </xdr:from>
    <xdr:ext cx="2676525" cy="609600"/>
    <xdr:pic>
      <xdr:nvPicPr>
        <xdr:cNvPr id="0" name="image4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9.14"/>
    <col customWidth="1" min="3" max="3" width="3.14"/>
    <col customWidth="1" min="7" max="7" width="20.57"/>
    <col customWidth="1" min="8" max="8" width="2.71"/>
    <col customWidth="1" min="9" max="9" width="22.86"/>
    <col customWidth="1" min="10" max="10" width="14.14"/>
    <col customWidth="1" min="11" max="11" width="22.86"/>
    <col customWidth="1" min="12" max="12" width="3.0"/>
    <col customWidth="1" min="13" max="13" width="7.57"/>
  </cols>
  <sheetData>
    <row r="2">
      <c r="A2" s="1" t="s">
        <v>0</v>
      </c>
      <c r="B2" s="2"/>
      <c r="D2" s="3" t="s">
        <v>1</v>
      </c>
      <c r="E2" s="4"/>
      <c r="F2" s="4"/>
      <c r="G2" s="5"/>
      <c r="I2" s="6" t="s">
        <v>2</v>
      </c>
      <c r="J2" s="7"/>
      <c r="K2" s="2"/>
    </row>
    <row r="3">
      <c r="A3" s="8" t="s">
        <v>3</v>
      </c>
      <c r="B3" s="8" t="s">
        <v>4</v>
      </c>
      <c r="D3" s="9" t="s">
        <v>5</v>
      </c>
      <c r="E3" s="10"/>
      <c r="F3" s="11"/>
      <c r="G3" s="12">
        <f>28+(40*LOG(G14,10))+(20*LOG(3500,10))-(9*LOG10((G7)^2+(25-1.5)^2))</f>
        <v>94.47515912</v>
      </c>
      <c r="I3" s="13" t="s">
        <v>6</v>
      </c>
      <c r="J3" s="13" t="s">
        <v>4</v>
      </c>
      <c r="K3" s="13" t="s">
        <v>7</v>
      </c>
    </row>
    <row r="4">
      <c r="A4" s="14" t="s">
        <v>8</v>
      </c>
      <c r="B4" s="15">
        <v>107.8</v>
      </c>
      <c r="D4" s="16" t="s">
        <v>9</v>
      </c>
      <c r="E4" s="17"/>
      <c r="F4" s="18"/>
      <c r="G4" s="19">
        <f>28+(40*LOG(G16,10))+(20*LOG(3500,10))-(9*LOG10((G7)^2+(25-1.5)^2))</f>
        <v>94.05705305</v>
      </c>
      <c r="I4" s="14" t="s">
        <v>10</v>
      </c>
      <c r="J4" s="15">
        <v>49.0</v>
      </c>
      <c r="K4" s="15" t="s">
        <v>11</v>
      </c>
    </row>
    <row r="5">
      <c r="A5" s="20" t="s">
        <v>12</v>
      </c>
      <c r="B5" s="21">
        <f>1.95*2.6*(G20^2)</f>
        <v>16.87310935</v>
      </c>
      <c r="D5" s="16" t="s">
        <v>13</v>
      </c>
      <c r="E5" s="17"/>
      <c r="F5" s="18"/>
      <c r="G5" s="19">
        <f>13.54+(39.081*LOG(G20,10))+(20*LOG(3500,10))-0.6*(1.75-1.5)</f>
        <v>94.47515912</v>
      </c>
      <c r="I5" s="20" t="s">
        <v>14</v>
      </c>
      <c r="J5" s="21">
        <v>5.0</v>
      </c>
      <c r="K5" s="21" t="s">
        <v>15</v>
      </c>
    </row>
    <row r="6">
      <c r="A6" s="22" t="s">
        <v>16</v>
      </c>
      <c r="B6" s="23">
        <f>CEILING(B4/B5,1)</f>
        <v>7</v>
      </c>
      <c r="D6" s="16" t="s">
        <v>17</v>
      </c>
      <c r="E6" s="17"/>
      <c r="F6" s="18"/>
      <c r="G6" s="19">
        <f>13.54+(39.081*LOG(G22,10))+(20*LOG(3500,10))-0.6*(1.75-1.5)</f>
        <v>91.47515912</v>
      </c>
      <c r="I6" s="20" t="s">
        <v>18</v>
      </c>
      <c r="J6" s="21">
        <v>5.0</v>
      </c>
      <c r="K6" s="21" t="s">
        <v>19</v>
      </c>
    </row>
    <row r="7">
      <c r="A7" s="22" t="s">
        <v>20</v>
      </c>
      <c r="B7" s="24">
        <f>(SQRT(3*3))*G20</f>
        <v>5.472866262</v>
      </c>
      <c r="D7" s="16" t="s">
        <v>21</v>
      </c>
      <c r="E7" s="17"/>
      <c r="F7" s="18"/>
      <c r="G7" s="19">
        <v>100.0</v>
      </c>
      <c r="I7" s="20" t="s">
        <v>22</v>
      </c>
      <c r="J7" s="21">
        <f>J4+J5-J6-(10*LOG(J8,10))</f>
        <v>16.90484985</v>
      </c>
      <c r="K7" s="21" t="s">
        <v>23</v>
      </c>
    </row>
    <row r="8">
      <c r="A8" s="1" t="s">
        <v>24</v>
      </c>
      <c r="B8" s="2"/>
      <c r="D8" s="25" t="s">
        <v>25</v>
      </c>
      <c r="E8" s="10"/>
      <c r="F8" s="11"/>
      <c r="G8" s="26">
        <f>MAX(G3:G4)</f>
        <v>94.47515912</v>
      </c>
      <c r="I8" s="27" t="s">
        <v>26</v>
      </c>
      <c r="J8" s="28">
        <f>135*12</f>
        <v>1620</v>
      </c>
      <c r="K8" s="28" t="s">
        <v>27</v>
      </c>
    </row>
    <row r="9">
      <c r="A9" s="8" t="s">
        <v>3</v>
      </c>
      <c r="B9" s="8" t="s">
        <v>4</v>
      </c>
      <c r="D9" s="29" t="s">
        <v>28</v>
      </c>
      <c r="E9" s="17"/>
      <c r="F9" s="18"/>
      <c r="G9" s="30">
        <f>MAX(G5:G6)</f>
        <v>94.47515912</v>
      </c>
      <c r="I9" s="13" t="s">
        <v>29</v>
      </c>
      <c r="J9" s="13" t="s">
        <v>4</v>
      </c>
      <c r="K9" s="13" t="s">
        <v>7</v>
      </c>
      <c r="M9" s="31" t="s">
        <v>30</v>
      </c>
      <c r="N9" s="2"/>
    </row>
    <row r="10">
      <c r="A10" s="14" t="s">
        <v>8</v>
      </c>
      <c r="B10" s="15">
        <v>107.8</v>
      </c>
      <c r="D10" s="32" t="s">
        <v>31</v>
      </c>
      <c r="E10" s="33"/>
      <c r="F10" s="34"/>
      <c r="G10" s="35">
        <f>MAX(G8:G9)</f>
        <v>94.47515912</v>
      </c>
      <c r="I10" s="36" t="s">
        <v>32</v>
      </c>
      <c r="J10" s="37">
        <v>7.0</v>
      </c>
      <c r="K10" s="37" t="s">
        <v>33</v>
      </c>
      <c r="M10" s="14" t="s">
        <v>34</v>
      </c>
      <c r="N10" s="14">
        <f>1.38*10^-23</f>
        <v>0</v>
      </c>
    </row>
    <row r="11">
      <c r="A11" s="20" t="s">
        <v>35</v>
      </c>
      <c r="B11" s="21">
        <f>1.95*2.6*(G22^2)</f>
        <v>11.84862164</v>
      </c>
      <c r="I11" s="38" t="s">
        <v>36</v>
      </c>
      <c r="J11" s="37">
        <f>N15</f>
        <v>-99.57030927</v>
      </c>
      <c r="K11" s="37" t="s">
        <v>37</v>
      </c>
      <c r="M11" s="20" t="s">
        <v>38</v>
      </c>
      <c r="N11" s="20">
        <v>80.0</v>
      </c>
    </row>
    <row r="12">
      <c r="A12" s="39" t="s">
        <v>16</v>
      </c>
      <c r="B12" s="23">
        <f>CEILING(B10/B11,1)</f>
        <v>10</v>
      </c>
      <c r="D12" s="3" t="s">
        <v>39</v>
      </c>
      <c r="E12" s="4"/>
      <c r="F12" s="4"/>
      <c r="G12" s="5"/>
      <c r="I12" s="38" t="s">
        <v>40</v>
      </c>
      <c r="J12" s="37">
        <v>5.0</v>
      </c>
      <c r="K12" s="37" t="s">
        <v>41</v>
      </c>
      <c r="M12" s="20" t="s">
        <v>42</v>
      </c>
      <c r="N12" s="20">
        <f>100*10^6</f>
        <v>100000000</v>
      </c>
    </row>
    <row r="13">
      <c r="A13" s="22" t="s">
        <v>43</v>
      </c>
      <c r="B13" s="28">
        <f>(SQRT(3*3))*G22</f>
        <v>4.586181001</v>
      </c>
      <c r="D13" s="40" t="s">
        <v>44</v>
      </c>
      <c r="E13" s="4"/>
      <c r="F13" s="5"/>
      <c r="G13" s="41">
        <f>J19</f>
        <v>94.47515912</v>
      </c>
      <c r="I13" s="38" t="s">
        <v>45</v>
      </c>
      <c r="J13" s="37">
        <f>J10+J11+J12</f>
        <v>-87.57030927</v>
      </c>
      <c r="K13" s="37" t="s">
        <v>46</v>
      </c>
      <c r="M13" s="15" t="s">
        <v>47</v>
      </c>
      <c r="N13" s="41">
        <f>N10*N11*N12</f>
        <v>0</v>
      </c>
    </row>
    <row r="14">
      <c r="A14" s="42" t="s">
        <v>48</v>
      </c>
      <c r="B14" s="2"/>
      <c r="D14" s="43" t="s">
        <v>49</v>
      </c>
      <c r="E14" s="44"/>
      <c r="F14" s="45"/>
      <c r="G14" s="46">
        <f>10^((G19-28-(20*LOG(3500,10))+(9*LOG((100)^2+(25-1.5)^2)))/(40))</f>
        <v>6.238750203</v>
      </c>
      <c r="I14" s="38" t="s">
        <v>50</v>
      </c>
      <c r="J14" s="37">
        <v>2.0</v>
      </c>
      <c r="K14" s="37" t="s">
        <v>51</v>
      </c>
      <c r="M14" s="21" t="s">
        <v>52</v>
      </c>
      <c r="N14" s="47">
        <f>LOG10(N13)*10</f>
        <v>-129.5703093</v>
      </c>
    </row>
    <row r="15">
      <c r="A15" s="48"/>
      <c r="B15" s="48"/>
      <c r="D15" s="49" t="s">
        <v>53</v>
      </c>
      <c r="E15" s="17"/>
      <c r="F15" s="50"/>
      <c r="G15" s="41">
        <f>J41</f>
        <v>91.47515912</v>
      </c>
      <c r="I15" s="38" t="s">
        <v>54</v>
      </c>
      <c r="J15" s="37">
        <v>6.0</v>
      </c>
      <c r="K15" s="37" t="s">
        <v>55</v>
      </c>
      <c r="M15" s="28" t="s">
        <v>56</v>
      </c>
      <c r="N15" s="46">
        <f>N14+30</f>
        <v>-99.57030927</v>
      </c>
    </row>
    <row r="16">
      <c r="D16" s="43" t="s">
        <v>49</v>
      </c>
      <c r="E16" s="44"/>
      <c r="F16" s="45"/>
      <c r="G16" s="46">
        <f>10^((G21-28-(20*LOG(2600,10))+(9*LOG((100)^2+(25-1.5)^2)))/(40))</f>
        <v>6.090387777</v>
      </c>
      <c r="I16" s="38" t="s">
        <v>57</v>
      </c>
      <c r="J16" s="37">
        <v>20.0</v>
      </c>
      <c r="K16" s="37" t="s">
        <v>58</v>
      </c>
    </row>
    <row r="17">
      <c r="I17" s="38" t="s">
        <v>59</v>
      </c>
      <c r="J17" s="37">
        <v>0.0</v>
      </c>
      <c r="K17" s="37" t="s">
        <v>60</v>
      </c>
    </row>
    <row r="18">
      <c r="D18" s="3" t="s">
        <v>61</v>
      </c>
      <c r="E18" s="4"/>
      <c r="F18" s="4"/>
      <c r="G18" s="5"/>
      <c r="I18" s="51" t="s">
        <v>62</v>
      </c>
      <c r="J18" s="52">
        <v>18.0</v>
      </c>
      <c r="K18" s="52" t="s">
        <v>63</v>
      </c>
    </row>
    <row r="19">
      <c r="D19" s="40" t="s">
        <v>44</v>
      </c>
      <c r="E19" s="4"/>
      <c r="F19" s="5"/>
      <c r="G19" s="41">
        <f>J19</f>
        <v>94.47515912</v>
      </c>
      <c r="I19" s="22" t="s">
        <v>64</v>
      </c>
      <c r="J19" s="24">
        <f>J7-J13-J14-J15-J16+J18</f>
        <v>94.47515912</v>
      </c>
      <c r="K19" s="24" t="s">
        <v>65</v>
      </c>
    </row>
    <row r="20">
      <c r="D20" s="43" t="s">
        <v>66</v>
      </c>
      <c r="E20" s="44"/>
      <c r="F20" s="45"/>
      <c r="G20" s="47">
        <f>10^((G19-13.54-(20*LOG(3500,10))+(0.6*(1.75-1.5)))/(39.081))</f>
        <v>1.824288754</v>
      </c>
    </row>
    <row r="21" ht="15.75" customHeight="1">
      <c r="D21" s="40" t="s">
        <v>53</v>
      </c>
      <c r="E21" s="4"/>
      <c r="F21" s="5"/>
      <c r="G21" s="47">
        <f>J41</f>
        <v>91.47515912</v>
      </c>
      <c r="I21" s="6" t="s">
        <v>67</v>
      </c>
      <c r="J21" s="7"/>
      <c r="K21" s="2"/>
    </row>
    <row r="22" ht="15.75" customHeight="1">
      <c r="D22" s="43" t="s">
        <v>66</v>
      </c>
      <c r="E22" s="44"/>
      <c r="F22" s="45"/>
      <c r="G22" s="46">
        <f>10^((G21-13.54-(20*LOG(3500,10))+(0.6*(1.75-1.5)))/(39.081))</f>
        <v>1.528727</v>
      </c>
      <c r="I22" s="13" t="s">
        <v>6</v>
      </c>
      <c r="J22" s="13" t="s">
        <v>4</v>
      </c>
      <c r="K22" s="13" t="s">
        <v>7</v>
      </c>
    </row>
    <row r="23" ht="15.75" customHeight="1">
      <c r="I23" s="36" t="s">
        <v>68</v>
      </c>
      <c r="J23" s="15">
        <v>49.0</v>
      </c>
      <c r="K23" s="15" t="s">
        <v>11</v>
      </c>
    </row>
    <row r="24" ht="15.75" customHeight="1">
      <c r="I24" s="20" t="s">
        <v>69</v>
      </c>
      <c r="J24" s="21">
        <v>18.0</v>
      </c>
      <c r="K24" s="21" t="s">
        <v>15</v>
      </c>
    </row>
    <row r="25" ht="15.75" customHeight="1">
      <c r="I25" s="20" t="s">
        <v>59</v>
      </c>
      <c r="J25" s="21">
        <v>1.0</v>
      </c>
      <c r="K25" s="21" t="s">
        <v>19</v>
      </c>
    </row>
    <row r="26" ht="15.75" customHeight="1">
      <c r="I26" s="20" t="s">
        <v>22</v>
      </c>
      <c r="J26" s="21">
        <f>J23+J24-J25-(10*LOG(J27,10))</f>
        <v>33.90484985</v>
      </c>
      <c r="K26" s="21" t="s">
        <v>70</v>
      </c>
    </row>
    <row r="27" ht="15.75" customHeight="1">
      <c r="I27" s="27" t="s">
        <v>26</v>
      </c>
      <c r="J27" s="28">
        <f>135*12</f>
        <v>1620</v>
      </c>
      <c r="K27" s="28" t="s">
        <v>27</v>
      </c>
    </row>
    <row r="28" ht="15.75" customHeight="1">
      <c r="I28" s="13" t="s">
        <v>29</v>
      </c>
      <c r="J28" s="13" t="s">
        <v>4</v>
      </c>
      <c r="K28" s="13" t="s">
        <v>7</v>
      </c>
    </row>
    <row r="29" ht="15.75" customHeight="1">
      <c r="I29" s="36" t="s">
        <v>71</v>
      </c>
      <c r="J29" s="37">
        <v>7.0</v>
      </c>
      <c r="K29" s="37" t="s">
        <v>33</v>
      </c>
    </row>
    <row r="30" ht="15.75" customHeight="1">
      <c r="I30" s="38" t="s">
        <v>36</v>
      </c>
      <c r="J30" s="37">
        <f>N14+30</f>
        <v>-99.57030927</v>
      </c>
      <c r="K30" s="37" t="s">
        <v>37</v>
      </c>
    </row>
    <row r="31" ht="15.75" customHeight="1">
      <c r="I31" s="38" t="s">
        <v>40</v>
      </c>
      <c r="J31" s="37">
        <v>5.0</v>
      </c>
      <c r="K31" s="37" t="s">
        <v>41</v>
      </c>
    </row>
    <row r="32" ht="15.75" customHeight="1">
      <c r="I32" s="38" t="s">
        <v>45</v>
      </c>
      <c r="J32" s="37">
        <f>J29+J30+J31</f>
        <v>-87.57030927</v>
      </c>
      <c r="K32" s="37" t="s">
        <v>46</v>
      </c>
    </row>
    <row r="33" ht="15.75" customHeight="1">
      <c r="I33" s="38" t="s">
        <v>50</v>
      </c>
      <c r="J33" s="37">
        <v>10.0</v>
      </c>
      <c r="K33" s="37" t="s">
        <v>51</v>
      </c>
    </row>
    <row r="34" ht="15.75" customHeight="1">
      <c r="I34" s="38" t="s">
        <v>54</v>
      </c>
      <c r="J34" s="37">
        <v>8.0</v>
      </c>
      <c r="K34" s="37" t="s">
        <v>55</v>
      </c>
    </row>
    <row r="35" ht="15.75" customHeight="1">
      <c r="I35" s="38" t="s">
        <v>57</v>
      </c>
      <c r="J35" s="37">
        <v>20.0</v>
      </c>
      <c r="K35" s="37" t="s">
        <v>58</v>
      </c>
    </row>
    <row r="36" ht="15.75" customHeight="1">
      <c r="I36" s="38" t="s">
        <v>18</v>
      </c>
      <c r="J36" s="37">
        <v>5.0</v>
      </c>
      <c r="K36" s="37" t="s">
        <v>72</v>
      </c>
    </row>
    <row r="37" ht="15.75" customHeight="1">
      <c r="I37" s="38" t="s">
        <v>14</v>
      </c>
      <c r="J37" s="37">
        <v>5.0</v>
      </c>
      <c r="K37" s="37" t="s">
        <v>63</v>
      </c>
    </row>
    <row r="38" ht="15.75" customHeight="1">
      <c r="I38" s="38" t="s">
        <v>73</v>
      </c>
      <c r="J38" s="37">
        <v>8.0</v>
      </c>
      <c r="K38" s="37" t="s">
        <v>74</v>
      </c>
    </row>
    <row r="39" ht="15.75" customHeight="1">
      <c r="I39" s="38" t="s">
        <v>75</v>
      </c>
      <c r="J39" s="37">
        <v>0.0</v>
      </c>
      <c r="K39" s="37" t="s">
        <v>76</v>
      </c>
    </row>
    <row r="40" ht="15.75" customHeight="1">
      <c r="I40" s="38" t="s">
        <v>77</v>
      </c>
      <c r="J40" s="37">
        <v>0.0</v>
      </c>
      <c r="K40" s="37" t="s">
        <v>78</v>
      </c>
    </row>
    <row r="41" ht="15.75" customHeight="1">
      <c r="I41" s="27" t="s">
        <v>79</v>
      </c>
      <c r="J41" s="28">
        <f>J26-J32-J33-J34-J35-J36+J37+J38-J39-J40</f>
        <v>91.47515912</v>
      </c>
      <c r="K41" s="52" t="s">
        <v>80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2:B2"/>
    <mergeCell ref="D2:G2"/>
    <mergeCell ref="I2:K2"/>
    <mergeCell ref="D3:F3"/>
    <mergeCell ref="D4:F4"/>
    <mergeCell ref="D5:F5"/>
    <mergeCell ref="D6:F6"/>
    <mergeCell ref="D7:F7"/>
    <mergeCell ref="A8:B8"/>
    <mergeCell ref="D8:F8"/>
    <mergeCell ref="D9:F9"/>
    <mergeCell ref="M9:N9"/>
    <mergeCell ref="D10:F10"/>
    <mergeCell ref="D12:G12"/>
    <mergeCell ref="D20:F20"/>
    <mergeCell ref="D21:F21"/>
    <mergeCell ref="I21:K21"/>
    <mergeCell ref="D22:F22"/>
    <mergeCell ref="D13:F13"/>
    <mergeCell ref="A14:B14"/>
    <mergeCell ref="D14:F14"/>
    <mergeCell ref="D15:F15"/>
    <mergeCell ref="D16:F16"/>
    <mergeCell ref="D18:G18"/>
    <mergeCell ref="D19:F1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6.57"/>
    <col customWidth="1" min="3" max="3" width="14.0"/>
    <col customWidth="1" min="4" max="4" width="13.57"/>
    <col customWidth="1" min="5" max="5" width="8.71"/>
    <col customWidth="1" min="6" max="6" width="18.14"/>
    <col customWidth="1" min="7" max="7" width="14.14"/>
    <col customWidth="1" min="8" max="8" width="15.0"/>
    <col customWidth="1" min="9" max="9" width="14.57"/>
    <col customWidth="1" min="10" max="10" width="14.14"/>
    <col customWidth="1" min="11" max="11" width="18.14"/>
    <col customWidth="1" min="12" max="12" width="14.29"/>
    <col customWidth="1" min="13" max="13" width="16.14"/>
    <col customWidth="1" min="14" max="14" width="15.14"/>
    <col customWidth="1" min="15" max="15" width="13.29"/>
  </cols>
  <sheetData>
    <row r="1">
      <c r="D1" s="48"/>
    </row>
    <row r="2">
      <c r="B2" s="53" t="s">
        <v>81</v>
      </c>
      <c r="C2" s="2"/>
      <c r="D2" s="54"/>
      <c r="F2" s="53" t="s">
        <v>82</v>
      </c>
      <c r="G2" s="7"/>
      <c r="H2" s="7"/>
      <c r="I2" s="7"/>
      <c r="J2" s="7"/>
      <c r="K2" s="7"/>
      <c r="L2" s="7"/>
      <c r="M2" s="7"/>
      <c r="N2" s="2"/>
    </row>
    <row r="3">
      <c r="B3" s="55" t="s">
        <v>83</v>
      </c>
      <c r="C3" s="41">
        <v>673400.0</v>
      </c>
      <c r="D3" s="54"/>
      <c r="E3" s="48"/>
      <c r="F3" s="56" t="s">
        <v>84</v>
      </c>
      <c r="G3" s="31" t="s">
        <v>85</v>
      </c>
      <c r="H3" s="7"/>
      <c r="I3" s="2"/>
      <c r="J3" s="31" t="s">
        <v>86</v>
      </c>
      <c r="K3" s="7"/>
      <c r="L3" s="2"/>
      <c r="M3" s="13" t="s">
        <v>87</v>
      </c>
      <c r="N3" s="57" t="s">
        <v>88</v>
      </c>
    </row>
    <row r="4">
      <c r="B4" s="58" t="s">
        <v>89</v>
      </c>
      <c r="C4" s="59">
        <f>0.05/100</f>
        <v>0.0005</v>
      </c>
      <c r="D4" s="54"/>
      <c r="F4" s="60"/>
      <c r="G4" s="61" t="s">
        <v>90</v>
      </c>
      <c r="H4" s="61" t="s">
        <v>91</v>
      </c>
      <c r="I4" s="61" t="s">
        <v>92</v>
      </c>
      <c r="J4" s="61" t="s">
        <v>90</v>
      </c>
      <c r="K4" s="61" t="s">
        <v>91</v>
      </c>
      <c r="L4" s="61" t="s">
        <v>92</v>
      </c>
      <c r="M4" s="62" t="s">
        <v>93</v>
      </c>
      <c r="N4" s="62" t="s">
        <v>93</v>
      </c>
    </row>
    <row r="5">
      <c r="B5" s="58" t="s">
        <v>94</v>
      </c>
      <c r="C5" s="47" t="s">
        <v>95</v>
      </c>
      <c r="D5" s="54"/>
      <c r="F5" s="63"/>
      <c r="G5" s="8" t="s">
        <v>96</v>
      </c>
      <c r="H5" s="8" t="s">
        <v>97</v>
      </c>
      <c r="I5" s="8" t="s">
        <v>98</v>
      </c>
      <c r="J5" s="8" t="s">
        <v>96</v>
      </c>
      <c r="K5" s="8" t="s">
        <v>97</v>
      </c>
      <c r="L5" s="8" t="s">
        <v>98</v>
      </c>
      <c r="M5" s="62" t="s">
        <v>99</v>
      </c>
      <c r="N5" s="62" t="s">
        <v>99</v>
      </c>
    </row>
    <row r="6">
      <c r="B6" s="64" t="s">
        <v>100</v>
      </c>
      <c r="C6" s="65">
        <f>CEILING(C3*(1+C4)^5,1)</f>
        <v>675086</v>
      </c>
      <c r="D6" s="54"/>
      <c r="F6" s="66" t="s">
        <v>101</v>
      </c>
      <c r="G6" s="67">
        <v>62.53</v>
      </c>
      <c r="H6" s="67">
        <v>1800.0</v>
      </c>
      <c r="I6" s="67">
        <v>0.05</v>
      </c>
      <c r="J6" s="67">
        <v>250.11</v>
      </c>
      <c r="K6" s="67">
        <v>1800.0</v>
      </c>
      <c r="L6" s="67">
        <v>0.05</v>
      </c>
      <c r="M6" s="68">
        <f t="shared" ref="M6:M14" si="1">G6*H6*I6</f>
        <v>5627.7</v>
      </c>
      <c r="N6" s="69">
        <f t="shared" ref="N6:N14" si="2">J6*K6*L6</f>
        <v>22509.9</v>
      </c>
    </row>
    <row r="7">
      <c r="B7" s="55" t="s">
        <v>102</v>
      </c>
      <c r="C7" s="15">
        <f>70 %</f>
        <v>0.7</v>
      </c>
      <c r="D7" s="54"/>
      <c r="F7" s="70" t="s">
        <v>103</v>
      </c>
      <c r="G7" s="37">
        <v>140.69</v>
      </c>
      <c r="H7" s="37">
        <v>600.0</v>
      </c>
      <c r="I7" s="37">
        <v>1.0</v>
      </c>
      <c r="J7" s="37">
        <v>750.34</v>
      </c>
      <c r="K7" s="37">
        <v>600.0</v>
      </c>
      <c r="L7" s="37">
        <v>1.0</v>
      </c>
      <c r="M7" s="71">
        <f t="shared" si="1"/>
        <v>84414</v>
      </c>
      <c r="N7" s="72">
        <f t="shared" si="2"/>
        <v>450204</v>
      </c>
    </row>
    <row r="8">
      <c r="B8" s="64" t="s">
        <v>104</v>
      </c>
      <c r="C8" s="8">
        <f>C6*C7</f>
        <v>472560.2</v>
      </c>
      <c r="D8" s="54"/>
      <c r="F8" s="70" t="s">
        <v>105</v>
      </c>
      <c r="G8" s="37">
        <v>140.69</v>
      </c>
      <c r="H8" s="37">
        <v>50.0</v>
      </c>
      <c r="I8" s="37">
        <v>1.0</v>
      </c>
      <c r="J8" s="37">
        <v>750.34</v>
      </c>
      <c r="K8" s="37">
        <v>15.0</v>
      </c>
      <c r="L8" s="37">
        <v>1.0</v>
      </c>
      <c r="M8" s="71">
        <f t="shared" si="1"/>
        <v>7034.5</v>
      </c>
      <c r="N8" s="72">
        <f t="shared" si="2"/>
        <v>11255.1</v>
      </c>
    </row>
    <row r="9">
      <c r="B9" s="55" t="s">
        <v>106</v>
      </c>
      <c r="C9" s="41">
        <v>0.48</v>
      </c>
      <c r="D9" s="54"/>
      <c r="F9" s="70" t="s">
        <v>107</v>
      </c>
      <c r="G9" s="37">
        <v>250.11</v>
      </c>
      <c r="H9" s="37">
        <v>1200.0</v>
      </c>
      <c r="I9" s="37">
        <v>1.0</v>
      </c>
      <c r="J9" s="37">
        <v>750.34</v>
      </c>
      <c r="K9" s="37">
        <v>1200.0</v>
      </c>
      <c r="L9" s="37">
        <v>1.0</v>
      </c>
      <c r="M9" s="71">
        <f t="shared" si="1"/>
        <v>300132</v>
      </c>
      <c r="N9" s="72">
        <f t="shared" si="2"/>
        <v>900408</v>
      </c>
    </row>
    <row r="10">
      <c r="B10" s="64" t="s">
        <v>108</v>
      </c>
      <c r="C10" s="65">
        <f>CEILING(C9*C8,1)</f>
        <v>226829</v>
      </c>
      <c r="D10" s="54"/>
      <c r="F10" s="70" t="s">
        <v>109</v>
      </c>
      <c r="G10" s="37">
        <v>26.9</v>
      </c>
      <c r="H10" s="37">
        <v>80.0</v>
      </c>
      <c r="I10" s="37">
        <v>0.4</v>
      </c>
      <c r="J10" s="37">
        <v>26.9</v>
      </c>
      <c r="K10" s="37">
        <v>80.0</v>
      </c>
      <c r="L10" s="37">
        <v>0.4</v>
      </c>
      <c r="M10" s="71">
        <f t="shared" si="1"/>
        <v>860.8</v>
      </c>
      <c r="N10" s="72">
        <f t="shared" si="2"/>
        <v>860.8</v>
      </c>
    </row>
    <row r="11">
      <c r="B11" s="55" t="s">
        <v>110</v>
      </c>
      <c r="C11" s="47">
        <v>0.52</v>
      </c>
      <c r="D11" s="54"/>
      <c r="F11" s="70" t="s">
        <v>111</v>
      </c>
      <c r="G11" s="37">
        <v>62.53</v>
      </c>
      <c r="H11" s="37">
        <v>70.0</v>
      </c>
      <c r="I11" s="37">
        <v>1.0</v>
      </c>
      <c r="J11" s="37">
        <v>62.53</v>
      </c>
      <c r="K11" s="37">
        <v>70.0</v>
      </c>
      <c r="L11" s="37">
        <v>1.0</v>
      </c>
      <c r="M11" s="71">
        <f t="shared" si="1"/>
        <v>4377.1</v>
      </c>
      <c r="N11" s="72">
        <f t="shared" si="2"/>
        <v>4377.1</v>
      </c>
    </row>
    <row r="12">
      <c r="B12" s="64" t="s">
        <v>112</v>
      </c>
      <c r="C12" s="65">
        <f>CEILING(C11*C10,1)</f>
        <v>117952</v>
      </c>
      <c r="D12" s="48"/>
      <c r="F12" s="70" t="s">
        <v>113</v>
      </c>
      <c r="G12" s="37">
        <v>62.53</v>
      </c>
      <c r="H12" s="37">
        <v>1800.0</v>
      </c>
      <c r="I12" s="37">
        <v>1.0</v>
      </c>
      <c r="J12" s="37">
        <v>62.53</v>
      </c>
      <c r="K12" s="37">
        <v>1800.0</v>
      </c>
      <c r="L12" s="37">
        <v>1.0</v>
      </c>
      <c r="M12" s="71">
        <f t="shared" si="1"/>
        <v>112554</v>
      </c>
      <c r="N12" s="72">
        <f t="shared" si="2"/>
        <v>112554</v>
      </c>
    </row>
    <row r="13">
      <c r="D13" s="48"/>
      <c r="F13" s="70" t="s">
        <v>114</v>
      </c>
      <c r="G13" s="37">
        <v>31.26</v>
      </c>
      <c r="H13" s="37">
        <v>3600.0</v>
      </c>
      <c r="I13" s="37">
        <v>0.05</v>
      </c>
      <c r="J13" s="37">
        <v>250.11</v>
      </c>
      <c r="K13" s="37">
        <v>3600.0</v>
      </c>
      <c r="L13" s="37">
        <v>0.95</v>
      </c>
      <c r="M13" s="71">
        <f t="shared" si="1"/>
        <v>5626.8</v>
      </c>
      <c r="N13" s="72">
        <f t="shared" si="2"/>
        <v>855376.2</v>
      </c>
    </row>
    <row r="14">
      <c r="B14" s="73" t="s">
        <v>115</v>
      </c>
      <c r="C14" s="7"/>
      <c r="D14" s="2"/>
      <c r="F14" s="74" t="s">
        <v>116</v>
      </c>
      <c r="G14" s="52">
        <v>31.26</v>
      </c>
      <c r="H14" s="52">
        <v>1800.0</v>
      </c>
      <c r="I14" s="52">
        <v>0.2</v>
      </c>
      <c r="J14" s="52">
        <v>125.06</v>
      </c>
      <c r="K14" s="52">
        <v>1800.0</v>
      </c>
      <c r="L14" s="52">
        <v>0.4</v>
      </c>
      <c r="M14" s="75">
        <f t="shared" si="1"/>
        <v>11253.6</v>
      </c>
      <c r="N14" s="76">
        <f t="shared" si="2"/>
        <v>90043.2</v>
      </c>
    </row>
    <row r="15">
      <c r="B15" s="77" t="s">
        <v>117</v>
      </c>
      <c r="C15" s="78" t="s">
        <v>87</v>
      </c>
      <c r="D15" s="78" t="s">
        <v>88</v>
      </c>
      <c r="F15" s="31" t="s">
        <v>118</v>
      </c>
      <c r="G15" s="7"/>
      <c r="H15" s="7"/>
      <c r="I15" s="7"/>
      <c r="J15" s="7"/>
      <c r="K15" s="7"/>
      <c r="L15" s="2"/>
      <c r="M15" s="13">
        <f t="shared" ref="M15:N15" si="3">SUM(M6:M14)</f>
        <v>531880.5</v>
      </c>
      <c r="N15" s="57">
        <f t="shared" si="3"/>
        <v>2447588.3</v>
      </c>
    </row>
    <row r="16">
      <c r="B16" s="36" t="s">
        <v>119</v>
      </c>
      <c r="C16" s="79">
        <v>107.8</v>
      </c>
      <c r="D16" s="5"/>
    </row>
    <row r="17">
      <c r="B17" s="38" t="s">
        <v>120</v>
      </c>
      <c r="C17" s="80">
        <f>CEILING(C11*C10,1)</f>
        <v>117952</v>
      </c>
      <c r="D17" s="45"/>
      <c r="F17" s="73" t="s">
        <v>121</v>
      </c>
      <c r="G17" s="7"/>
      <c r="H17" s="7"/>
      <c r="I17" s="7"/>
      <c r="J17" s="7"/>
      <c r="K17" s="7"/>
      <c r="L17" s="7"/>
      <c r="M17" s="7"/>
      <c r="N17" s="2"/>
    </row>
    <row r="18">
      <c r="B18" s="38" t="s">
        <v>122</v>
      </c>
      <c r="C18" s="12">
        <f>(L36/0.98)*(1/1000)</f>
        <v>41546.84011</v>
      </c>
      <c r="D18" s="67">
        <f>(N36/0.98)*(1/1000)</f>
        <v>191188.7346</v>
      </c>
      <c r="F18" s="81" t="s">
        <v>123</v>
      </c>
      <c r="G18" s="31" t="s">
        <v>124</v>
      </c>
      <c r="H18" s="2"/>
      <c r="I18" s="31" t="s">
        <v>125</v>
      </c>
      <c r="J18" s="2"/>
      <c r="K18" s="31" t="s">
        <v>126</v>
      </c>
      <c r="L18" s="2"/>
      <c r="M18" s="31" t="s">
        <v>127</v>
      </c>
      <c r="N18" s="2"/>
    </row>
    <row r="19">
      <c r="B19" s="38" t="s">
        <v>128</v>
      </c>
      <c r="C19" s="19">
        <f>SUM(N52:N59)</f>
        <v>1387.192296</v>
      </c>
      <c r="D19" s="37">
        <f>SUM(L52:L59)</f>
        <v>2944.511976</v>
      </c>
      <c r="F19" s="82"/>
      <c r="G19" s="61" t="s">
        <v>129</v>
      </c>
      <c r="H19" s="81" t="s">
        <v>130</v>
      </c>
      <c r="I19" s="61" t="s">
        <v>129</v>
      </c>
      <c r="J19" s="81" t="s">
        <v>130</v>
      </c>
      <c r="K19" s="61" t="s">
        <v>129</v>
      </c>
      <c r="L19" s="81" t="s">
        <v>130</v>
      </c>
      <c r="M19" s="61" t="s">
        <v>129</v>
      </c>
      <c r="N19" s="81" t="s">
        <v>130</v>
      </c>
    </row>
    <row r="20">
      <c r="B20" s="38" t="s">
        <v>131</v>
      </c>
      <c r="C20" s="19">
        <f t="shared" ref="C20:D20" si="4">C19*3</f>
        <v>4161.576888</v>
      </c>
      <c r="D20" s="37">
        <f t="shared" si="4"/>
        <v>8833.535928</v>
      </c>
      <c r="F20" s="82"/>
      <c r="G20" s="83" t="s">
        <v>132</v>
      </c>
      <c r="H20" s="82"/>
      <c r="I20" s="83" t="s">
        <v>132</v>
      </c>
      <c r="J20" s="82"/>
      <c r="K20" s="83" t="s">
        <v>132</v>
      </c>
      <c r="L20" s="82"/>
      <c r="M20" s="83" t="s">
        <v>132</v>
      </c>
      <c r="N20" s="82"/>
    </row>
    <row r="21" ht="15.75" customHeight="1">
      <c r="B21" s="38" t="s">
        <v>133</v>
      </c>
      <c r="C21" s="19">
        <f t="shared" ref="C21:D21" si="5">CEILING(C18/C20,1)</f>
        <v>10</v>
      </c>
      <c r="D21" s="84">
        <f t="shared" si="5"/>
        <v>22</v>
      </c>
      <c r="F21" s="85"/>
      <c r="G21" s="8" t="s">
        <v>134</v>
      </c>
      <c r="H21" s="85"/>
      <c r="I21" s="8" t="s">
        <v>134</v>
      </c>
      <c r="J21" s="85"/>
      <c r="K21" s="8" t="s">
        <v>134</v>
      </c>
      <c r="L21" s="85"/>
      <c r="M21" s="8" t="s">
        <v>134</v>
      </c>
      <c r="N21" s="85"/>
    </row>
    <row r="22" ht="15.75" customHeight="1">
      <c r="B22" s="38" t="s">
        <v>135</v>
      </c>
      <c r="C22" s="19">
        <f>CEILING(C17/C21,1)</f>
        <v>11796</v>
      </c>
      <c r="D22" s="37">
        <f>CEILING(C17/D21,1)</f>
        <v>5362</v>
      </c>
      <c r="F22" s="66" t="s">
        <v>101</v>
      </c>
      <c r="G22" s="15">
        <f>100/100</f>
        <v>1</v>
      </c>
      <c r="H22" s="15">
        <v>0.6</v>
      </c>
      <c r="I22" s="86">
        <f>100/100</f>
        <v>1</v>
      </c>
      <c r="J22" s="86">
        <v>0.4</v>
      </c>
      <c r="K22" s="15">
        <f>40/100</f>
        <v>0.4</v>
      </c>
      <c r="L22" s="47">
        <v>0.3</v>
      </c>
      <c r="M22" s="86">
        <f>30/100</f>
        <v>0.3</v>
      </c>
      <c r="N22" s="87">
        <v>0.2</v>
      </c>
    </row>
    <row r="23" ht="15.75" customHeight="1">
      <c r="B23" s="38" t="s">
        <v>136</v>
      </c>
      <c r="C23" s="19">
        <f>C16/C21</f>
        <v>10.78</v>
      </c>
      <c r="D23" s="37">
        <f>C16/D21</f>
        <v>4.9</v>
      </c>
      <c r="F23" s="70" t="s">
        <v>103</v>
      </c>
      <c r="G23" s="21">
        <f>20/100</f>
        <v>0.2</v>
      </c>
      <c r="H23" s="21">
        <v>0.3</v>
      </c>
      <c r="I23" s="88">
        <f>20/100</f>
        <v>0.2</v>
      </c>
      <c r="J23" s="88">
        <v>0.2</v>
      </c>
      <c r="K23" s="21">
        <f>20/100</f>
        <v>0.2</v>
      </c>
      <c r="L23" s="47">
        <v>0.2</v>
      </c>
      <c r="M23" s="88">
        <f>10/100</f>
        <v>0.1</v>
      </c>
      <c r="N23" s="87">
        <v>0.2</v>
      </c>
    </row>
    <row r="24" ht="15.75" customHeight="1">
      <c r="B24" s="20" t="s">
        <v>137</v>
      </c>
      <c r="C24" s="47">
        <f t="shared" ref="C24:D24" si="6">C23/3</f>
        <v>3.593333333</v>
      </c>
      <c r="D24" s="21">
        <f t="shared" si="6"/>
        <v>1.633333333</v>
      </c>
      <c r="F24" s="70" t="s">
        <v>105</v>
      </c>
      <c r="G24" s="21">
        <f>10/100</f>
        <v>0.1</v>
      </c>
      <c r="H24" s="21">
        <v>0.4</v>
      </c>
      <c r="I24" s="88">
        <f>10/100</f>
        <v>0.1</v>
      </c>
      <c r="J24" s="88">
        <v>0.3</v>
      </c>
      <c r="K24" s="21">
        <f>10/100</f>
        <v>0.1</v>
      </c>
      <c r="L24" s="47">
        <v>0.2</v>
      </c>
      <c r="M24" s="88">
        <f t="shared" ref="M24:M25" si="8">5/100</f>
        <v>0.05</v>
      </c>
      <c r="N24" s="87">
        <v>0.1</v>
      </c>
    </row>
    <row r="25" ht="15.75" customHeight="1">
      <c r="B25" s="38" t="s">
        <v>138</v>
      </c>
      <c r="C25" s="89">
        <f t="shared" ref="C25:D25" si="7">SQRT(C24/(1.95)*(2.6))</f>
        <v>2.188860688</v>
      </c>
      <c r="D25" s="89">
        <f t="shared" si="7"/>
        <v>1.475729575</v>
      </c>
      <c r="F25" s="70" t="s">
        <v>107</v>
      </c>
      <c r="G25" s="21">
        <f>20/100</f>
        <v>0.2</v>
      </c>
      <c r="H25" s="21">
        <v>0.2</v>
      </c>
      <c r="I25" s="88">
        <f>20/100</f>
        <v>0.2</v>
      </c>
      <c r="J25" s="88">
        <v>0.3</v>
      </c>
      <c r="K25" s="21">
        <f>20/100</f>
        <v>0.2</v>
      </c>
      <c r="L25" s="47">
        <v>0.2</v>
      </c>
      <c r="M25" s="88">
        <f t="shared" si="8"/>
        <v>0.05</v>
      </c>
      <c r="N25" s="87">
        <v>0.1</v>
      </c>
    </row>
    <row r="26" ht="15.75" customHeight="1">
      <c r="B26" s="27" t="s">
        <v>43</v>
      </c>
      <c r="C26" s="90">
        <f>(SQRT(3*3))*D25</f>
        <v>4.427188724</v>
      </c>
      <c r="D26" s="2"/>
      <c r="F26" s="70" t="s">
        <v>109</v>
      </c>
      <c r="G26" s="21">
        <f>100/100</f>
        <v>1</v>
      </c>
      <c r="H26" s="21">
        <v>1.4</v>
      </c>
      <c r="I26" s="88">
        <f>100/100</f>
        <v>1</v>
      </c>
      <c r="J26" s="88">
        <v>1.3</v>
      </c>
      <c r="K26" s="21">
        <f>50/100</f>
        <v>0.5</v>
      </c>
      <c r="L26" s="47">
        <v>1.0</v>
      </c>
      <c r="M26" s="88">
        <f>50/100</f>
        <v>0.5</v>
      </c>
      <c r="N26" s="87">
        <v>0.9</v>
      </c>
    </row>
    <row r="27" ht="15.75" customHeight="1">
      <c r="B27" s="48"/>
      <c r="C27" s="91"/>
      <c r="D27" s="48"/>
      <c r="F27" s="70" t="s">
        <v>111</v>
      </c>
      <c r="G27" s="21">
        <f t="shared" ref="G27:G28" si="9">20/100</f>
        <v>0.2</v>
      </c>
      <c r="H27" s="21">
        <v>0.2</v>
      </c>
      <c r="I27" s="88">
        <f>20/100</f>
        <v>0.2</v>
      </c>
      <c r="J27" s="88">
        <v>0.16</v>
      </c>
      <c r="K27" s="21">
        <f t="shared" ref="K27:K28" si="10">10/100</f>
        <v>0.1</v>
      </c>
      <c r="L27" s="47">
        <v>0.1</v>
      </c>
      <c r="M27" s="88">
        <f t="shared" ref="M27:M30" si="11">5/100</f>
        <v>0.05</v>
      </c>
      <c r="N27" s="87">
        <v>0.05</v>
      </c>
    </row>
    <row r="28" ht="15.75" customHeight="1">
      <c r="B28" s="23" t="s">
        <v>139</v>
      </c>
      <c r="C28" s="91"/>
      <c r="D28" s="48"/>
      <c r="F28" s="70" t="s">
        <v>113</v>
      </c>
      <c r="G28" s="21">
        <f t="shared" si="9"/>
        <v>0.2</v>
      </c>
      <c r="H28" s="21">
        <v>0.2</v>
      </c>
      <c r="I28" s="88">
        <f t="shared" ref="I28:I29" si="12">15/100</f>
        <v>0.15</v>
      </c>
      <c r="J28" s="88">
        <v>0.15</v>
      </c>
      <c r="K28" s="21">
        <f t="shared" si="10"/>
        <v>0.1</v>
      </c>
      <c r="L28" s="47">
        <v>0.1</v>
      </c>
      <c r="M28" s="88">
        <f t="shared" si="11"/>
        <v>0.05</v>
      </c>
      <c r="N28" s="87">
        <v>0.05</v>
      </c>
    </row>
    <row r="29" ht="15.75" customHeight="1">
      <c r="B29" s="92" t="s">
        <v>140</v>
      </c>
      <c r="C29" s="91"/>
      <c r="D29" s="48"/>
      <c r="F29" s="70" t="s">
        <v>114</v>
      </c>
      <c r="G29" s="21">
        <f>15/100</f>
        <v>0.15</v>
      </c>
      <c r="H29" s="21">
        <v>0.2</v>
      </c>
      <c r="I29" s="88">
        <f t="shared" si="12"/>
        <v>0.15</v>
      </c>
      <c r="J29" s="88">
        <v>0.15</v>
      </c>
      <c r="K29" s="21">
        <f>5/100</f>
        <v>0.05</v>
      </c>
      <c r="L29" s="47">
        <v>0.1</v>
      </c>
      <c r="M29" s="88">
        <f t="shared" si="11"/>
        <v>0.05</v>
      </c>
      <c r="N29" s="87">
        <v>0.1</v>
      </c>
    </row>
    <row r="30" ht="15.75" customHeight="1">
      <c r="B30" s="92" t="s">
        <v>141</v>
      </c>
      <c r="C30" s="91"/>
      <c r="D30" s="48"/>
      <c r="F30" s="74" t="s">
        <v>116</v>
      </c>
      <c r="G30" s="21">
        <f>30/100</f>
        <v>0.3</v>
      </c>
      <c r="H30" s="21">
        <v>0.2</v>
      </c>
      <c r="I30" s="88">
        <f>20/100</f>
        <v>0.2</v>
      </c>
      <c r="J30" s="88">
        <v>0.2</v>
      </c>
      <c r="K30" s="21">
        <f>10/100</f>
        <v>0.1</v>
      </c>
      <c r="L30" s="47">
        <v>0.1</v>
      </c>
      <c r="M30" s="88">
        <f t="shared" si="11"/>
        <v>0.05</v>
      </c>
      <c r="N30" s="87">
        <v>0.1</v>
      </c>
    </row>
    <row r="31" ht="15.75" customHeight="1">
      <c r="B31" s="92" t="s">
        <v>142</v>
      </c>
      <c r="C31" s="91"/>
      <c r="D31" s="48"/>
      <c r="F31" s="31"/>
      <c r="G31" s="7"/>
      <c r="H31" s="7"/>
      <c r="I31" s="7"/>
      <c r="J31" s="7"/>
      <c r="K31" s="7"/>
      <c r="L31" s="7"/>
      <c r="M31" s="7"/>
      <c r="N31" s="2"/>
    </row>
    <row r="32" ht="15.75" customHeight="1">
      <c r="B32" s="93" t="s">
        <v>143</v>
      </c>
      <c r="C32" s="91"/>
      <c r="D32" s="48"/>
      <c r="F32" s="54"/>
      <c r="G32" s="48"/>
      <c r="H32" s="48"/>
      <c r="I32" s="48"/>
      <c r="J32" s="48"/>
      <c r="K32" s="48"/>
      <c r="L32" s="48"/>
      <c r="M32" s="48"/>
      <c r="N32" s="48"/>
    </row>
    <row r="33" ht="15.75" customHeight="1">
      <c r="B33" s="48"/>
      <c r="C33" s="91"/>
      <c r="D33" s="48"/>
      <c r="F33" s="73" t="s">
        <v>144</v>
      </c>
      <c r="G33" s="7"/>
      <c r="H33" s="7"/>
      <c r="I33" s="7"/>
      <c r="J33" s="2"/>
      <c r="L33" s="73" t="s">
        <v>145</v>
      </c>
      <c r="M33" s="7"/>
      <c r="N33" s="7"/>
      <c r="O33" s="2"/>
    </row>
    <row r="34" ht="15.75" customHeight="1">
      <c r="D34" s="48"/>
      <c r="F34" s="81" t="s">
        <v>84</v>
      </c>
      <c r="G34" s="31" t="s">
        <v>125</v>
      </c>
      <c r="H34" s="2"/>
      <c r="I34" s="94" t="s">
        <v>146</v>
      </c>
      <c r="J34" s="77" t="s">
        <v>147</v>
      </c>
      <c r="K34" s="48" t="s">
        <v>148</v>
      </c>
      <c r="L34" s="95" t="s">
        <v>85</v>
      </c>
      <c r="M34" s="2"/>
      <c r="N34" s="96" t="s">
        <v>86</v>
      </c>
      <c r="O34" s="2"/>
    </row>
    <row r="35" ht="15.75" customHeight="1">
      <c r="B35" s="54"/>
      <c r="F35" s="82"/>
      <c r="G35" s="61" t="s">
        <v>129</v>
      </c>
      <c r="H35" s="81" t="s">
        <v>130</v>
      </c>
      <c r="I35" s="81" t="s">
        <v>149</v>
      </c>
      <c r="J35" s="81" t="s">
        <v>149</v>
      </c>
      <c r="L35" s="77" t="s">
        <v>150</v>
      </c>
      <c r="M35" s="77" t="s">
        <v>151</v>
      </c>
      <c r="N35" s="77" t="s">
        <v>150</v>
      </c>
      <c r="O35" s="97" t="s">
        <v>151</v>
      </c>
    </row>
    <row r="36" ht="15.75" customHeight="1">
      <c r="B36" s="54"/>
      <c r="C36" s="54"/>
      <c r="D36" s="54"/>
      <c r="E36" s="98" t="s">
        <v>148</v>
      </c>
      <c r="F36" s="82"/>
      <c r="G36" s="83" t="s">
        <v>132</v>
      </c>
      <c r="H36" s="82"/>
      <c r="I36" s="82"/>
      <c r="J36" s="82"/>
      <c r="L36" s="24">
        <f>I47*C12</f>
        <v>40715903.31</v>
      </c>
      <c r="M36" s="24">
        <f>L36/0.98</f>
        <v>41546840.11</v>
      </c>
      <c r="N36" s="99">
        <f>J47*C12</f>
        <v>187364959.9</v>
      </c>
      <c r="O36" s="99">
        <f>N36/0.98</f>
        <v>191188734.6</v>
      </c>
    </row>
    <row r="37" ht="15.75" customHeight="1">
      <c r="B37" s="54"/>
      <c r="C37" s="54"/>
      <c r="D37" s="54"/>
      <c r="F37" s="85"/>
      <c r="G37" s="8" t="s">
        <v>134</v>
      </c>
      <c r="H37" s="85"/>
      <c r="I37" s="100"/>
      <c r="J37" s="100"/>
    </row>
    <row r="38" ht="15.75" customHeight="1">
      <c r="B38" s="54"/>
      <c r="C38" s="54"/>
      <c r="D38" s="54"/>
      <c r="F38" s="66" t="s">
        <v>101</v>
      </c>
      <c r="G38" s="86">
        <f>100/100</f>
        <v>1</v>
      </c>
      <c r="H38" s="86">
        <v>0.4</v>
      </c>
      <c r="I38" s="101">
        <f>(M15*H38*G38*(1+0.2))/3600</f>
        <v>70.9174</v>
      </c>
      <c r="J38" s="15">
        <f>(N15*H38*G38*(1+0.2))/3600</f>
        <v>326.3451067</v>
      </c>
    </row>
    <row r="39" ht="15.75" customHeight="1">
      <c r="B39" s="54"/>
      <c r="C39" s="54"/>
      <c r="D39" s="54"/>
      <c r="F39" s="70" t="s">
        <v>103</v>
      </c>
      <c r="G39" s="88">
        <f>20/100</f>
        <v>0.2</v>
      </c>
      <c r="H39" s="88">
        <v>0.2</v>
      </c>
      <c r="I39" s="102">
        <f>(M15*H39*G39*(1+0.2))/3600</f>
        <v>7.09174</v>
      </c>
      <c r="J39" s="21">
        <f>(N15*H39*G39*(1+0.2))/3600</f>
        <v>32.63451067</v>
      </c>
    </row>
    <row r="40" ht="15.75" customHeight="1">
      <c r="B40" s="54"/>
      <c r="C40" s="54"/>
      <c r="D40" s="54"/>
      <c r="F40" s="70" t="s">
        <v>105</v>
      </c>
      <c r="G40" s="88">
        <f>10/100</f>
        <v>0.1</v>
      </c>
      <c r="H40" s="88">
        <v>0.3</v>
      </c>
      <c r="I40" s="102">
        <f>(M15*H40*G40*(1+0.2))/3600</f>
        <v>5.318805</v>
      </c>
      <c r="J40" s="21">
        <f>(N15*H40*G40*(1+0.2))/3600</f>
        <v>24.475883</v>
      </c>
    </row>
    <row r="41" ht="15.75" customHeight="1">
      <c r="B41" s="54"/>
      <c r="C41" s="54"/>
      <c r="D41" s="54"/>
      <c r="F41" s="70" t="s">
        <v>107</v>
      </c>
      <c r="G41" s="88">
        <f>20/100</f>
        <v>0.2</v>
      </c>
      <c r="H41" s="88">
        <v>0.3</v>
      </c>
      <c r="I41" s="102">
        <f>(M15*H41*G41*(1+0.2))/3600</f>
        <v>10.63761</v>
      </c>
      <c r="J41" s="21">
        <f>(N15*H41*G41*(1+0.2))/3600</f>
        <v>48.951766</v>
      </c>
    </row>
    <row r="42" ht="15.75" customHeight="1">
      <c r="B42" s="54"/>
      <c r="C42" s="54"/>
      <c r="D42" s="54"/>
      <c r="F42" s="70" t="s">
        <v>109</v>
      </c>
      <c r="G42" s="88">
        <f>100/100</f>
        <v>1</v>
      </c>
      <c r="H42" s="88">
        <v>1.3</v>
      </c>
      <c r="I42" s="102">
        <f>(M15*H42*G42*(1+0.2))/3600</f>
        <v>230.48155</v>
      </c>
      <c r="J42" s="21">
        <f>(N15*H42*G42*(1+0.2))/3600</f>
        <v>1060.621597</v>
      </c>
    </row>
    <row r="43" ht="15.75" customHeight="1">
      <c r="B43" s="91"/>
      <c r="C43" s="91"/>
      <c r="D43" s="91"/>
      <c r="F43" s="70" t="s">
        <v>111</v>
      </c>
      <c r="G43" s="88">
        <f>20/100</f>
        <v>0.2</v>
      </c>
      <c r="H43" s="88">
        <v>0.16</v>
      </c>
      <c r="I43" s="102">
        <f>(M15*H43*G43*(1+0.2))/3600</f>
        <v>5.673392</v>
      </c>
      <c r="J43" s="21">
        <f>(N15*H43*G43*(1+0.2))/3600</f>
        <v>26.10760853</v>
      </c>
    </row>
    <row r="44" ht="15.75" customHeight="1">
      <c r="B44" s="91"/>
      <c r="C44" s="91"/>
      <c r="D44" s="91"/>
      <c r="F44" s="70" t="s">
        <v>113</v>
      </c>
      <c r="G44" s="88">
        <f t="shared" ref="G44:G45" si="13">15/100</f>
        <v>0.15</v>
      </c>
      <c r="H44" s="88">
        <v>0.15</v>
      </c>
      <c r="I44" s="102">
        <f>(M15*H44*G44*(1+0.2))/3600</f>
        <v>3.98910375</v>
      </c>
      <c r="J44" s="21">
        <f>(N15*H44*G44*(1+0.2))/3600</f>
        <v>18.35691225</v>
      </c>
    </row>
    <row r="45" ht="15.75" customHeight="1">
      <c r="B45" s="91"/>
      <c r="C45" s="91"/>
      <c r="D45" s="91"/>
      <c r="F45" s="70" t="s">
        <v>114</v>
      </c>
      <c r="G45" s="88">
        <f t="shared" si="13"/>
        <v>0.15</v>
      </c>
      <c r="H45" s="88">
        <v>0.15</v>
      </c>
      <c r="I45" s="102">
        <f>(M15*H45*G45*(1+0.2))/3600</f>
        <v>3.98910375</v>
      </c>
      <c r="J45" s="21">
        <f>(N15*H45*G45*(1+0.2))/3600</f>
        <v>18.35691225</v>
      </c>
    </row>
    <row r="46" ht="15.75" customHeight="1">
      <c r="B46" s="91"/>
      <c r="C46" s="91"/>
      <c r="D46" s="91"/>
      <c r="F46" s="74" t="s">
        <v>116</v>
      </c>
      <c r="G46" s="88">
        <f>20/100</f>
        <v>0.2</v>
      </c>
      <c r="H46" s="88">
        <v>0.2</v>
      </c>
      <c r="I46" s="103">
        <f>(M15*H46*G46*(1+0.2))/3600</f>
        <v>7.09174</v>
      </c>
      <c r="J46" s="28">
        <f>(N15*H46*G46*(1+0.2))/3600</f>
        <v>32.63451067</v>
      </c>
    </row>
    <row r="47" ht="15.75" customHeight="1">
      <c r="B47" s="91"/>
      <c r="C47" s="91"/>
      <c r="D47" s="91"/>
      <c r="F47" s="31" t="s">
        <v>152</v>
      </c>
      <c r="G47" s="7"/>
      <c r="H47" s="104"/>
      <c r="I47" s="105">
        <f t="shared" ref="I47:J47" si="14">SUM(I38:I46)</f>
        <v>345.1904445</v>
      </c>
      <c r="J47" s="99">
        <f t="shared" si="14"/>
        <v>1588.484807</v>
      </c>
    </row>
    <row r="48" ht="15.75" customHeight="1">
      <c r="B48" s="91"/>
      <c r="C48" s="91"/>
      <c r="D48" s="91"/>
    </row>
    <row r="49" ht="15.75" customHeight="1">
      <c r="B49" s="91"/>
      <c r="C49" s="91"/>
      <c r="D49" s="91"/>
    </row>
    <row r="50" ht="15.75" customHeight="1">
      <c r="B50" s="91"/>
      <c r="C50" s="91"/>
      <c r="D50" s="91"/>
      <c r="F50" s="73" t="s">
        <v>153</v>
      </c>
      <c r="G50" s="7"/>
      <c r="H50" s="7"/>
      <c r="I50" s="7"/>
      <c r="J50" s="7"/>
      <c r="K50" s="7"/>
      <c r="L50" s="7"/>
      <c r="M50" s="7"/>
      <c r="N50" s="2"/>
    </row>
    <row r="51" ht="15.75" customHeight="1">
      <c r="B51" s="91"/>
      <c r="C51" s="91"/>
      <c r="D51" s="91"/>
      <c r="F51" s="13" t="s">
        <v>154</v>
      </c>
      <c r="G51" s="13" t="s">
        <v>155</v>
      </c>
      <c r="H51" s="13" t="s">
        <v>156</v>
      </c>
      <c r="I51" s="13" t="s">
        <v>157</v>
      </c>
      <c r="J51" s="13" t="s">
        <v>158</v>
      </c>
      <c r="K51" s="61" t="s">
        <v>159</v>
      </c>
      <c r="L51" s="61" t="s">
        <v>160</v>
      </c>
      <c r="M51" s="61" t="s">
        <v>161</v>
      </c>
      <c r="N51" s="61" t="s">
        <v>162</v>
      </c>
    </row>
    <row r="52" ht="15.75" customHeight="1">
      <c r="B52" s="54"/>
      <c r="C52" s="54"/>
      <c r="D52" s="106"/>
      <c r="E52" s="48" t="s">
        <v>148</v>
      </c>
      <c r="F52" s="107" t="s">
        <v>163</v>
      </c>
      <c r="G52" s="14">
        <v>2.0</v>
      </c>
      <c r="H52" s="14">
        <f>1/3</f>
        <v>0.3333333333</v>
      </c>
      <c r="I52" s="14">
        <v>-0.75</v>
      </c>
      <c r="J52" s="66">
        <v>0.28</v>
      </c>
      <c r="K52" s="15">
        <f t="shared" ref="K52:K59" si="15">(((168-36-12)*G52*H52*135*128*1000)-24)*(1/1000000)</f>
        <v>1382.399976</v>
      </c>
      <c r="L52" s="108">
        <f t="shared" ref="L52:L59" si="16">J52*K52</f>
        <v>387.0719933</v>
      </c>
      <c r="M52" s="86">
        <f t="shared" ref="M52:M59" si="17">(((168-24)*G52*H52*106*64*1000)-24)*(1/1000000)</f>
        <v>651.263976</v>
      </c>
      <c r="N52" s="109">
        <f t="shared" ref="N52:N59" si="18">J52*M52</f>
        <v>182.3539133</v>
      </c>
    </row>
    <row r="53" ht="15.75" customHeight="1">
      <c r="D53" s="48"/>
      <c r="F53" s="110" t="s">
        <v>164</v>
      </c>
      <c r="G53" s="20">
        <v>2.0</v>
      </c>
      <c r="H53" s="20">
        <f>1/2</f>
        <v>0.5</v>
      </c>
      <c r="I53" s="20">
        <v>1.5</v>
      </c>
      <c r="J53" s="70">
        <v>0.25</v>
      </c>
      <c r="K53" s="15">
        <f t="shared" si="15"/>
        <v>2073.599976</v>
      </c>
      <c r="L53" s="111">
        <f t="shared" si="16"/>
        <v>518.399994</v>
      </c>
      <c r="M53" s="88">
        <f t="shared" si="17"/>
        <v>976.895976</v>
      </c>
      <c r="N53" s="87">
        <f t="shared" si="18"/>
        <v>244.223994</v>
      </c>
    </row>
    <row r="54" ht="15.75" customHeight="1">
      <c r="B54" s="54"/>
      <c r="F54" s="110" t="s">
        <v>165</v>
      </c>
      <c r="G54" s="20">
        <v>2.0</v>
      </c>
      <c r="H54" s="20">
        <f>2/3</f>
        <v>0.6666666667</v>
      </c>
      <c r="I54" s="20">
        <v>3.5</v>
      </c>
      <c r="J54" s="70">
        <v>0.17</v>
      </c>
      <c r="K54" s="15">
        <f t="shared" si="15"/>
        <v>2764.799976</v>
      </c>
      <c r="L54" s="111">
        <f t="shared" si="16"/>
        <v>470.0159959</v>
      </c>
      <c r="M54" s="88">
        <f t="shared" si="17"/>
        <v>1302.527976</v>
      </c>
      <c r="N54" s="87">
        <f t="shared" si="18"/>
        <v>221.4297559</v>
      </c>
    </row>
    <row r="55" ht="15.75" customHeight="1">
      <c r="B55" s="54"/>
      <c r="C55" s="54"/>
      <c r="D55" s="54"/>
      <c r="F55" s="110" t="s">
        <v>166</v>
      </c>
      <c r="G55" s="20">
        <v>4.0</v>
      </c>
      <c r="H55" s="20">
        <f>1/2</f>
        <v>0.5</v>
      </c>
      <c r="I55" s="20">
        <v>7.0</v>
      </c>
      <c r="J55" s="70">
        <v>0.13</v>
      </c>
      <c r="K55" s="15">
        <f t="shared" si="15"/>
        <v>4147.199976</v>
      </c>
      <c r="L55" s="111">
        <f t="shared" si="16"/>
        <v>539.1359969</v>
      </c>
      <c r="M55" s="88">
        <f t="shared" si="17"/>
        <v>1953.791976</v>
      </c>
      <c r="N55" s="87">
        <f t="shared" si="18"/>
        <v>253.9929569</v>
      </c>
    </row>
    <row r="56" ht="15.75" customHeight="1">
      <c r="B56" s="91"/>
      <c r="C56" s="54"/>
      <c r="D56" s="54"/>
      <c r="F56" s="110" t="s">
        <v>167</v>
      </c>
      <c r="G56" s="20">
        <v>4.0</v>
      </c>
      <c r="H56" s="20">
        <f>2/3</f>
        <v>0.6666666667</v>
      </c>
      <c r="I56" s="20">
        <v>9.5</v>
      </c>
      <c r="J56" s="70">
        <v>0.1</v>
      </c>
      <c r="K56" s="15">
        <f t="shared" si="15"/>
        <v>5529.599976</v>
      </c>
      <c r="L56" s="111">
        <f t="shared" si="16"/>
        <v>552.9599976</v>
      </c>
      <c r="M56" s="88">
        <f t="shared" si="17"/>
        <v>2605.055976</v>
      </c>
      <c r="N56" s="87">
        <f t="shared" si="18"/>
        <v>260.5055976</v>
      </c>
    </row>
    <row r="57" ht="15.75" customHeight="1">
      <c r="B57" s="54"/>
      <c r="C57" s="54"/>
      <c r="D57" s="54"/>
      <c r="F57" s="110" t="s">
        <v>168</v>
      </c>
      <c r="G57" s="20">
        <v>4.0</v>
      </c>
      <c r="H57" s="20">
        <f>4/5</f>
        <v>0.8</v>
      </c>
      <c r="I57" s="20">
        <v>11.5</v>
      </c>
      <c r="J57" s="70">
        <v>0.05</v>
      </c>
      <c r="K57" s="15">
        <f t="shared" si="15"/>
        <v>6635.519976</v>
      </c>
      <c r="L57" s="111">
        <f t="shared" si="16"/>
        <v>331.7759988</v>
      </c>
      <c r="M57" s="88">
        <f t="shared" si="17"/>
        <v>3126.067176</v>
      </c>
      <c r="N57" s="87">
        <f t="shared" si="18"/>
        <v>156.3033588</v>
      </c>
    </row>
    <row r="58" ht="15.75" customHeight="1">
      <c r="B58" s="54"/>
      <c r="C58" s="54"/>
      <c r="D58" s="54"/>
      <c r="F58" s="110" t="s">
        <v>169</v>
      </c>
      <c r="G58" s="20">
        <v>6.0</v>
      </c>
      <c r="H58" s="20">
        <f>1/2</f>
        <v>0.5</v>
      </c>
      <c r="I58" s="20">
        <v>12.6</v>
      </c>
      <c r="J58" s="70">
        <v>0.01</v>
      </c>
      <c r="K58" s="15">
        <f t="shared" si="15"/>
        <v>6220.799976</v>
      </c>
      <c r="L58" s="111">
        <f t="shared" si="16"/>
        <v>62.20799976</v>
      </c>
      <c r="M58" s="88">
        <f t="shared" si="17"/>
        <v>2930.687976</v>
      </c>
      <c r="N58" s="87">
        <f t="shared" si="18"/>
        <v>29.30687976</v>
      </c>
    </row>
    <row r="59" ht="15.75" customHeight="1">
      <c r="B59" s="54"/>
      <c r="C59" s="54"/>
      <c r="D59" s="54"/>
      <c r="F59" s="112" t="s">
        <v>170</v>
      </c>
      <c r="G59" s="27">
        <v>6.0</v>
      </c>
      <c r="H59" s="27">
        <f>2/3</f>
        <v>0.6666666667</v>
      </c>
      <c r="I59" s="27">
        <v>14.5</v>
      </c>
      <c r="J59" s="74">
        <v>0.01</v>
      </c>
      <c r="K59" s="24">
        <f t="shared" si="15"/>
        <v>8294.399976</v>
      </c>
      <c r="L59" s="113">
        <f t="shared" si="16"/>
        <v>82.94399976</v>
      </c>
      <c r="M59" s="114">
        <f t="shared" si="17"/>
        <v>3907.583976</v>
      </c>
      <c r="N59" s="115">
        <f t="shared" si="18"/>
        <v>39.07583976</v>
      </c>
    </row>
    <row r="60" ht="15.75" customHeight="1">
      <c r="B60" s="54"/>
      <c r="C60" s="54"/>
      <c r="D60" s="54"/>
      <c r="F60" s="6" t="s">
        <v>171</v>
      </c>
      <c r="G60" s="7"/>
      <c r="H60" s="7"/>
      <c r="I60" s="7"/>
      <c r="J60" s="2"/>
      <c r="K60" s="116">
        <f>SUM(L52:L59)</f>
        <v>2944.511976</v>
      </c>
      <c r="L60" s="45"/>
      <c r="M60" s="117">
        <f>SUM(N52:N59)</f>
        <v>1387.192296</v>
      </c>
      <c r="N60" s="45"/>
    </row>
    <row r="61" ht="15.75" customHeight="1">
      <c r="B61" s="54"/>
      <c r="C61" s="54"/>
      <c r="D61" s="54"/>
    </row>
    <row r="62" ht="15.75" customHeight="1">
      <c r="B62" s="91"/>
      <c r="C62" s="91"/>
      <c r="D62" s="91"/>
    </row>
    <row r="63" ht="15.75" customHeight="1">
      <c r="B63" s="91"/>
      <c r="C63" s="91"/>
      <c r="D63" s="91"/>
    </row>
    <row r="64" ht="15.75" customHeight="1">
      <c r="B64" s="91"/>
      <c r="C64" s="91"/>
      <c r="D64" s="91"/>
    </row>
    <row r="65" ht="15.75" customHeight="1">
      <c r="B65" s="91"/>
      <c r="C65" s="91"/>
      <c r="D65" s="91"/>
    </row>
    <row r="66" ht="15.75" customHeight="1">
      <c r="B66" s="91"/>
      <c r="C66" s="91"/>
      <c r="D66" s="91"/>
    </row>
    <row r="67" ht="15.75" customHeight="1">
      <c r="B67" s="91"/>
      <c r="C67" s="91"/>
      <c r="D67" s="91"/>
    </row>
    <row r="68" ht="15.75" customHeight="1">
      <c r="B68" s="91"/>
      <c r="C68" s="91"/>
      <c r="D68" s="91"/>
    </row>
    <row r="69" ht="15.75" customHeight="1">
      <c r="B69" s="91"/>
      <c r="C69" s="91"/>
      <c r="D69" s="91"/>
    </row>
    <row r="70" ht="15.75" customHeight="1">
      <c r="B70" s="91"/>
      <c r="C70" s="91"/>
      <c r="D70" s="91"/>
    </row>
    <row r="71" ht="15.75" customHeight="1">
      <c r="B71" s="54"/>
      <c r="C71" s="54"/>
      <c r="D71" s="106"/>
      <c r="E71" s="48" t="s">
        <v>148</v>
      </c>
    </row>
    <row r="72" ht="15.75" customHeight="1">
      <c r="D72" s="48"/>
    </row>
    <row r="73" ht="15.75" customHeight="1">
      <c r="D73" s="48"/>
    </row>
    <row r="74" ht="15.75" customHeight="1">
      <c r="D74" s="48"/>
    </row>
    <row r="75" ht="15.75" customHeight="1">
      <c r="D75" s="48"/>
    </row>
    <row r="76" ht="15.75" customHeight="1">
      <c r="D76" s="48"/>
    </row>
    <row r="77" ht="15.75" customHeight="1">
      <c r="D77" s="48"/>
    </row>
    <row r="78" ht="15.75" customHeight="1">
      <c r="D78" s="48"/>
    </row>
    <row r="79" ht="15.75" customHeight="1">
      <c r="D79" s="48"/>
    </row>
    <row r="80" ht="15.75" customHeight="1">
      <c r="D80" s="48"/>
    </row>
    <row r="81" ht="15.75" customHeight="1">
      <c r="D81" s="48"/>
    </row>
    <row r="82" ht="15.75" customHeight="1">
      <c r="D82" s="48"/>
    </row>
    <row r="83" ht="15.75" customHeight="1">
      <c r="D83" s="48"/>
    </row>
    <row r="84" ht="15.75" customHeight="1">
      <c r="D84" s="48"/>
    </row>
    <row r="85" ht="15.75" customHeight="1">
      <c r="D85" s="48"/>
    </row>
    <row r="86" ht="15.75" customHeight="1">
      <c r="D86" s="48"/>
    </row>
    <row r="87" ht="15.75" customHeight="1">
      <c r="D87" s="48"/>
    </row>
    <row r="88" ht="15.75" customHeight="1">
      <c r="D88" s="48"/>
    </row>
    <row r="89" ht="15.75" customHeight="1">
      <c r="D89" s="48"/>
    </row>
    <row r="90" ht="15.75" customHeight="1">
      <c r="D90" s="48"/>
    </row>
    <row r="91" ht="15.75" customHeight="1">
      <c r="D91" s="48"/>
    </row>
    <row r="92" ht="15.75" customHeight="1">
      <c r="D92" s="48"/>
    </row>
    <row r="93" ht="15.75" customHeight="1">
      <c r="D93" s="48"/>
    </row>
    <row r="94" ht="15.75" customHeight="1">
      <c r="D94" s="48"/>
    </row>
    <row r="95" ht="15.75" customHeight="1">
      <c r="D95" s="48"/>
    </row>
    <row r="96" ht="15.75" customHeight="1">
      <c r="D96" s="48"/>
    </row>
    <row r="97" ht="15.75" customHeight="1">
      <c r="D97" s="48"/>
    </row>
    <row r="98" ht="15.75" customHeight="1">
      <c r="D98" s="48"/>
    </row>
    <row r="99" ht="15.75" customHeight="1">
      <c r="D99" s="48"/>
    </row>
    <row r="100" ht="15.75" customHeight="1">
      <c r="D100" s="48"/>
    </row>
    <row r="101" ht="15.75" customHeight="1">
      <c r="D101" s="48"/>
    </row>
    <row r="102" ht="15.75" customHeight="1">
      <c r="D102" s="48"/>
    </row>
    <row r="103" ht="15.75" customHeight="1">
      <c r="D103" s="48"/>
    </row>
    <row r="104" ht="15.75" customHeight="1">
      <c r="D104" s="48"/>
    </row>
    <row r="105" ht="15.75" customHeight="1">
      <c r="D105" s="48"/>
    </row>
    <row r="106" ht="15.75" customHeight="1">
      <c r="D106" s="48"/>
    </row>
    <row r="107" ht="15.75" customHeight="1">
      <c r="D107" s="48"/>
    </row>
    <row r="108" ht="15.75" customHeight="1">
      <c r="D108" s="48"/>
    </row>
    <row r="109" ht="15.75" customHeight="1">
      <c r="D109" s="48"/>
    </row>
    <row r="110" ht="15.75" customHeight="1">
      <c r="D110" s="48"/>
    </row>
    <row r="111" ht="15.75" customHeight="1">
      <c r="D111" s="48"/>
    </row>
    <row r="112" ht="15.75" customHeight="1">
      <c r="D112" s="48"/>
    </row>
    <row r="113" ht="15.75" customHeight="1">
      <c r="D113" s="48"/>
    </row>
    <row r="114" ht="15.75" customHeight="1">
      <c r="D114" s="48"/>
    </row>
    <row r="115" ht="15.75" customHeight="1">
      <c r="D115" s="48"/>
    </row>
    <row r="116" ht="15.75" customHeight="1">
      <c r="D116" s="48"/>
    </row>
    <row r="117" ht="15.75" customHeight="1">
      <c r="D117" s="48"/>
    </row>
    <row r="118" ht="15.75" customHeight="1">
      <c r="D118" s="48"/>
    </row>
    <row r="119" ht="15.75" customHeight="1">
      <c r="D119" s="48"/>
    </row>
    <row r="120" ht="15.75" customHeight="1">
      <c r="D120" s="48"/>
    </row>
    <row r="121" ht="15.75" customHeight="1">
      <c r="D121" s="48"/>
    </row>
    <row r="122" ht="15.75" customHeight="1">
      <c r="D122" s="48"/>
    </row>
    <row r="123" ht="15.75" customHeight="1">
      <c r="D123" s="48"/>
    </row>
    <row r="124" ht="15.75" customHeight="1">
      <c r="D124" s="48"/>
    </row>
    <row r="125" ht="15.75" customHeight="1">
      <c r="D125" s="48"/>
    </row>
    <row r="126" ht="15.75" customHeight="1">
      <c r="D126" s="48"/>
    </row>
    <row r="127" ht="15.75" customHeight="1">
      <c r="D127" s="48"/>
    </row>
    <row r="128" ht="15.75" customHeight="1">
      <c r="D128" s="48"/>
    </row>
    <row r="129" ht="15.75" customHeight="1">
      <c r="D129" s="48"/>
    </row>
    <row r="130" ht="15.75" customHeight="1">
      <c r="D130" s="48"/>
    </row>
    <row r="131" ht="15.75" customHeight="1">
      <c r="D131" s="48"/>
    </row>
    <row r="132" ht="15.75" customHeight="1">
      <c r="D132" s="48"/>
    </row>
    <row r="133" ht="15.75" customHeight="1">
      <c r="D133" s="48"/>
    </row>
    <row r="134" ht="15.75" customHeight="1">
      <c r="D134" s="48"/>
    </row>
    <row r="135" ht="15.75" customHeight="1">
      <c r="D135" s="48"/>
    </row>
    <row r="136" ht="15.75" customHeight="1">
      <c r="D136" s="48"/>
    </row>
    <row r="137" ht="15.75" customHeight="1">
      <c r="D137" s="48"/>
    </row>
    <row r="138" ht="15.75" customHeight="1">
      <c r="D138" s="48"/>
    </row>
    <row r="139" ht="15.75" customHeight="1">
      <c r="D139" s="48"/>
    </row>
    <row r="140" ht="15.75" customHeight="1">
      <c r="D140" s="48"/>
    </row>
    <row r="141" ht="15.75" customHeight="1">
      <c r="D141" s="48"/>
    </row>
    <row r="142" ht="15.75" customHeight="1">
      <c r="D142" s="48"/>
    </row>
    <row r="143" ht="15.75" customHeight="1">
      <c r="D143" s="48"/>
    </row>
    <row r="144" ht="15.75" customHeight="1">
      <c r="D144" s="48"/>
    </row>
    <row r="145" ht="15.75" customHeight="1">
      <c r="D145" s="48"/>
    </row>
    <row r="146" ht="15.75" customHeight="1">
      <c r="D146" s="48"/>
    </row>
    <row r="147" ht="15.75" customHeight="1">
      <c r="D147" s="48"/>
    </row>
    <row r="148" ht="15.75" customHeight="1">
      <c r="D148" s="48"/>
    </row>
    <row r="149" ht="15.75" customHeight="1">
      <c r="D149" s="48"/>
    </row>
    <row r="150" ht="15.75" customHeight="1">
      <c r="D150" s="48"/>
    </row>
    <row r="151" ht="15.75" customHeight="1">
      <c r="D151" s="48"/>
    </row>
    <row r="152" ht="15.75" customHeight="1">
      <c r="D152" s="48"/>
    </row>
    <row r="153" ht="15.75" customHeight="1">
      <c r="D153" s="48"/>
    </row>
    <row r="154" ht="15.75" customHeight="1">
      <c r="D154" s="48"/>
    </row>
    <row r="155" ht="15.75" customHeight="1">
      <c r="D155" s="48"/>
    </row>
    <row r="156" ht="15.75" customHeight="1">
      <c r="D156" s="48"/>
    </row>
    <row r="157" ht="15.75" customHeight="1">
      <c r="D157" s="48"/>
    </row>
    <row r="158" ht="15.75" customHeight="1">
      <c r="D158" s="48"/>
    </row>
    <row r="159" ht="15.75" customHeight="1">
      <c r="D159" s="48"/>
    </row>
    <row r="160" ht="15.75" customHeight="1">
      <c r="D160" s="48"/>
    </row>
    <row r="161" ht="15.75" customHeight="1">
      <c r="D161" s="48"/>
    </row>
    <row r="162" ht="15.75" customHeight="1">
      <c r="D162" s="48"/>
    </row>
    <row r="163" ht="15.75" customHeight="1">
      <c r="D163" s="48"/>
    </row>
    <row r="164" ht="15.75" customHeight="1">
      <c r="D164" s="48"/>
    </row>
    <row r="165" ht="15.75" customHeight="1">
      <c r="D165" s="48"/>
    </row>
    <row r="166" ht="15.75" customHeight="1">
      <c r="D166" s="48"/>
    </row>
    <row r="167" ht="15.75" customHeight="1">
      <c r="D167" s="48"/>
    </row>
    <row r="168" ht="15.75" customHeight="1">
      <c r="D168" s="48"/>
    </row>
    <row r="169" ht="15.75" customHeight="1">
      <c r="D169" s="48"/>
    </row>
    <row r="170" ht="15.75" customHeight="1">
      <c r="D170" s="48"/>
    </row>
    <row r="171" ht="15.75" customHeight="1">
      <c r="D171" s="48"/>
    </row>
    <row r="172" ht="15.75" customHeight="1">
      <c r="D172" s="48"/>
    </row>
    <row r="173" ht="15.75" customHeight="1">
      <c r="D173" s="48"/>
    </row>
    <row r="174" ht="15.75" customHeight="1">
      <c r="D174" s="48"/>
    </row>
    <row r="175" ht="15.75" customHeight="1">
      <c r="D175" s="48"/>
    </row>
    <row r="176" ht="15.75" customHeight="1">
      <c r="D176" s="48"/>
    </row>
    <row r="177" ht="15.75" customHeight="1">
      <c r="D177" s="48"/>
    </row>
    <row r="178" ht="15.75" customHeight="1">
      <c r="D178" s="48"/>
    </row>
    <row r="179" ht="15.75" customHeight="1">
      <c r="D179" s="48"/>
    </row>
    <row r="180" ht="15.75" customHeight="1">
      <c r="D180" s="48"/>
    </row>
    <row r="181" ht="15.75" customHeight="1">
      <c r="D181" s="48"/>
    </row>
    <row r="182" ht="15.75" customHeight="1">
      <c r="D182" s="48"/>
    </row>
    <row r="183" ht="15.75" customHeight="1">
      <c r="D183" s="48"/>
    </row>
    <row r="184" ht="15.75" customHeight="1">
      <c r="D184" s="48"/>
    </row>
    <row r="185" ht="15.75" customHeight="1">
      <c r="D185" s="48"/>
    </row>
    <row r="186" ht="15.75" customHeight="1">
      <c r="D186" s="48"/>
    </row>
    <row r="187" ht="15.75" customHeight="1">
      <c r="D187" s="48"/>
    </row>
    <row r="188" ht="15.75" customHeight="1">
      <c r="D188" s="48"/>
    </row>
    <row r="189" ht="15.75" customHeight="1">
      <c r="D189" s="48"/>
    </row>
    <row r="190" ht="15.75" customHeight="1">
      <c r="D190" s="48"/>
    </row>
    <row r="191" ht="15.75" customHeight="1">
      <c r="D191" s="48"/>
    </row>
    <row r="192" ht="15.75" customHeight="1">
      <c r="D192" s="48"/>
    </row>
    <row r="193" ht="15.75" customHeight="1">
      <c r="D193" s="48"/>
    </row>
    <row r="194" ht="15.75" customHeight="1">
      <c r="D194" s="48"/>
    </row>
    <row r="195" ht="15.75" customHeight="1">
      <c r="D195" s="48"/>
    </row>
    <row r="196" ht="15.75" customHeight="1">
      <c r="D196" s="48"/>
    </row>
    <row r="197" ht="15.75" customHeight="1">
      <c r="D197" s="48"/>
    </row>
    <row r="198" ht="15.75" customHeight="1">
      <c r="D198" s="48"/>
    </row>
    <row r="199" ht="15.75" customHeight="1">
      <c r="D199" s="48"/>
    </row>
    <row r="200" ht="15.75" customHeight="1">
      <c r="D200" s="48"/>
    </row>
    <row r="201" ht="15.75" customHeight="1">
      <c r="D201" s="48"/>
    </row>
    <row r="202" ht="15.75" customHeight="1">
      <c r="D202" s="48"/>
    </row>
    <row r="203" ht="15.75" customHeight="1">
      <c r="D203" s="48"/>
    </row>
    <row r="204" ht="15.75" customHeight="1">
      <c r="D204" s="48"/>
    </row>
    <row r="205" ht="15.75" customHeight="1">
      <c r="D205" s="48"/>
    </row>
    <row r="206" ht="15.75" customHeight="1">
      <c r="D206" s="48"/>
    </row>
    <row r="207" ht="15.75" customHeight="1">
      <c r="D207" s="48"/>
    </row>
    <row r="208" ht="15.75" customHeight="1">
      <c r="D208" s="48"/>
    </row>
    <row r="209" ht="15.75" customHeight="1">
      <c r="D209" s="48"/>
    </row>
    <row r="210" ht="15.75" customHeight="1">
      <c r="D210" s="48"/>
    </row>
    <row r="211" ht="15.75" customHeight="1">
      <c r="D211" s="48"/>
    </row>
    <row r="212" ht="15.75" customHeight="1">
      <c r="D212" s="48"/>
    </row>
    <row r="213" ht="15.75" customHeight="1">
      <c r="D213" s="48"/>
    </row>
    <row r="214" ht="15.75" customHeight="1">
      <c r="D214" s="48"/>
    </row>
    <row r="215" ht="15.75" customHeight="1">
      <c r="D215" s="48"/>
    </row>
    <row r="216" ht="15.75" customHeight="1">
      <c r="D216" s="48"/>
    </row>
    <row r="217" ht="15.75" customHeight="1">
      <c r="D217" s="48"/>
    </row>
    <row r="218" ht="15.75" customHeight="1">
      <c r="D218" s="48"/>
    </row>
    <row r="219" ht="15.75" customHeight="1">
      <c r="D219" s="48"/>
    </row>
    <row r="220" ht="15.75" customHeight="1">
      <c r="D220" s="48"/>
    </row>
    <row r="221" ht="15.75" customHeight="1">
      <c r="D221" s="48"/>
    </row>
    <row r="222" ht="15.75" customHeight="1">
      <c r="D222" s="48"/>
    </row>
    <row r="223" ht="15.75" customHeight="1">
      <c r="D223" s="48"/>
    </row>
    <row r="224" ht="15.75" customHeight="1">
      <c r="D224" s="48"/>
    </row>
    <row r="225" ht="15.75" customHeight="1">
      <c r="D225" s="48"/>
    </row>
    <row r="226" ht="15.75" customHeight="1">
      <c r="D226" s="48"/>
    </row>
    <row r="227" ht="15.75" customHeight="1">
      <c r="D227" s="48"/>
    </row>
    <row r="228" ht="15.75" customHeight="1">
      <c r="D228" s="48"/>
    </row>
    <row r="229" ht="15.75" customHeight="1">
      <c r="D229" s="48"/>
    </row>
    <row r="230" ht="15.75" customHeight="1">
      <c r="D230" s="48"/>
    </row>
    <row r="231" ht="15.75" customHeight="1">
      <c r="D231" s="48"/>
    </row>
    <row r="232" ht="15.75" customHeight="1">
      <c r="D232" s="48"/>
    </row>
    <row r="233" ht="15.75" customHeight="1">
      <c r="D233" s="48"/>
    </row>
    <row r="234" ht="15.75" customHeight="1">
      <c r="D234" s="48"/>
    </row>
    <row r="235" ht="15.75" customHeight="1">
      <c r="D235" s="48"/>
    </row>
    <row r="236" ht="15.75" customHeight="1">
      <c r="D236" s="48"/>
    </row>
    <row r="237" ht="15.75" customHeight="1">
      <c r="D237" s="48"/>
    </row>
    <row r="238" ht="15.75" customHeight="1">
      <c r="D238" s="48"/>
    </row>
    <row r="239" ht="15.75" customHeight="1">
      <c r="D239" s="48"/>
    </row>
    <row r="240" ht="15.75" customHeight="1">
      <c r="D240" s="48"/>
    </row>
    <row r="241" ht="15.75" customHeight="1">
      <c r="D241" s="48"/>
    </row>
    <row r="242" ht="15.75" customHeight="1">
      <c r="D242" s="48"/>
    </row>
    <row r="243" ht="15.75" customHeight="1">
      <c r="D243" s="48"/>
    </row>
    <row r="244" ht="15.75" customHeight="1">
      <c r="D244" s="48"/>
    </row>
    <row r="245" ht="15.75" customHeight="1">
      <c r="D245" s="48"/>
    </row>
    <row r="246" ht="15.75" customHeight="1">
      <c r="D246" s="48"/>
    </row>
    <row r="247" ht="15.75" customHeight="1">
      <c r="D247" s="48"/>
    </row>
    <row r="248" ht="15.75" customHeight="1">
      <c r="D248" s="48"/>
    </row>
    <row r="249" ht="15.75" customHeight="1">
      <c r="D249" s="48"/>
    </row>
    <row r="250" ht="15.75" customHeight="1">
      <c r="D250" s="48"/>
    </row>
    <row r="251" ht="15.75" customHeight="1">
      <c r="D251" s="48"/>
    </row>
    <row r="252" ht="15.75" customHeight="1">
      <c r="D252" s="48"/>
    </row>
    <row r="253" ht="15.75" customHeight="1">
      <c r="D253" s="48"/>
    </row>
    <row r="254" ht="15.75" customHeight="1">
      <c r="D254" s="48"/>
    </row>
    <row r="255" ht="15.75" customHeight="1">
      <c r="D255" s="48"/>
    </row>
    <row r="256" ht="15.75" customHeight="1">
      <c r="D256" s="48"/>
    </row>
    <row r="257" ht="15.75" customHeight="1">
      <c r="D257" s="48"/>
    </row>
    <row r="258" ht="15.75" customHeight="1">
      <c r="D258" s="48"/>
    </row>
    <row r="259" ht="15.75" customHeight="1">
      <c r="D259" s="48"/>
    </row>
    <row r="260" ht="15.75" customHeight="1">
      <c r="D260" s="48"/>
    </row>
    <row r="261" ht="15.75" customHeight="1">
      <c r="D261" s="48"/>
    </row>
    <row r="262" ht="15.75" customHeight="1">
      <c r="D262" s="48"/>
    </row>
    <row r="263" ht="15.75" customHeight="1">
      <c r="D263" s="48"/>
    </row>
    <row r="264" ht="15.75" customHeight="1">
      <c r="D264" s="48"/>
    </row>
    <row r="265" ht="15.75" customHeight="1">
      <c r="D265" s="48"/>
    </row>
    <row r="266" ht="15.75" customHeight="1">
      <c r="D266" s="48"/>
    </row>
    <row r="267" ht="15.75" customHeight="1">
      <c r="D267" s="48"/>
    </row>
    <row r="268" ht="15.75" customHeight="1">
      <c r="D268" s="48"/>
    </row>
    <row r="269" ht="15.75" customHeight="1">
      <c r="D269" s="48"/>
    </row>
    <row r="270" ht="15.75" customHeight="1">
      <c r="D270" s="48"/>
    </row>
    <row r="271" ht="15.75" customHeight="1">
      <c r="D271" s="48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B2:C2"/>
    <mergeCell ref="F2:N2"/>
    <mergeCell ref="F3:F5"/>
    <mergeCell ref="G3:I3"/>
    <mergeCell ref="J3:L3"/>
    <mergeCell ref="B14:D14"/>
    <mergeCell ref="F15:L15"/>
    <mergeCell ref="G18:H18"/>
    <mergeCell ref="H19:H21"/>
    <mergeCell ref="C26:D26"/>
    <mergeCell ref="C16:D16"/>
    <mergeCell ref="C17:D17"/>
    <mergeCell ref="F17:N17"/>
    <mergeCell ref="F18:F21"/>
    <mergeCell ref="I18:J18"/>
    <mergeCell ref="K18:L18"/>
    <mergeCell ref="M18:N18"/>
    <mergeCell ref="N19:N21"/>
    <mergeCell ref="L34:M34"/>
    <mergeCell ref="N34:O34"/>
    <mergeCell ref="B35:D35"/>
    <mergeCell ref="H35:H37"/>
    <mergeCell ref="I35:I37"/>
    <mergeCell ref="F47:H47"/>
    <mergeCell ref="F50:N50"/>
    <mergeCell ref="B54:D54"/>
    <mergeCell ref="F60:J60"/>
    <mergeCell ref="K60:L60"/>
    <mergeCell ref="M60:N60"/>
    <mergeCell ref="J19:J21"/>
    <mergeCell ref="L19:L21"/>
    <mergeCell ref="F31:N31"/>
    <mergeCell ref="F33:J33"/>
    <mergeCell ref="L33:O33"/>
    <mergeCell ref="F34:F37"/>
    <mergeCell ref="G34:H34"/>
    <mergeCell ref="J35:J3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9.14"/>
    <col customWidth="1" min="3" max="3" width="3.14"/>
    <col customWidth="1" min="7" max="7" width="20.57"/>
    <col customWidth="1" min="8" max="8" width="2.71"/>
    <col customWidth="1" min="9" max="9" width="22.86"/>
    <col customWidth="1" min="10" max="10" width="14.14"/>
    <col customWidth="1" min="11" max="11" width="22.86"/>
    <col customWidth="1" min="12" max="12" width="3.0"/>
    <col customWidth="1" min="13" max="13" width="7.57"/>
  </cols>
  <sheetData>
    <row r="2">
      <c r="A2" s="1" t="s">
        <v>0</v>
      </c>
      <c r="B2" s="2"/>
      <c r="D2" s="118" t="s">
        <v>1</v>
      </c>
      <c r="E2" s="119"/>
      <c r="F2" s="119"/>
      <c r="G2" s="120"/>
      <c r="I2" s="25" t="s">
        <v>172</v>
      </c>
      <c r="J2" s="10"/>
      <c r="K2" s="11"/>
    </row>
    <row r="3">
      <c r="A3" s="8" t="s">
        <v>3</v>
      </c>
      <c r="B3" s="8" t="s">
        <v>4</v>
      </c>
      <c r="D3" s="9" t="s">
        <v>5</v>
      </c>
      <c r="E3" s="10"/>
      <c r="F3" s="11"/>
      <c r="G3" s="121">
        <f>28+(40*LOG(G14,10))+(20*LOG(2600,10))-(9*LOG10((G7)^2+(25-1.5)^2))</f>
        <v>90.30100062</v>
      </c>
      <c r="I3" s="122" t="s">
        <v>6</v>
      </c>
      <c r="J3" s="122" t="s">
        <v>4</v>
      </c>
      <c r="K3" s="123" t="s">
        <v>7</v>
      </c>
    </row>
    <row r="4">
      <c r="A4" s="14" t="s">
        <v>8</v>
      </c>
      <c r="B4" s="15">
        <v>98.46</v>
      </c>
      <c r="D4" s="16" t="s">
        <v>9</v>
      </c>
      <c r="E4" s="17"/>
      <c r="F4" s="18"/>
      <c r="G4" s="124">
        <f>28+(40*LOG(G16,10))+(20*LOG(2600,10))-(9*LOG10((G7)^2+(25-1.5)^2))</f>
        <v>98.30100062</v>
      </c>
      <c r="I4" s="125" t="s">
        <v>10</v>
      </c>
      <c r="J4" s="126">
        <v>26.0</v>
      </c>
      <c r="K4" s="127" t="s">
        <v>11</v>
      </c>
    </row>
    <row r="5">
      <c r="A5" s="20" t="s">
        <v>12</v>
      </c>
      <c r="B5" s="21">
        <f>1.95*2.6*(G20^2)</f>
        <v>13.98652309</v>
      </c>
      <c r="D5" s="16" t="s">
        <v>13</v>
      </c>
      <c r="E5" s="17"/>
      <c r="F5" s="18"/>
      <c r="G5" s="124">
        <f>13.54+(39.081*LOG(G20,10))+(20*LOG(2600,10))-0.6*(1.75-1.5)</f>
        <v>90.30100062</v>
      </c>
      <c r="I5" s="128" t="s">
        <v>14</v>
      </c>
      <c r="J5" s="129">
        <v>5.0</v>
      </c>
      <c r="K5" s="130" t="s">
        <v>15</v>
      </c>
    </row>
    <row r="6">
      <c r="A6" s="22" t="s">
        <v>16</v>
      </c>
      <c r="B6" s="23">
        <f>CEILING(B4/B5,1)</f>
        <v>8</v>
      </c>
      <c r="D6" s="16" t="s">
        <v>17</v>
      </c>
      <c r="E6" s="17"/>
      <c r="F6" s="18"/>
      <c r="G6" s="124">
        <f>13.54+(39.081*LOG(G22,10))+(20*LOG(2600,10))-0.6*(1.75-1.5)</f>
        <v>98.30100062</v>
      </c>
      <c r="I6" s="128" t="s">
        <v>18</v>
      </c>
      <c r="J6" s="129">
        <v>2.0</v>
      </c>
      <c r="K6" s="130" t="s">
        <v>19</v>
      </c>
    </row>
    <row r="7">
      <c r="A7" s="22" t="s">
        <v>20</v>
      </c>
      <c r="B7" s="24">
        <f>(SQRT(3*3))*G20</f>
        <v>4.982785114</v>
      </c>
      <c r="D7" s="16" t="s">
        <v>173</v>
      </c>
      <c r="E7" s="17"/>
      <c r="F7" s="18"/>
      <c r="G7" s="131">
        <v>34.0</v>
      </c>
      <c r="I7" s="128" t="s">
        <v>22</v>
      </c>
      <c r="J7" s="129">
        <f>J4+J5-J6-(10*LOG(J8,10))</f>
        <v>-0.7680833734</v>
      </c>
      <c r="K7" s="130" t="s">
        <v>23</v>
      </c>
    </row>
    <row r="8">
      <c r="A8" s="1" t="s">
        <v>174</v>
      </c>
      <c r="B8" s="2"/>
      <c r="D8" s="25" t="s">
        <v>25</v>
      </c>
      <c r="E8" s="10"/>
      <c r="F8" s="11"/>
      <c r="G8" s="30">
        <f>MAX(G3:G4)</f>
        <v>98.30100062</v>
      </c>
      <c r="I8" s="132" t="s">
        <v>175</v>
      </c>
      <c r="J8" s="133">
        <f>79*12</f>
        <v>948</v>
      </c>
      <c r="K8" s="134" t="s">
        <v>27</v>
      </c>
    </row>
    <row r="9">
      <c r="A9" s="8" t="s">
        <v>3</v>
      </c>
      <c r="B9" s="8" t="s">
        <v>4</v>
      </c>
      <c r="D9" s="29" t="s">
        <v>28</v>
      </c>
      <c r="E9" s="17"/>
      <c r="F9" s="18"/>
      <c r="G9" s="30">
        <f>MAX(G5:G6)</f>
        <v>98.30100062</v>
      </c>
      <c r="I9" s="135" t="s">
        <v>29</v>
      </c>
      <c r="J9" s="135" t="s">
        <v>4</v>
      </c>
      <c r="K9" s="136" t="s">
        <v>7</v>
      </c>
      <c r="M9" s="31" t="s">
        <v>30</v>
      </c>
      <c r="N9" s="2"/>
    </row>
    <row r="10">
      <c r="A10" s="14" t="s">
        <v>8</v>
      </c>
      <c r="B10" s="15">
        <v>98.46</v>
      </c>
      <c r="D10" s="32" t="s">
        <v>31</v>
      </c>
      <c r="E10" s="33"/>
      <c r="F10" s="34"/>
      <c r="G10" s="35">
        <f>MAX(G8:G9)</f>
        <v>98.30100062</v>
      </c>
      <c r="I10" s="137" t="s">
        <v>32</v>
      </c>
      <c r="J10" s="124">
        <v>2.0</v>
      </c>
      <c r="K10" s="30" t="s">
        <v>33</v>
      </c>
      <c r="M10" s="14" t="s">
        <v>34</v>
      </c>
      <c r="N10" s="14">
        <f>1.38*10^-23</f>
        <v>0</v>
      </c>
    </row>
    <row r="11">
      <c r="A11" s="20" t="s">
        <v>35</v>
      </c>
      <c r="B11" s="21">
        <f>1.95*2.6*(G22^2)</f>
        <v>35.90177096</v>
      </c>
      <c r="I11" s="138" t="s">
        <v>36</v>
      </c>
      <c r="J11" s="124">
        <f>N15</f>
        <v>-102.069084</v>
      </c>
      <c r="K11" s="30" t="s">
        <v>37</v>
      </c>
      <c r="M11" s="20" t="s">
        <v>38</v>
      </c>
      <c r="N11" s="20">
        <v>300.0</v>
      </c>
    </row>
    <row r="12">
      <c r="A12" s="39" t="s">
        <v>16</v>
      </c>
      <c r="B12" s="23">
        <f>CEILING(B10/B11,1)</f>
        <v>3</v>
      </c>
      <c r="D12" s="118" t="s">
        <v>39</v>
      </c>
      <c r="E12" s="119"/>
      <c r="F12" s="119"/>
      <c r="G12" s="120"/>
      <c r="I12" s="138" t="s">
        <v>40</v>
      </c>
      <c r="J12" s="124">
        <v>5.0</v>
      </c>
      <c r="K12" s="30" t="s">
        <v>41</v>
      </c>
      <c r="M12" s="20" t="s">
        <v>42</v>
      </c>
      <c r="N12" s="20">
        <f>15*10^6</f>
        <v>15000000</v>
      </c>
    </row>
    <row r="13">
      <c r="A13" s="22" t="s">
        <v>43</v>
      </c>
      <c r="B13" s="28">
        <f>(SQRT(3*3))*G22</f>
        <v>7.983166938</v>
      </c>
      <c r="D13" s="9" t="s">
        <v>44</v>
      </c>
      <c r="E13" s="10"/>
      <c r="F13" s="11"/>
      <c r="G13" s="126">
        <f>J19</f>
        <v>90.30100062</v>
      </c>
      <c r="I13" s="138" t="s">
        <v>45</v>
      </c>
      <c r="J13" s="124">
        <f>J10+J11+J12</f>
        <v>-95.069084</v>
      </c>
      <c r="K13" s="30" t="s">
        <v>46</v>
      </c>
      <c r="M13" s="15" t="s">
        <v>47</v>
      </c>
      <c r="N13" s="41">
        <f>N10*N11*N12</f>
        <v>0</v>
      </c>
    </row>
    <row r="14">
      <c r="A14" s="42" t="s">
        <v>48</v>
      </c>
      <c r="B14" s="2"/>
      <c r="D14" s="32" t="s">
        <v>49</v>
      </c>
      <c r="E14" s="33"/>
      <c r="F14" s="34"/>
      <c r="G14" s="133">
        <f>10^((G19-28-(20*LOG(2600,10))+(9*LOG((G7)^2+(25-1.5)^2)))/(40))</f>
        <v>3.778874016</v>
      </c>
      <c r="I14" s="138" t="s">
        <v>50</v>
      </c>
      <c r="J14" s="124">
        <v>2.0</v>
      </c>
      <c r="K14" s="30" t="s">
        <v>51</v>
      </c>
      <c r="M14" s="21" t="s">
        <v>52</v>
      </c>
      <c r="N14" s="47">
        <f>LOG10(N13)*10</f>
        <v>-132.069084</v>
      </c>
    </row>
    <row r="15">
      <c r="A15" s="48"/>
      <c r="B15" s="48"/>
      <c r="D15" s="16" t="s">
        <v>53</v>
      </c>
      <c r="E15" s="17"/>
      <c r="F15" s="18"/>
      <c r="G15" s="129">
        <f>J41</f>
        <v>98.30100062</v>
      </c>
      <c r="I15" s="138" t="s">
        <v>54</v>
      </c>
      <c r="J15" s="124">
        <v>6.0</v>
      </c>
      <c r="K15" s="30" t="s">
        <v>55</v>
      </c>
      <c r="M15" s="28" t="s">
        <v>56</v>
      </c>
      <c r="N15" s="46">
        <f>N14+30</f>
        <v>-102.069084</v>
      </c>
    </row>
    <row r="16">
      <c r="D16" s="32" t="s">
        <v>49</v>
      </c>
      <c r="E16" s="33"/>
      <c r="F16" s="34"/>
      <c r="G16" s="133">
        <f>10^((G21-28-(20*LOG(2600,10))+(9*LOG((G7)^2+(25-1.5)^2)))/(40))</f>
        <v>5.989111704</v>
      </c>
      <c r="I16" s="138" t="s">
        <v>57</v>
      </c>
      <c r="J16" s="124">
        <v>12.0</v>
      </c>
      <c r="K16" s="30" t="s">
        <v>58</v>
      </c>
    </row>
    <row r="17">
      <c r="I17" s="138" t="s">
        <v>59</v>
      </c>
      <c r="J17" s="124">
        <v>1.0</v>
      </c>
      <c r="K17" s="30" t="s">
        <v>60</v>
      </c>
    </row>
    <row r="18">
      <c r="D18" s="118" t="s">
        <v>61</v>
      </c>
      <c r="E18" s="119"/>
      <c r="F18" s="119"/>
      <c r="G18" s="120"/>
      <c r="I18" s="139" t="s">
        <v>62</v>
      </c>
      <c r="J18" s="140">
        <v>16.0</v>
      </c>
      <c r="K18" s="141" t="s">
        <v>63</v>
      </c>
    </row>
    <row r="19">
      <c r="D19" s="9" t="s">
        <v>44</v>
      </c>
      <c r="E19" s="10"/>
      <c r="F19" s="11"/>
      <c r="G19" s="129">
        <f>J19</f>
        <v>90.30100062</v>
      </c>
      <c r="I19" s="142" t="s">
        <v>64</v>
      </c>
      <c r="J19" s="143">
        <f>J7-J13-J14-J15-J16+J18</f>
        <v>90.30100062</v>
      </c>
      <c r="K19" s="144" t="s">
        <v>65</v>
      </c>
    </row>
    <row r="20">
      <c r="D20" s="32" t="s">
        <v>66</v>
      </c>
      <c r="E20" s="33"/>
      <c r="F20" s="34"/>
      <c r="G20" s="129">
        <f>10^((G19-13.54-(20*LOG(2600,10))+(0.6*(1.75-1.5)))/(39.081))</f>
        <v>1.660928371</v>
      </c>
    </row>
    <row r="21" ht="15.75" customHeight="1">
      <c r="D21" s="16" t="s">
        <v>53</v>
      </c>
      <c r="E21" s="17"/>
      <c r="F21" s="18"/>
      <c r="G21" s="129">
        <f>J41</f>
        <v>98.30100062</v>
      </c>
      <c r="I21" s="25" t="s">
        <v>176</v>
      </c>
      <c r="J21" s="10"/>
      <c r="K21" s="11"/>
    </row>
    <row r="22" ht="15.75" customHeight="1">
      <c r="D22" s="32" t="s">
        <v>66</v>
      </c>
      <c r="E22" s="33"/>
      <c r="F22" s="34"/>
      <c r="G22" s="133">
        <f>10^((G21-13.54-(20*LOG(2600,10))+(0.6*(1.75-1.5)))/(39.081))</f>
        <v>2.661055646</v>
      </c>
      <c r="I22" s="145" t="s">
        <v>6</v>
      </c>
      <c r="J22" s="145" t="s">
        <v>4</v>
      </c>
      <c r="K22" s="146" t="s">
        <v>7</v>
      </c>
    </row>
    <row r="23" ht="15.75" customHeight="1">
      <c r="I23" s="138" t="s">
        <v>68</v>
      </c>
      <c r="J23" s="129">
        <v>53.0</v>
      </c>
      <c r="K23" s="130" t="s">
        <v>11</v>
      </c>
    </row>
    <row r="24" ht="15.75" customHeight="1">
      <c r="I24" s="128" t="s">
        <v>177</v>
      </c>
      <c r="J24" s="129">
        <v>16.0</v>
      </c>
      <c r="K24" s="130" t="s">
        <v>15</v>
      </c>
    </row>
    <row r="25" ht="15.75" customHeight="1">
      <c r="I25" s="128" t="s">
        <v>59</v>
      </c>
      <c r="J25" s="129">
        <v>1.0</v>
      </c>
      <c r="K25" s="130" t="s">
        <v>19</v>
      </c>
    </row>
    <row r="26" ht="15.75" customHeight="1">
      <c r="I26" s="128" t="s">
        <v>22</v>
      </c>
      <c r="J26" s="129">
        <f>J23+J24-J25-(10*LOG(J27,10))</f>
        <v>38.23191663</v>
      </c>
      <c r="K26" s="130" t="s">
        <v>70</v>
      </c>
    </row>
    <row r="27" ht="15.75" customHeight="1">
      <c r="I27" s="128" t="s">
        <v>175</v>
      </c>
      <c r="J27" s="129">
        <f>79*12</f>
        <v>948</v>
      </c>
      <c r="K27" s="130" t="s">
        <v>27</v>
      </c>
    </row>
    <row r="28" ht="15.75" customHeight="1">
      <c r="I28" s="145" t="s">
        <v>29</v>
      </c>
      <c r="J28" s="145" t="s">
        <v>4</v>
      </c>
      <c r="K28" s="146" t="s">
        <v>7</v>
      </c>
    </row>
    <row r="29" ht="15.75" customHeight="1">
      <c r="I29" s="138" t="s">
        <v>71</v>
      </c>
      <c r="J29" s="124">
        <v>7.0</v>
      </c>
      <c r="K29" s="30" t="s">
        <v>33</v>
      </c>
    </row>
    <row r="30" ht="15.75" customHeight="1">
      <c r="I30" s="138" t="s">
        <v>36</v>
      </c>
      <c r="J30" s="124">
        <f>N14+30</f>
        <v>-102.069084</v>
      </c>
      <c r="K30" s="30" t="s">
        <v>37</v>
      </c>
    </row>
    <row r="31" ht="15.75" customHeight="1">
      <c r="I31" s="138" t="s">
        <v>40</v>
      </c>
      <c r="J31" s="124">
        <v>5.0</v>
      </c>
      <c r="K31" s="30" t="s">
        <v>41</v>
      </c>
    </row>
    <row r="32" ht="15.75" customHeight="1">
      <c r="I32" s="138" t="s">
        <v>45</v>
      </c>
      <c r="J32" s="124">
        <f>J29+J30+J31</f>
        <v>-90.069084</v>
      </c>
      <c r="K32" s="30" t="s">
        <v>46</v>
      </c>
    </row>
    <row r="33" ht="15.75" customHeight="1">
      <c r="I33" s="138" t="s">
        <v>50</v>
      </c>
      <c r="J33" s="124">
        <v>15.0</v>
      </c>
      <c r="K33" s="30" t="s">
        <v>51</v>
      </c>
    </row>
    <row r="34" ht="15.75" customHeight="1">
      <c r="I34" s="138" t="s">
        <v>54</v>
      </c>
      <c r="J34" s="124">
        <v>8.0</v>
      </c>
      <c r="K34" s="30" t="s">
        <v>55</v>
      </c>
    </row>
    <row r="35" ht="15.75" customHeight="1">
      <c r="I35" s="138" t="s">
        <v>57</v>
      </c>
      <c r="J35" s="124">
        <v>12.0</v>
      </c>
      <c r="K35" s="30" t="s">
        <v>58</v>
      </c>
    </row>
    <row r="36" ht="15.75" customHeight="1">
      <c r="I36" s="138" t="s">
        <v>18</v>
      </c>
      <c r="J36" s="124">
        <v>5.0</v>
      </c>
      <c r="K36" s="30" t="s">
        <v>72</v>
      </c>
    </row>
    <row r="37" ht="15.75" customHeight="1">
      <c r="I37" s="138" t="s">
        <v>14</v>
      </c>
      <c r="J37" s="124">
        <v>5.0</v>
      </c>
      <c r="K37" s="30" t="s">
        <v>63</v>
      </c>
    </row>
    <row r="38" ht="15.75" customHeight="1">
      <c r="I38" s="138" t="s">
        <v>73</v>
      </c>
      <c r="J38" s="124">
        <v>5.0</v>
      </c>
      <c r="K38" s="30" t="s">
        <v>74</v>
      </c>
    </row>
    <row r="39" ht="15.75" customHeight="1">
      <c r="I39" s="138" t="s">
        <v>75</v>
      </c>
      <c r="J39" s="124">
        <v>0.0</v>
      </c>
      <c r="K39" s="30" t="s">
        <v>178</v>
      </c>
    </row>
    <row r="40" ht="15.75" customHeight="1">
      <c r="I40" s="138" t="s">
        <v>77</v>
      </c>
      <c r="J40" s="124">
        <v>0.0</v>
      </c>
      <c r="K40" s="30" t="s">
        <v>179</v>
      </c>
    </row>
    <row r="41" ht="15.75" customHeight="1">
      <c r="I41" s="132" t="s">
        <v>79</v>
      </c>
      <c r="J41" s="133">
        <f>J26-J32-J33-J34-J35-J36+J37+J38-J39-J40</f>
        <v>98.30100062</v>
      </c>
      <c r="K41" s="147" t="s">
        <v>80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2:B2"/>
    <mergeCell ref="D2:G2"/>
    <mergeCell ref="I2:K2"/>
    <mergeCell ref="D3:F3"/>
    <mergeCell ref="D4:F4"/>
    <mergeCell ref="D5:F5"/>
    <mergeCell ref="D6:F6"/>
    <mergeCell ref="D7:F7"/>
    <mergeCell ref="A8:B8"/>
    <mergeCell ref="D8:F8"/>
    <mergeCell ref="D9:F9"/>
    <mergeCell ref="M9:N9"/>
    <mergeCell ref="D10:F10"/>
    <mergeCell ref="D12:G12"/>
    <mergeCell ref="D20:F20"/>
    <mergeCell ref="D21:F21"/>
    <mergeCell ref="I21:K21"/>
    <mergeCell ref="D22:F22"/>
    <mergeCell ref="D13:F13"/>
    <mergeCell ref="A14:B14"/>
    <mergeCell ref="D14:F14"/>
    <mergeCell ref="D15:F15"/>
    <mergeCell ref="D16:F16"/>
    <mergeCell ref="D18:G18"/>
    <mergeCell ref="D19:F1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6.57"/>
    <col customWidth="1" min="3" max="3" width="14.0"/>
    <col customWidth="1" min="4" max="4" width="13.57"/>
    <col customWidth="1" min="5" max="5" width="8.71"/>
    <col customWidth="1" min="6" max="6" width="18.14"/>
    <col customWidth="1" min="7" max="7" width="14.14"/>
    <col customWidth="1" min="8" max="8" width="15.0"/>
    <col customWidth="1" min="9" max="9" width="14.57"/>
    <col customWidth="1" min="10" max="10" width="14.14"/>
    <col customWidth="1" min="11" max="11" width="18.14"/>
    <col customWidth="1" min="12" max="12" width="14.29"/>
    <col customWidth="1" min="13" max="13" width="16.14"/>
    <col customWidth="1" min="14" max="14" width="15.14"/>
    <col customWidth="1" min="15" max="15" width="13.29"/>
  </cols>
  <sheetData>
    <row r="1">
      <c r="D1" s="48"/>
    </row>
    <row r="2">
      <c r="B2" s="53" t="s">
        <v>180</v>
      </c>
      <c r="C2" s="2"/>
      <c r="D2" s="54"/>
      <c r="F2" s="53" t="s">
        <v>181</v>
      </c>
      <c r="G2" s="7"/>
      <c r="H2" s="7"/>
      <c r="I2" s="7"/>
      <c r="J2" s="7"/>
      <c r="K2" s="7"/>
      <c r="L2" s="7"/>
      <c r="M2" s="7"/>
      <c r="N2" s="2"/>
    </row>
    <row r="3">
      <c r="B3" s="55" t="s">
        <v>182</v>
      </c>
      <c r="C3" s="41">
        <v>662320.0</v>
      </c>
      <c r="D3" s="54"/>
      <c r="E3" s="48"/>
      <c r="F3" s="56" t="s">
        <v>84</v>
      </c>
      <c r="G3" s="31" t="s">
        <v>85</v>
      </c>
      <c r="H3" s="7"/>
      <c r="I3" s="2"/>
      <c r="J3" s="31" t="s">
        <v>86</v>
      </c>
      <c r="K3" s="7"/>
      <c r="L3" s="2"/>
      <c r="M3" s="13" t="s">
        <v>87</v>
      </c>
      <c r="N3" s="57" t="s">
        <v>88</v>
      </c>
    </row>
    <row r="4">
      <c r="B4" s="58" t="s">
        <v>89</v>
      </c>
      <c r="C4" s="47">
        <f>0.95 %</f>
        <v>0.0095</v>
      </c>
      <c r="D4" s="54"/>
      <c r="F4" s="60"/>
      <c r="G4" s="61" t="s">
        <v>90</v>
      </c>
      <c r="H4" s="61" t="s">
        <v>91</v>
      </c>
      <c r="I4" s="61" t="s">
        <v>92</v>
      </c>
      <c r="J4" s="61" t="s">
        <v>90</v>
      </c>
      <c r="K4" s="61" t="s">
        <v>91</v>
      </c>
      <c r="L4" s="61" t="s">
        <v>92</v>
      </c>
      <c r="M4" s="62" t="s">
        <v>93</v>
      </c>
      <c r="N4" s="62" t="s">
        <v>93</v>
      </c>
    </row>
    <row r="5">
      <c r="B5" s="58" t="s">
        <v>94</v>
      </c>
      <c r="C5" s="47" t="s">
        <v>95</v>
      </c>
      <c r="D5" s="54"/>
      <c r="F5" s="63"/>
      <c r="G5" s="8" t="s">
        <v>96</v>
      </c>
      <c r="H5" s="8" t="s">
        <v>97</v>
      </c>
      <c r="I5" s="8" t="s">
        <v>98</v>
      </c>
      <c r="J5" s="8" t="s">
        <v>96</v>
      </c>
      <c r="K5" s="8" t="s">
        <v>97</v>
      </c>
      <c r="L5" s="8" t="s">
        <v>98</v>
      </c>
      <c r="M5" s="62" t="s">
        <v>99</v>
      </c>
      <c r="N5" s="62" t="s">
        <v>99</v>
      </c>
    </row>
    <row r="6">
      <c r="B6" s="64" t="s">
        <v>183</v>
      </c>
      <c r="C6" s="65">
        <f>CEILING(C3*(1+C4)^5,1)</f>
        <v>694384</v>
      </c>
      <c r="D6" s="54"/>
      <c r="F6" s="66" t="s">
        <v>101</v>
      </c>
      <c r="G6" s="67">
        <v>62.53</v>
      </c>
      <c r="H6" s="67">
        <v>1800.0</v>
      </c>
      <c r="I6" s="67">
        <v>0.05</v>
      </c>
      <c r="J6" s="67">
        <v>250.11</v>
      </c>
      <c r="K6" s="67">
        <v>1800.0</v>
      </c>
      <c r="L6" s="67">
        <v>0.05</v>
      </c>
      <c r="M6" s="68">
        <f t="shared" ref="M6:M14" si="1">G6*H6*I6</f>
        <v>5627.7</v>
      </c>
      <c r="N6" s="69">
        <f t="shared" ref="N6:N14" si="2">J6*K6*L6</f>
        <v>22509.9</v>
      </c>
    </row>
    <row r="7">
      <c r="B7" s="55" t="s">
        <v>102</v>
      </c>
      <c r="C7" s="15">
        <f>63.19 %</f>
        <v>0.6319</v>
      </c>
      <c r="D7" s="54"/>
      <c r="F7" s="70" t="s">
        <v>103</v>
      </c>
      <c r="G7" s="37">
        <v>140.69</v>
      </c>
      <c r="H7" s="37">
        <v>600.0</v>
      </c>
      <c r="I7" s="37">
        <v>1.0</v>
      </c>
      <c r="J7" s="37">
        <v>750.34</v>
      </c>
      <c r="K7" s="37">
        <v>600.0</v>
      </c>
      <c r="L7" s="37">
        <v>1.0</v>
      </c>
      <c r="M7" s="71">
        <f t="shared" si="1"/>
        <v>84414</v>
      </c>
      <c r="N7" s="72">
        <f t="shared" si="2"/>
        <v>450204</v>
      </c>
    </row>
    <row r="8">
      <c r="B8" s="64" t="s">
        <v>104</v>
      </c>
      <c r="C8" s="8">
        <f>CEILING(C7*C6,1)</f>
        <v>438782</v>
      </c>
      <c r="D8" s="54"/>
      <c r="F8" s="70" t="s">
        <v>105</v>
      </c>
      <c r="G8" s="37">
        <v>140.69</v>
      </c>
      <c r="H8" s="37">
        <v>50.0</v>
      </c>
      <c r="I8" s="37">
        <v>1.0</v>
      </c>
      <c r="J8" s="37">
        <v>750.34</v>
      </c>
      <c r="K8" s="37">
        <v>15.0</v>
      </c>
      <c r="L8" s="37">
        <v>1.0</v>
      </c>
      <c r="M8" s="71">
        <f t="shared" si="1"/>
        <v>7034.5</v>
      </c>
      <c r="N8" s="72">
        <f t="shared" si="2"/>
        <v>11255.1</v>
      </c>
    </row>
    <row r="9">
      <c r="B9" s="55" t="s">
        <v>184</v>
      </c>
      <c r="C9" s="41">
        <f>58.9/100</f>
        <v>0.589</v>
      </c>
      <c r="D9" s="54"/>
      <c r="F9" s="70" t="s">
        <v>107</v>
      </c>
      <c r="G9" s="37">
        <v>250.11</v>
      </c>
      <c r="H9" s="37">
        <v>1200.0</v>
      </c>
      <c r="I9" s="37">
        <v>1.0</v>
      </c>
      <c r="J9" s="37">
        <v>750.34</v>
      </c>
      <c r="K9" s="37">
        <v>1200.0</v>
      </c>
      <c r="L9" s="37">
        <v>1.0</v>
      </c>
      <c r="M9" s="71">
        <f t="shared" si="1"/>
        <v>300132</v>
      </c>
      <c r="N9" s="72">
        <f t="shared" si="2"/>
        <v>900408</v>
      </c>
    </row>
    <row r="10">
      <c r="B10" s="64" t="s">
        <v>185</v>
      </c>
      <c r="C10" s="65">
        <f>CEILING(C9*C8,1)</f>
        <v>258443</v>
      </c>
      <c r="D10" s="54"/>
      <c r="F10" s="70" t="s">
        <v>109</v>
      </c>
      <c r="G10" s="37">
        <v>26.9</v>
      </c>
      <c r="H10" s="37">
        <v>80.0</v>
      </c>
      <c r="I10" s="37">
        <v>0.4</v>
      </c>
      <c r="J10" s="37">
        <v>26.9</v>
      </c>
      <c r="K10" s="37">
        <v>80.0</v>
      </c>
      <c r="L10" s="37">
        <v>0.4</v>
      </c>
      <c r="M10" s="71">
        <f t="shared" si="1"/>
        <v>860.8</v>
      </c>
      <c r="N10" s="72">
        <f t="shared" si="2"/>
        <v>860.8</v>
      </c>
    </row>
    <row r="11">
      <c r="B11" s="55" t="s">
        <v>186</v>
      </c>
      <c r="C11" s="47">
        <f>60/100</f>
        <v>0.6</v>
      </c>
      <c r="D11" s="54"/>
      <c r="F11" s="70" t="s">
        <v>111</v>
      </c>
      <c r="G11" s="37">
        <v>62.53</v>
      </c>
      <c r="H11" s="37">
        <v>70.0</v>
      </c>
      <c r="I11" s="37">
        <v>1.0</v>
      </c>
      <c r="J11" s="37">
        <v>62.53</v>
      </c>
      <c r="K11" s="37">
        <v>70.0</v>
      </c>
      <c r="L11" s="37">
        <v>1.0</v>
      </c>
      <c r="M11" s="71">
        <f t="shared" si="1"/>
        <v>4377.1</v>
      </c>
      <c r="N11" s="72">
        <f t="shared" si="2"/>
        <v>4377.1</v>
      </c>
    </row>
    <row r="12">
      <c r="B12" s="64" t="s">
        <v>187</v>
      </c>
      <c r="C12" s="65">
        <f>CEILING(C11*C10,1)</f>
        <v>155066</v>
      </c>
      <c r="D12" s="48"/>
      <c r="F12" s="70" t="s">
        <v>113</v>
      </c>
      <c r="G12" s="37">
        <v>62.53</v>
      </c>
      <c r="H12" s="37">
        <v>1800.0</v>
      </c>
      <c r="I12" s="37">
        <v>1.0</v>
      </c>
      <c r="J12" s="37">
        <v>62.53</v>
      </c>
      <c r="K12" s="37">
        <v>1800.0</v>
      </c>
      <c r="L12" s="37">
        <v>1.0</v>
      </c>
      <c r="M12" s="71">
        <f t="shared" si="1"/>
        <v>112554</v>
      </c>
      <c r="N12" s="72">
        <f t="shared" si="2"/>
        <v>112554</v>
      </c>
    </row>
    <row r="13">
      <c r="D13" s="48"/>
      <c r="F13" s="70" t="s">
        <v>114</v>
      </c>
      <c r="G13" s="37">
        <v>31.26</v>
      </c>
      <c r="H13" s="37">
        <v>3600.0</v>
      </c>
      <c r="I13" s="37">
        <v>0.05</v>
      </c>
      <c r="J13" s="37">
        <v>250.11</v>
      </c>
      <c r="K13" s="37">
        <v>3600.0</v>
      </c>
      <c r="L13" s="37">
        <v>0.95</v>
      </c>
      <c r="M13" s="71">
        <f t="shared" si="1"/>
        <v>5626.8</v>
      </c>
      <c r="N13" s="72">
        <f t="shared" si="2"/>
        <v>855376.2</v>
      </c>
    </row>
    <row r="14">
      <c r="B14" s="73" t="s">
        <v>115</v>
      </c>
      <c r="C14" s="7"/>
      <c r="D14" s="2"/>
      <c r="F14" s="74" t="s">
        <v>116</v>
      </c>
      <c r="G14" s="52">
        <v>31.26</v>
      </c>
      <c r="H14" s="52">
        <v>1800.0</v>
      </c>
      <c r="I14" s="52">
        <v>0.2</v>
      </c>
      <c r="J14" s="52">
        <v>125.06</v>
      </c>
      <c r="K14" s="52">
        <v>1800.0</v>
      </c>
      <c r="L14" s="52">
        <v>0.4</v>
      </c>
      <c r="M14" s="75">
        <f t="shared" si="1"/>
        <v>11253.6</v>
      </c>
      <c r="N14" s="76">
        <f t="shared" si="2"/>
        <v>90043.2</v>
      </c>
    </row>
    <row r="15">
      <c r="B15" s="77" t="s">
        <v>117</v>
      </c>
      <c r="C15" s="78" t="s">
        <v>87</v>
      </c>
      <c r="D15" s="78" t="s">
        <v>88</v>
      </c>
      <c r="F15" s="31" t="s">
        <v>118</v>
      </c>
      <c r="G15" s="7"/>
      <c r="H15" s="7"/>
      <c r="I15" s="7"/>
      <c r="J15" s="7"/>
      <c r="K15" s="7"/>
      <c r="L15" s="2"/>
      <c r="M15" s="13">
        <f t="shared" ref="M15:N15" si="3">SUM(M6:M14)</f>
        <v>531880.5</v>
      </c>
      <c r="N15" s="57">
        <f t="shared" si="3"/>
        <v>2447588.3</v>
      </c>
    </row>
    <row r="16">
      <c r="B16" s="36" t="s">
        <v>119</v>
      </c>
      <c r="C16" s="79">
        <v>98.46</v>
      </c>
      <c r="D16" s="5"/>
    </row>
    <row r="17">
      <c r="B17" s="38" t="s">
        <v>120</v>
      </c>
      <c r="C17" s="80">
        <f>CEILING(C11*C10,1)</f>
        <v>155066</v>
      </c>
      <c r="D17" s="45"/>
      <c r="F17" s="73" t="s">
        <v>121</v>
      </c>
      <c r="G17" s="7"/>
      <c r="H17" s="7"/>
      <c r="I17" s="7"/>
      <c r="J17" s="7"/>
      <c r="K17" s="7"/>
      <c r="L17" s="7"/>
      <c r="M17" s="7"/>
      <c r="N17" s="2"/>
    </row>
    <row r="18">
      <c r="B18" s="38" t="s">
        <v>122</v>
      </c>
      <c r="C18" s="12">
        <f>(L36/0.98)*(1/1000)</f>
        <v>54619.69537</v>
      </c>
      <c r="D18" s="67">
        <f>(N36/0.98)*(1/1000)</f>
        <v>251346.9235</v>
      </c>
      <c r="F18" s="81" t="s">
        <v>123</v>
      </c>
      <c r="G18" s="31" t="s">
        <v>124</v>
      </c>
      <c r="H18" s="2"/>
      <c r="I18" s="31" t="s">
        <v>125</v>
      </c>
      <c r="J18" s="2"/>
      <c r="K18" s="31" t="s">
        <v>126</v>
      </c>
      <c r="L18" s="2"/>
      <c r="M18" s="31" t="s">
        <v>127</v>
      </c>
      <c r="N18" s="2"/>
    </row>
    <row r="19">
      <c r="B19" s="38" t="s">
        <v>128</v>
      </c>
      <c r="C19" s="19">
        <f>SUM(N52:N59)</f>
        <v>1033.850856</v>
      </c>
      <c r="D19" s="37">
        <f>SUM(L52:L59)</f>
        <v>861.542376</v>
      </c>
      <c r="F19" s="82"/>
      <c r="G19" s="61" t="s">
        <v>129</v>
      </c>
      <c r="H19" s="81" t="s">
        <v>130</v>
      </c>
      <c r="I19" s="61" t="s">
        <v>129</v>
      </c>
      <c r="J19" s="81" t="s">
        <v>130</v>
      </c>
      <c r="K19" s="61" t="s">
        <v>129</v>
      </c>
      <c r="L19" s="81" t="s">
        <v>130</v>
      </c>
      <c r="M19" s="61" t="s">
        <v>129</v>
      </c>
      <c r="N19" s="81" t="s">
        <v>130</v>
      </c>
    </row>
    <row r="20">
      <c r="B20" s="38" t="s">
        <v>131</v>
      </c>
      <c r="C20" s="19">
        <f t="shared" ref="C20:D20" si="4">C19*3</f>
        <v>3101.552568</v>
      </c>
      <c r="D20" s="37">
        <f t="shared" si="4"/>
        <v>2584.627128</v>
      </c>
      <c r="F20" s="82"/>
      <c r="G20" s="83" t="s">
        <v>132</v>
      </c>
      <c r="H20" s="82"/>
      <c r="I20" s="83" t="s">
        <v>132</v>
      </c>
      <c r="J20" s="82"/>
      <c r="K20" s="83" t="s">
        <v>132</v>
      </c>
      <c r="L20" s="82"/>
      <c r="M20" s="83" t="s">
        <v>132</v>
      </c>
      <c r="N20" s="82"/>
    </row>
    <row r="21" ht="15.75" customHeight="1">
      <c r="B21" s="38" t="s">
        <v>133</v>
      </c>
      <c r="C21" s="19">
        <f t="shared" ref="C21:D21" si="5">CEILING(C18/C20,1)</f>
        <v>18</v>
      </c>
      <c r="D21" s="84">
        <f t="shared" si="5"/>
        <v>98</v>
      </c>
      <c r="F21" s="85"/>
      <c r="G21" s="8" t="s">
        <v>134</v>
      </c>
      <c r="H21" s="85"/>
      <c r="I21" s="8" t="s">
        <v>134</v>
      </c>
      <c r="J21" s="85"/>
      <c r="K21" s="8" t="s">
        <v>134</v>
      </c>
      <c r="L21" s="85"/>
      <c r="M21" s="8" t="s">
        <v>134</v>
      </c>
      <c r="N21" s="85"/>
    </row>
    <row r="22" ht="15.75" customHeight="1">
      <c r="B22" s="38" t="s">
        <v>135</v>
      </c>
      <c r="C22" s="19">
        <f>CEILING(C17/C21,1)</f>
        <v>8615</v>
      </c>
      <c r="D22" s="37">
        <f>CEILING(C17/D21,1)</f>
        <v>1583</v>
      </c>
      <c r="F22" s="66" t="s">
        <v>101</v>
      </c>
      <c r="G22" s="15">
        <f>100/100</f>
        <v>1</v>
      </c>
      <c r="H22" s="15">
        <v>0.6</v>
      </c>
      <c r="I22" s="86">
        <f>100/100</f>
        <v>1</v>
      </c>
      <c r="J22" s="86">
        <v>0.4</v>
      </c>
      <c r="K22" s="15">
        <f>40/100</f>
        <v>0.4</v>
      </c>
      <c r="L22" s="47">
        <v>0.3</v>
      </c>
      <c r="M22" s="86">
        <f>30/100</f>
        <v>0.3</v>
      </c>
      <c r="N22" s="87">
        <v>0.2</v>
      </c>
    </row>
    <row r="23" ht="15.75" customHeight="1">
      <c r="B23" s="38" t="s">
        <v>136</v>
      </c>
      <c r="C23" s="19">
        <f>C16/C21</f>
        <v>5.47</v>
      </c>
      <c r="D23" s="37">
        <f>C16/D21</f>
        <v>1.004693878</v>
      </c>
      <c r="F23" s="70" t="s">
        <v>103</v>
      </c>
      <c r="G23" s="21">
        <f>20/100</f>
        <v>0.2</v>
      </c>
      <c r="H23" s="21">
        <v>0.3</v>
      </c>
      <c r="I23" s="88">
        <f>20/100</f>
        <v>0.2</v>
      </c>
      <c r="J23" s="88">
        <v>0.2</v>
      </c>
      <c r="K23" s="21">
        <f>20/100</f>
        <v>0.2</v>
      </c>
      <c r="L23" s="47">
        <v>0.2</v>
      </c>
      <c r="M23" s="88">
        <f>10/100</f>
        <v>0.1</v>
      </c>
      <c r="N23" s="87">
        <v>0.2</v>
      </c>
    </row>
    <row r="24" ht="15.75" customHeight="1">
      <c r="B24" s="20" t="s">
        <v>137</v>
      </c>
      <c r="C24" s="47">
        <f t="shared" ref="C24:D24" si="6">C23/3</f>
        <v>1.823333333</v>
      </c>
      <c r="D24" s="21">
        <f t="shared" si="6"/>
        <v>0.3348979592</v>
      </c>
      <c r="F24" s="70" t="s">
        <v>105</v>
      </c>
      <c r="G24" s="21">
        <f>10/100</f>
        <v>0.1</v>
      </c>
      <c r="H24" s="21">
        <v>0.4</v>
      </c>
      <c r="I24" s="88">
        <f>10/100</f>
        <v>0.1</v>
      </c>
      <c r="J24" s="88">
        <v>0.3</v>
      </c>
      <c r="K24" s="21">
        <f>10/100</f>
        <v>0.1</v>
      </c>
      <c r="L24" s="47">
        <v>0.2</v>
      </c>
      <c r="M24" s="88">
        <f t="shared" ref="M24:M25" si="8">5/100</f>
        <v>0.05</v>
      </c>
      <c r="N24" s="87">
        <v>0.1</v>
      </c>
    </row>
    <row r="25" ht="15.75" customHeight="1">
      <c r="B25" s="38" t="s">
        <v>138</v>
      </c>
      <c r="C25" s="89">
        <f t="shared" ref="C25:D25" si="7">SQRT(C24/(1.95)*(2.6))</f>
        <v>1.559202075</v>
      </c>
      <c r="D25" s="89">
        <f t="shared" si="7"/>
        <v>0.6682294608</v>
      </c>
      <c r="F25" s="70" t="s">
        <v>107</v>
      </c>
      <c r="G25" s="21">
        <f>20/100</f>
        <v>0.2</v>
      </c>
      <c r="H25" s="21">
        <v>0.2</v>
      </c>
      <c r="I25" s="88">
        <f>20/100</f>
        <v>0.2</v>
      </c>
      <c r="J25" s="88">
        <v>0.3</v>
      </c>
      <c r="K25" s="21">
        <f>20/100</f>
        <v>0.2</v>
      </c>
      <c r="L25" s="47">
        <v>0.2</v>
      </c>
      <c r="M25" s="88">
        <f t="shared" si="8"/>
        <v>0.05</v>
      </c>
      <c r="N25" s="87">
        <v>0.1</v>
      </c>
    </row>
    <row r="26" ht="15.75" customHeight="1">
      <c r="B26" s="27" t="s">
        <v>43</v>
      </c>
      <c r="C26" s="90">
        <f>(SQRT(3*3))*D25</f>
        <v>2.004688382</v>
      </c>
      <c r="D26" s="2"/>
      <c r="F26" s="70" t="s">
        <v>109</v>
      </c>
      <c r="G26" s="21">
        <f>100/100</f>
        <v>1</v>
      </c>
      <c r="H26" s="21">
        <v>1.4</v>
      </c>
      <c r="I26" s="88">
        <f>100/100</f>
        <v>1</v>
      </c>
      <c r="J26" s="88">
        <v>1.3</v>
      </c>
      <c r="K26" s="21">
        <f>50/100</f>
        <v>0.5</v>
      </c>
      <c r="L26" s="47">
        <v>1.0</v>
      </c>
      <c r="M26" s="88">
        <f>50/100</f>
        <v>0.5</v>
      </c>
      <c r="N26" s="87">
        <v>0.9</v>
      </c>
    </row>
    <row r="27" ht="15.75" customHeight="1">
      <c r="B27" s="48"/>
      <c r="C27" s="91"/>
      <c r="D27" s="48"/>
      <c r="F27" s="70" t="s">
        <v>111</v>
      </c>
      <c r="G27" s="21">
        <f t="shared" ref="G27:G28" si="9">20/100</f>
        <v>0.2</v>
      </c>
      <c r="H27" s="21">
        <v>0.2</v>
      </c>
      <c r="I27" s="88">
        <f>20/100</f>
        <v>0.2</v>
      </c>
      <c r="J27" s="88">
        <v>0.16</v>
      </c>
      <c r="K27" s="21">
        <f t="shared" ref="K27:K28" si="10">10/100</f>
        <v>0.1</v>
      </c>
      <c r="L27" s="47">
        <v>0.1</v>
      </c>
      <c r="M27" s="88">
        <f t="shared" ref="M27:M30" si="11">5/100</f>
        <v>0.05</v>
      </c>
      <c r="N27" s="87">
        <v>0.05</v>
      </c>
    </row>
    <row r="28" ht="15.75" customHeight="1">
      <c r="B28" s="23" t="s">
        <v>139</v>
      </c>
      <c r="C28" s="91"/>
      <c r="D28" s="48"/>
      <c r="F28" s="70" t="s">
        <v>113</v>
      </c>
      <c r="G28" s="21">
        <f t="shared" si="9"/>
        <v>0.2</v>
      </c>
      <c r="H28" s="21">
        <v>0.2</v>
      </c>
      <c r="I28" s="88">
        <f t="shared" ref="I28:I29" si="12">15/100</f>
        <v>0.15</v>
      </c>
      <c r="J28" s="88">
        <v>0.15</v>
      </c>
      <c r="K28" s="21">
        <f t="shared" si="10"/>
        <v>0.1</v>
      </c>
      <c r="L28" s="47">
        <v>0.1</v>
      </c>
      <c r="M28" s="88">
        <f t="shared" si="11"/>
        <v>0.05</v>
      </c>
      <c r="N28" s="87">
        <v>0.05</v>
      </c>
    </row>
    <row r="29" ht="15.75" customHeight="1">
      <c r="B29" s="92" t="s">
        <v>188</v>
      </c>
      <c r="C29" s="91"/>
      <c r="D29" s="48"/>
      <c r="F29" s="70" t="s">
        <v>114</v>
      </c>
      <c r="G29" s="21">
        <f>15/100</f>
        <v>0.15</v>
      </c>
      <c r="H29" s="21">
        <v>0.2</v>
      </c>
      <c r="I29" s="88">
        <f t="shared" si="12"/>
        <v>0.15</v>
      </c>
      <c r="J29" s="88">
        <v>0.15</v>
      </c>
      <c r="K29" s="21">
        <f>5/100</f>
        <v>0.05</v>
      </c>
      <c r="L29" s="47">
        <v>0.1</v>
      </c>
      <c r="M29" s="88">
        <f t="shared" si="11"/>
        <v>0.05</v>
      </c>
      <c r="N29" s="87">
        <v>0.1</v>
      </c>
    </row>
    <row r="30" ht="15.75" customHeight="1">
      <c r="B30" s="92" t="s">
        <v>141</v>
      </c>
      <c r="C30" s="91"/>
      <c r="D30" s="48"/>
      <c r="F30" s="74" t="s">
        <v>116</v>
      </c>
      <c r="G30" s="21">
        <f>30/100</f>
        <v>0.3</v>
      </c>
      <c r="H30" s="21">
        <v>0.2</v>
      </c>
      <c r="I30" s="88">
        <f>20/100</f>
        <v>0.2</v>
      </c>
      <c r="J30" s="88">
        <v>0.2</v>
      </c>
      <c r="K30" s="21">
        <f>10/100</f>
        <v>0.1</v>
      </c>
      <c r="L30" s="47">
        <v>0.1</v>
      </c>
      <c r="M30" s="88">
        <f t="shared" si="11"/>
        <v>0.05</v>
      </c>
      <c r="N30" s="87">
        <v>0.1</v>
      </c>
    </row>
    <row r="31" ht="15.75" customHeight="1">
      <c r="B31" s="92" t="s">
        <v>142</v>
      </c>
      <c r="C31" s="91"/>
      <c r="D31" s="48"/>
      <c r="F31" s="31"/>
      <c r="G31" s="7"/>
      <c r="H31" s="7"/>
      <c r="I31" s="7"/>
      <c r="J31" s="7"/>
      <c r="K31" s="7"/>
      <c r="L31" s="7"/>
      <c r="M31" s="7"/>
      <c r="N31" s="2"/>
    </row>
    <row r="32" ht="15.75" customHeight="1">
      <c r="B32" s="93" t="s">
        <v>143</v>
      </c>
      <c r="C32" s="91"/>
      <c r="D32" s="48"/>
      <c r="F32" s="54"/>
      <c r="G32" s="48"/>
      <c r="H32" s="48"/>
      <c r="I32" s="48"/>
      <c r="J32" s="48"/>
      <c r="K32" s="48"/>
      <c r="L32" s="48"/>
      <c r="M32" s="48"/>
      <c r="N32" s="48"/>
    </row>
    <row r="33" ht="15.75" customHeight="1">
      <c r="B33" s="48"/>
      <c r="C33" s="91"/>
      <c r="D33" s="48"/>
      <c r="F33" s="73" t="s">
        <v>144</v>
      </c>
      <c r="G33" s="7"/>
      <c r="H33" s="7"/>
      <c r="I33" s="7"/>
      <c r="J33" s="2"/>
      <c r="L33" s="73" t="s">
        <v>145</v>
      </c>
      <c r="M33" s="7"/>
      <c r="N33" s="7"/>
      <c r="O33" s="2"/>
    </row>
    <row r="34" ht="15.75" customHeight="1">
      <c r="D34" s="48"/>
      <c r="F34" s="81" t="s">
        <v>84</v>
      </c>
      <c r="G34" s="31" t="s">
        <v>125</v>
      </c>
      <c r="H34" s="2"/>
      <c r="I34" s="94" t="s">
        <v>146</v>
      </c>
      <c r="J34" s="77" t="s">
        <v>147</v>
      </c>
      <c r="K34" s="48" t="s">
        <v>148</v>
      </c>
      <c r="L34" s="95" t="s">
        <v>85</v>
      </c>
      <c r="M34" s="2"/>
      <c r="N34" s="96" t="s">
        <v>86</v>
      </c>
      <c r="O34" s="2"/>
    </row>
    <row r="35" ht="15.75" customHeight="1">
      <c r="B35" s="54"/>
      <c r="F35" s="82"/>
      <c r="G35" s="61" t="s">
        <v>129</v>
      </c>
      <c r="H35" s="81" t="s">
        <v>130</v>
      </c>
      <c r="I35" s="81" t="s">
        <v>149</v>
      </c>
      <c r="J35" s="81" t="s">
        <v>149</v>
      </c>
      <c r="L35" s="77" t="s">
        <v>150</v>
      </c>
      <c r="M35" s="77" t="s">
        <v>151</v>
      </c>
      <c r="N35" s="77" t="s">
        <v>150</v>
      </c>
      <c r="O35" s="97" t="s">
        <v>151</v>
      </c>
    </row>
    <row r="36" ht="15.75" customHeight="1">
      <c r="B36" s="54"/>
      <c r="C36" s="54"/>
      <c r="D36" s="54"/>
      <c r="E36" s="98" t="s">
        <v>148</v>
      </c>
      <c r="F36" s="82"/>
      <c r="G36" s="83" t="s">
        <v>132</v>
      </c>
      <c r="H36" s="82"/>
      <c r="I36" s="82"/>
      <c r="J36" s="82"/>
      <c r="L36" s="24">
        <f>I47*C12</f>
        <v>53527301.47</v>
      </c>
      <c r="M36" s="24">
        <f>L36/0.98</f>
        <v>54619695.37</v>
      </c>
      <c r="N36" s="99">
        <f>J47*C12</f>
        <v>246319985</v>
      </c>
      <c r="O36" s="99">
        <f>N36/0.98</f>
        <v>251346923.5</v>
      </c>
    </row>
    <row r="37" ht="15.75" customHeight="1">
      <c r="B37" s="54"/>
      <c r="C37" s="54"/>
      <c r="D37" s="54"/>
      <c r="F37" s="85"/>
      <c r="G37" s="8" t="s">
        <v>134</v>
      </c>
      <c r="H37" s="85"/>
      <c r="I37" s="100"/>
      <c r="J37" s="100"/>
    </row>
    <row r="38" ht="15.75" customHeight="1">
      <c r="B38" s="54"/>
      <c r="C38" s="54"/>
      <c r="D38" s="54"/>
      <c r="F38" s="66" t="s">
        <v>101</v>
      </c>
      <c r="G38" s="86">
        <f>100/100</f>
        <v>1</v>
      </c>
      <c r="H38" s="86">
        <v>0.4</v>
      </c>
      <c r="I38" s="101">
        <f>(M15*H38*G38*(1+0.2))/3600</f>
        <v>70.9174</v>
      </c>
      <c r="J38" s="15">
        <f>(N15*H38*G38*(1+0.2))/3600</f>
        <v>326.3451067</v>
      </c>
    </row>
    <row r="39" ht="15.75" customHeight="1">
      <c r="B39" s="54"/>
      <c r="C39" s="54"/>
      <c r="D39" s="54"/>
      <c r="F39" s="70" t="s">
        <v>103</v>
      </c>
      <c r="G39" s="88">
        <f>20/100</f>
        <v>0.2</v>
      </c>
      <c r="H39" s="88">
        <v>0.2</v>
      </c>
      <c r="I39" s="102">
        <f>(M15*H39*G39*(1+0.2))/3600</f>
        <v>7.09174</v>
      </c>
      <c r="J39" s="21">
        <f>(N15*H39*G39*(1+0.2))/3600</f>
        <v>32.63451067</v>
      </c>
    </row>
    <row r="40" ht="15.75" customHeight="1">
      <c r="B40" s="54"/>
      <c r="C40" s="54"/>
      <c r="D40" s="54"/>
      <c r="F40" s="70" t="s">
        <v>105</v>
      </c>
      <c r="G40" s="88">
        <f>10/100</f>
        <v>0.1</v>
      </c>
      <c r="H40" s="88">
        <v>0.3</v>
      </c>
      <c r="I40" s="102">
        <f>(M15*H40*G40*(1+0.2))/3600</f>
        <v>5.318805</v>
      </c>
      <c r="J40" s="21">
        <f>(N15*H40*G40*(1+0.2))/3600</f>
        <v>24.475883</v>
      </c>
    </row>
    <row r="41" ht="15.75" customHeight="1">
      <c r="B41" s="54"/>
      <c r="C41" s="54"/>
      <c r="D41" s="54"/>
      <c r="F41" s="70" t="s">
        <v>107</v>
      </c>
      <c r="G41" s="88">
        <f>20/100</f>
        <v>0.2</v>
      </c>
      <c r="H41" s="88">
        <v>0.3</v>
      </c>
      <c r="I41" s="102">
        <f>(M15*H41*G41*(1+0.2))/3600</f>
        <v>10.63761</v>
      </c>
      <c r="J41" s="21">
        <f>(N15*H41*G41*(1+0.2))/3600</f>
        <v>48.951766</v>
      </c>
    </row>
    <row r="42" ht="15.75" customHeight="1">
      <c r="B42" s="54"/>
      <c r="C42" s="54"/>
      <c r="D42" s="54"/>
      <c r="F42" s="70" t="s">
        <v>109</v>
      </c>
      <c r="G42" s="88">
        <f>100/100</f>
        <v>1</v>
      </c>
      <c r="H42" s="88">
        <v>1.3</v>
      </c>
      <c r="I42" s="102">
        <f>(M15*H42*G42*(1+0.2))/3600</f>
        <v>230.48155</v>
      </c>
      <c r="J42" s="21">
        <f>(N15*H42*G42*(1+0.2))/3600</f>
        <v>1060.621597</v>
      </c>
    </row>
    <row r="43" ht="15.75" customHeight="1">
      <c r="B43" s="91"/>
      <c r="C43" s="91"/>
      <c r="D43" s="91"/>
      <c r="F43" s="70" t="s">
        <v>111</v>
      </c>
      <c r="G43" s="88">
        <f>20/100</f>
        <v>0.2</v>
      </c>
      <c r="H43" s="88">
        <v>0.16</v>
      </c>
      <c r="I43" s="102">
        <f>(M15*H43*G43*(1+0.2))/3600</f>
        <v>5.673392</v>
      </c>
      <c r="J43" s="21">
        <f>(N15*H43*G43*(1+0.2))/3600</f>
        <v>26.10760853</v>
      </c>
    </row>
    <row r="44" ht="15.75" customHeight="1">
      <c r="B44" s="91"/>
      <c r="C44" s="91"/>
      <c r="D44" s="91"/>
      <c r="F44" s="70" t="s">
        <v>113</v>
      </c>
      <c r="G44" s="88">
        <f t="shared" ref="G44:G45" si="13">15/100</f>
        <v>0.15</v>
      </c>
      <c r="H44" s="88">
        <v>0.15</v>
      </c>
      <c r="I44" s="102">
        <f>(M15*H44*G44*(1+0.2))/3600</f>
        <v>3.98910375</v>
      </c>
      <c r="J44" s="21">
        <f>(N15*H44*G44*(1+0.2))/3600</f>
        <v>18.35691225</v>
      </c>
    </row>
    <row r="45" ht="15.75" customHeight="1">
      <c r="B45" s="91"/>
      <c r="C45" s="91"/>
      <c r="D45" s="91"/>
      <c r="F45" s="70" t="s">
        <v>114</v>
      </c>
      <c r="G45" s="88">
        <f t="shared" si="13"/>
        <v>0.15</v>
      </c>
      <c r="H45" s="88">
        <v>0.15</v>
      </c>
      <c r="I45" s="102">
        <f>(M15*H45*G45*(1+0.2))/3600</f>
        <v>3.98910375</v>
      </c>
      <c r="J45" s="21">
        <f>(N15*H45*G45*(1+0.2))/3600</f>
        <v>18.35691225</v>
      </c>
    </row>
    <row r="46" ht="15.75" customHeight="1">
      <c r="B46" s="91"/>
      <c r="C46" s="91"/>
      <c r="D46" s="91"/>
      <c r="F46" s="74" t="s">
        <v>116</v>
      </c>
      <c r="G46" s="88">
        <f>20/100</f>
        <v>0.2</v>
      </c>
      <c r="H46" s="88">
        <v>0.2</v>
      </c>
      <c r="I46" s="103">
        <f>(M15*H46*G46*(1+0.2))/3600</f>
        <v>7.09174</v>
      </c>
      <c r="J46" s="28">
        <f>(N15*H46*G46*(1+0.2))/3600</f>
        <v>32.63451067</v>
      </c>
    </row>
    <row r="47" ht="15.75" customHeight="1">
      <c r="B47" s="91"/>
      <c r="C47" s="91"/>
      <c r="D47" s="91"/>
      <c r="F47" s="31" t="s">
        <v>152</v>
      </c>
      <c r="G47" s="7"/>
      <c r="H47" s="104"/>
      <c r="I47" s="105">
        <f t="shared" ref="I47:J47" si="14">SUM(I38:I46)</f>
        <v>345.1904445</v>
      </c>
      <c r="J47" s="99">
        <f t="shared" si="14"/>
        <v>1588.484807</v>
      </c>
    </row>
    <row r="48" ht="15.75" customHeight="1">
      <c r="B48" s="91"/>
      <c r="C48" s="91"/>
      <c r="D48" s="91"/>
    </row>
    <row r="49" ht="15.75" customHeight="1">
      <c r="B49" s="91"/>
      <c r="C49" s="91"/>
      <c r="D49" s="91"/>
    </row>
    <row r="50" ht="15.75" customHeight="1">
      <c r="B50" s="91"/>
      <c r="C50" s="91"/>
      <c r="D50" s="91"/>
      <c r="F50" s="73" t="s">
        <v>189</v>
      </c>
      <c r="G50" s="7"/>
      <c r="H50" s="7"/>
      <c r="I50" s="7"/>
      <c r="J50" s="7"/>
      <c r="K50" s="7"/>
      <c r="L50" s="7"/>
      <c r="M50" s="7"/>
      <c r="N50" s="2"/>
    </row>
    <row r="51" ht="15.75" customHeight="1">
      <c r="B51" s="91"/>
      <c r="C51" s="91"/>
      <c r="D51" s="91"/>
      <c r="F51" s="13" t="s">
        <v>154</v>
      </c>
      <c r="G51" s="13" t="s">
        <v>155</v>
      </c>
      <c r="H51" s="13" t="s">
        <v>156</v>
      </c>
      <c r="I51" s="13" t="s">
        <v>157</v>
      </c>
      <c r="J51" s="13" t="s">
        <v>158</v>
      </c>
      <c r="K51" s="61" t="s">
        <v>159</v>
      </c>
      <c r="L51" s="61" t="s">
        <v>160</v>
      </c>
      <c r="M51" s="61" t="s">
        <v>161</v>
      </c>
      <c r="N51" s="61" t="s">
        <v>162</v>
      </c>
    </row>
    <row r="52" ht="15.75" customHeight="1">
      <c r="B52" s="54"/>
      <c r="C52" s="54"/>
      <c r="D52" s="106"/>
      <c r="E52" s="48" t="s">
        <v>148</v>
      </c>
      <c r="F52" s="107" t="s">
        <v>163</v>
      </c>
      <c r="G52" s="14">
        <v>2.0</v>
      </c>
      <c r="H52" s="14">
        <f>1/3</f>
        <v>0.3333333333</v>
      </c>
      <c r="I52" s="14">
        <v>-0.75</v>
      </c>
      <c r="J52" s="66">
        <v>0.28</v>
      </c>
      <c r="K52" s="15">
        <f t="shared" ref="K52:K59" si="15">(((168-36-12)*G52*H52*79*64*1000)-24)*(1/1000000)</f>
        <v>404.479976</v>
      </c>
      <c r="L52" s="108">
        <f t="shared" ref="L52:L59" si="16">J52*K52</f>
        <v>113.2543933</v>
      </c>
      <c r="M52" s="86">
        <f t="shared" ref="M52:M59" si="17">(((168-24)*G52*H52*79*64*1000)-24)*(1/1000000)</f>
        <v>485.375976</v>
      </c>
      <c r="N52" s="109">
        <f t="shared" ref="N52:N59" si="18">J52*M52</f>
        <v>135.9052733</v>
      </c>
    </row>
    <row r="53" ht="15.75" customHeight="1">
      <c r="D53" s="48"/>
      <c r="F53" s="110" t="s">
        <v>164</v>
      </c>
      <c r="G53" s="20">
        <v>2.0</v>
      </c>
      <c r="H53" s="20">
        <f>1/2</f>
        <v>0.5</v>
      </c>
      <c r="I53" s="20">
        <v>1.5</v>
      </c>
      <c r="J53" s="70">
        <v>0.25</v>
      </c>
      <c r="K53" s="21">
        <f t="shared" si="15"/>
        <v>606.719976</v>
      </c>
      <c r="L53" s="111">
        <f t="shared" si="16"/>
        <v>151.679994</v>
      </c>
      <c r="M53" s="88">
        <f t="shared" si="17"/>
        <v>728.063976</v>
      </c>
      <c r="N53" s="87">
        <f t="shared" si="18"/>
        <v>182.015994</v>
      </c>
    </row>
    <row r="54" ht="15.75" customHeight="1">
      <c r="B54" s="54"/>
      <c r="F54" s="110" t="s">
        <v>165</v>
      </c>
      <c r="G54" s="20">
        <v>2.0</v>
      </c>
      <c r="H54" s="20">
        <f>2/3</f>
        <v>0.6666666667</v>
      </c>
      <c r="I54" s="20">
        <v>3.5</v>
      </c>
      <c r="J54" s="70">
        <v>0.17</v>
      </c>
      <c r="K54" s="21">
        <f t="shared" si="15"/>
        <v>808.959976</v>
      </c>
      <c r="L54" s="111">
        <f t="shared" si="16"/>
        <v>137.5231959</v>
      </c>
      <c r="M54" s="88">
        <f t="shared" si="17"/>
        <v>970.751976</v>
      </c>
      <c r="N54" s="87">
        <f t="shared" si="18"/>
        <v>165.0278359</v>
      </c>
    </row>
    <row r="55" ht="15.75" customHeight="1">
      <c r="B55" s="54"/>
      <c r="C55" s="54"/>
      <c r="D55" s="54"/>
      <c r="F55" s="110" t="s">
        <v>166</v>
      </c>
      <c r="G55" s="20">
        <v>4.0</v>
      </c>
      <c r="H55" s="20">
        <f>1/2</f>
        <v>0.5</v>
      </c>
      <c r="I55" s="20">
        <v>7.0</v>
      </c>
      <c r="J55" s="70">
        <v>0.13</v>
      </c>
      <c r="K55" s="21">
        <f t="shared" si="15"/>
        <v>1213.439976</v>
      </c>
      <c r="L55" s="111">
        <f t="shared" si="16"/>
        <v>157.7471969</v>
      </c>
      <c r="M55" s="88">
        <f t="shared" si="17"/>
        <v>1456.127976</v>
      </c>
      <c r="N55" s="87">
        <f t="shared" si="18"/>
        <v>189.2966369</v>
      </c>
    </row>
    <row r="56" ht="15.75" customHeight="1">
      <c r="B56" s="91"/>
      <c r="C56" s="54"/>
      <c r="D56" s="54"/>
      <c r="F56" s="110" t="s">
        <v>167</v>
      </c>
      <c r="G56" s="20">
        <v>4.0</v>
      </c>
      <c r="H56" s="20">
        <f>2/3</f>
        <v>0.6666666667</v>
      </c>
      <c r="I56" s="20">
        <v>9.5</v>
      </c>
      <c r="J56" s="70">
        <v>0.1</v>
      </c>
      <c r="K56" s="21">
        <f t="shared" si="15"/>
        <v>1617.919976</v>
      </c>
      <c r="L56" s="111">
        <f t="shared" si="16"/>
        <v>161.7919976</v>
      </c>
      <c r="M56" s="88">
        <f t="shared" si="17"/>
        <v>1941.503976</v>
      </c>
      <c r="N56" s="87">
        <f t="shared" si="18"/>
        <v>194.1503976</v>
      </c>
    </row>
    <row r="57" ht="15.75" customHeight="1">
      <c r="B57" s="54"/>
      <c r="C57" s="54"/>
      <c r="D57" s="54"/>
      <c r="F57" s="110" t="s">
        <v>168</v>
      </c>
      <c r="G57" s="20">
        <v>4.0</v>
      </c>
      <c r="H57" s="20">
        <f>4/5</f>
        <v>0.8</v>
      </c>
      <c r="I57" s="20">
        <v>11.5</v>
      </c>
      <c r="J57" s="70">
        <v>0.05</v>
      </c>
      <c r="K57" s="21">
        <f t="shared" si="15"/>
        <v>1941.503976</v>
      </c>
      <c r="L57" s="111">
        <f t="shared" si="16"/>
        <v>97.0751988</v>
      </c>
      <c r="M57" s="88">
        <f t="shared" si="17"/>
        <v>2329.804776</v>
      </c>
      <c r="N57" s="87">
        <f t="shared" si="18"/>
        <v>116.4902388</v>
      </c>
    </row>
    <row r="58" ht="15.75" customHeight="1">
      <c r="B58" s="54"/>
      <c r="C58" s="54"/>
      <c r="D58" s="54"/>
      <c r="F58" s="110" t="s">
        <v>169</v>
      </c>
      <c r="G58" s="20">
        <v>6.0</v>
      </c>
      <c r="H58" s="20">
        <f>1/2</f>
        <v>0.5</v>
      </c>
      <c r="I58" s="20">
        <v>12.6</v>
      </c>
      <c r="J58" s="70">
        <v>0.01</v>
      </c>
      <c r="K58" s="21">
        <f t="shared" si="15"/>
        <v>1820.159976</v>
      </c>
      <c r="L58" s="111">
        <f t="shared" si="16"/>
        <v>18.20159976</v>
      </c>
      <c r="M58" s="88">
        <f t="shared" si="17"/>
        <v>2184.191976</v>
      </c>
      <c r="N58" s="87">
        <f t="shared" si="18"/>
        <v>21.84191976</v>
      </c>
    </row>
    <row r="59" ht="15.75" customHeight="1">
      <c r="B59" s="54"/>
      <c r="C59" s="54"/>
      <c r="D59" s="54"/>
      <c r="F59" s="112" t="s">
        <v>170</v>
      </c>
      <c r="G59" s="27">
        <v>6.0</v>
      </c>
      <c r="H59" s="27">
        <f>2/3</f>
        <v>0.6666666667</v>
      </c>
      <c r="I59" s="27">
        <v>14.5</v>
      </c>
      <c r="J59" s="74">
        <v>0.01</v>
      </c>
      <c r="K59" s="28">
        <f t="shared" si="15"/>
        <v>2426.879976</v>
      </c>
      <c r="L59" s="113">
        <f t="shared" si="16"/>
        <v>24.26879976</v>
      </c>
      <c r="M59" s="114">
        <f t="shared" si="17"/>
        <v>2912.255976</v>
      </c>
      <c r="N59" s="115">
        <f t="shared" si="18"/>
        <v>29.12255976</v>
      </c>
    </row>
    <row r="60" ht="15.75" customHeight="1">
      <c r="B60" s="54"/>
      <c r="C60" s="54"/>
      <c r="D60" s="54"/>
      <c r="F60" s="6" t="s">
        <v>171</v>
      </c>
      <c r="G60" s="7"/>
      <c r="H60" s="7"/>
      <c r="I60" s="7"/>
      <c r="J60" s="2"/>
      <c r="K60" s="116">
        <f>SUM(L52:L59)</f>
        <v>861.542376</v>
      </c>
      <c r="L60" s="45"/>
      <c r="M60" s="117">
        <f>SUM(N52:N59)</f>
        <v>1033.850856</v>
      </c>
      <c r="N60" s="45"/>
    </row>
    <row r="61" ht="15.75" customHeight="1">
      <c r="B61" s="54"/>
      <c r="C61" s="54"/>
      <c r="D61" s="54"/>
    </row>
    <row r="62" ht="15.75" customHeight="1">
      <c r="B62" s="91"/>
      <c r="C62" s="91"/>
      <c r="D62" s="91"/>
    </row>
    <row r="63" ht="15.75" customHeight="1">
      <c r="B63" s="91"/>
      <c r="C63" s="91"/>
      <c r="D63" s="91"/>
    </row>
    <row r="64" ht="15.75" customHeight="1">
      <c r="B64" s="91"/>
      <c r="C64" s="91"/>
      <c r="D64" s="91"/>
    </row>
    <row r="65" ht="15.75" customHeight="1">
      <c r="B65" s="91"/>
      <c r="C65" s="91"/>
      <c r="D65" s="91"/>
    </row>
    <row r="66" ht="15.75" customHeight="1">
      <c r="B66" s="91"/>
      <c r="C66" s="91"/>
      <c r="D66" s="91"/>
    </row>
    <row r="67" ht="15.75" customHeight="1">
      <c r="B67" s="91"/>
      <c r="C67" s="91"/>
      <c r="D67" s="91"/>
    </row>
    <row r="68" ht="15.75" customHeight="1">
      <c r="B68" s="91"/>
      <c r="C68" s="91"/>
      <c r="D68" s="91"/>
    </row>
    <row r="69" ht="15.75" customHeight="1">
      <c r="B69" s="91"/>
      <c r="C69" s="91"/>
      <c r="D69" s="91"/>
    </row>
    <row r="70" ht="15.75" customHeight="1">
      <c r="B70" s="91"/>
      <c r="C70" s="91"/>
      <c r="D70" s="91"/>
    </row>
    <row r="71" ht="15.75" customHeight="1">
      <c r="B71" s="54"/>
      <c r="C71" s="54"/>
      <c r="D71" s="106"/>
      <c r="E71" s="48" t="s">
        <v>148</v>
      </c>
    </row>
    <row r="72" ht="15.75" customHeight="1">
      <c r="D72" s="48"/>
    </row>
    <row r="73" ht="15.75" customHeight="1">
      <c r="D73" s="48"/>
    </row>
    <row r="74" ht="15.75" customHeight="1">
      <c r="D74" s="48"/>
    </row>
    <row r="75" ht="15.75" customHeight="1">
      <c r="D75" s="48"/>
    </row>
    <row r="76" ht="15.75" customHeight="1">
      <c r="D76" s="48"/>
    </row>
    <row r="77" ht="15.75" customHeight="1">
      <c r="D77" s="48"/>
    </row>
    <row r="78" ht="15.75" customHeight="1">
      <c r="D78" s="48"/>
    </row>
    <row r="79" ht="15.75" customHeight="1">
      <c r="D79" s="48"/>
    </row>
    <row r="80" ht="15.75" customHeight="1">
      <c r="D80" s="48"/>
    </row>
    <row r="81" ht="15.75" customHeight="1">
      <c r="D81" s="48"/>
    </row>
    <row r="82" ht="15.75" customHeight="1">
      <c r="D82" s="48"/>
    </row>
    <row r="83" ht="15.75" customHeight="1">
      <c r="D83" s="48"/>
    </row>
    <row r="84" ht="15.75" customHeight="1">
      <c r="D84" s="48"/>
    </row>
    <row r="85" ht="15.75" customHeight="1">
      <c r="D85" s="48"/>
    </row>
    <row r="86" ht="15.75" customHeight="1">
      <c r="D86" s="48"/>
    </row>
    <row r="87" ht="15.75" customHeight="1">
      <c r="D87" s="48"/>
    </row>
    <row r="88" ht="15.75" customHeight="1">
      <c r="D88" s="48"/>
    </row>
    <row r="89" ht="15.75" customHeight="1">
      <c r="D89" s="48"/>
    </row>
    <row r="90" ht="15.75" customHeight="1">
      <c r="D90" s="48"/>
    </row>
    <row r="91" ht="15.75" customHeight="1">
      <c r="D91" s="48"/>
    </row>
    <row r="92" ht="15.75" customHeight="1">
      <c r="D92" s="48"/>
    </row>
    <row r="93" ht="15.75" customHeight="1">
      <c r="D93" s="48"/>
    </row>
    <row r="94" ht="15.75" customHeight="1">
      <c r="D94" s="48"/>
    </row>
    <row r="95" ht="15.75" customHeight="1">
      <c r="D95" s="48"/>
    </row>
    <row r="96" ht="15.75" customHeight="1">
      <c r="D96" s="48"/>
    </row>
    <row r="97" ht="15.75" customHeight="1">
      <c r="D97" s="48"/>
    </row>
    <row r="98" ht="15.75" customHeight="1">
      <c r="D98" s="48"/>
    </row>
    <row r="99" ht="15.75" customHeight="1">
      <c r="D99" s="48"/>
    </row>
    <row r="100" ht="15.75" customHeight="1">
      <c r="D100" s="48"/>
    </row>
    <row r="101" ht="15.75" customHeight="1">
      <c r="D101" s="48"/>
    </row>
    <row r="102" ht="15.75" customHeight="1">
      <c r="D102" s="48"/>
    </row>
    <row r="103" ht="15.75" customHeight="1">
      <c r="D103" s="48"/>
    </row>
    <row r="104" ht="15.75" customHeight="1">
      <c r="D104" s="48"/>
    </row>
    <row r="105" ht="15.75" customHeight="1">
      <c r="D105" s="48"/>
    </row>
    <row r="106" ht="15.75" customHeight="1">
      <c r="D106" s="48"/>
    </row>
    <row r="107" ht="15.75" customHeight="1">
      <c r="D107" s="48"/>
    </row>
    <row r="108" ht="15.75" customHeight="1">
      <c r="D108" s="48"/>
    </row>
    <row r="109" ht="15.75" customHeight="1">
      <c r="D109" s="48"/>
    </row>
    <row r="110" ht="15.75" customHeight="1">
      <c r="D110" s="48"/>
    </row>
    <row r="111" ht="15.75" customHeight="1">
      <c r="D111" s="48"/>
    </row>
    <row r="112" ht="15.75" customHeight="1">
      <c r="D112" s="48"/>
    </row>
    <row r="113" ht="15.75" customHeight="1">
      <c r="D113" s="48"/>
    </row>
    <row r="114" ht="15.75" customHeight="1">
      <c r="D114" s="48"/>
    </row>
    <row r="115" ht="15.75" customHeight="1">
      <c r="D115" s="48"/>
    </row>
    <row r="116" ht="15.75" customHeight="1">
      <c r="D116" s="48"/>
    </row>
    <row r="117" ht="15.75" customHeight="1">
      <c r="D117" s="48"/>
    </row>
    <row r="118" ht="15.75" customHeight="1">
      <c r="D118" s="48"/>
    </row>
    <row r="119" ht="15.75" customHeight="1">
      <c r="D119" s="48"/>
    </row>
    <row r="120" ht="15.75" customHeight="1">
      <c r="D120" s="48"/>
    </row>
    <row r="121" ht="15.75" customHeight="1">
      <c r="D121" s="48"/>
    </row>
    <row r="122" ht="15.75" customHeight="1">
      <c r="D122" s="48"/>
    </row>
    <row r="123" ht="15.75" customHeight="1">
      <c r="D123" s="48"/>
    </row>
    <row r="124" ht="15.75" customHeight="1">
      <c r="D124" s="48"/>
    </row>
    <row r="125" ht="15.75" customHeight="1">
      <c r="D125" s="48"/>
    </row>
    <row r="126" ht="15.75" customHeight="1">
      <c r="D126" s="48"/>
    </row>
    <row r="127" ht="15.75" customHeight="1">
      <c r="D127" s="48"/>
    </row>
    <row r="128" ht="15.75" customHeight="1">
      <c r="D128" s="48"/>
    </row>
    <row r="129" ht="15.75" customHeight="1">
      <c r="D129" s="48"/>
    </row>
    <row r="130" ht="15.75" customHeight="1">
      <c r="D130" s="48"/>
    </row>
    <row r="131" ht="15.75" customHeight="1">
      <c r="D131" s="48"/>
    </row>
    <row r="132" ht="15.75" customHeight="1">
      <c r="D132" s="48"/>
    </row>
    <row r="133" ht="15.75" customHeight="1">
      <c r="D133" s="48"/>
    </row>
    <row r="134" ht="15.75" customHeight="1">
      <c r="D134" s="48"/>
    </row>
    <row r="135" ht="15.75" customHeight="1">
      <c r="D135" s="48"/>
    </row>
    <row r="136" ht="15.75" customHeight="1">
      <c r="D136" s="48"/>
    </row>
    <row r="137" ht="15.75" customHeight="1">
      <c r="D137" s="48"/>
    </row>
    <row r="138" ht="15.75" customHeight="1">
      <c r="D138" s="48"/>
    </row>
    <row r="139" ht="15.75" customHeight="1">
      <c r="D139" s="48"/>
    </row>
    <row r="140" ht="15.75" customHeight="1">
      <c r="D140" s="48"/>
    </row>
    <row r="141" ht="15.75" customHeight="1">
      <c r="D141" s="48"/>
    </row>
    <row r="142" ht="15.75" customHeight="1">
      <c r="D142" s="48"/>
    </row>
    <row r="143" ht="15.75" customHeight="1">
      <c r="D143" s="48"/>
    </row>
    <row r="144" ht="15.75" customHeight="1">
      <c r="D144" s="48"/>
    </row>
    <row r="145" ht="15.75" customHeight="1">
      <c r="D145" s="48"/>
    </row>
    <row r="146" ht="15.75" customHeight="1">
      <c r="D146" s="48"/>
    </row>
    <row r="147" ht="15.75" customHeight="1">
      <c r="D147" s="48"/>
    </row>
    <row r="148" ht="15.75" customHeight="1">
      <c r="D148" s="48"/>
    </row>
    <row r="149" ht="15.75" customHeight="1">
      <c r="D149" s="48"/>
    </row>
    <row r="150" ht="15.75" customHeight="1">
      <c r="D150" s="48"/>
    </row>
    <row r="151" ht="15.75" customHeight="1">
      <c r="D151" s="48"/>
    </row>
    <row r="152" ht="15.75" customHeight="1">
      <c r="D152" s="48"/>
    </row>
    <row r="153" ht="15.75" customHeight="1">
      <c r="D153" s="48"/>
    </row>
    <row r="154" ht="15.75" customHeight="1">
      <c r="D154" s="48"/>
    </row>
    <row r="155" ht="15.75" customHeight="1">
      <c r="D155" s="48"/>
    </row>
    <row r="156" ht="15.75" customHeight="1">
      <c r="D156" s="48"/>
    </row>
    <row r="157" ht="15.75" customHeight="1">
      <c r="D157" s="48"/>
    </row>
    <row r="158" ht="15.75" customHeight="1">
      <c r="D158" s="48"/>
    </row>
    <row r="159" ht="15.75" customHeight="1">
      <c r="D159" s="48"/>
    </row>
    <row r="160" ht="15.75" customHeight="1">
      <c r="D160" s="48"/>
    </row>
    <row r="161" ht="15.75" customHeight="1">
      <c r="D161" s="48"/>
    </row>
    <row r="162" ht="15.75" customHeight="1">
      <c r="D162" s="48"/>
    </row>
    <row r="163" ht="15.75" customHeight="1">
      <c r="D163" s="48"/>
    </row>
    <row r="164" ht="15.75" customHeight="1">
      <c r="D164" s="48"/>
    </row>
    <row r="165" ht="15.75" customHeight="1">
      <c r="D165" s="48"/>
    </row>
    <row r="166" ht="15.75" customHeight="1">
      <c r="D166" s="48"/>
    </row>
    <row r="167" ht="15.75" customHeight="1">
      <c r="D167" s="48"/>
    </row>
    <row r="168" ht="15.75" customHeight="1">
      <c r="D168" s="48"/>
    </row>
    <row r="169" ht="15.75" customHeight="1">
      <c r="D169" s="48"/>
    </row>
    <row r="170" ht="15.75" customHeight="1">
      <c r="D170" s="48"/>
    </row>
    <row r="171" ht="15.75" customHeight="1">
      <c r="D171" s="48"/>
    </row>
    <row r="172" ht="15.75" customHeight="1">
      <c r="D172" s="48"/>
    </row>
    <row r="173" ht="15.75" customHeight="1">
      <c r="D173" s="48"/>
    </row>
    <row r="174" ht="15.75" customHeight="1">
      <c r="D174" s="48"/>
    </row>
    <row r="175" ht="15.75" customHeight="1">
      <c r="D175" s="48"/>
    </row>
    <row r="176" ht="15.75" customHeight="1">
      <c r="D176" s="48"/>
    </row>
    <row r="177" ht="15.75" customHeight="1">
      <c r="D177" s="48"/>
    </row>
    <row r="178" ht="15.75" customHeight="1">
      <c r="D178" s="48"/>
    </row>
    <row r="179" ht="15.75" customHeight="1">
      <c r="D179" s="48"/>
    </row>
    <row r="180" ht="15.75" customHeight="1">
      <c r="D180" s="48"/>
    </row>
    <row r="181" ht="15.75" customHeight="1">
      <c r="D181" s="48"/>
    </row>
    <row r="182" ht="15.75" customHeight="1">
      <c r="D182" s="48"/>
    </row>
    <row r="183" ht="15.75" customHeight="1">
      <c r="D183" s="48"/>
    </row>
    <row r="184" ht="15.75" customHeight="1">
      <c r="D184" s="48"/>
    </row>
    <row r="185" ht="15.75" customHeight="1">
      <c r="D185" s="48"/>
    </row>
    <row r="186" ht="15.75" customHeight="1">
      <c r="D186" s="48"/>
    </row>
    <row r="187" ht="15.75" customHeight="1">
      <c r="D187" s="48"/>
    </row>
    <row r="188" ht="15.75" customHeight="1">
      <c r="D188" s="48"/>
    </row>
    <row r="189" ht="15.75" customHeight="1">
      <c r="D189" s="48"/>
    </row>
    <row r="190" ht="15.75" customHeight="1">
      <c r="D190" s="48"/>
    </row>
    <row r="191" ht="15.75" customHeight="1">
      <c r="D191" s="48"/>
    </row>
    <row r="192" ht="15.75" customHeight="1">
      <c r="D192" s="48"/>
    </row>
    <row r="193" ht="15.75" customHeight="1">
      <c r="D193" s="48"/>
    </row>
    <row r="194" ht="15.75" customHeight="1">
      <c r="D194" s="48"/>
    </row>
    <row r="195" ht="15.75" customHeight="1">
      <c r="D195" s="48"/>
    </row>
    <row r="196" ht="15.75" customHeight="1">
      <c r="D196" s="48"/>
    </row>
    <row r="197" ht="15.75" customHeight="1">
      <c r="D197" s="48"/>
    </row>
    <row r="198" ht="15.75" customHeight="1">
      <c r="D198" s="48"/>
    </row>
    <row r="199" ht="15.75" customHeight="1">
      <c r="D199" s="48"/>
    </row>
    <row r="200" ht="15.75" customHeight="1">
      <c r="D200" s="48"/>
    </row>
    <row r="201" ht="15.75" customHeight="1">
      <c r="D201" s="48"/>
    </row>
    <row r="202" ht="15.75" customHeight="1">
      <c r="D202" s="48"/>
    </row>
    <row r="203" ht="15.75" customHeight="1">
      <c r="D203" s="48"/>
    </row>
    <row r="204" ht="15.75" customHeight="1">
      <c r="D204" s="48"/>
    </row>
    <row r="205" ht="15.75" customHeight="1">
      <c r="D205" s="48"/>
    </row>
    <row r="206" ht="15.75" customHeight="1">
      <c r="D206" s="48"/>
    </row>
    <row r="207" ht="15.75" customHeight="1">
      <c r="D207" s="48"/>
    </row>
    <row r="208" ht="15.75" customHeight="1">
      <c r="D208" s="48"/>
    </row>
    <row r="209" ht="15.75" customHeight="1">
      <c r="D209" s="48"/>
    </row>
    <row r="210" ht="15.75" customHeight="1">
      <c r="D210" s="48"/>
    </row>
    <row r="211" ht="15.75" customHeight="1">
      <c r="D211" s="48"/>
    </row>
    <row r="212" ht="15.75" customHeight="1">
      <c r="D212" s="48"/>
    </row>
    <row r="213" ht="15.75" customHeight="1">
      <c r="D213" s="48"/>
    </row>
    <row r="214" ht="15.75" customHeight="1">
      <c r="D214" s="48"/>
    </row>
    <row r="215" ht="15.75" customHeight="1">
      <c r="D215" s="48"/>
    </row>
    <row r="216" ht="15.75" customHeight="1">
      <c r="D216" s="48"/>
    </row>
    <row r="217" ht="15.75" customHeight="1">
      <c r="D217" s="48"/>
    </row>
    <row r="218" ht="15.75" customHeight="1">
      <c r="D218" s="48"/>
    </row>
    <row r="219" ht="15.75" customHeight="1">
      <c r="D219" s="48"/>
    </row>
    <row r="220" ht="15.75" customHeight="1">
      <c r="D220" s="48"/>
    </row>
    <row r="221" ht="15.75" customHeight="1">
      <c r="D221" s="48"/>
    </row>
    <row r="222" ht="15.75" customHeight="1">
      <c r="D222" s="48"/>
    </row>
    <row r="223" ht="15.75" customHeight="1">
      <c r="D223" s="48"/>
    </row>
    <row r="224" ht="15.75" customHeight="1">
      <c r="D224" s="48"/>
    </row>
    <row r="225" ht="15.75" customHeight="1">
      <c r="D225" s="48"/>
    </row>
    <row r="226" ht="15.75" customHeight="1">
      <c r="D226" s="48"/>
    </row>
    <row r="227" ht="15.75" customHeight="1">
      <c r="D227" s="48"/>
    </row>
    <row r="228" ht="15.75" customHeight="1">
      <c r="D228" s="48"/>
    </row>
    <row r="229" ht="15.75" customHeight="1">
      <c r="D229" s="48"/>
    </row>
    <row r="230" ht="15.75" customHeight="1">
      <c r="D230" s="48"/>
    </row>
    <row r="231" ht="15.75" customHeight="1">
      <c r="D231" s="48"/>
    </row>
    <row r="232" ht="15.75" customHeight="1">
      <c r="D232" s="48"/>
    </row>
    <row r="233" ht="15.75" customHeight="1">
      <c r="D233" s="48"/>
    </row>
    <row r="234" ht="15.75" customHeight="1">
      <c r="D234" s="48"/>
    </row>
    <row r="235" ht="15.75" customHeight="1">
      <c r="D235" s="48"/>
    </row>
    <row r="236" ht="15.75" customHeight="1">
      <c r="D236" s="48"/>
    </row>
    <row r="237" ht="15.75" customHeight="1">
      <c r="D237" s="48"/>
    </row>
    <row r="238" ht="15.75" customHeight="1">
      <c r="D238" s="48"/>
    </row>
    <row r="239" ht="15.75" customHeight="1">
      <c r="D239" s="48"/>
    </row>
    <row r="240" ht="15.75" customHeight="1">
      <c r="D240" s="48"/>
    </row>
    <row r="241" ht="15.75" customHeight="1">
      <c r="D241" s="48"/>
    </row>
    <row r="242" ht="15.75" customHeight="1">
      <c r="D242" s="48"/>
    </row>
    <row r="243" ht="15.75" customHeight="1">
      <c r="D243" s="48"/>
    </row>
    <row r="244" ht="15.75" customHeight="1">
      <c r="D244" s="48"/>
    </row>
    <row r="245" ht="15.75" customHeight="1">
      <c r="D245" s="48"/>
    </row>
    <row r="246" ht="15.75" customHeight="1">
      <c r="D246" s="48"/>
    </row>
    <row r="247" ht="15.75" customHeight="1">
      <c r="D247" s="48"/>
    </row>
    <row r="248" ht="15.75" customHeight="1">
      <c r="D248" s="48"/>
    </row>
    <row r="249" ht="15.75" customHeight="1">
      <c r="D249" s="48"/>
    </row>
    <row r="250" ht="15.75" customHeight="1">
      <c r="D250" s="48"/>
    </row>
    <row r="251" ht="15.75" customHeight="1">
      <c r="D251" s="48"/>
    </row>
    <row r="252" ht="15.75" customHeight="1">
      <c r="D252" s="48"/>
    </row>
    <row r="253" ht="15.75" customHeight="1">
      <c r="D253" s="48"/>
    </row>
    <row r="254" ht="15.75" customHeight="1">
      <c r="D254" s="48"/>
    </row>
    <row r="255" ht="15.75" customHeight="1">
      <c r="D255" s="48"/>
    </row>
    <row r="256" ht="15.75" customHeight="1">
      <c r="D256" s="48"/>
    </row>
    <row r="257" ht="15.75" customHeight="1">
      <c r="D257" s="48"/>
    </row>
    <row r="258" ht="15.75" customHeight="1">
      <c r="D258" s="48"/>
    </row>
    <row r="259" ht="15.75" customHeight="1">
      <c r="D259" s="48"/>
    </row>
    <row r="260" ht="15.75" customHeight="1">
      <c r="D260" s="48"/>
    </row>
    <row r="261" ht="15.75" customHeight="1">
      <c r="D261" s="48"/>
    </row>
    <row r="262" ht="15.75" customHeight="1">
      <c r="D262" s="48"/>
    </row>
    <row r="263" ht="15.75" customHeight="1">
      <c r="D263" s="48"/>
    </row>
    <row r="264" ht="15.75" customHeight="1">
      <c r="D264" s="48"/>
    </row>
    <row r="265" ht="15.75" customHeight="1">
      <c r="D265" s="48"/>
    </row>
    <row r="266" ht="15.75" customHeight="1">
      <c r="D266" s="48"/>
    </row>
    <row r="267" ht="15.75" customHeight="1">
      <c r="D267" s="48"/>
    </row>
    <row r="268" ht="15.75" customHeight="1">
      <c r="D268" s="48"/>
    </row>
    <row r="269" ht="15.75" customHeight="1">
      <c r="D269" s="48"/>
    </row>
    <row r="270" ht="15.75" customHeight="1">
      <c r="D270" s="48"/>
    </row>
    <row r="271" ht="15.75" customHeight="1">
      <c r="D271" s="48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B2:C2"/>
    <mergeCell ref="F2:N2"/>
    <mergeCell ref="F3:F5"/>
    <mergeCell ref="G3:I3"/>
    <mergeCell ref="J3:L3"/>
    <mergeCell ref="B14:D14"/>
    <mergeCell ref="F15:L15"/>
    <mergeCell ref="G18:H18"/>
    <mergeCell ref="H19:H21"/>
    <mergeCell ref="C26:D26"/>
    <mergeCell ref="C16:D16"/>
    <mergeCell ref="C17:D17"/>
    <mergeCell ref="F17:N17"/>
    <mergeCell ref="F18:F21"/>
    <mergeCell ref="I18:J18"/>
    <mergeCell ref="K18:L18"/>
    <mergeCell ref="M18:N18"/>
    <mergeCell ref="N19:N21"/>
    <mergeCell ref="L34:M34"/>
    <mergeCell ref="N34:O34"/>
    <mergeCell ref="B35:D35"/>
    <mergeCell ref="H35:H37"/>
    <mergeCell ref="I35:I37"/>
    <mergeCell ref="F47:H47"/>
    <mergeCell ref="F50:N50"/>
    <mergeCell ref="B54:D54"/>
    <mergeCell ref="F60:J60"/>
    <mergeCell ref="K60:L60"/>
    <mergeCell ref="M60:N60"/>
    <mergeCell ref="J19:J21"/>
    <mergeCell ref="L19:L21"/>
    <mergeCell ref="F31:N31"/>
    <mergeCell ref="F33:J33"/>
    <mergeCell ref="L33:O33"/>
    <mergeCell ref="F34:F37"/>
    <mergeCell ref="G34:H34"/>
    <mergeCell ref="J35:J37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.71"/>
    <col customWidth="1" min="3" max="3" width="57.14"/>
    <col customWidth="1" min="4" max="6" width="8.71"/>
    <col customWidth="1" min="7" max="7" width="21.86"/>
    <col customWidth="1" min="8" max="8" width="71.0"/>
    <col customWidth="1" min="9" max="9" width="58.43"/>
    <col customWidth="1" min="10" max="11" width="8.71"/>
    <col customWidth="1" min="12" max="12" width="30.0"/>
  </cols>
  <sheetData>
    <row r="2">
      <c r="B2" s="61" t="s">
        <v>190</v>
      </c>
      <c r="C2" s="148" t="s">
        <v>191</v>
      </c>
      <c r="G2" s="149" t="s">
        <v>192</v>
      </c>
      <c r="H2" s="149" t="s">
        <v>193</v>
      </c>
      <c r="I2" s="150" t="s">
        <v>194</v>
      </c>
    </row>
    <row r="3">
      <c r="B3" s="151">
        <v>1.0</v>
      </c>
      <c r="C3" s="152" t="s">
        <v>195</v>
      </c>
      <c r="G3" s="153" t="s">
        <v>196</v>
      </c>
      <c r="H3" s="154" t="s">
        <v>197</v>
      </c>
      <c r="I3" s="155" t="s">
        <v>198</v>
      </c>
    </row>
    <row r="4">
      <c r="B4" s="156">
        <v>2.0</v>
      </c>
      <c r="C4" s="157" t="s">
        <v>199</v>
      </c>
      <c r="G4" s="158"/>
      <c r="H4" s="159" t="s">
        <v>200</v>
      </c>
      <c r="I4" s="160" t="s">
        <v>201</v>
      </c>
    </row>
    <row r="5">
      <c r="B5" s="156">
        <v>3.0</v>
      </c>
      <c r="C5" s="161" t="s">
        <v>202</v>
      </c>
      <c r="G5" s="162" t="s">
        <v>203</v>
      </c>
      <c r="H5" s="159" t="s">
        <v>204</v>
      </c>
      <c r="I5" s="163" t="s">
        <v>205</v>
      </c>
    </row>
    <row r="6">
      <c r="B6" s="164">
        <v>4.0</v>
      </c>
      <c r="C6" s="165" t="s">
        <v>206</v>
      </c>
      <c r="G6" s="166" t="s">
        <v>207</v>
      </c>
      <c r="H6" s="167" t="s">
        <v>208</v>
      </c>
      <c r="I6" s="168"/>
    </row>
    <row r="7">
      <c r="B7" s="82"/>
      <c r="C7" s="169" t="s">
        <v>209</v>
      </c>
    </row>
    <row r="8">
      <c r="B8" s="85"/>
      <c r="C8" s="170"/>
    </row>
    <row r="9">
      <c r="B9" s="171">
        <v>5.0</v>
      </c>
      <c r="C9" s="172" t="s">
        <v>210</v>
      </c>
    </row>
    <row r="10">
      <c r="B10" s="85"/>
      <c r="C10" s="173" t="s">
        <v>211</v>
      </c>
    </row>
    <row r="11">
      <c r="B11" s="164">
        <v>6.0</v>
      </c>
      <c r="C11" s="174" t="s">
        <v>212</v>
      </c>
    </row>
    <row r="12">
      <c r="B12" s="85"/>
      <c r="C12" s="174" t="s">
        <v>213</v>
      </c>
    </row>
    <row r="13">
      <c r="B13" s="175">
        <v>7.0</v>
      </c>
      <c r="C13" s="176" t="s">
        <v>214</v>
      </c>
    </row>
    <row r="14">
      <c r="B14" s="177">
        <v>8.0</v>
      </c>
      <c r="C14" s="178" t="s">
        <v>215</v>
      </c>
    </row>
    <row r="16">
      <c r="L16" s="54"/>
    </row>
    <row r="17">
      <c r="L17" s="54"/>
    </row>
    <row r="18">
      <c r="L18" s="54"/>
    </row>
    <row r="19">
      <c r="L19" s="54"/>
    </row>
    <row r="20">
      <c r="L20" s="54"/>
    </row>
    <row r="21" ht="15.75" customHeight="1">
      <c r="L21" s="54"/>
    </row>
    <row r="22" ht="15.75" customHeight="1">
      <c r="L22" s="54"/>
    </row>
    <row r="23" ht="15.75" customHeight="1">
      <c r="L23" s="54"/>
    </row>
    <row r="24" ht="15.75" customHeight="1">
      <c r="L24" s="54"/>
    </row>
    <row r="25" ht="15.75" customHeight="1">
      <c r="L25" s="54"/>
    </row>
    <row r="26" ht="15.75" customHeight="1">
      <c r="L26" s="54"/>
    </row>
    <row r="27" ht="15.75" customHeight="1">
      <c r="L27" s="54"/>
    </row>
    <row r="28" ht="15.75" customHeight="1">
      <c r="L28" s="54"/>
    </row>
    <row r="29" ht="15.75" customHeight="1">
      <c r="L29" s="54"/>
    </row>
    <row r="30" ht="15.75" customHeight="1">
      <c r="L30" s="54"/>
    </row>
    <row r="31" ht="15.75" customHeight="1">
      <c r="L31" s="54"/>
    </row>
    <row r="32" ht="15.75" customHeight="1">
      <c r="L32" s="54"/>
    </row>
    <row r="33" ht="15.75" customHeight="1">
      <c r="L33" s="54"/>
    </row>
    <row r="34" ht="15.75" customHeight="1">
      <c r="L34" s="54"/>
    </row>
    <row r="35" ht="15.75" customHeight="1">
      <c r="L35" s="54"/>
    </row>
    <row r="36" ht="15.75" customHeight="1">
      <c r="L36" s="54"/>
    </row>
    <row r="37" ht="15.75" customHeight="1">
      <c r="L37" s="54"/>
    </row>
    <row r="38" ht="15.75" customHeight="1">
      <c r="L38" s="54"/>
    </row>
    <row r="39" ht="15.75" customHeight="1">
      <c r="L39" s="54"/>
    </row>
    <row r="40" ht="15.75" customHeight="1">
      <c r="L40" s="54"/>
    </row>
    <row r="41" ht="15.75" customHeight="1">
      <c r="L41" s="54"/>
    </row>
    <row r="42" ht="15.75" customHeight="1">
      <c r="L42" s="54"/>
    </row>
    <row r="43" ht="15.75" customHeight="1">
      <c r="L43" s="54"/>
    </row>
    <row r="44" ht="15.75" customHeight="1">
      <c r="L44" s="54"/>
    </row>
    <row r="45" ht="15.75" customHeight="1">
      <c r="L45" s="54"/>
    </row>
    <row r="46" ht="15.75" customHeight="1">
      <c r="L46" s="54"/>
    </row>
    <row r="47" ht="15.75" customHeight="1">
      <c r="L47" s="54"/>
    </row>
    <row r="48" ht="15.75" customHeight="1">
      <c r="L48" s="54"/>
    </row>
    <row r="49" ht="15.75" customHeight="1">
      <c r="L49" s="54"/>
    </row>
    <row r="50" ht="15.75" customHeight="1">
      <c r="L50" s="54"/>
    </row>
    <row r="51" ht="15.75" customHeight="1">
      <c r="L51" s="54"/>
    </row>
    <row r="52" ht="15.75" customHeight="1">
      <c r="L52" s="54"/>
    </row>
    <row r="53" ht="15.75" customHeight="1">
      <c r="L53" s="54"/>
    </row>
    <row r="54" ht="15.75" customHeight="1">
      <c r="L54" s="54"/>
    </row>
    <row r="55" ht="15.75" customHeight="1">
      <c r="L55" s="54"/>
    </row>
    <row r="56" ht="15.75" customHeight="1">
      <c r="L56" s="54"/>
    </row>
    <row r="57" ht="15.75" customHeight="1">
      <c r="L57" s="54"/>
    </row>
    <row r="58" ht="15.75" customHeight="1">
      <c r="L58" s="54"/>
    </row>
    <row r="59" ht="15.75" customHeight="1">
      <c r="L59" s="54"/>
    </row>
    <row r="60" ht="15.75" customHeight="1">
      <c r="L60" s="54"/>
    </row>
    <row r="61" ht="15.75" customHeight="1">
      <c r="L61" s="54"/>
    </row>
    <row r="62" ht="15.75" customHeight="1">
      <c r="L62" s="54"/>
    </row>
    <row r="63" ht="15.75" customHeight="1">
      <c r="L63" s="54"/>
    </row>
    <row r="64" ht="15.75" customHeight="1">
      <c r="L64" s="54"/>
    </row>
    <row r="65" ht="15.75" customHeight="1">
      <c r="L65" s="54"/>
    </row>
    <row r="66" ht="15.75" customHeight="1">
      <c r="L66" s="54"/>
    </row>
    <row r="67" ht="15.75" customHeight="1">
      <c r="L67" s="54"/>
    </row>
    <row r="68" ht="15.75" customHeight="1">
      <c r="L68" s="54"/>
    </row>
    <row r="69" ht="15.75" customHeight="1">
      <c r="L69" s="54"/>
    </row>
    <row r="70" ht="15.75" customHeight="1">
      <c r="L70" s="54"/>
    </row>
    <row r="71" ht="15.75" customHeight="1">
      <c r="L71" s="54"/>
    </row>
    <row r="72" ht="15.75" customHeight="1">
      <c r="L72" s="54"/>
    </row>
    <row r="73" ht="15.75" customHeight="1">
      <c r="L73" s="54"/>
    </row>
    <row r="74" ht="15.75" customHeight="1">
      <c r="L74" s="54"/>
    </row>
    <row r="75" ht="15.75" customHeight="1">
      <c r="L75" s="54"/>
    </row>
    <row r="76" ht="15.75" customHeight="1">
      <c r="L76" s="54"/>
    </row>
    <row r="77" ht="15.75" customHeight="1">
      <c r="L77" s="54"/>
    </row>
    <row r="78" ht="15.75" customHeight="1">
      <c r="L78" s="54"/>
    </row>
    <row r="79" ht="15.75" customHeight="1">
      <c r="L79" s="54"/>
    </row>
    <row r="80" ht="15.75" customHeight="1">
      <c r="L80" s="54"/>
    </row>
    <row r="81" ht="15.75" customHeight="1">
      <c r="L81" s="54"/>
    </row>
    <row r="82" ht="15.75" customHeight="1">
      <c r="L82" s="54"/>
    </row>
    <row r="83" ht="15.75" customHeight="1">
      <c r="L83" s="54"/>
    </row>
    <row r="84" ht="15.75" customHeight="1">
      <c r="L84" s="54"/>
    </row>
    <row r="85" ht="15.75" customHeight="1">
      <c r="L85" s="54"/>
    </row>
    <row r="86" ht="15.75" customHeight="1">
      <c r="L86" s="54"/>
    </row>
    <row r="87" ht="15.75" customHeight="1">
      <c r="L87" s="54"/>
    </row>
    <row r="88" ht="15.75" customHeight="1">
      <c r="L88" s="54"/>
    </row>
    <row r="89" ht="15.75" customHeight="1">
      <c r="L89" s="54"/>
    </row>
    <row r="90" ht="15.75" customHeight="1">
      <c r="L90" s="54"/>
    </row>
    <row r="91" ht="15.75" customHeight="1">
      <c r="L91" s="54"/>
    </row>
    <row r="92" ht="15.75" customHeight="1">
      <c r="L92" s="54"/>
    </row>
    <row r="93" ht="15.75" customHeight="1">
      <c r="L93" s="54"/>
    </row>
    <row r="94" ht="15.75" customHeight="1">
      <c r="L94" s="54"/>
    </row>
    <row r="95" ht="15.75" customHeight="1">
      <c r="L95" s="54"/>
    </row>
    <row r="96" ht="15.75" customHeight="1">
      <c r="L96" s="54"/>
    </row>
    <row r="97" ht="15.75" customHeight="1">
      <c r="L97" s="54"/>
    </row>
    <row r="98" ht="15.75" customHeight="1">
      <c r="L98" s="54"/>
    </row>
    <row r="99" ht="15.75" customHeight="1">
      <c r="L99" s="54"/>
    </row>
    <row r="100" ht="15.75" customHeight="1">
      <c r="L100" s="54"/>
    </row>
    <row r="101" ht="15.75" customHeight="1">
      <c r="L101" s="54"/>
    </row>
    <row r="102" ht="15.75" customHeight="1">
      <c r="L102" s="54"/>
    </row>
    <row r="103" ht="15.75" customHeight="1">
      <c r="L103" s="54"/>
    </row>
    <row r="104" ht="15.75" customHeight="1">
      <c r="L104" s="54"/>
    </row>
    <row r="105" ht="15.75" customHeight="1">
      <c r="L105" s="54"/>
    </row>
    <row r="106" ht="15.75" customHeight="1">
      <c r="L106" s="54"/>
    </row>
    <row r="107" ht="15.75" customHeight="1">
      <c r="L107" s="54"/>
    </row>
    <row r="108" ht="15.75" customHeight="1">
      <c r="L108" s="54"/>
    </row>
    <row r="109" ht="15.75" customHeight="1">
      <c r="L109" s="54"/>
    </row>
    <row r="110" ht="15.75" customHeight="1">
      <c r="L110" s="54"/>
    </row>
    <row r="111" ht="15.75" customHeight="1">
      <c r="L111" s="54"/>
    </row>
    <row r="112" ht="15.75" customHeight="1">
      <c r="L112" s="54"/>
    </row>
    <row r="113" ht="15.75" customHeight="1">
      <c r="L113" s="54"/>
    </row>
    <row r="114" ht="15.75" customHeight="1">
      <c r="L114" s="54"/>
    </row>
    <row r="115" ht="15.75" customHeight="1">
      <c r="L115" s="54"/>
    </row>
    <row r="116" ht="15.75" customHeight="1">
      <c r="L116" s="54"/>
    </row>
    <row r="117" ht="15.75" customHeight="1">
      <c r="L117" s="54"/>
    </row>
    <row r="118" ht="15.75" customHeight="1">
      <c r="L118" s="54"/>
    </row>
    <row r="119" ht="15.75" customHeight="1">
      <c r="L119" s="54"/>
    </row>
    <row r="120" ht="15.75" customHeight="1">
      <c r="L120" s="54"/>
    </row>
    <row r="121" ht="15.75" customHeight="1">
      <c r="L121" s="54"/>
    </row>
    <row r="122" ht="15.75" customHeight="1">
      <c r="L122" s="54"/>
    </row>
    <row r="123" ht="15.75" customHeight="1">
      <c r="L123" s="54"/>
    </row>
    <row r="124" ht="15.75" customHeight="1">
      <c r="L124" s="54"/>
    </row>
    <row r="125" ht="15.75" customHeight="1">
      <c r="L125" s="54"/>
    </row>
    <row r="126" ht="15.75" customHeight="1">
      <c r="L126" s="54"/>
    </row>
    <row r="127" ht="15.75" customHeight="1">
      <c r="L127" s="54"/>
    </row>
    <row r="128" ht="15.75" customHeight="1">
      <c r="L128" s="54"/>
    </row>
    <row r="129" ht="15.75" customHeight="1">
      <c r="L129" s="54"/>
    </row>
    <row r="130" ht="15.75" customHeight="1">
      <c r="L130" s="54"/>
    </row>
    <row r="131" ht="15.75" customHeight="1">
      <c r="L131" s="54"/>
    </row>
    <row r="132" ht="15.75" customHeight="1">
      <c r="L132" s="54"/>
    </row>
    <row r="133" ht="15.75" customHeight="1">
      <c r="L133" s="54"/>
    </row>
    <row r="134" ht="15.75" customHeight="1">
      <c r="L134" s="54"/>
    </row>
    <row r="135" ht="15.75" customHeight="1">
      <c r="L135" s="54"/>
    </row>
    <row r="136" ht="15.75" customHeight="1">
      <c r="L136" s="54"/>
    </row>
    <row r="137" ht="15.75" customHeight="1">
      <c r="L137" s="54"/>
    </row>
    <row r="138" ht="15.75" customHeight="1">
      <c r="L138" s="54"/>
    </row>
    <row r="139" ht="15.75" customHeight="1">
      <c r="L139" s="54"/>
    </row>
    <row r="140" ht="15.75" customHeight="1">
      <c r="L140" s="54"/>
    </row>
    <row r="141" ht="15.75" customHeight="1">
      <c r="L141" s="54"/>
    </row>
    <row r="142" ht="15.75" customHeight="1">
      <c r="L142" s="54"/>
    </row>
    <row r="143" ht="15.75" customHeight="1">
      <c r="L143" s="54"/>
    </row>
    <row r="144" ht="15.75" customHeight="1">
      <c r="L144" s="54"/>
    </row>
    <row r="145" ht="15.75" customHeight="1">
      <c r="L145" s="54"/>
    </row>
    <row r="146" ht="15.75" customHeight="1">
      <c r="L146" s="54"/>
    </row>
    <row r="147" ht="15.75" customHeight="1">
      <c r="L147" s="54"/>
    </row>
    <row r="148" ht="15.75" customHeight="1">
      <c r="L148" s="54"/>
    </row>
    <row r="149" ht="15.75" customHeight="1">
      <c r="L149" s="54"/>
    </row>
    <row r="150" ht="15.75" customHeight="1">
      <c r="L150" s="54"/>
    </row>
    <row r="151" ht="15.75" customHeight="1">
      <c r="L151" s="54"/>
    </row>
    <row r="152" ht="15.75" customHeight="1">
      <c r="L152" s="54"/>
    </row>
    <row r="153" ht="15.75" customHeight="1">
      <c r="L153" s="54"/>
    </row>
    <row r="154" ht="15.75" customHeight="1">
      <c r="L154" s="54"/>
    </row>
    <row r="155" ht="15.75" customHeight="1">
      <c r="L155" s="54"/>
    </row>
    <row r="156" ht="15.75" customHeight="1">
      <c r="L156" s="54"/>
    </row>
    <row r="157" ht="15.75" customHeight="1">
      <c r="L157" s="54"/>
    </row>
    <row r="158" ht="15.75" customHeight="1">
      <c r="L158" s="54"/>
    </row>
    <row r="159" ht="15.75" customHeight="1">
      <c r="L159" s="54"/>
    </row>
    <row r="160" ht="15.75" customHeight="1">
      <c r="L160" s="54"/>
    </row>
    <row r="161" ht="15.75" customHeight="1">
      <c r="L161" s="54"/>
    </row>
    <row r="162" ht="15.75" customHeight="1">
      <c r="L162" s="54"/>
    </row>
    <row r="163" ht="15.75" customHeight="1">
      <c r="L163" s="54"/>
    </row>
    <row r="164" ht="15.75" customHeight="1">
      <c r="L164" s="54"/>
    </row>
    <row r="165" ht="15.75" customHeight="1">
      <c r="L165" s="54"/>
    </row>
    <row r="166" ht="15.75" customHeight="1">
      <c r="L166" s="54"/>
    </row>
    <row r="167" ht="15.75" customHeight="1">
      <c r="L167" s="54"/>
    </row>
    <row r="168" ht="15.75" customHeight="1">
      <c r="L168" s="54"/>
    </row>
    <row r="169" ht="15.75" customHeight="1">
      <c r="L169" s="54"/>
    </row>
    <row r="170" ht="15.75" customHeight="1">
      <c r="L170" s="54"/>
    </row>
    <row r="171" ht="15.75" customHeight="1">
      <c r="L171" s="54"/>
    </row>
    <row r="172" ht="15.75" customHeight="1">
      <c r="L172" s="54"/>
    </row>
    <row r="173" ht="15.75" customHeight="1">
      <c r="L173" s="54"/>
    </row>
    <row r="174" ht="15.75" customHeight="1">
      <c r="L174" s="54"/>
    </row>
    <row r="175" ht="15.75" customHeight="1">
      <c r="L175" s="54"/>
    </row>
    <row r="176" ht="15.75" customHeight="1">
      <c r="L176" s="54"/>
    </row>
    <row r="177" ht="15.75" customHeight="1">
      <c r="L177" s="54"/>
    </row>
    <row r="178" ht="15.75" customHeight="1">
      <c r="L178" s="54"/>
    </row>
    <row r="179" ht="15.75" customHeight="1">
      <c r="L179" s="54"/>
    </row>
    <row r="180" ht="15.75" customHeight="1">
      <c r="L180" s="54"/>
    </row>
    <row r="181" ht="15.75" customHeight="1">
      <c r="L181" s="54"/>
    </row>
    <row r="182" ht="15.75" customHeight="1">
      <c r="L182" s="54"/>
    </row>
    <row r="183" ht="15.75" customHeight="1">
      <c r="L183" s="54"/>
    </row>
    <row r="184" ht="15.75" customHeight="1">
      <c r="L184" s="54"/>
    </row>
    <row r="185" ht="15.75" customHeight="1">
      <c r="L185" s="54"/>
    </row>
    <row r="186" ht="15.75" customHeight="1">
      <c r="L186" s="54"/>
    </row>
    <row r="187" ht="15.75" customHeight="1">
      <c r="L187" s="54"/>
    </row>
    <row r="188" ht="15.75" customHeight="1">
      <c r="L188" s="54"/>
    </row>
    <row r="189" ht="15.75" customHeight="1">
      <c r="L189" s="54"/>
    </row>
    <row r="190" ht="15.75" customHeight="1">
      <c r="L190" s="54"/>
    </row>
    <row r="191" ht="15.75" customHeight="1">
      <c r="L191" s="54"/>
    </row>
    <row r="192" ht="15.75" customHeight="1">
      <c r="L192" s="54"/>
    </row>
    <row r="193" ht="15.75" customHeight="1">
      <c r="L193" s="54"/>
    </row>
    <row r="194" ht="15.75" customHeight="1">
      <c r="L194" s="54"/>
    </row>
    <row r="195" ht="15.75" customHeight="1">
      <c r="L195" s="54"/>
    </row>
    <row r="196" ht="15.75" customHeight="1">
      <c r="L196" s="54"/>
    </row>
    <row r="197" ht="15.75" customHeight="1">
      <c r="L197" s="54"/>
    </row>
    <row r="198" ht="15.75" customHeight="1">
      <c r="L198" s="54"/>
    </row>
    <row r="199" ht="15.75" customHeight="1">
      <c r="L199" s="54"/>
    </row>
    <row r="200" ht="15.75" customHeight="1">
      <c r="L200" s="54"/>
    </row>
    <row r="201" ht="15.75" customHeight="1">
      <c r="L201" s="54"/>
    </row>
    <row r="202" ht="15.75" customHeight="1">
      <c r="L202" s="54"/>
    </row>
    <row r="203" ht="15.75" customHeight="1">
      <c r="L203" s="54"/>
    </row>
    <row r="204" ht="15.75" customHeight="1">
      <c r="L204" s="54"/>
    </row>
    <row r="205" ht="15.75" customHeight="1">
      <c r="L205" s="54"/>
    </row>
    <row r="206" ht="15.75" customHeight="1">
      <c r="L206" s="54"/>
    </row>
    <row r="207" ht="15.75" customHeight="1">
      <c r="L207" s="54"/>
    </row>
    <row r="208" ht="15.75" customHeight="1">
      <c r="L208" s="54"/>
    </row>
    <row r="209" ht="15.75" customHeight="1">
      <c r="L209" s="54"/>
    </row>
    <row r="210" ht="15.75" customHeight="1">
      <c r="L210" s="54"/>
    </row>
    <row r="211" ht="15.75" customHeight="1">
      <c r="L211" s="54"/>
    </row>
    <row r="212" ht="15.75" customHeight="1">
      <c r="L212" s="54"/>
    </row>
    <row r="213" ht="15.75" customHeight="1">
      <c r="L213" s="54"/>
    </row>
    <row r="214" ht="15.75" customHeight="1">
      <c r="L214" s="54"/>
    </row>
    <row r="215" ht="15.75" customHeight="1">
      <c r="L215" s="54"/>
    </row>
    <row r="216" ht="15.75" customHeight="1">
      <c r="L216" s="54"/>
    </row>
    <row r="217" ht="15.75" customHeight="1">
      <c r="L217" s="54"/>
    </row>
    <row r="218" ht="15.75" customHeight="1">
      <c r="L218" s="54"/>
    </row>
    <row r="219" ht="15.75" customHeight="1">
      <c r="L219" s="54"/>
    </row>
    <row r="220" ht="15.75" customHeight="1">
      <c r="L220" s="5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G3:G4"/>
    <mergeCell ref="I5:I6"/>
    <mergeCell ref="B6:B8"/>
    <mergeCell ref="B9:B10"/>
    <mergeCell ref="B11:B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