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202300"/>
  <mc:AlternateContent xmlns:mc="http://schemas.openxmlformats.org/markup-compatibility/2006">
    <mc:Choice Requires="x15">
      <x15ac:absPath xmlns:x15ac="http://schemas.microsoft.com/office/spreadsheetml/2010/11/ac" url="https://d.docs.live.net/a1a5c87cddaec70c/Documents/"/>
    </mc:Choice>
  </mc:AlternateContent>
  <xr:revisionPtr revIDLastSave="0" documentId="8_{EB3A13A9-B1FF-4F0E-B069-9638C12A2D66}" xr6:coauthVersionLast="47" xr6:coauthVersionMax="47" xr10:uidLastSave="{00000000-0000-0000-0000-000000000000}"/>
  <bookViews>
    <workbookView xWindow="-108" yWindow="-108" windowWidth="23256" windowHeight="13176" activeTab="2" xr2:uid="{189A8FF0-DCF5-4B20-A8DC-E9EB82C300EA}"/>
  </bookViews>
  <sheets>
    <sheet name="Datatable" sheetId="1" r:id="rId1"/>
    <sheet name="Pivottables" sheetId="3" r:id="rId2"/>
    <sheet name="Dashboard" sheetId="2" r:id="rId3"/>
  </sheets>
  <definedNames>
    <definedName name="_xlchart.v5.0" hidden="1">Pivottables!$CG$10:$CG$16</definedName>
    <definedName name="_xlchart.v5.1" hidden="1">Pivottables!$CG$9</definedName>
    <definedName name="_xlchart.v5.2" hidden="1">Pivottables!$CT$8</definedName>
    <definedName name="_xlchart.v5.3" hidden="1">Pivottables!$CG$10:$CG$16</definedName>
    <definedName name="_xlchart.v5.4" hidden="1">Pivottables!$CG$9</definedName>
    <definedName name="_xlchart.v5.5" hidden="1">Pivottables!$CT$8</definedName>
    <definedName name="_xlchart.v5.6" hidden="1">Pivottables!$CG$10:$CG$16</definedName>
    <definedName name="_xlchart.v5.7" hidden="1">Pivottables!$CG$9</definedName>
    <definedName name="_xlchart.v5.8" hidden="1">Pivottables!$CT$8</definedName>
    <definedName name="Slicer_Driver_Name">#N/A</definedName>
    <definedName name="Slicer_Month">#N/A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2" l="1"/>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 i="2"/>
  <c r="H65" i="1"/>
  <c r="K65" i="1"/>
  <c r="M65" i="1"/>
  <c r="O65" i="1"/>
  <c r="Q65" i="1"/>
  <c r="S65" i="1"/>
  <c r="U65" i="1"/>
  <c r="W65" i="1"/>
  <c r="Y65" i="1"/>
  <c r="AD65" i="1"/>
  <c r="AF65" i="1"/>
  <c r="AH65" i="1"/>
  <c r="AJ65" i="1"/>
  <c r="AL65" i="1"/>
  <c r="AN65" i="1"/>
  <c r="AP65" i="1"/>
  <c r="AR65" i="1"/>
  <c r="AT65" i="1"/>
  <c r="AV65" i="1"/>
  <c r="CJ10" i="3"/>
  <c r="CB27" i="3"/>
  <c r="CA27" i="3"/>
  <c r="BZ27" i="3"/>
  <c r="BY27" i="3"/>
  <c r="BX27" i="3"/>
  <c r="BT21" i="3"/>
  <c r="BT20" i="3"/>
  <c r="BT19" i="3"/>
  <c r="BT18" i="3"/>
  <c r="BT17" i="3"/>
  <c r="BT15" i="3"/>
  <c r="BT16" i="3"/>
  <c r="BT14" i="3"/>
  <c r="BT13" i="3"/>
  <c r="BT12" i="3"/>
  <c r="BT11" i="3"/>
  <c r="BT10" i="3"/>
  <c r="BS21" i="3"/>
  <c r="BS20" i="3"/>
  <c r="BS19" i="3"/>
  <c r="BS18" i="3"/>
  <c r="BS17" i="3"/>
  <c r="BS16" i="3"/>
  <c r="BS15" i="3"/>
  <c r="BS14" i="3"/>
  <c r="BS13" i="3"/>
  <c r="BS12" i="3"/>
  <c r="BS11" i="3"/>
  <c r="BS10" i="3"/>
  <c r="BE8" i="3"/>
  <c r="BE7" i="3"/>
  <c r="BD8" i="3"/>
  <c r="BD7" i="3"/>
  <c r="BC8" i="3"/>
  <c r="BC7" i="3"/>
  <c r="O6" i="3"/>
  <c r="M6" i="3"/>
  <c r="BF8" i="3" l="1"/>
  <c r="AP3" i="3"/>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 i="2"/>
  <c r="AV64" i="1"/>
  <c r="AT64" i="1"/>
  <c r="AR64" i="1"/>
  <c r="AP64" i="1"/>
  <c r="AN64" i="1"/>
  <c r="AL64" i="1"/>
  <c r="AJ64" i="1"/>
  <c r="AH64" i="1"/>
  <c r="AF64" i="1"/>
  <c r="AD64" i="1"/>
  <c r="Y64" i="1"/>
  <c r="W64" i="1"/>
  <c r="U64" i="1"/>
  <c r="S64" i="1"/>
  <c r="Q64" i="1"/>
  <c r="O64" i="1"/>
  <c r="M64" i="1"/>
  <c r="K64" i="1"/>
  <c r="H64" i="1"/>
  <c r="AV63" i="1"/>
  <c r="AT63" i="1"/>
  <c r="AR63" i="1"/>
  <c r="AP63" i="1"/>
  <c r="AN63" i="1"/>
  <c r="AL63" i="1"/>
  <c r="AJ63" i="1"/>
  <c r="AH63" i="1"/>
  <c r="AF63" i="1"/>
  <c r="AD63" i="1"/>
  <c r="Y63" i="1"/>
  <c r="W63" i="1"/>
  <c r="U63" i="1"/>
  <c r="S63" i="1"/>
  <c r="Q63" i="1"/>
  <c r="O63" i="1"/>
  <c r="M63" i="1"/>
  <c r="K63" i="1"/>
  <c r="H63" i="1"/>
  <c r="AV62" i="1"/>
  <c r="AT62" i="1"/>
  <c r="AR62" i="1"/>
  <c r="AP62" i="1"/>
  <c r="AN62" i="1"/>
  <c r="AL62" i="1"/>
  <c r="AJ62" i="1"/>
  <c r="AH62" i="1"/>
  <c r="AF62" i="1"/>
  <c r="AD62" i="1"/>
  <c r="Y62" i="1"/>
  <c r="W62" i="1"/>
  <c r="U62" i="1"/>
  <c r="S62" i="1"/>
  <c r="Q62" i="1"/>
  <c r="O62" i="1"/>
  <c r="M62" i="1"/>
  <c r="K62" i="1"/>
  <c r="H62" i="1"/>
  <c r="AV61" i="1"/>
  <c r="AT61" i="1"/>
  <c r="AR61" i="1"/>
  <c r="AP61" i="1"/>
  <c r="AN61" i="1"/>
  <c r="AL61" i="1"/>
  <c r="AJ61" i="1"/>
  <c r="AH61" i="1"/>
  <c r="AF61" i="1"/>
  <c r="AD61" i="1"/>
  <c r="Y61" i="1"/>
  <c r="W61" i="1"/>
  <c r="U61" i="1"/>
  <c r="S61" i="1"/>
  <c r="Q61" i="1"/>
  <c r="O61" i="1"/>
  <c r="M61" i="1"/>
  <c r="K61" i="1"/>
  <c r="H61" i="1"/>
  <c r="AV60" i="1"/>
  <c r="AT60" i="1"/>
  <c r="AR60" i="1"/>
  <c r="AP60" i="1"/>
  <c r="AN60" i="1"/>
  <c r="AL60" i="1"/>
  <c r="AJ60" i="1"/>
  <c r="AH60" i="1"/>
  <c r="AF60" i="1"/>
  <c r="AD60" i="1"/>
  <c r="Y60" i="1"/>
  <c r="W60" i="1"/>
  <c r="U60" i="1"/>
  <c r="S60" i="1"/>
  <c r="Q60" i="1"/>
  <c r="O60" i="1"/>
  <c r="M60" i="1"/>
  <c r="K60" i="1"/>
  <c r="H60" i="1"/>
  <c r="AV59" i="1"/>
  <c r="AT59" i="1"/>
  <c r="AR59" i="1"/>
  <c r="AP59" i="1"/>
  <c r="AN59" i="1"/>
  <c r="AL59" i="1"/>
  <c r="AJ59" i="1"/>
  <c r="AH59" i="1"/>
  <c r="AF59" i="1"/>
  <c r="AD59" i="1"/>
  <c r="Y59" i="1"/>
  <c r="W59" i="1"/>
  <c r="U59" i="1"/>
  <c r="S59" i="1"/>
  <c r="Q59" i="1"/>
  <c r="O59" i="1"/>
  <c r="M59" i="1"/>
  <c r="K59" i="1"/>
  <c r="H59" i="1"/>
  <c r="AV58" i="1"/>
  <c r="AT58" i="1"/>
  <c r="AR58" i="1"/>
  <c r="AP58" i="1"/>
  <c r="AN58" i="1"/>
  <c r="AL58" i="1"/>
  <c r="AJ58" i="1"/>
  <c r="AH58" i="1"/>
  <c r="AF58" i="1"/>
  <c r="AD58" i="1"/>
  <c r="Y58" i="1"/>
  <c r="W58" i="1"/>
  <c r="U58" i="1"/>
  <c r="S58" i="1"/>
  <c r="Q58" i="1"/>
  <c r="O58" i="1"/>
  <c r="M58" i="1"/>
  <c r="K58" i="1"/>
  <c r="H58" i="1"/>
  <c r="AV57" i="1"/>
  <c r="AT57" i="1"/>
  <c r="AR57" i="1"/>
  <c r="AP57" i="1"/>
  <c r="AN57" i="1"/>
  <c r="AL57" i="1"/>
  <c r="AJ57" i="1"/>
  <c r="AH57" i="1"/>
  <c r="AF57" i="1"/>
  <c r="AD57" i="1"/>
  <c r="Y57" i="1"/>
  <c r="W57" i="1"/>
  <c r="U57" i="1"/>
  <c r="S57" i="1"/>
  <c r="Q57" i="1"/>
  <c r="O57" i="1"/>
  <c r="M57" i="1"/>
  <c r="K57" i="1"/>
  <c r="H57" i="1"/>
  <c r="AV56" i="1"/>
  <c r="AT56" i="1"/>
  <c r="AR56" i="1"/>
  <c r="AP56" i="1"/>
  <c r="AN56" i="1"/>
  <c r="AL56" i="1"/>
  <c r="AJ56" i="1"/>
  <c r="AH56" i="1"/>
  <c r="AF56" i="1"/>
  <c r="AD56" i="1"/>
  <c r="Y56" i="1"/>
  <c r="W56" i="1"/>
  <c r="U56" i="1"/>
  <c r="S56" i="1"/>
  <c r="Q56" i="1"/>
  <c r="O56" i="1"/>
  <c r="M56" i="1"/>
  <c r="K56" i="1"/>
  <c r="H56" i="1"/>
  <c r="AV55" i="1"/>
  <c r="AT55" i="1"/>
  <c r="AR55" i="1"/>
  <c r="AP55" i="1"/>
  <c r="AN55" i="1"/>
  <c r="AL55" i="1"/>
  <c r="AJ55" i="1"/>
  <c r="AH55" i="1"/>
  <c r="AF55" i="1"/>
  <c r="AD55" i="1"/>
  <c r="Y55" i="1"/>
  <c r="W55" i="1"/>
  <c r="U55" i="1"/>
  <c r="S55" i="1"/>
  <c r="Q55" i="1"/>
  <c r="O55" i="1"/>
  <c r="M55" i="1"/>
  <c r="K55" i="1"/>
  <c r="H55" i="1"/>
  <c r="AV54" i="1"/>
  <c r="AT54" i="1"/>
  <c r="AR54" i="1"/>
  <c r="AP54" i="1"/>
  <c r="AN54" i="1"/>
  <c r="AL54" i="1"/>
  <c r="AJ54" i="1"/>
  <c r="AH54" i="1"/>
  <c r="AF54" i="1"/>
  <c r="AD54" i="1"/>
  <c r="Y54" i="1"/>
  <c r="W54" i="1"/>
  <c r="U54" i="1"/>
  <c r="S54" i="1"/>
  <c r="Q54" i="1"/>
  <c r="O54" i="1"/>
  <c r="M54" i="1"/>
  <c r="K54" i="1"/>
  <c r="H54" i="1"/>
  <c r="AV53" i="1"/>
  <c r="AT53" i="1"/>
  <c r="AR53" i="1"/>
  <c r="AP53" i="1"/>
  <c r="AN53" i="1"/>
  <c r="AL53" i="1"/>
  <c r="AJ53" i="1"/>
  <c r="AH53" i="1"/>
  <c r="AF53" i="1"/>
  <c r="AD53" i="1"/>
  <c r="Y53" i="1"/>
  <c r="W53" i="1"/>
  <c r="U53" i="1"/>
  <c r="S53" i="1"/>
  <c r="Q53" i="1"/>
  <c r="O53" i="1"/>
  <c r="M53" i="1"/>
  <c r="K53" i="1"/>
  <c r="H53" i="1"/>
  <c r="AV52" i="1"/>
  <c r="AT52" i="1"/>
  <c r="AR52" i="1"/>
  <c r="AP52" i="1"/>
  <c r="AN52" i="1"/>
  <c r="AL52" i="1"/>
  <c r="AJ52" i="1"/>
  <c r="AH52" i="1"/>
  <c r="AF52" i="1"/>
  <c r="AD52" i="1"/>
  <c r="Y52" i="1"/>
  <c r="W52" i="1"/>
  <c r="U52" i="1"/>
  <c r="S52" i="1"/>
  <c r="Q52" i="1"/>
  <c r="O52" i="1"/>
  <c r="M52" i="1"/>
  <c r="K52" i="1"/>
  <c r="H52" i="1"/>
  <c r="AV51" i="1"/>
  <c r="AT51" i="1"/>
  <c r="AR51" i="1"/>
  <c r="AP51" i="1"/>
  <c r="AN51" i="1"/>
  <c r="AL51" i="1"/>
  <c r="AJ51" i="1"/>
  <c r="AH51" i="1"/>
  <c r="AF51" i="1"/>
  <c r="AD51" i="1"/>
  <c r="Y51" i="1"/>
  <c r="W51" i="1"/>
  <c r="U51" i="1"/>
  <c r="S51" i="1"/>
  <c r="Q51" i="1"/>
  <c r="O51" i="1"/>
  <c r="M51" i="1"/>
  <c r="K51" i="1"/>
  <c r="H51" i="1"/>
  <c r="AV50" i="1"/>
  <c r="AT50" i="1"/>
  <c r="AR50" i="1"/>
  <c r="AP50" i="1"/>
  <c r="AN50" i="1"/>
  <c r="AL50" i="1"/>
  <c r="AJ50" i="1"/>
  <c r="AH50" i="1"/>
  <c r="AF50" i="1"/>
  <c r="AD50" i="1"/>
  <c r="Y50" i="1"/>
  <c r="W50" i="1"/>
  <c r="U50" i="1"/>
  <c r="S50" i="1"/>
  <c r="Q50" i="1"/>
  <c r="O50" i="1"/>
  <c r="M50" i="1"/>
  <c r="K50" i="1"/>
  <c r="H50" i="1"/>
  <c r="AV49" i="1"/>
  <c r="AT49" i="1"/>
  <c r="AR49" i="1"/>
  <c r="AP49" i="1"/>
  <c r="AN49" i="1"/>
  <c r="AL49" i="1"/>
  <c r="AJ49" i="1"/>
  <c r="AH49" i="1"/>
  <c r="AF49" i="1"/>
  <c r="AD49" i="1"/>
  <c r="Y49" i="1"/>
  <c r="W49" i="1"/>
  <c r="U49" i="1"/>
  <c r="S49" i="1"/>
  <c r="Q49" i="1"/>
  <c r="O49" i="1"/>
  <c r="M49" i="1"/>
  <c r="K49" i="1"/>
  <c r="H49" i="1"/>
  <c r="AV48" i="1"/>
  <c r="AT48" i="1"/>
  <c r="AR48" i="1"/>
  <c r="AP48" i="1"/>
  <c r="AN48" i="1"/>
  <c r="AL48" i="1"/>
  <c r="AJ48" i="1"/>
  <c r="AH48" i="1"/>
  <c r="AF48" i="1"/>
  <c r="AD48" i="1"/>
  <c r="Y48" i="1"/>
  <c r="W48" i="1"/>
  <c r="U48" i="1"/>
  <c r="S48" i="1"/>
  <c r="Q48" i="1"/>
  <c r="O48" i="1"/>
  <c r="M48" i="1"/>
  <c r="K48" i="1"/>
  <c r="H48" i="1"/>
  <c r="AV47" i="1"/>
  <c r="AT47" i="1"/>
  <c r="AR47" i="1"/>
  <c r="AP47" i="1"/>
  <c r="AN47" i="1"/>
  <c r="AL47" i="1"/>
  <c r="AJ47" i="1"/>
  <c r="AH47" i="1"/>
  <c r="AF47" i="1"/>
  <c r="AD47" i="1"/>
  <c r="Y47" i="1"/>
  <c r="W47" i="1"/>
  <c r="U47" i="1"/>
  <c r="S47" i="1"/>
  <c r="Q47" i="1"/>
  <c r="O47" i="1"/>
  <c r="M47" i="1"/>
  <c r="K47" i="1"/>
  <c r="H47" i="1"/>
  <c r="AV46" i="1"/>
  <c r="AT46" i="1"/>
  <c r="AR46" i="1"/>
  <c r="AP46" i="1"/>
  <c r="AN46" i="1"/>
  <c r="AL46" i="1"/>
  <c r="AJ46" i="1"/>
  <c r="AH46" i="1"/>
  <c r="AF46" i="1"/>
  <c r="AD46" i="1"/>
  <c r="Y46" i="1"/>
  <c r="W46" i="1"/>
  <c r="U46" i="1"/>
  <c r="S46" i="1"/>
  <c r="Q46" i="1"/>
  <c r="O46" i="1"/>
  <c r="M46" i="1"/>
  <c r="K46" i="1"/>
  <c r="H46" i="1"/>
  <c r="AV45" i="1"/>
  <c r="AT45" i="1"/>
  <c r="AR45" i="1"/>
  <c r="AP45" i="1"/>
  <c r="AN45" i="1"/>
  <c r="AL45" i="1"/>
  <c r="AJ45" i="1"/>
  <c r="AH45" i="1"/>
  <c r="AF45" i="1"/>
  <c r="AD45" i="1"/>
  <c r="Y45" i="1"/>
  <c r="W45" i="1"/>
  <c r="U45" i="1"/>
  <c r="S45" i="1"/>
  <c r="Q45" i="1"/>
  <c r="O45" i="1"/>
  <c r="M45" i="1"/>
  <c r="K45" i="1"/>
  <c r="H45" i="1"/>
  <c r="AV44" i="1"/>
  <c r="AT44" i="1"/>
  <c r="AR44" i="1"/>
  <c r="AP44" i="1"/>
  <c r="AN44" i="1"/>
  <c r="AL44" i="1"/>
  <c r="AJ44" i="1"/>
  <c r="AH44" i="1"/>
  <c r="AF44" i="1"/>
  <c r="AD44" i="1"/>
  <c r="Y44" i="1"/>
  <c r="W44" i="1"/>
  <c r="U44" i="1"/>
  <c r="S44" i="1"/>
  <c r="Q44" i="1"/>
  <c r="O44" i="1"/>
  <c r="M44" i="1"/>
  <c r="K44" i="1"/>
  <c r="H44" i="1"/>
  <c r="AV43" i="1"/>
  <c r="AT43" i="1"/>
  <c r="AR43" i="1"/>
  <c r="AP43" i="1"/>
  <c r="AN43" i="1"/>
  <c r="AL43" i="1"/>
  <c r="AJ43" i="1"/>
  <c r="AH43" i="1"/>
  <c r="AF43" i="1"/>
  <c r="AD43" i="1"/>
  <c r="Y43" i="1"/>
  <c r="W43" i="1"/>
  <c r="U43" i="1"/>
  <c r="S43" i="1"/>
  <c r="Q43" i="1"/>
  <c r="O43" i="1"/>
  <c r="M43" i="1"/>
  <c r="K43" i="1"/>
  <c r="H43" i="1"/>
  <c r="AV42" i="1"/>
  <c r="AT42" i="1"/>
  <c r="AR42" i="1"/>
  <c r="AP42" i="1"/>
  <c r="AN42" i="1"/>
  <c r="AL42" i="1"/>
  <c r="AJ42" i="1"/>
  <c r="AH42" i="1"/>
  <c r="AF42" i="1"/>
  <c r="AD42" i="1"/>
  <c r="Y42" i="1"/>
  <c r="W42" i="1"/>
  <c r="U42" i="1"/>
  <c r="S42" i="1"/>
  <c r="Q42" i="1"/>
  <c r="O42" i="1"/>
  <c r="M42" i="1"/>
  <c r="K42" i="1"/>
  <c r="H42" i="1"/>
  <c r="AV41" i="1"/>
  <c r="AT41" i="1"/>
  <c r="AR41" i="1"/>
  <c r="AP41" i="1"/>
  <c r="AN41" i="1"/>
  <c r="AL41" i="1"/>
  <c r="AJ41" i="1"/>
  <c r="AH41" i="1"/>
  <c r="AF41" i="1"/>
  <c r="AD41" i="1"/>
  <c r="Y41" i="1"/>
  <c r="W41" i="1"/>
  <c r="U41" i="1"/>
  <c r="S41" i="1"/>
  <c r="Q41" i="1"/>
  <c r="O41" i="1"/>
  <c r="M41" i="1"/>
  <c r="K41" i="1"/>
  <c r="H41" i="1"/>
  <c r="AV40" i="1"/>
  <c r="AT40" i="1"/>
  <c r="AR40" i="1"/>
  <c r="AP40" i="1"/>
  <c r="AN40" i="1"/>
  <c r="AL40" i="1"/>
  <c r="AJ40" i="1"/>
  <c r="AH40" i="1"/>
  <c r="AF40" i="1"/>
  <c r="AD40" i="1"/>
  <c r="Y40" i="1"/>
  <c r="W40" i="1"/>
  <c r="U40" i="1"/>
  <c r="S40" i="1"/>
  <c r="Q40" i="1"/>
  <c r="O40" i="1"/>
  <c r="M40" i="1"/>
  <c r="K40" i="1"/>
  <c r="H40" i="1"/>
  <c r="AV39" i="1"/>
  <c r="AT39" i="1"/>
  <c r="AR39" i="1"/>
  <c r="AP39" i="1"/>
  <c r="AN39" i="1"/>
  <c r="AL39" i="1"/>
  <c r="AJ39" i="1"/>
  <c r="AH39" i="1"/>
  <c r="AF39" i="1"/>
  <c r="AD39" i="1"/>
  <c r="Y39" i="1"/>
  <c r="W39" i="1"/>
  <c r="U39" i="1"/>
  <c r="S39" i="1"/>
  <c r="Q39" i="1"/>
  <c r="O39" i="1"/>
  <c r="M39" i="1"/>
  <c r="K39" i="1"/>
  <c r="H39" i="1"/>
  <c r="AV38" i="1"/>
  <c r="AT38" i="1"/>
  <c r="AR38" i="1"/>
  <c r="AP38" i="1"/>
  <c r="AN38" i="1"/>
  <c r="AL38" i="1"/>
  <c r="AJ38" i="1"/>
  <c r="AH38" i="1"/>
  <c r="AF38" i="1"/>
  <c r="AD38" i="1"/>
  <c r="Y38" i="1"/>
  <c r="W38" i="1"/>
  <c r="U38" i="1"/>
  <c r="S38" i="1"/>
  <c r="Q38" i="1"/>
  <c r="O38" i="1"/>
  <c r="M38" i="1"/>
  <c r="K38" i="1"/>
  <c r="H38" i="1"/>
  <c r="AV37" i="1"/>
  <c r="AT37" i="1"/>
  <c r="AR37" i="1"/>
  <c r="AP37" i="1"/>
  <c r="AN37" i="1"/>
  <c r="AL37" i="1"/>
  <c r="AJ37" i="1"/>
  <c r="AH37" i="1"/>
  <c r="AF37" i="1"/>
  <c r="AD37" i="1"/>
  <c r="Y37" i="1"/>
  <c r="W37" i="1"/>
  <c r="U37" i="1"/>
  <c r="S37" i="1"/>
  <c r="Q37" i="1"/>
  <c r="O37" i="1"/>
  <c r="M37" i="1"/>
  <c r="K37" i="1"/>
  <c r="H37" i="1"/>
  <c r="AV36" i="1"/>
  <c r="AT36" i="1"/>
  <c r="AR36" i="1"/>
  <c r="AP36" i="1"/>
  <c r="AN36" i="1"/>
  <c r="AL36" i="1"/>
  <c r="AJ36" i="1"/>
  <c r="AH36" i="1"/>
  <c r="AF36" i="1"/>
  <c r="AD36" i="1"/>
  <c r="Y36" i="1"/>
  <c r="W36" i="1"/>
  <c r="U36" i="1"/>
  <c r="S36" i="1"/>
  <c r="Q36" i="1"/>
  <c r="O36" i="1"/>
  <c r="M36" i="1"/>
  <c r="K36" i="1"/>
  <c r="H36" i="1"/>
  <c r="AV35" i="1"/>
  <c r="AT35" i="1"/>
  <c r="AR35" i="1"/>
  <c r="AP35" i="1"/>
  <c r="AN35" i="1"/>
  <c r="AL35" i="1"/>
  <c r="AJ35" i="1"/>
  <c r="AH35" i="1"/>
  <c r="AF35" i="1"/>
  <c r="AD35" i="1"/>
  <c r="Y35" i="1"/>
  <c r="W35" i="1"/>
  <c r="U35" i="1"/>
  <c r="S35" i="1"/>
  <c r="Q35" i="1"/>
  <c r="O35" i="1"/>
  <c r="M35" i="1"/>
  <c r="K35" i="1"/>
  <c r="H35" i="1"/>
  <c r="AV34" i="1"/>
  <c r="AT34" i="1"/>
  <c r="AR34" i="1"/>
  <c r="AP34" i="1"/>
  <c r="AN34" i="1"/>
  <c r="AL34" i="1"/>
  <c r="AJ34" i="1"/>
  <c r="AH34" i="1"/>
  <c r="AF34" i="1"/>
  <c r="AD34" i="1"/>
  <c r="Y34" i="1"/>
  <c r="W34" i="1"/>
  <c r="U34" i="1"/>
  <c r="S34" i="1"/>
  <c r="Q34" i="1"/>
  <c r="O34" i="1"/>
  <c r="M34" i="1"/>
  <c r="K34" i="1"/>
  <c r="H34" i="1"/>
  <c r="AV33" i="1"/>
  <c r="AT33" i="1"/>
  <c r="AR33" i="1"/>
  <c r="AP33" i="1"/>
  <c r="AN33" i="1"/>
  <c r="AL33" i="1"/>
  <c r="AJ33" i="1"/>
  <c r="AH33" i="1"/>
  <c r="AF33" i="1"/>
  <c r="AD33" i="1"/>
  <c r="Y33" i="1"/>
  <c r="W33" i="1"/>
  <c r="U33" i="1"/>
  <c r="S33" i="1"/>
  <c r="Q33" i="1"/>
  <c r="O33" i="1"/>
  <c r="M33" i="1"/>
  <c r="K33" i="1"/>
  <c r="H33" i="1"/>
  <c r="AV32" i="1"/>
  <c r="AT32" i="1"/>
  <c r="AR32" i="1"/>
  <c r="AP32" i="1"/>
  <c r="AN32" i="1"/>
  <c r="AL32" i="1"/>
  <c r="AJ32" i="1"/>
  <c r="AH32" i="1"/>
  <c r="AF32" i="1"/>
  <c r="AD32" i="1"/>
  <c r="Y32" i="1"/>
  <c r="W32" i="1"/>
  <c r="U32" i="1"/>
  <c r="S32" i="1"/>
  <c r="Q32" i="1"/>
  <c r="O32" i="1"/>
  <c r="M32" i="1"/>
  <c r="K32" i="1"/>
  <c r="H32" i="1"/>
  <c r="AV31" i="1"/>
  <c r="AT31" i="1"/>
  <c r="AR31" i="1"/>
  <c r="AP31" i="1"/>
  <c r="AN31" i="1"/>
  <c r="AL31" i="1"/>
  <c r="AJ31" i="1"/>
  <c r="AH31" i="1"/>
  <c r="AF31" i="1"/>
  <c r="AD31" i="1"/>
  <c r="Y31" i="1"/>
  <c r="W31" i="1"/>
  <c r="U31" i="1"/>
  <c r="S31" i="1"/>
  <c r="Q31" i="1"/>
  <c r="O31" i="1"/>
  <c r="M31" i="1"/>
  <c r="K31" i="1"/>
  <c r="H31" i="1"/>
  <c r="AV30" i="1"/>
  <c r="AT30" i="1"/>
  <c r="AR30" i="1"/>
  <c r="AP30" i="1"/>
  <c r="AN30" i="1"/>
  <c r="AL30" i="1"/>
  <c r="AJ30" i="1"/>
  <c r="AH30" i="1"/>
  <c r="AF30" i="1"/>
  <c r="AD30" i="1"/>
  <c r="Y30" i="1"/>
  <c r="W30" i="1"/>
  <c r="U30" i="1"/>
  <c r="S30" i="1"/>
  <c r="Q30" i="1"/>
  <c r="O30" i="1"/>
  <c r="M30" i="1"/>
  <c r="K30" i="1"/>
  <c r="H30" i="1"/>
  <c r="AV29" i="1"/>
  <c r="AT29" i="1"/>
  <c r="AR29" i="1"/>
  <c r="AP29" i="1"/>
  <c r="AN29" i="1"/>
  <c r="AL29" i="1"/>
  <c r="AJ29" i="1"/>
  <c r="AH29" i="1"/>
  <c r="AF29" i="1"/>
  <c r="AD29" i="1"/>
  <c r="Y29" i="1"/>
  <c r="W29" i="1"/>
  <c r="U29" i="1"/>
  <c r="S29" i="1"/>
  <c r="Q29" i="1"/>
  <c r="O29" i="1"/>
  <c r="M29" i="1"/>
  <c r="K29" i="1"/>
  <c r="H29" i="1"/>
  <c r="AV28" i="1"/>
  <c r="AT28" i="1"/>
  <c r="AR28" i="1"/>
  <c r="AP28" i="1"/>
  <c r="AN28" i="1"/>
  <c r="AL28" i="1"/>
  <c r="AJ28" i="1"/>
  <c r="AH28" i="1"/>
  <c r="AF28" i="1"/>
  <c r="AD28" i="1"/>
  <c r="Y28" i="1"/>
  <c r="W28" i="1"/>
  <c r="U28" i="1"/>
  <c r="S28" i="1"/>
  <c r="Q28" i="1"/>
  <c r="O28" i="1"/>
  <c r="M28" i="1"/>
  <c r="K28" i="1"/>
  <c r="H28" i="1"/>
  <c r="AV27" i="1"/>
  <c r="AT27" i="1"/>
  <c r="AR27" i="1"/>
  <c r="AP27" i="1"/>
  <c r="AN27" i="1"/>
  <c r="AL27" i="1"/>
  <c r="AJ27" i="1"/>
  <c r="AH27" i="1"/>
  <c r="AF27" i="1"/>
  <c r="AD27" i="1"/>
  <c r="Y27" i="1"/>
  <c r="W27" i="1"/>
  <c r="U27" i="1"/>
  <c r="S27" i="1"/>
  <c r="Q27" i="1"/>
  <c r="O27" i="1"/>
  <c r="M27" i="1"/>
  <c r="K27" i="1"/>
  <c r="H27" i="1"/>
  <c r="AV26" i="1"/>
  <c r="AT26" i="1"/>
  <c r="AR26" i="1"/>
  <c r="AP26" i="1"/>
  <c r="AN26" i="1"/>
  <c r="AL26" i="1"/>
  <c r="AJ26" i="1"/>
  <c r="AH26" i="1"/>
  <c r="AF26" i="1"/>
  <c r="AD26" i="1"/>
  <c r="Y26" i="1"/>
  <c r="W26" i="1"/>
  <c r="U26" i="1"/>
  <c r="S26" i="1"/>
  <c r="Q26" i="1"/>
  <c r="O26" i="1"/>
  <c r="M26" i="1"/>
  <c r="K26" i="1"/>
  <c r="H26" i="1"/>
  <c r="AV25" i="1"/>
  <c r="AT25" i="1"/>
  <c r="AR25" i="1"/>
  <c r="AP25" i="1"/>
  <c r="AN25" i="1"/>
  <c r="AL25" i="1"/>
  <c r="AJ25" i="1"/>
  <c r="AH25" i="1"/>
  <c r="AF25" i="1"/>
  <c r="AD25" i="1"/>
  <c r="Y25" i="1"/>
  <c r="W25" i="1"/>
  <c r="U25" i="1"/>
  <c r="S25" i="1"/>
  <c r="Q25" i="1"/>
  <c r="O25" i="1"/>
  <c r="M25" i="1"/>
  <c r="K25" i="1"/>
  <c r="H25" i="1"/>
  <c r="AV24" i="1"/>
  <c r="AT24" i="1"/>
  <c r="AR24" i="1"/>
  <c r="AP24" i="1"/>
  <c r="AN24" i="1"/>
  <c r="AL24" i="1"/>
  <c r="AJ24" i="1"/>
  <c r="AH24" i="1"/>
  <c r="AF24" i="1"/>
  <c r="AD24" i="1"/>
  <c r="Y24" i="1"/>
  <c r="W24" i="1"/>
  <c r="U24" i="1"/>
  <c r="S24" i="1"/>
  <c r="Q24" i="1"/>
  <c r="O24" i="1"/>
  <c r="M24" i="1"/>
  <c r="K24" i="1"/>
  <c r="H24" i="1"/>
  <c r="AV23" i="1"/>
  <c r="AT23" i="1"/>
  <c r="AR23" i="1"/>
  <c r="AP23" i="1"/>
  <c r="AN23" i="1"/>
  <c r="AL23" i="1"/>
  <c r="AJ23" i="1"/>
  <c r="AH23" i="1"/>
  <c r="AF23" i="1"/>
  <c r="AD23" i="1"/>
  <c r="Y23" i="1"/>
  <c r="W23" i="1"/>
  <c r="U23" i="1"/>
  <c r="S23" i="1"/>
  <c r="Q23" i="1"/>
  <c r="O23" i="1"/>
  <c r="M23" i="1"/>
  <c r="K23" i="1"/>
  <c r="H23" i="1"/>
  <c r="AV22" i="1"/>
  <c r="AT22" i="1"/>
  <c r="AR22" i="1"/>
  <c r="AP22" i="1"/>
  <c r="AN22" i="1"/>
  <c r="AL22" i="1"/>
  <c r="AJ22" i="1"/>
  <c r="AH22" i="1"/>
  <c r="AF22" i="1"/>
  <c r="AD22" i="1"/>
  <c r="Y22" i="1"/>
  <c r="W22" i="1"/>
  <c r="U22" i="1"/>
  <c r="S22" i="1"/>
  <c r="Q22" i="1"/>
  <c r="O22" i="1"/>
  <c r="M22" i="1"/>
  <c r="K22" i="1"/>
  <c r="H22" i="1"/>
  <c r="AV21" i="1"/>
  <c r="AT21" i="1"/>
  <c r="AR21" i="1"/>
  <c r="AP21" i="1"/>
  <c r="AN21" i="1"/>
  <c r="AL21" i="1"/>
  <c r="AJ21" i="1"/>
  <c r="AH21" i="1"/>
  <c r="AF21" i="1"/>
  <c r="AD21" i="1"/>
  <c r="Y21" i="1"/>
  <c r="W21" i="1"/>
  <c r="U21" i="1"/>
  <c r="S21" i="1"/>
  <c r="Q21" i="1"/>
  <c r="O21" i="1"/>
  <c r="M21" i="1"/>
  <c r="K21" i="1"/>
  <c r="H21" i="1"/>
  <c r="AV20" i="1"/>
  <c r="AT20" i="1"/>
  <c r="AR20" i="1"/>
  <c r="AP20" i="1"/>
  <c r="AN20" i="1"/>
  <c r="AL20" i="1"/>
  <c r="AJ20" i="1"/>
  <c r="AH20" i="1"/>
  <c r="AF20" i="1"/>
  <c r="AD20" i="1"/>
  <c r="Y20" i="1"/>
  <c r="W20" i="1"/>
  <c r="U20" i="1"/>
  <c r="S20" i="1"/>
  <c r="Q20" i="1"/>
  <c r="O20" i="1"/>
  <c r="M20" i="1"/>
  <c r="K20" i="1"/>
  <c r="H20" i="1"/>
  <c r="AV19" i="1"/>
  <c r="AT19" i="1"/>
  <c r="AR19" i="1"/>
  <c r="AP19" i="1"/>
  <c r="AN19" i="1"/>
  <c r="AL19" i="1"/>
  <c r="AJ19" i="1"/>
  <c r="AH19" i="1"/>
  <c r="AF19" i="1"/>
  <c r="AD19" i="1"/>
  <c r="Y19" i="1"/>
  <c r="W19" i="1"/>
  <c r="U19" i="1"/>
  <c r="S19" i="1"/>
  <c r="Q19" i="1"/>
  <c r="O19" i="1"/>
  <c r="M19" i="1"/>
  <c r="K19" i="1"/>
  <c r="H19" i="1"/>
  <c r="AV18" i="1"/>
  <c r="AT18" i="1"/>
  <c r="AR18" i="1"/>
  <c r="AP18" i="1"/>
  <c r="AN18" i="1"/>
  <c r="AL18" i="1"/>
  <c r="AJ18" i="1"/>
  <c r="AH18" i="1"/>
  <c r="AF18" i="1"/>
  <c r="AD18" i="1"/>
  <c r="Y18" i="1"/>
  <c r="W18" i="1"/>
  <c r="U18" i="1"/>
  <c r="S18" i="1"/>
  <c r="Q18" i="1"/>
  <c r="O18" i="1"/>
  <c r="M18" i="1"/>
  <c r="K18" i="1"/>
  <c r="H18" i="1"/>
  <c r="AV17" i="1"/>
  <c r="AT17" i="1"/>
  <c r="AR17" i="1"/>
  <c r="AP17" i="1"/>
  <c r="AN17" i="1"/>
  <c r="AL17" i="1"/>
  <c r="AJ17" i="1"/>
  <c r="AH17" i="1"/>
  <c r="AF17" i="1"/>
  <c r="AD17" i="1"/>
  <c r="Y17" i="1"/>
  <c r="W17" i="1"/>
  <c r="U17" i="1"/>
  <c r="S17" i="1"/>
  <c r="Q17" i="1"/>
  <c r="O17" i="1"/>
  <c r="M17" i="1"/>
  <c r="K17" i="1"/>
  <c r="H17" i="1"/>
  <c r="AV16" i="1"/>
  <c r="AT16" i="1"/>
  <c r="AR16" i="1"/>
  <c r="AP16" i="1"/>
  <c r="AN16" i="1"/>
  <c r="AL16" i="1"/>
  <c r="AJ16" i="1"/>
  <c r="AH16" i="1"/>
  <c r="AF16" i="1"/>
  <c r="AD16" i="1"/>
  <c r="Y16" i="1"/>
  <c r="W16" i="1"/>
  <c r="U16" i="1"/>
  <c r="S16" i="1"/>
  <c r="Q16" i="1"/>
  <c r="O16" i="1"/>
  <c r="M16" i="1"/>
  <c r="K16" i="1"/>
  <c r="H16" i="1"/>
  <c r="AV15" i="1"/>
  <c r="AT15" i="1"/>
  <c r="AR15" i="1"/>
  <c r="AP15" i="1"/>
  <c r="AN15" i="1"/>
  <c r="AL15" i="1"/>
  <c r="AJ15" i="1"/>
  <c r="AH15" i="1"/>
  <c r="AF15" i="1"/>
  <c r="AD15" i="1"/>
  <c r="Y15" i="1"/>
  <c r="W15" i="1"/>
  <c r="U15" i="1"/>
  <c r="S15" i="1"/>
  <c r="Q15" i="1"/>
  <c r="O15" i="1"/>
  <c r="M15" i="1"/>
  <c r="K15" i="1"/>
  <c r="H15" i="1"/>
  <c r="AV14" i="1"/>
  <c r="AT14" i="1"/>
  <c r="AR14" i="1"/>
  <c r="AP14" i="1"/>
  <c r="AN14" i="1"/>
  <c r="AL14" i="1"/>
  <c r="AJ14" i="1"/>
  <c r="AH14" i="1"/>
  <c r="AF14" i="1"/>
  <c r="AD14" i="1"/>
  <c r="Y14" i="1"/>
  <c r="W14" i="1"/>
  <c r="U14" i="1"/>
  <c r="S14" i="1"/>
  <c r="Q14" i="1"/>
  <c r="O14" i="1"/>
  <c r="M14" i="1"/>
  <c r="K14" i="1"/>
  <c r="H14" i="1"/>
  <c r="AV13" i="1"/>
  <c r="AT13" i="1"/>
  <c r="AR13" i="1"/>
  <c r="AP13" i="1"/>
  <c r="AN13" i="1"/>
  <c r="AL13" i="1"/>
  <c r="AJ13" i="1"/>
  <c r="AH13" i="1"/>
  <c r="AF13" i="1"/>
  <c r="AD13" i="1"/>
  <c r="Y13" i="1"/>
  <c r="W13" i="1"/>
  <c r="U13" i="1"/>
  <c r="S13" i="1"/>
  <c r="Q13" i="1"/>
  <c r="O13" i="1"/>
  <c r="M13" i="1"/>
  <c r="K13" i="1"/>
  <c r="H13" i="1"/>
  <c r="AV12" i="1"/>
  <c r="AT12" i="1"/>
  <c r="AR12" i="1"/>
  <c r="AP12" i="1"/>
  <c r="AN12" i="1"/>
  <c r="AL12" i="1"/>
  <c r="AJ12" i="1"/>
  <c r="AH12" i="1"/>
  <c r="AF12" i="1"/>
  <c r="AD12" i="1"/>
  <c r="Y12" i="1"/>
  <c r="W12" i="1"/>
  <c r="U12" i="1"/>
  <c r="S12" i="1"/>
  <c r="Q12" i="1"/>
  <c r="O12" i="1"/>
  <c r="M12" i="1"/>
  <c r="K12" i="1"/>
  <c r="H12" i="1"/>
  <c r="AV11" i="1"/>
  <c r="AT11" i="1"/>
  <c r="AR11" i="1"/>
  <c r="AP11" i="1"/>
  <c r="AN11" i="1"/>
  <c r="AL11" i="1"/>
  <c r="AJ11" i="1"/>
  <c r="AH11" i="1"/>
  <c r="AF11" i="1"/>
  <c r="AD11" i="1"/>
  <c r="Y11" i="1"/>
  <c r="W11" i="1"/>
  <c r="U11" i="1"/>
  <c r="S11" i="1"/>
  <c r="Q11" i="1"/>
  <c r="O11" i="1"/>
  <c r="M11" i="1"/>
  <c r="K11" i="1"/>
  <c r="H11" i="1"/>
  <c r="AV10" i="1"/>
  <c r="AT10" i="1"/>
  <c r="AR10" i="1"/>
  <c r="AP10" i="1"/>
  <c r="AN10" i="1"/>
  <c r="AL10" i="1"/>
  <c r="AJ10" i="1"/>
  <c r="AH10" i="1"/>
  <c r="AF10" i="1"/>
  <c r="AD10" i="1"/>
  <c r="Y10" i="1"/>
  <c r="W10" i="1"/>
  <c r="U10" i="1"/>
  <c r="S10" i="1"/>
  <c r="Q10" i="1"/>
  <c r="O10" i="1"/>
  <c r="M10" i="1"/>
  <c r="K10" i="1"/>
  <c r="H10" i="1"/>
  <c r="AV9" i="1"/>
  <c r="AT9" i="1"/>
  <c r="AR9" i="1"/>
  <c r="AP9" i="1"/>
  <c r="AN9" i="1"/>
  <c r="AL9" i="1"/>
  <c r="AJ9" i="1"/>
  <c r="AH9" i="1"/>
  <c r="AF9" i="1"/>
  <c r="AD9" i="1"/>
  <c r="Y9" i="1"/>
  <c r="W9" i="1"/>
  <c r="U9" i="1"/>
  <c r="S9" i="1"/>
  <c r="Q9" i="1"/>
  <c r="O9" i="1"/>
  <c r="M9" i="1"/>
  <c r="K9" i="1"/>
  <c r="H9" i="1"/>
  <c r="AV8" i="1"/>
  <c r="AT8" i="1"/>
  <c r="AR8" i="1"/>
  <c r="AP8" i="1"/>
  <c r="AN8" i="1"/>
  <c r="AL8" i="1"/>
  <c r="AJ8" i="1"/>
  <c r="AH8" i="1"/>
  <c r="AF8" i="1"/>
  <c r="AD8" i="1"/>
  <c r="Y8" i="1"/>
  <c r="W8" i="1"/>
  <c r="U8" i="1"/>
  <c r="S8" i="1"/>
  <c r="Q8" i="1"/>
  <c r="O8" i="1"/>
  <c r="M8" i="1"/>
  <c r="H8" i="1"/>
  <c r="AV7" i="1"/>
  <c r="AT7" i="1"/>
  <c r="AR7" i="1"/>
  <c r="AP7" i="1"/>
  <c r="AN7" i="1"/>
  <c r="AL7" i="1"/>
  <c r="AJ7" i="1"/>
  <c r="AH7" i="1"/>
  <c r="AF7" i="1"/>
  <c r="AD7" i="1"/>
  <c r="Y7" i="1"/>
  <c r="W7" i="1"/>
  <c r="U7" i="1"/>
  <c r="S7" i="1"/>
  <c r="Q7" i="1"/>
  <c r="O7" i="1"/>
  <c r="M7" i="1"/>
  <c r="K7" i="1"/>
  <c r="H7" i="1"/>
  <c r="AV6" i="1"/>
  <c r="AT6" i="1"/>
  <c r="AR6" i="1"/>
  <c r="AP6" i="1"/>
  <c r="AN6" i="1"/>
  <c r="AL6" i="1"/>
  <c r="AJ6" i="1"/>
  <c r="AH6" i="1"/>
  <c r="AF6" i="1"/>
  <c r="AD6" i="1"/>
  <c r="Y6" i="1"/>
  <c r="W6" i="1"/>
  <c r="U6" i="1"/>
  <c r="S6" i="1"/>
  <c r="Q6" i="1"/>
  <c r="O6" i="1"/>
  <c r="M6" i="1"/>
  <c r="K6" i="1"/>
  <c r="H6" i="1"/>
  <c r="AV5" i="1"/>
  <c r="AT5" i="1"/>
  <c r="AR5" i="1"/>
  <c r="AP5" i="1"/>
  <c r="AN5" i="1"/>
  <c r="AJ5" i="1"/>
  <c r="AK5" i="1" s="1"/>
  <c r="AL5" i="1" s="1"/>
  <c r="AH5" i="1"/>
  <c r="AF5" i="1"/>
  <c r="AD5" i="1"/>
  <c r="Y5" i="1"/>
  <c r="W5" i="1"/>
  <c r="U5" i="1"/>
  <c r="S5" i="1"/>
  <c r="Q5" i="1"/>
  <c r="O5" i="1"/>
  <c r="M5" i="1"/>
  <c r="K5" i="1"/>
  <c r="H5" i="1"/>
  <c r="T6" i="3"/>
  <c r="AN6" i="3"/>
  <c r="D6" i="3"/>
  <c r="B6" i="3"/>
  <c r="S6" i="3"/>
  <c r="AM6" i="3"/>
  <c r="AD6" i="3"/>
  <c r="AP6" i="3"/>
  <c r="AC6" i="3"/>
  <c r="U6" i="3"/>
  <c r="AQ6" i="3"/>
  <c r="AO6" i="3"/>
  <c r="H6" i="3"/>
  <c r="R6" i="3"/>
  <c r="AR6" i="3"/>
  <c r="C6" i="3"/>
  <c r="AB6" i="3"/>
  <c r="AA6" i="3"/>
  <c r="BF7" i="3" l="1"/>
  <c r="B7" i="3"/>
  <c r="C7" i="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<sst xmlns="http://schemas.openxmlformats.org/spreadsheetml/2006/main" count="1765" uniqueCount="286">
  <si>
    <t>Month</t>
  </si>
  <si>
    <t>Day</t>
  </si>
  <si>
    <t>Load</t>
  </si>
  <si>
    <t>Tonnage</t>
  </si>
  <si>
    <t>Customer Type</t>
  </si>
  <si>
    <t>Destination</t>
  </si>
  <si>
    <t>Jan</t>
  </si>
  <si>
    <t>Wood</t>
  </si>
  <si>
    <t>Retaining Customer</t>
  </si>
  <si>
    <t>British Columbia</t>
  </si>
  <si>
    <t>Manitoba</t>
  </si>
  <si>
    <t>Feb</t>
  </si>
  <si>
    <t>Sand</t>
  </si>
  <si>
    <t>New Brunswick</t>
  </si>
  <si>
    <t>Nunavut</t>
  </si>
  <si>
    <t>Mar</t>
  </si>
  <si>
    <t>Iron</t>
  </si>
  <si>
    <t>New Customer</t>
  </si>
  <si>
    <t>Alberta</t>
  </si>
  <si>
    <t>Apr</t>
  </si>
  <si>
    <t>Yukon</t>
  </si>
  <si>
    <t>Nova Scotia</t>
  </si>
  <si>
    <t>May</t>
  </si>
  <si>
    <t>Jun</t>
  </si>
  <si>
    <t>Jul</t>
  </si>
  <si>
    <t>Aug</t>
  </si>
  <si>
    <t>Sep</t>
  </si>
  <si>
    <t>Oct</t>
  </si>
  <si>
    <t>Nov</t>
  </si>
  <si>
    <t>Dec</t>
  </si>
  <si>
    <t>Rate1</t>
  </si>
  <si>
    <t>Truck</t>
  </si>
  <si>
    <t>Insurance1</t>
  </si>
  <si>
    <t>Fuel1</t>
  </si>
  <si>
    <t>Diesel Exhaust Fluid1</t>
  </si>
  <si>
    <t>Advance1</t>
  </si>
  <si>
    <t>Warehouse1</t>
  </si>
  <si>
    <t>Repairs1</t>
  </si>
  <si>
    <t>Tolls1</t>
  </si>
  <si>
    <t>Tolls2</t>
  </si>
  <si>
    <t>Fundings1</t>
  </si>
  <si>
    <t>Fundings</t>
  </si>
  <si>
    <t>Driver Name</t>
  </si>
  <si>
    <t>Odometer</t>
  </si>
  <si>
    <t>Miles</t>
  </si>
  <si>
    <t>Rate Per Miles1</t>
  </si>
  <si>
    <t>Rate Per Miles</t>
  </si>
  <si>
    <t>Extra Stops1</t>
  </si>
  <si>
    <t>Extra Stops</t>
  </si>
  <si>
    <t>Extra Pay1</t>
  </si>
  <si>
    <t>Extra Pay</t>
  </si>
  <si>
    <t>Costs Driver Paid1</t>
  </si>
  <si>
    <t>Costs Driver Paid</t>
  </si>
  <si>
    <t>Total Expenses1</t>
  </si>
  <si>
    <t>Total Expenses</t>
  </si>
  <si>
    <t>First condition type1</t>
  </si>
  <si>
    <t>First condition type</t>
  </si>
  <si>
    <t>Shipment cost          sub-items1</t>
  </si>
  <si>
    <t>Shipment cost          sub-items</t>
  </si>
  <si>
    <t>ERE Stage1</t>
  </si>
  <si>
    <t>ERE Stage</t>
  </si>
  <si>
    <t>Basic freight1</t>
  </si>
  <si>
    <t>Basic freight</t>
  </si>
  <si>
    <t>Final Amount1</t>
  </si>
  <si>
    <t>Final Amount</t>
  </si>
  <si>
    <t>$5,556</t>
  </si>
  <si>
    <t>Freightliner Sprinter</t>
  </si>
  <si>
    <t>$132</t>
  </si>
  <si>
    <t>$400</t>
  </si>
  <si>
    <t>$50</t>
  </si>
  <si>
    <t>$250</t>
  </si>
  <si>
    <t>$120</t>
  </si>
  <si>
    <t>$65</t>
  </si>
  <si>
    <t>$134</t>
  </si>
  <si>
    <t>$6</t>
  </si>
  <si>
    <t>Alessandro Smith</t>
  </si>
  <si>
    <t>$240</t>
  </si>
  <si>
    <t>$100</t>
  </si>
  <si>
    <t>$22</t>
  </si>
  <si>
    <t>$54</t>
  </si>
  <si>
    <t>$722</t>
  </si>
  <si>
    <t>$1,111</t>
  </si>
  <si>
    <t>$945</t>
  </si>
  <si>
    <t>$1,389</t>
  </si>
  <si>
    <t>$1,667</t>
  </si>
  <si>
    <t>Beauregard Mike</t>
  </si>
  <si>
    <t>$1,573</t>
  </si>
  <si>
    <t>Jean Bartholomew</t>
  </si>
  <si>
    <t>$4,567</t>
  </si>
  <si>
    <t>$333</t>
  </si>
  <si>
    <t>$51</t>
  </si>
  <si>
    <t>$248</t>
  </si>
  <si>
    <t>$23</t>
  </si>
  <si>
    <t>$55</t>
  </si>
  <si>
    <t>$1,531</t>
  </si>
  <si>
    <t>$594</t>
  </si>
  <si>
    <t>$913</t>
  </si>
  <si>
    <t>$776</t>
  </si>
  <si>
    <t>$1,142</t>
  </si>
  <si>
    <t>$1,370</t>
  </si>
  <si>
    <t>$52</t>
  </si>
  <si>
    <t>$1,532</t>
  </si>
  <si>
    <t>$53</t>
  </si>
  <si>
    <t>$1,533</t>
  </si>
  <si>
    <t>Jaison Augustine</t>
  </si>
  <si>
    <t>$1,534</t>
  </si>
  <si>
    <t>$3,458</t>
  </si>
  <si>
    <t>$453</t>
  </si>
  <si>
    <t>$121</t>
  </si>
  <si>
    <t>$32</t>
  </si>
  <si>
    <t>$56</t>
  </si>
  <si>
    <t>$233</t>
  </si>
  <si>
    <t>$24</t>
  </si>
  <si>
    <t>$1,568</t>
  </si>
  <si>
    <t>$450</t>
  </si>
  <si>
    <t>$692</t>
  </si>
  <si>
    <t>$588</t>
  </si>
  <si>
    <t>$865</t>
  </si>
  <si>
    <t>$1,037</t>
  </si>
  <si>
    <t>$1,569</t>
  </si>
  <si>
    <t>$57</t>
  </si>
  <si>
    <t>$1,570</t>
  </si>
  <si>
    <t>$58</t>
  </si>
  <si>
    <t>$1,571</t>
  </si>
  <si>
    <t>$59</t>
  </si>
  <si>
    <t>$1,540</t>
  </si>
  <si>
    <t>$6,433</t>
  </si>
  <si>
    <t>Chevrolet Express</t>
  </si>
  <si>
    <t>$399</t>
  </si>
  <si>
    <t>$72</t>
  </si>
  <si>
    <t>$25</t>
  </si>
  <si>
    <t>$1,549</t>
  </si>
  <si>
    <t>$836</t>
  </si>
  <si>
    <t>$1,287</t>
  </si>
  <si>
    <t>$1,094</t>
  </si>
  <si>
    <t>$1,608</t>
  </si>
  <si>
    <t>$1,930</t>
  </si>
  <si>
    <t>$73</t>
  </si>
  <si>
    <t>$1,615</t>
  </si>
  <si>
    <t>$74</t>
  </si>
  <si>
    <t>$1,616</t>
  </si>
  <si>
    <t>$8,765</t>
  </si>
  <si>
    <t>$387</t>
  </si>
  <si>
    <t>$128</t>
  </si>
  <si>
    <t>$34</t>
  </si>
  <si>
    <t>$46</t>
  </si>
  <si>
    <t>$26</t>
  </si>
  <si>
    <t>$1,579</t>
  </si>
  <si>
    <t>$1,139</t>
  </si>
  <si>
    <t>$1,753</t>
  </si>
  <si>
    <t>$1,490</t>
  </si>
  <si>
    <t>$2,191</t>
  </si>
  <si>
    <t>$2,630</t>
  </si>
  <si>
    <t>$5,432</t>
  </si>
  <si>
    <t>$245</t>
  </si>
  <si>
    <t>$66</t>
  </si>
  <si>
    <t>$27</t>
  </si>
  <si>
    <t>$1,409</t>
  </si>
  <si>
    <t>$706</t>
  </si>
  <si>
    <t>$1,086</t>
  </si>
  <si>
    <t>$923</t>
  </si>
  <si>
    <t>$1,358</t>
  </si>
  <si>
    <t>$1,630</t>
  </si>
  <si>
    <t>$6,778</t>
  </si>
  <si>
    <t>RAM ProMaster</t>
  </si>
  <si>
    <t>$264</t>
  </si>
  <si>
    <t>$28</t>
  </si>
  <si>
    <t>$60</t>
  </si>
  <si>
    <t>$1,558</t>
  </si>
  <si>
    <t>$881</t>
  </si>
  <si>
    <t>$1,356</t>
  </si>
  <si>
    <t>$1,152</t>
  </si>
  <si>
    <t>$1,695</t>
  </si>
  <si>
    <t>$2,033</t>
  </si>
  <si>
    <t>$1,623</t>
  </si>
  <si>
    <t>$6,543</t>
  </si>
  <si>
    <t>$272</t>
  </si>
  <si>
    <t>$29</t>
  </si>
  <si>
    <t>$61</t>
  </si>
  <si>
    <t>$1,517</t>
  </si>
  <si>
    <t>$851</t>
  </si>
  <si>
    <t>$1,309</t>
  </si>
  <si>
    <t>$1,112</t>
  </si>
  <si>
    <t>$1,636</t>
  </si>
  <si>
    <t>$1,963</t>
  </si>
  <si>
    <t>$33</t>
  </si>
  <si>
    <t>$1,550</t>
  </si>
  <si>
    <t>$8,633</t>
  </si>
  <si>
    <t>$164</t>
  </si>
  <si>
    <t>$1,448</t>
  </si>
  <si>
    <t>$1,122</t>
  </si>
  <si>
    <t>$1,727</t>
  </si>
  <si>
    <t>$1,468</t>
  </si>
  <si>
    <t>$2,158</t>
  </si>
  <si>
    <t>$2,590</t>
  </si>
  <si>
    <t>$1,527</t>
  </si>
  <si>
    <t>$3,456</t>
  </si>
  <si>
    <t>Nissan NV2500</t>
  </si>
  <si>
    <t>$1,585</t>
  </si>
  <si>
    <t>$449</t>
  </si>
  <si>
    <t>$691</t>
  </si>
  <si>
    <t>$864</t>
  </si>
  <si>
    <t>$1,520</t>
  </si>
  <si>
    <t>$4,782</t>
  </si>
  <si>
    <t>$279</t>
  </si>
  <si>
    <t>$1,618</t>
  </si>
  <si>
    <t>$622</t>
  </si>
  <si>
    <t>$956</t>
  </si>
  <si>
    <t>$813</t>
  </si>
  <si>
    <t>$1,196</t>
  </si>
  <si>
    <t>$1,435</t>
  </si>
  <si>
    <t>$5,287</t>
  </si>
  <si>
    <t>$1,530</t>
  </si>
  <si>
    <t>$687</t>
  </si>
  <si>
    <t>$1,057</t>
  </si>
  <si>
    <t>$899</t>
  </si>
  <si>
    <t>$1,322</t>
  </si>
  <si>
    <t>$1,586</t>
  </si>
  <si>
    <t>Rate</t>
  </si>
  <si>
    <t>Insurance</t>
  </si>
  <si>
    <t>Fuel</t>
  </si>
  <si>
    <t>Diesel Exhaust Fluid</t>
  </si>
  <si>
    <t>Advance</t>
  </si>
  <si>
    <t>Warehouse</t>
  </si>
  <si>
    <t>Repairs</t>
  </si>
  <si>
    <t>Tolls</t>
  </si>
  <si>
    <t>Monthly Rate</t>
  </si>
  <si>
    <t>Expenses</t>
  </si>
  <si>
    <t>Balance</t>
  </si>
  <si>
    <t>Truck Expenses</t>
  </si>
  <si>
    <t>Freight Expenses</t>
  </si>
  <si>
    <t>Driver payroll</t>
  </si>
  <si>
    <t>Shipment cost settlement</t>
  </si>
  <si>
    <t>Sum of Rate</t>
  </si>
  <si>
    <t>Sum of Total Expenses</t>
  </si>
  <si>
    <t>Sum of Balance</t>
  </si>
  <si>
    <t>Row Labels</t>
  </si>
  <si>
    <t>Grand Total</t>
  </si>
  <si>
    <t>Monthly Balance</t>
  </si>
  <si>
    <t>Year to date total balance</t>
  </si>
  <si>
    <t>New customer</t>
  </si>
  <si>
    <t>Retaining customer</t>
  </si>
  <si>
    <t>Count of Customer Type</t>
  </si>
  <si>
    <t>Truck Expense</t>
  </si>
  <si>
    <t>Sum of Fuel</t>
  </si>
  <si>
    <t>Sum of Diesel Exhaust Fluid</t>
  </si>
  <si>
    <t>Sum of Advance</t>
  </si>
  <si>
    <t>Sum of Insurance</t>
  </si>
  <si>
    <t>Sum of Warehouse</t>
  </si>
  <si>
    <t>Sum of Repairs</t>
  </si>
  <si>
    <t>Sum of Fundings</t>
  </si>
  <si>
    <t>Sum of Tolls</t>
  </si>
  <si>
    <t>Repairs and cost</t>
  </si>
  <si>
    <t>Income &amp; Expenses</t>
  </si>
  <si>
    <t>Sum of Odometer</t>
  </si>
  <si>
    <t>Sum of Miles</t>
  </si>
  <si>
    <t>Sum of Rate Per Miles</t>
  </si>
  <si>
    <t>Sum of Extra Stops</t>
  </si>
  <si>
    <t>Sum of Extra Pay</t>
  </si>
  <si>
    <t>Sum of Costs Driver Paid</t>
  </si>
  <si>
    <t>Driver Payroll</t>
  </si>
  <si>
    <t>Cost Driver Paid</t>
  </si>
  <si>
    <t>Line Chart</t>
  </si>
  <si>
    <t>Count of Load</t>
  </si>
  <si>
    <t>Sum of Tonnage</t>
  </si>
  <si>
    <t>Total</t>
  </si>
  <si>
    <t>Freight</t>
  </si>
  <si>
    <t>Tonne</t>
  </si>
  <si>
    <t>FREIGHT TON (FRT means Cargo weight in Metric Tonne .</t>
  </si>
  <si>
    <t>X</t>
  </si>
  <si>
    <t>Y</t>
  </si>
  <si>
    <t>Income</t>
  </si>
  <si>
    <t>Y2</t>
  </si>
  <si>
    <t>Scatter bubble chart</t>
  </si>
  <si>
    <t>Sum of First condition type</t>
  </si>
  <si>
    <t>Sum of Shipment cost          sub-items</t>
  </si>
  <si>
    <t>Sum of ERE Stage</t>
  </si>
  <si>
    <t>Sum of Basic freight</t>
  </si>
  <si>
    <t>Sum of Final Amount</t>
  </si>
  <si>
    <t>shipment cost sub-items</t>
  </si>
  <si>
    <t>EREstage</t>
  </si>
  <si>
    <t>Final amount</t>
  </si>
  <si>
    <t>Count of Destination</t>
  </si>
  <si>
    <t>Total Destinations</t>
  </si>
  <si>
    <t>Driver name</t>
  </si>
  <si>
    <t>Total payroll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</si>
</sst>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2809]#,##0"/>
    <numFmt numFmtId="165" formatCode="&quot;₹&quot;\ #,##0.00"/>
    <numFmt numFmtId="166" formatCode="#,##0.0"/>
  </numFmts>
  <fonts count="15" x14ac:knownFonts="1">
    <font>
      <sz val="11"/>
      <color theme="1"/>
      <name val="Aptos Narrow"/>
      <family val="2"/>
      <scheme val="minor"/>
    </font>
    <font>
      <sz val="11"/>
      <color theme="1"/>
      <name val="Aptos Narrow"/>
      <family val="2"/>
      <scheme val="minor"/>
    </font>
    <font>
      <b/>
      <sz val="11"/>
      <color theme="0"/>
      <name val="Arial"/>
      <family val="2"/>
    </font>
    <font>
      <sz val="12"/>
      <color rgb="FF0C0C0C"/>
      <name val="Arial"/>
      <family val="2"/>
    </font>
    <font>
      <b/>
      <sz val="12"/>
      <color rgb="FF0C0C0C"/>
      <name val="Arial"/>
      <family val="2"/>
    </font>
    <font>
      <sz val="11"/>
      <color theme="1"/>
      <name val="Calibri"/>
      <family val="2"/>
    </font>
    <font>
      <sz val="11"/>
      <color rgb="FFFF0000"/>
      <name val="Arial"/>
      <family val="2"/>
    </font>
    <font>
      <sz val="11"/>
      <color theme="5" tint="0.39997558519241921"/>
      <name val="Aptos Narrow"/>
      <family val="2"/>
      <scheme val="minor"/>
    </font>
    <font>
      <b/>
      <sz val="11"/>
      <color theme="1"/>
      <name val="Arial"/>
      <family val="2"/>
    </font>
    <font>
      <b/>
      <sz val="12"/>
      <color theme="1"/>
      <name val="Arial"/>
      <family val="2"/>
    </font>
    <font>
      <b/>
      <sz val="12"/>
      <color theme="1"/>
      <name val="Aptos Narrow"/>
      <family val="2"/>
      <scheme val="minor"/>
    </font>
    <font>
      <sz val="12"/>
      <color theme="1" tint="0.499984740745262"/>
      <name val="Aptos Narrow"/>
      <family val="2"/>
      <scheme val="minor"/>
    </font>
    <font>
      <b/>
      <sz val="11"/>
      <color theme="1" tint="0.499984740745262"/>
      <name val="Aptos Narrow"/>
      <family val="2"/>
      <scheme val="minor"/>
    </font>
    <font>
      <b/>
      <sz val="11"/>
      <color theme="1"/>
      <name val="Aptos Narrow"/>
      <family val="2"/>
      <scheme val="minor"/>
    </font>
    <font>
      <b/>
      <sz val="11"/>
      <color rgb="FFFF0000"/>
      <name val="Arial"/>
      <family val="2"/>
    </font>
  </fonts>
  <fills count="8">
    <fill>
      <patternFill patternType="none"/>
    </fill>
    <fill>
      <patternFill patternType="gray125"/>
    </fill>
    <fill>
      <patternFill patternType="solid">
        <fgColor theme="7" tint="-0.249977111117893"/>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3" tint="9.9978637043366805E-2"/>
        <bgColor indexed="64"/>
      </patternFill>
    </fill>
    <fill>
      <patternFill patternType="solid">
        <fgColor theme="6" tint="-0.249977111117893"/>
        <bgColor indexed="64"/>
      </patternFill>
    </fill>
    <fill>
      <patternFill patternType="solid">
        <fgColor theme="3" tint="0.74999237037263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1" tint="0.249977111117893"/>
      </top>
      <bottom style="double">
        <color theme="1" tint="0.249977111117893"/>
      </bottom>
      <diagonal/>
    </border>
    <border>
      <left/>
      <right style="medium">
        <color theme="1" tint="0.249977111117893"/>
      </right>
      <top/>
      <bottom/>
      <diagonal/>
    </border>
    <border>
      <left/>
      <right/>
      <top style="medium">
        <color theme="1" tint="0.249977111117893"/>
      </top>
      <bottom style="thin">
        <color indexed="64"/>
      </bottom>
      <diagonal/>
    </border>
    <border>
      <left style="medium">
        <color theme="1" tint="0.249977111117893"/>
      </left>
      <right/>
      <top style="medium">
        <color theme="1" tint="0.249977111117893"/>
      </top>
      <bottom style="thin">
        <color indexed="64"/>
      </bottom>
      <diagonal/>
    </border>
    <border>
      <left/>
      <right style="medium">
        <color theme="1" tint="0.249977111117893"/>
      </right>
      <top style="medium">
        <color theme="1" tint="0.249977111117893"/>
      </top>
      <bottom style="thin">
        <color indexed="64"/>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165" fontId="4" fillId="0" borderId="1" xfId="0" applyNumberFormat="1" applyFont="1" applyBorder="1" applyAlignment="1">
      <alignment horizontal="center" vertical="center" wrapText="1"/>
    </xf>
    <xf numFmtId="0" fontId="0" fillId="0" borderId="3" xfId="0" applyBorder="1"/>
    <xf numFmtId="0" fontId="7" fillId="0" borderId="4" xfId="0" applyFont="1" applyBorder="1"/>
    <xf numFmtId="0" fontId="7" fillId="0" borderId="5" xfId="0" applyFont="1" applyBorder="1"/>
    <xf numFmtId="0" fontId="7" fillId="0" borderId="6" xfId="0" applyFont="1" applyBorder="1"/>
    <xf numFmtId="0" fontId="0" fillId="0" borderId="4" xfId="0" applyBorder="1"/>
    <xf numFmtId="0" fontId="0" fillId="0" borderId="6" xfId="0" applyBorder="1"/>
    <xf numFmtId="1" fontId="0" fillId="0" borderId="0" xfId="0" applyNumberFormat="1"/>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5" xfId="0" applyBorder="1"/>
    <xf numFmtId="0" fontId="8" fillId="0" borderId="4" xfId="0" applyFont="1" applyBorder="1"/>
    <xf numFmtId="164" fontId="0" fillId="0" borderId="0" xfId="0" applyNumberFormat="1"/>
    <xf numFmtId="0" fontId="10" fillId="7" borderId="0" xfId="0" applyFont="1" applyFill="1" applyAlignment="1">
      <alignment horizontal="center" vertical="center" wrapText="1"/>
    </xf>
    <xf numFmtId="0" fontId="9" fillId="0" borderId="0" xfId="0" applyFont="1" applyAlignment="1">
      <alignment horizontal="center"/>
    </xf>
    <xf numFmtId="0" fontId="11" fillId="0" borderId="0" xfId="0" applyFont="1" applyAlignment="1">
      <alignment horizontal="center"/>
    </xf>
    <xf numFmtId="3" fontId="9" fillId="0" borderId="0" xfId="0" applyNumberFormat="1" applyFont="1" applyAlignment="1">
      <alignment horizontal="center"/>
    </xf>
    <xf numFmtId="9" fontId="12" fillId="0" borderId="0" xfId="1" applyFont="1" applyAlignment="1">
      <alignment horizontal="center"/>
    </xf>
    <xf numFmtId="164" fontId="9" fillId="0" borderId="0" xfId="0" applyNumberFormat="1" applyFont="1" applyAlignment="1">
      <alignment horizontal="center" vertical="center"/>
    </xf>
    <xf numFmtId="3" fontId="9" fillId="0" borderId="0" xfId="0" applyNumberFormat="1" applyFont="1" applyAlignment="1">
      <alignment horizontal="center" vertical="center"/>
    </xf>
    <xf numFmtId="0" fontId="0" fillId="0" borderId="0" xfId="0" pivotButton="1"/>
    <xf numFmtId="0" fontId="0" fillId="0" borderId="0" xfId="0" applyAlignment="1">
      <alignment horizontal="left"/>
    </xf>
    <xf numFmtId="1" fontId="9" fillId="0" borderId="0" xfId="0" applyNumberFormat="1" applyFont="1" applyAlignment="1">
      <alignment horizontal="center" vertical="center"/>
    </xf>
    <xf numFmtId="0" fontId="11" fillId="0" borderId="0" xfId="0" applyFont="1" applyAlignment="1">
      <alignment horizontal="left"/>
    </xf>
    <xf numFmtId="0" fontId="0" fillId="0" borderId="0" xfId="0" applyAlignment="1">
      <alignment horizontal="center" vertical="center" wrapText="1"/>
    </xf>
    <xf numFmtId="0" fontId="0" fillId="0" borderId="0" xfId="0" applyAlignment="1">
      <alignment horizontal="center" wrapText="1"/>
    </xf>
    <xf numFmtId="0" fontId="0" fillId="0" borderId="7" xfId="0" applyBorder="1"/>
    <xf numFmtId="0" fontId="6" fillId="0" borderId="2" xfId="0" applyFont="1" applyBorder="1" applyAlignment="1">
      <alignment horizontal="center"/>
    </xf>
    <xf numFmtId="0" fontId="0" fillId="0" borderId="0" xfId="0" applyNumberFormat="1"/>
    <xf numFmtId="164" fontId="13" fillId="0" borderId="0" xfId="0" applyNumberFormat="1" applyFont="1"/>
    <xf numFmtId="0" fontId="14" fillId="0" borderId="2" xfId="0" applyFont="1" applyBorder="1" applyAlignment="1">
      <alignment horizontal="center"/>
    </xf>
    <xf numFmtId="0" fontId="13" fillId="0" borderId="0" xfId="0" applyFont="1"/>
    <xf numFmtId="166" fontId="9" fillId="0" borderId="0" xfId="0" applyNumberFormat="1" applyFont="1" applyAlignment="1">
      <alignment horizontal="center"/>
    </xf>
    <xf numFmtId="0" fontId="10" fillId="0" borderId="0" xfId="0" applyFont="1" applyAlignment="1">
      <alignment horizontal="center"/>
    </xf>
    <xf numFmtId="0" fontId="10" fillId="0" borderId="0" xfId="0" applyFont="1" applyFill="1" applyBorder="1" applyAlignment="1">
      <alignment horizontal="center"/>
    </xf>
    <xf numFmtId="3" fontId="9" fillId="0" borderId="7" xfId="0" applyNumberFormat="1" applyFont="1" applyBorder="1" applyAlignment="1">
      <alignment horizontal="center"/>
    </xf>
    <xf numFmtId="1" fontId="13" fillId="0" borderId="0" xfId="0" applyNumberFormat="1" applyFont="1"/>
    <xf numFmtId="0" fontId="14" fillId="0" borderId="2" xfId="0" applyFont="1" applyBorder="1" applyAlignment="1">
      <alignment horizontal="left"/>
    </xf>
  </cellXfs>
  <cellStyles count="2">
    <cellStyle name="Normal" xfId="0" builtinId="0"/>
    <cellStyle name="Percent" xfId="1" builtinId="5"/>
  </cellStyles>
  <dxfs count="405">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font>
        <b/>
      </font>
    </dxf>
    <dxf>
      <font>
        <name val="Arial"/>
        <scheme val="none"/>
      </font>
    </dxf>
    <dxf>
      <font>
        <sz val="12"/>
      </font>
    </dxf>
    <dxf>
      <alignment horizontal="center"/>
    </dxf>
    <dxf>
      <numFmt numFmtId="3" formatCode="#,##0"/>
    </dxf>
    <dxf>
      <alignment wrapText="1"/>
    </dxf>
    <dxf>
      <alignment horizontal="center"/>
    </dxf>
    <dxf>
      <alignment vertical="center"/>
    </dxf>
    <dxf>
      <alignment vertical="bottom"/>
    </dxf>
    <dxf>
      <alignment vertical="bottom"/>
    </dxf>
    <dxf>
      <font>
        <b/>
      </font>
    </dxf>
    <dxf>
      <font>
        <name val="Arial"/>
        <scheme val="none"/>
      </font>
    </dxf>
    <dxf>
      <font>
        <sz val="12"/>
      </font>
    </dxf>
    <dxf>
      <alignment horizontal="center"/>
    </dxf>
    <dxf>
      <numFmt numFmtId="3" formatCode="#,##0"/>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font>
    </dxf>
    <dxf>
      <font>
        <name val="Arial"/>
        <scheme val="none"/>
      </font>
    </dxf>
    <dxf>
      <font>
        <sz val="12"/>
      </font>
    </dxf>
    <dxf>
      <alignment horizontal="center"/>
    </dxf>
    <dxf>
      <numFmt numFmtId="3" formatCode="#,##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patternType="solid">
          <bgColor theme="3" tint="0.749992370372631"/>
        </patternFill>
      </fill>
    </dxf>
    <dxf>
      <alignment vertical="center"/>
    </dxf>
    <dxf>
      <font>
        <b/>
      </font>
    </dxf>
    <dxf>
      <font>
        <name val="Arial"/>
        <scheme val="none"/>
      </font>
    </dxf>
    <dxf>
      <font>
        <sz val="12"/>
      </font>
    </dxf>
    <dxf>
      <font>
        <b/>
      </font>
    </dxf>
    <dxf>
      <font>
        <sz val="12"/>
      </font>
    </dxf>
    <dxf>
      <alignment wrapText="1"/>
    </dxf>
    <dxf>
      <alignment horizontal="center"/>
    </dxf>
    <dxf>
      <alignment horizontal="center"/>
    </dxf>
    <dxf>
      <numFmt numFmtId="3" formatCode="#,##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b/>
        <i val="0"/>
        <sz val="11"/>
        <color theme="2" tint="-0.499984740745262"/>
        <name val="Arial"/>
        <family val="2"/>
        <scheme val="none"/>
      </font>
      <fill>
        <patternFill patternType="none">
          <bgColor auto="1"/>
        </patternFill>
      </fill>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PivotTable Style 1" table="0" count="16" xr9:uid="{8701C1C9-2B66-4F82-A40E-1C1FC39AE342}">
      <tableStyleElement type="wholeTable" dxfId="387"/>
      <tableStyleElement type="headerRow" dxfId="379"/>
      <tableStyleElement type="totalRow" dxfId="377"/>
      <tableStyleElement type="firstColumn" dxfId="380"/>
      <tableStyleElement type="lastColumn" dxfId="378"/>
      <tableStyleElement type="firstRowStripe" dxfId="382"/>
      <tableStyleElement type="secondRowStripe" dxfId="381"/>
      <tableStyleElement type="firstColumnStripe" dxfId="384"/>
      <tableStyleElement type="secondColumnStripe" dxfId="383"/>
      <tableStyleElement type="secondColumnSubheading" dxfId="373"/>
      <tableStyleElement type="thirdColumnSubheading" dxfId="372"/>
      <tableStyleElement type="firstRowSubheading" dxfId="374"/>
      <tableStyleElement type="secondRowSubheading" dxfId="375"/>
      <tableStyleElement type="thirdRowSubheading" dxfId="376"/>
      <tableStyleElement type="pageFieldLabels" dxfId="386"/>
      <tableStyleElement type="pageFieldValues" dxfId="385"/>
    </tableStyle>
    <tableStyle name="SlicerStyleDark2 2" pivot="0" table="0" count="10" xr9:uid="{5ADB1304-BC2D-4CD8-AB4F-C6F502BC8707}">
      <tableStyleElement type="wholeTable" dxfId="404"/>
      <tableStyleElement type="headerRow" dxfId="403"/>
    </tableStyle>
    <tableStyle name="SlicerStyleDark2 2 2" pivot="0" table="0" count="10" xr9:uid="{5FF042D2-945F-429D-9AFB-6F9B98A61C53}">
      <tableStyleElement type="wholeTable" dxfId="402"/>
      <tableStyleElement type="headerRow" dxfId="401"/>
    </tableStyle>
    <tableStyle name="SlicerStyleDark6 2" pivot="0" table="0" count="10" xr9:uid="{092D1695-D5E4-4559-8BC0-A3135E8E4647}">
      <tableStyleElement type="wholeTable" dxfId="400"/>
      <tableStyleElement type="headerRow" dxfId="399"/>
    </tableStyle>
  </tableStyles>
  <colors>
    <mruColors>
      <color rgb="FF3849AB"/>
      <color rgb="FFCBC3E3"/>
      <color rgb="FF2CE4DB"/>
      <color rgb="FF93F486"/>
      <color rgb="FFED6361"/>
      <color rgb="FFEBDF37"/>
      <color rgb="FFAA98A9"/>
      <color rgb="FFA6A6A6"/>
      <color rgb="FFF2AA84"/>
      <color rgb="FFE3E1D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CBC3E3"/>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2" tint="-0.499984740745262"/>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tint="-0.499984740745262"/>
          </font>
          <fill>
            <patternFill patternType="solid">
              <fgColor auto="1"/>
              <bgColor theme="2" tint="-9.9948118533890809E-2"/>
            </patternFill>
          </fill>
          <border diagonalUp="0" diagonalDown="0">
            <left/>
            <right/>
            <top/>
            <bottom/>
            <vertical/>
            <horizontal/>
          </border>
        </dxf>
        <dxf>
          <font>
            <color theme="2" tint="-0.499984740745262"/>
          </font>
          <fill>
            <patternFill patternType="solid">
              <fgColor auto="1"/>
              <bgColor theme="0"/>
            </patternFill>
          </fill>
          <border diagonalUp="0" diagonalDown="0">
            <left/>
            <right/>
            <top/>
            <bottom/>
            <vertical/>
            <horizontal/>
          </border>
        </dxf>
        <dxf>
          <font>
            <color theme="2" tint="-0.499984740745262"/>
          </font>
          <fill>
            <patternFill patternType="solid">
              <fgColor theme="5" tint="0.59999389629810485"/>
              <bgColor theme="0"/>
            </patternFill>
          </fill>
          <border diagonalUp="0" diagonalDown="0">
            <left/>
            <right/>
            <top/>
            <bottom/>
            <vertical/>
            <horizontal/>
          </border>
        </dxf>
        <dxf>
          <font>
            <color theme="5" tint="-0.24994659260841701"/>
          </font>
          <fill>
            <patternFill patternType="solid">
              <fgColor theme="5"/>
              <bgColor theme="5" tint="0.79998168889431442"/>
            </patternFill>
          </fill>
          <border diagonalUp="0" diagonalDown="0">
            <left/>
            <right/>
            <top/>
            <bottom/>
            <vertical/>
            <horizontal/>
          </border>
        </dxf>
        <dxf>
          <font>
            <color rgb="FF959595"/>
          </font>
          <fill>
            <patternFill patternType="solid">
              <fgColor rgb="FFDFDFDF"/>
              <bgColor theme="0"/>
            </patternFill>
          </fill>
          <border diagonalUp="0" diagonalDown="0">
            <left/>
            <right/>
            <top/>
            <bottom/>
            <vertical/>
            <horizontal/>
          </border>
        </dxf>
        <dxf>
          <font>
            <color theme="2" tint="-0.499984740745262"/>
          </font>
          <fill>
            <patternFill patternType="solid">
              <fgColor rgb="FFC0C0C0"/>
              <bgColor theme="0"/>
            </patternFill>
          </fill>
          <border diagonalUp="0" diagonalDown="0">
            <left/>
            <right/>
            <top/>
            <bottom/>
            <vertical/>
            <horizontal/>
          </border>
        </dxf>
        <dxf>
          <font>
            <color rgb="FF000000"/>
          </font>
          <fill>
            <patternFill patternType="solid">
              <fgColor auto="1"/>
              <bgColor theme="9" tint="0.7999816888943144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diagonalUp="0" diagonalDown="0">
            <left/>
            <right/>
            <top/>
            <bottom/>
            <vertical/>
            <horizontal/>
          </border>
        </dxf>
        <dxf>
          <font>
            <color rgb="FF000000"/>
          </font>
          <fill>
            <patternFill patternType="solid">
              <fgColor auto="1"/>
              <bgColor theme="9" tint="0.79998168889431442"/>
            </patternFill>
          </fill>
          <border diagonalUp="0" diagonalDown="0">
            <left/>
            <right/>
            <top/>
            <bottom/>
            <vertical/>
            <horizontal/>
          </border>
        </dxf>
        <dxf>
          <font>
            <color theme="5" tint="-0.249977111117893"/>
          </font>
          <fill>
            <patternFill patternType="solid">
              <fgColor theme="5" tint="0.59999389629810485"/>
              <bgColor theme="5" tint="0.59999389629810485"/>
            </patternFill>
          </fill>
          <border diagonalUp="0" diagonalDown="0">
            <left/>
            <right/>
            <top/>
            <bottom/>
            <vertical/>
            <horizontal/>
          </border>
        </dxf>
        <dxf>
          <font>
            <color theme="0"/>
          </font>
          <fill>
            <patternFill patternType="solid">
              <fgColor theme="5"/>
              <bgColor theme="5" tint="-0.24994659260841701"/>
            </patternFill>
          </fill>
          <border diagonalUp="0" diagonalDown="0">
            <left/>
            <right/>
            <top/>
            <bottom/>
            <vertical/>
            <horizontal/>
          </border>
        </dxf>
        <dxf>
          <font>
            <color rgb="FF959595"/>
          </font>
          <fill>
            <patternFill patternType="solid">
              <fgColor rgb="FFDFDFDF"/>
              <bgColor theme="0"/>
            </patternFill>
          </fill>
          <border diagonalUp="0" diagonalDown="0">
            <left style="hair">
              <color auto="1"/>
            </left>
            <right style="hair">
              <color auto="1"/>
            </right>
            <top style="hair">
              <color auto="1"/>
            </top>
            <bottom style="hair">
              <color auto="1"/>
            </bottom>
            <vertical/>
            <horizontal/>
          </border>
        </dxf>
        <dxf>
          <font>
            <color rgb="FF000000"/>
          </font>
          <fill>
            <patternFill patternType="solid">
              <fgColor rgb="FFC0C0C0"/>
              <bgColor theme="0"/>
            </patternFill>
          </fill>
          <border diagonalUp="0" diagonalDown="0">
            <left style="hair">
              <color auto="1"/>
            </left>
            <right style="hair">
              <color auto="1"/>
            </right>
            <top style="hair">
              <color auto="1"/>
            </top>
            <bottom style="hair">
              <color auto="1"/>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22/10/relationships/richValueRel" Target="richData/richValueRel.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 .xlsx]Pivottables!PivotTable8</c:name>
    <c:fmtId val="10"/>
  </c:pivotSource>
  <c:chart>
    <c:autoTitleDeleted val="1"/>
    <c:pivotFmts>
      <c:pivotFmt>
        <c:idx val="0"/>
        <c:spPr>
          <a:solidFill>
            <a:schemeClr val="accent1"/>
          </a:solidFill>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849AB"/>
            </a:solidFill>
            <a:round/>
          </a:ln>
          <a:effectLst/>
        </c:spPr>
        <c:marker>
          <c:symbol val="circle"/>
          <c:size val="6"/>
          <c:spPr>
            <a:solidFill>
              <a:srgbClr val="3849A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849AB"/>
            </a:solidFill>
            <a:round/>
          </a:ln>
          <a:effectLst/>
        </c:spPr>
        <c:marker>
          <c:symbol val="circle"/>
          <c:size val="6"/>
          <c:spPr>
            <a:solidFill>
              <a:srgbClr val="3849AB"/>
            </a:solidFill>
            <a:ln w="9525">
              <a:noFill/>
            </a:ln>
            <a:effectLst/>
          </c:spPr>
        </c:marker>
      </c:pivotFmt>
    </c:pivotFmts>
    <c:plotArea>
      <c:layout/>
      <c:lineChart>
        <c:grouping val="standard"/>
        <c:varyColors val="0"/>
        <c:ser>
          <c:idx val="0"/>
          <c:order val="0"/>
          <c:tx>
            <c:strRef>
              <c:f>Pivottables!$AW$9</c:f>
              <c:strCache>
                <c:ptCount val="1"/>
                <c:pt idx="0">
                  <c:v>Total</c:v>
                </c:pt>
              </c:strCache>
            </c:strRef>
          </c:tx>
          <c:spPr>
            <a:ln w="28575" cap="rnd">
              <a:solidFill>
                <a:srgbClr val="3849AB"/>
              </a:solidFill>
              <a:round/>
            </a:ln>
            <a:effectLst/>
          </c:spPr>
          <c:marker>
            <c:symbol val="circle"/>
            <c:size val="6"/>
            <c:spPr>
              <a:solidFill>
                <a:srgbClr val="3849AB"/>
              </a:solidFill>
              <a:ln w="9525">
                <a:noFill/>
              </a:ln>
              <a:effectLst/>
            </c:spPr>
          </c:marker>
          <c:cat>
            <c:strRef>
              <c:f>Pivottables!$AV$10:$AV$22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Pivottables!$AW$10:$AW$22</c:f>
              <c:numCache>
                <c:formatCode>#,##0</c:formatCode>
                <c:ptCount val="12"/>
                <c:pt idx="0">
                  <c:v>13468</c:v>
                </c:pt>
                <c:pt idx="1">
                  <c:v>12138</c:v>
                </c:pt>
                <c:pt idx="2">
                  <c:v>9472</c:v>
                </c:pt>
                <c:pt idx="3">
                  <c:v>14519</c:v>
                </c:pt>
                <c:pt idx="4">
                  <c:v>28744</c:v>
                </c:pt>
                <c:pt idx="5">
                  <c:v>16092</c:v>
                </c:pt>
                <c:pt idx="6">
                  <c:v>61990</c:v>
                </c:pt>
                <c:pt idx="7">
                  <c:v>20038</c:v>
                </c:pt>
                <c:pt idx="8">
                  <c:v>28740</c:v>
                </c:pt>
                <c:pt idx="9">
                  <c:v>33423</c:v>
                </c:pt>
                <c:pt idx="10">
                  <c:v>15820</c:v>
                </c:pt>
                <c:pt idx="11">
                  <c:v>11271</c:v>
                </c:pt>
              </c:numCache>
            </c:numRef>
          </c:val>
          <c:smooth val="1"/>
          <c:extLst>
            <c:ext xmlns:c16="http://schemas.microsoft.com/office/drawing/2014/chart" uri="{C3380CC4-5D6E-409C-BE32-E72D297353CC}">
              <c16:uniqueId val="{00000000-C6C4-4795-92D5-CD030CCAEB7D}"/>
            </c:ext>
          </c:extLst>
        </c:ser>
        <c:dLbls>
          <c:showLegendKey val="0"/>
          <c:showVal val="0"/>
          <c:showCatName val="0"/>
          <c:showSerName val="0"/>
          <c:showPercent val="0"/>
          <c:showBubbleSize val="0"/>
        </c:dLbls>
        <c:marker val="1"/>
        <c:smooth val="0"/>
        <c:axId val="1088523760"/>
        <c:axId val="1802944240"/>
      </c:lineChart>
      <c:catAx>
        <c:axId val="10885237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802944240"/>
        <c:crosses val="autoZero"/>
        <c:auto val="1"/>
        <c:lblAlgn val="ctr"/>
        <c:lblOffset val="100"/>
        <c:noMultiLvlLbl val="0"/>
      </c:catAx>
      <c:valAx>
        <c:axId val="1802944240"/>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08852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333333333333333E-2"/>
          <c:y val="3.2407407407407406E-2"/>
          <c:w val="0.94133333333333336"/>
          <c:h val="0.89814814814814814"/>
        </c:manualLayout>
      </c:layout>
      <c:bubbleChart>
        <c:varyColors val="0"/>
        <c:ser>
          <c:idx val="0"/>
          <c:order val="0"/>
          <c:tx>
            <c:v>Income</c:v>
          </c:tx>
          <c:spPr>
            <a:gradFill>
              <a:gsLst>
                <a:gs pos="0">
                  <a:srgbClr val="EBDF37"/>
                </a:gs>
                <a:gs pos="100000">
                  <a:srgbClr val="ED6361"/>
                </a:gs>
              </a:gsLst>
              <a:lin ang="5400000" scaled="1"/>
            </a:gradFill>
            <a:ln w="25400">
              <a:noFill/>
            </a:ln>
            <a:effectLst/>
          </c:spPr>
          <c:invertIfNegative val="0"/>
          <c:dLbls>
            <c:dLbl>
              <c:idx val="0"/>
              <c:tx>
                <c:rich>
                  <a:bodyPr/>
                  <a:lstStyle/>
                  <a:p>
                    <a:fld id="{A24BF3C7-2390-4503-B328-300CB897BDC8}"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A26-49FD-B56E-698D8190B24A}"/>
                </c:ext>
              </c:extLst>
            </c:dLbl>
            <c:dLbl>
              <c:idx val="1"/>
              <c:tx>
                <c:rich>
                  <a:bodyPr/>
                  <a:lstStyle/>
                  <a:p>
                    <a:fld id="{2FC2458C-F4B4-4BDF-9877-87D9302C7A15}"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26-49FD-B56E-698D8190B24A}"/>
                </c:ext>
              </c:extLst>
            </c:dLbl>
            <c:dLbl>
              <c:idx val="2"/>
              <c:tx>
                <c:rich>
                  <a:bodyPr/>
                  <a:lstStyle/>
                  <a:p>
                    <a:fld id="{FA96A3A7-072B-49D9-BF02-EE69CE93DF0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26-49FD-B56E-698D8190B24A}"/>
                </c:ext>
              </c:extLst>
            </c:dLbl>
            <c:dLbl>
              <c:idx val="3"/>
              <c:tx>
                <c:rich>
                  <a:bodyPr/>
                  <a:lstStyle/>
                  <a:p>
                    <a:fld id="{89EBE4B6-9CCA-4633-9BC6-B6934A576D6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26-49FD-B56E-698D8190B24A}"/>
                </c:ext>
              </c:extLst>
            </c:dLbl>
            <c:dLbl>
              <c:idx val="4"/>
              <c:tx>
                <c:rich>
                  <a:bodyPr/>
                  <a:lstStyle/>
                  <a:p>
                    <a:fld id="{4FE6B52F-0995-4665-A88B-EB830C3AE78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26-49FD-B56E-698D8190B24A}"/>
                </c:ext>
              </c:extLst>
            </c:dLbl>
            <c:dLbl>
              <c:idx val="5"/>
              <c:tx>
                <c:rich>
                  <a:bodyPr/>
                  <a:lstStyle/>
                  <a:p>
                    <a:fld id="{D725BEC9-9F99-4D56-B6E5-328E21D5696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26-49FD-B56E-698D8190B24A}"/>
                </c:ext>
              </c:extLst>
            </c:dLbl>
            <c:dLbl>
              <c:idx val="6"/>
              <c:tx>
                <c:rich>
                  <a:bodyPr/>
                  <a:lstStyle/>
                  <a:p>
                    <a:fld id="{9E79843A-C898-48C6-A40C-9A104948B38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26-49FD-B56E-698D8190B24A}"/>
                </c:ext>
              </c:extLst>
            </c:dLbl>
            <c:dLbl>
              <c:idx val="7"/>
              <c:tx>
                <c:rich>
                  <a:bodyPr/>
                  <a:lstStyle/>
                  <a:p>
                    <a:fld id="{3771DAE8-3183-479A-9B5A-923A04E1612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26-49FD-B56E-698D8190B24A}"/>
                </c:ext>
              </c:extLst>
            </c:dLbl>
            <c:dLbl>
              <c:idx val="8"/>
              <c:tx>
                <c:rich>
                  <a:bodyPr/>
                  <a:lstStyle/>
                  <a:p>
                    <a:fld id="{8FF89372-1A4B-4042-B493-E5D0821CD61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26-49FD-B56E-698D8190B24A}"/>
                </c:ext>
              </c:extLst>
            </c:dLbl>
            <c:dLbl>
              <c:idx val="9"/>
              <c:tx>
                <c:rich>
                  <a:bodyPr/>
                  <a:lstStyle/>
                  <a:p>
                    <a:fld id="{697B9AE1-824D-45B6-8999-EE25AB60747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26-49FD-B56E-698D8190B24A}"/>
                </c:ext>
              </c:extLst>
            </c:dLbl>
            <c:dLbl>
              <c:idx val="10"/>
              <c:tx>
                <c:rich>
                  <a:bodyPr/>
                  <a:lstStyle/>
                  <a:p>
                    <a:fld id="{AF4CE1A5-16F9-4C6B-99E6-F5230BE0208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26-49FD-B56E-698D8190B24A}"/>
                </c:ext>
              </c:extLst>
            </c:dLbl>
            <c:dLbl>
              <c:idx val="11"/>
              <c:tx>
                <c:rich>
                  <a:bodyPr/>
                  <a:lstStyle/>
                  <a:p>
                    <a:fld id="{4005ABAA-5A87-45CB-B8A0-6A2990E59D3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26-49FD-B56E-698D8190B24A}"/>
                </c:ext>
              </c:extLst>
            </c:dLbl>
            <c:numFmt formatCode="[$$-2809]#,##0;[Red][$$-2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Pivottables!$BP$10:$BP$21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Pivottables!$BQ$10:$BQ$21</c:f>
              <c:numCache>
                <c:formatCode>General</c:formatCode>
                <c:ptCount val="12"/>
                <c:pt idx="0">
                  <c:v>1</c:v>
                </c:pt>
                <c:pt idx="1">
                  <c:v>1.2</c:v>
                </c:pt>
                <c:pt idx="2">
                  <c:v>1.4</c:v>
                </c:pt>
                <c:pt idx="3">
                  <c:v>1.6</c:v>
                </c:pt>
                <c:pt idx="4">
                  <c:v>2.8</c:v>
                </c:pt>
                <c:pt idx="5">
                  <c:v>2.1</c:v>
                </c:pt>
                <c:pt idx="6">
                  <c:v>4</c:v>
                </c:pt>
                <c:pt idx="7">
                  <c:v>2.4</c:v>
                </c:pt>
                <c:pt idx="8">
                  <c:v>2.6</c:v>
                </c:pt>
                <c:pt idx="9">
                  <c:v>3</c:v>
                </c:pt>
                <c:pt idx="10">
                  <c:v>2.2000000000000002</c:v>
                </c:pt>
                <c:pt idx="11">
                  <c:v>1.8</c:v>
                </c:pt>
              </c:numCache>
            </c:numRef>
          </c:yVal>
          <c:bubbleSize>
            <c:numRef>
              <c:f>Pivottables!$BS$10:$BS$21</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bubbleSize>
          <c:bubble3D val="0"/>
          <c:extLst>
            <c:ext xmlns:c15="http://schemas.microsoft.com/office/drawing/2012/chart" uri="{02D57815-91ED-43cb-92C2-25804820EDAC}">
              <c15:datalabelsRange>
                <c15:f>Pivottables!$BS$10:$BS$21</c15:f>
                <c15:dlblRangeCach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15:dlblRangeCache>
              </c15:datalabelsRange>
            </c:ext>
            <c:ext xmlns:c16="http://schemas.microsoft.com/office/drawing/2014/chart" uri="{C3380CC4-5D6E-409C-BE32-E72D297353CC}">
              <c16:uniqueId val="{0000000C-BA26-49FD-B56E-698D8190B24A}"/>
            </c:ext>
          </c:extLst>
        </c:ser>
        <c:ser>
          <c:idx val="1"/>
          <c:order val="1"/>
          <c:tx>
            <c:v>Expenses</c:v>
          </c:tx>
          <c:spPr>
            <a:gradFill>
              <a:gsLst>
                <a:gs pos="0">
                  <a:srgbClr val="93F486"/>
                </a:gs>
                <a:gs pos="100000">
                  <a:srgbClr val="2CE4DB"/>
                </a:gs>
              </a:gsLst>
              <a:lin ang="5400000" scaled="1"/>
            </a:gradFill>
            <a:ln w="25400">
              <a:noFill/>
            </a:ln>
            <a:effectLst/>
          </c:spPr>
          <c:invertIfNegative val="0"/>
          <c:dLbls>
            <c:dLbl>
              <c:idx val="0"/>
              <c:tx>
                <c:rich>
                  <a:bodyPr/>
                  <a:lstStyle/>
                  <a:p>
                    <a:fld id="{351495CF-4992-487B-87EA-B1446EE4FA2B}" type="CELLRANGE">
                      <a:rPr lang="en-US"/>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BA26-49FD-B56E-698D8190B24A}"/>
                </c:ext>
              </c:extLst>
            </c:dLbl>
            <c:dLbl>
              <c:idx val="1"/>
              <c:tx>
                <c:rich>
                  <a:bodyPr/>
                  <a:lstStyle/>
                  <a:p>
                    <a:fld id="{E04F604B-8D96-4912-AEBA-C92E0B327E6D}"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A26-49FD-B56E-698D8190B24A}"/>
                </c:ext>
              </c:extLst>
            </c:dLbl>
            <c:dLbl>
              <c:idx val="2"/>
              <c:tx>
                <c:rich>
                  <a:bodyPr/>
                  <a:lstStyle/>
                  <a:p>
                    <a:fld id="{81C7EDE8-FC1D-440B-930C-3190661A690A}"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A26-49FD-B56E-698D8190B24A}"/>
                </c:ext>
              </c:extLst>
            </c:dLbl>
            <c:dLbl>
              <c:idx val="3"/>
              <c:tx>
                <c:rich>
                  <a:bodyPr/>
                  <a:lstStyle/>
                  <a:p>
                    <a:fld id="{0E97EE92-D3AC-420C-84E2-AA765AA60B15}"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A26-49FD-B56E-698D8190B24A}"/>
                </c:ext>
              </c:extLst>
            </c:dLbl>
            <c:dLbl>
              <c:idx val="4"/>
              <c:tx>
                <c:rich>
                  <a:bodyPr/>
                  <a:lstStyle/>
                  <a:p>
                    <a:fld id="{30E85141-1324-4CA9-9D53-007BE1CCB790}"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A26-49FD-B56E-698D8190B24A}"/>
                </c:ext>
              </c:extLst>
            </c:dLbl>
            <c:dLbl>
              <c:idx val="5"/>
              <c:tx>
                <c:rich>
                  <a:bodyPr/>
                  <a:lstStyle/>
                  <a:p>
                    <a:fld id="{617A3A99-C844-440C-9D89-B410045EE531}"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A26-49FD-B56E-698D8190B24A}"/>
                </c:ext>
              </c:extLst>
            </c:dLbl>
            <c:dLbl>
              <c:idx val="6"/>
              <c:tx>
                <c:rich>
                  <a:bodyPr/>
                  <a:lstStyle/>
                  <a:p>
                    <a:fld id="{742D8F15-09FB-4CB5-9ADE-621352AC281E}"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A26-49FD-B56E-698D8190B24A}"/>
                </c:ext>
              </c:extLst>
            </c:dLbl>
            <c:dLbl>
              <c:idx val="7"/>
              <c:tx>
                <c:rich>
                  <a:bodyPr/>
                  <a:lstStyle/>
                  <a:p>
                    <a:fld id="{92E87EEA-95BD-4ACC-8F05-EF2D6922A8E2}"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A26-49FD-B56E-698D8190B24A}"/>
                </c:ext>
              </c:extLst>
            </c:dLbl>
            <c:dLbl>
              <c:idx val="8"/>
              <c:tx>
                <c:rich>
                  <a:bodyPr/>
                  <a:lstStyle/>
                  <a:p>
                    <a:fld id="{22A5999D-C00C-401F-BAEC-3B5D76F971B4}"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A26-49FD-B56E-698D8190B24A}"/>
                </c:ext>
              </c:extLst>
            </c:dLbl>
            <c:dLbl>
              <c:idx val="9"/>
              <c:tx>
                <c:rich>
                  <a:bodyPr/>
                  <a:lstStyle/>
                  <a:p>
                    <a:fld id="{065BE54A-5897-40C7-814E-7641267C59B9}"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A26-49FD-B56E-698D8190B24A}"/>
                </c:ext>
              </c:extLst>
            </c:dLbl>
            <c:dLbl>
              <c:idx val="10"/>
              <c:tx>
                <c:rich>
                  <a:bodyPr/>
                  <a:lstStyle/>
                  <a:p>
                    <a:fld id="{F18D3A10-2FB1-4790-B73D-E1403F94A2E5}"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A26-49FD-B56E-698D8190B24A}"/>
                </c:ext>
              </c:extLst>
            </c:dLbl>
            <c:dLbl>
              <c:idx val="11"/>
              <c:tx>
                <c:rich>
                  <a:bodyPr/>
                  <a:lstStyle/>
                  <a:p>
                    <a:fld id="{1AF0AAB5-7FA9-4124-B863-8B11EE03BF74}"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A26-49FD-B56E-698D8190B2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Pivottables!$BP$10:$BP$21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Pivottables!$BR$10:$BR$21</c:f>
              <c:numCache>
                <c:formatCode>General</c:formatCode>
                <c:ptCount val="12"/>
                <c:pt idx="0">
                  <c:v>0.3</c:v>
                </c:pt>
                <c:pt idx="1">
                  <c:v>0.5</c:v>
                </c:pt>
                <c:pt idx="2">
                  <c:v>0.7</c:v>
                </c:pt>
                <c:pt idx="3">
                  <c:v>0.9</c:v>
                </c:pt>
                <c:pt idx="4">
                  <c:v>2</c:v>
                </c:pt>
                <c:pt idx="5">
                  <c:v>1.4</c:v>
                </c:pt>
                <c:pt idx="6">
                  <c:v>2.8</c:v>
                </c:pt>
                <c:pt idx="7">
                  <c:v>1.6</c:v>
                </c:pt>
                <c:pt idx="8">
                  <c:v>1.8</c:v>
                </c:pt>
                <c:pt idx="9">
                  <c:v>2</c:v>
                </c:pt>
                <c:pt idx="10">
                  <c:v>1.4</c:v>
                </c:pt>
                <c:pt idx="11">
                  <c:v>1.2</c:v>
                </c:pt>
              </c:numCache>
            </c:numRef>
          </c:yVal>
          <c:bubbleSize>
            <c:numRef>
              <c:f>Pivottables!$BT$10:$BT$21</c:f>
              <c:numCache>
                <c:formatCode>#,##0</c:formatCode>
                <c:ptCount val="12"/>
                <c:pt idx="0">
                  <c:v>3200</c:v>
                </c:pt>
                <c:pt idx="1">
                  <c:v>6130</c:v>
                </c:pt>
                <c:pt idx="2">
                  <c:v>7818</c:v>
                </c:pt>
                <c:pt idx="3">
                  <c:v>4780</c:v>
                </c:pt>
                <c:pt idx="4">
                  <c:v>6316</c:v>
                </c:pt>
                <c:pt idx="5">
                  <c:v>5636</c:v>
                </c:pt>
                <c:pt idx="6">
                  <c:v>19346</c:v>
                </c:pt>
                <c:pt idx="7">
                  <c:v>6134</c:v>
                </c:pt>
                <c:pt idx="8">
                  <c:v>5792</c:v>
                </c:pt>
                <c:pt idx="9">
                  <c:v>15491</c:v>
                </c:pt>
                <c:pt idx="10">
                  <c:v>8090</c:v>
                </c:pt>
                <c:pt idx="11">
                  <c:v>4590</c:v>
                </c:pt>
              </c:numCache>
            </c:numRef>
          </c:bubbleSize>
          <c:bubble3D val="0"/>
          <c:extLst>
            <c:ext xmlns:c15="http://schemas.microsoft.com/office/drawing/2012/chart" uri="{02D57815-91ED-43cb-92C2-25804820EDAC}">
              <c15:datalabelsRange>
                <c15:f>Pivottables!$BT$10:$BT$21</c15:f>
                <c15:dlblRangeCache>
                  <c:ptCount val="12"/>
                  <c:pt idx="0">
                    <c:v>3,200</c:v>
                  </c:pt>
                  <c:pt idx="1">
                    <c:v>6,130</c:v>
                  </c:pt>
                  <c:pt idx="2">
                    <c:v>7,818</c:v>
                  </c:pt>
                  <c:pt idx="3">
                    <c:v>4,780</c:v>
                  </c:pt>
                  <c:pt idx="4">
                    <c:v>6,316</c:v>
                  </c:pt>
                  <c:pt idx="5">
                    <c:v>5,636</c:v>
                  </c:pt>
                  <c:pt idx="6">
                    <c:v>19,346</c:v>
                  </c:pt>
                  <c:pt idx="7">
                    <c:v>6,134</c:v>
                  </c:pt>
                  <c:pt idx="8">
                    <c:v>5,792</c:v>
                  </c:pt>
                  <c:pt idx="9">
                    <c:v>15,491</c:v>
                  </c:pt>
                  <c:pt idx="10">
                    <c:v>8,090</c:v>
                  </c:pt>
                  <c:pt idx="11">
                    <c:v>4,590</c:v>
                  </c:pt>
                </c15:dlblRangeCache>
              </c15:datalabelsRange>
            </c:ext>
            <c:ext xmlns:c16="http://schemas.microsoft.com/office/drawing/2014/chart" uri="{C3380CC4-5D6E-409C-BE32-E72D297353CC}">
              <c16:uniqueId val="{00000019-BA26-49FD-B56E-698D8190B24A}"/>
            </c:ext>
          </c:extLst>
        </c:ser>
        <c:dLbls>
          <c:dLblPos val="ctr"/>
          <c:showLegendKey val="0"/>
          <c:showVal val="1"/>
          <c:showCatName val="0"/>
          <c:showSerName val="0"/>
          <c:showPercent val="0"/>
          <c:showBubbleSize val="0"/>
        </c:dLbls>
        <c:bubbleScale val="70"/>
        <c:showNegBubbles val="0"/>
        <c:axId val="441343007"/>
        <c:axId val="441345887"/>
      </c:bubbleChart>
      <c:valAx>
        <c:axId val="441343007"/>
        <c:scaling>
          <c:orientation val="minMax"/>
          <c:max val="13"/>
          <c:min val="0"/>
        </c:scaling>
        <c:delete val="1"/>
        <c:axPos val="b"/>
        <c:numFmt formatCode="General" sourceLinked="1"/>
        <c:majorTickMark val="none"/>
        <c:minorTickMark val="none"/>
        <c:tickLblPos val="nextTo"/>
        <c:crossAx val="441345887"/>
        <c:crosses val="autoZero"/>
        <c:crossBetween val="midCat"/>
        <c:majorUnit val="1"/>
      </c:valAx>
      <c:valAx>
        <c:axId val="441345887"/>
        <c:scaling>
          <c:orientation val="minMax"/>
          <c:max val="5"/>
          <c:min val="0"/>
        </c:scaling>
        <c:delete val="1"/>
        <c:axPos val="l"/>
        <c:numFmt formatCode="General" sourceLinked="1"/>
        <c:majorTickMark val="none"/>
        <c:minorTickMark val="none"/>
        <c:tickLblPos val="nextTo"/>
        <c:crossAx val="441343007"/>
        <c:crosses val="autoZero"/>
        <c:crossBetween val="midCat"/>
        <c:majorUnit val="1"/>
      </c:valAx>
      <c:spPr>
        <a:noFill/>
        <a:ln>
          <a:noFill/>
        </a:ln>
        <a:effectLst/>
      </c:spPr>
    </c:plotArea>
    <c:legend>
      <c:legendPos val="r"/>
      <c:layout>
        <c:manualLayout>
          <c:xMode val="edge"/>
          <c:yMode val="edge"/>
          <c:x val="2.1248923884514472E-2"/>
          <c:y val="1.9096675415573076E-2"/>
          <c:w val="0.31208440944881888"/>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_xlchart.v5.4</cx:nf>
      </cx:strDim>
      <cx:numDim type="colorVal">
        <cx:f>_xlchart.v5.3</cx:f>
        <cx:nf>_xlchart.v5.5</cx:nf>
      </cx:numDim>
    </cx:data>
  </cx:chartData>
  <cx:chart>
    <cx:plotArea>
      <cx:plotAreaRegion>
        <cx:plotSurface>
          <cx:spPr>
            <a:noFill/>
          </cx:spPr>
        </cx:plotSurface>
        <cx:series layoutId="regionMap" uniqueId="{5C722EC3-70D3-40D2-94B7-78682B03A4DF}">
          <cx:dataId val="0"/>
          <cx:layoutPr>
            <cx:geography cultureLanguage="en-US" cultureRegion="IN" attribution="Powered by Bing">
              <cx:geoCache provider="{E9337A44-BEBE-4D9F-B70C-5C5E7DAFC167}">
                <cx:binary>1Htpc9xGsu1fUejzg1z7MjG+ERfobjaphWKTlmx9QdASDRSAKgCFwvrrb7ZszxPRHLY1c1/EG0oR
sgk2syrXkycTf/88/e1z9XDvX0y2ct3fPk8/vsxDaP72ww/d5/zB3nevrPns667+Lbz6XNsf6t9+
M58ffvji70fjsh8IwuyHz/m9Dw/Ty//6O/y27KF+U3++D6Z2N/2Dnw8PXV+F7plnTz56cf/FGrcx
XfDmc8A/vvzv6tcHH+5fvnhwwYT5bm4efnz56Idevvhh/atOxL6o4GSh/wKf5fwVFpoiKZH++qVe
vqhql/3xOMKYveIYS80R+1Pqu3sLn/wLR/l6kPsvX/xD18FVvv77zQcfnRu+H7988bnuXTiqKwPN
/fgyuXf3X+C2pquT358k9fHUyX9/veYPjzX9X39ffQMuvvrON8ZYa+ncoxNbxN4E0+Uvkrrq7a/m
f9MooHNB+MoSBEyFBeeMiMeW+J6DPG2S09+wsk2c/GfZ5l3v7oc+/Kmnfz9OBH/FEGWMUIW+fuHH
1tHiFRKMcYrp789X0fIXDvS0af7xwZVF3v30n2WRt/fOhPrX/90ogcTFOWX099QlVyaRrxjFCHP0
R2pbhc1fOdHTNvm/n1wZ5e1/WAp7Vw/3L24/1+F/M3sx/gohioUgv0cCoo/tIugrgYTEWoPBfq9j
v1eUv3iap23y6MMrs7y7/c+KlXcP44vY964bzefyTx39+zmMiVdcYyq4+iMg9Mow4hWWigop/ngO
FeiRff7qsf6JhR5/fG2j/7DQ+aUva/enfv592xyDgkopOYO4OH6tkhmmHHAYVYSxVRr7epAXdw8e
4Ejt5+eO9LRdTn7ByjK/3P3/HT3/BDN+i5Af/ch3ImRBXnFJtRIICsnxizyOGqj8AimMFP8j38Hz
b6PmTwz7z8/ztFn+/Nyjs/+/hsT/HC7/o4nY3If77dfu4xvE/PzTrxeElmj10T/U9GTw/K6tyy8/
vmSaApb6R1Nz/B2P9HuKXdeffbjvwo8vv7YyCIyEJcFYY4YgkMaH3x9R/QoxJSE3SkIEgO+XL1zt
Q/7jS4GgmgHyk5hKduyE4FFX98dHTL2iGHOsBSEKEQnn/POm7+tqzmr3D7X88f8vXG/f18aFDn7x
yxfN7z/19ZaKCUq0pJAEqFQSjgfPP98foL+EH8b/ZyzYhDI96ztFrZzitNMhxFRMrbtYQrOQWC+U
4otvVPWXhEohOGZSSA1a4cdDfSOUtkutBpovd1lkDU1MEKRLajiIiFsxTkUs/NwCEv2Hef6aTKm1
gltyKjDDoNBvZba101VdTtPdKOrJ90npWn5gU12P8TiMUXaDBmyHL88LhfS50q6CjgpzJQVclDJo
c78Vqibf0anPxrtiZK1OGkwXmvAoiuw+TCX9VVVZhD9SVrni4/OSMcCdtWiwKddEUaXByODN34rO
LOk6xbrhbmopKS86J/lHO2SqjoVt5v0UNHunfbQsbwecRdmeNZpVO9Kk0YM39TLGWKiJJyTHo9g9
f7ZTn9PHhoUhCf8wpFZHm1E7EWTq7q4Qo/WxHOrChrhXesouVYrq8aIocSSi+PvFMkKY4EhpcIKV
2JCbzGta+bsQ4eIzZ7QrNks5Fp9mMnY7Nw3ZvyCRwUWJ5AJq69cg/tYGDUGiw33W3GV9q964LK2i
rayxj/atDlpvxrxfyjO3JEdHfhzRGpIXFAYAVGB6vAquUpRLpSLb3MkhVdUmtE1pNnYoQigS3k30
p7Hh6bwvOZfTF16PqT0YMARLsl71y32QSxogGOfaudiOhZw/ojAS+m7xqIoSLEtcvukWiKZtraKc
vZ6HFoWYtU0oYt0GI/c454v8fp8BixCOtFSQQ9nKeM4GlTre1HfUR/S2xiO5A4KERfFoHaliw0p+
znqAO9eK5BySMqRoRrDSq4wBHWA+RAbVd/ky+nyLe9raTWU8/rUXmL553jnxMdGuzAa5AiNNgfOC
BLVOFaXOI4Tr6g5XWvokw/OCrhYb0XFftHM178Q0z+0FyjOjk6FArf1AXV26hzZa2tqc8SJ8cnkp
GcMKUDnQDxA1q+PwzttBO57fFY0Y0U/13GkedxAtjY8XpJYyS0QVDaNMeBpye+3F0E2XvF8aneSh
m9t4GtqZZ4nvCuyKjaWV+jgvBGKO5yr00LE/l92hh3isPXmsJYBlEaGaqXVKWVwRTSXm+nYs+9En
Fk+GxYyXVMxxP+BO7ZtQIf8hr9QwxsBxqubSoZqTzfPnOEn4AKYhsynNoKGhJwmfIkF8M8/yNlIu
vx3mJcuSpXSNS+aJDWmMCkXyTSWLGp+RrI8R8MiBpIJ7ExANeIGiE3dljM4ZZPK7ep6pjImMpp9b
jJG7qmmbT9u6G1R6RzRhdpOGKJQx8WrqE1ym9reKMDddLnXt/W1oi6yP1eh4uyGsmaNEFBmXb4uJ
y0bFLJ1sdmFN2tS/LXquRTKqsiRbTbpW7jNDWprMWEQ6gcI3pJu6Kbt2M01lLw+ddEjehU6Tn4aq
U/N9C+nJXY2FpTnU4S5MxYUnXVXuqiZbOh1jZumyg+6kCx+bNo+6X6bQaPMLi7BGWzZntk+ka/H4
tmiQHN73I6JpE3cioq1IjOhRsLHAi5kuQ9Ew08V4tKE2yZgRY9+XnZwqFeu8M9F126JSx9xmIVxD
CnND0uShqK5DM+TsJgQeyjEOdq7bfeatavdSZ7yPfYFEuutG15Sv1dTw4taOBpF4pAOh9zNWMt+4
mUd1Fo8MDUzHhBW2g5yl+iork5lkdbcBmy36NVirq/a9aW3xCZOy4Eka4bSKh6rMhitPmrzcYejW
0EVIPco3BSLavjF6Luu4bXuH2U6Mqc7rC9ZrPcYpAeDRxLae6PTWOlfxWOq2pjeyy9o+dp1p8aXh
diKvZzdHzc3z0XAKQjThlFDAeEQRcM4VupQRZwIiIb3NeqvEhe5LNsSiINN0Y7MSJg31LN2wtaYR
Islm3NUXphoMXWJDQvu5n0nBX8tUoOXjKGSKz2S5YxJ7FDJwPPAdjSDJIS3EKsm1JjU8C4O+rYkY
wv3isFEbtwzePxCT9lMyaBzKTRbloU6QS3H29nkFnWRZOAAoSCEulFDwFw74DRC2uUG2Kcf0dlhY
YbbFGPUoCVMwe4DkfXXmuqc1RhOhMdwWOhG4OF1BgzbKddMgrm77wMVwraq26i5oVdJlMyATkfe+
HtURpvZ9ulWmcDzBE+Vur9IWVWcq+kmqPB5GEgZtB2EciZVvUJLOABd6detpozxUE7FMm1q0FV9i
lk0q24R8HvoyHjHG6d3zin9CFZRyIcAxOZaAK1bFfZZh1LVU5NZGItPXhVQAaKrSqSZL+qI00W+1
t3besXJU0RhPc6s/1la35gMdMh9tzxwHePyVJ1IBYJ0DXmdCnFimj3iGosEttx0hPty2NEvpjpCi
KHBcu3buNgvK22mbD9SJ67afXLWdZdFnOwuwgV0JJHEOfOR31VRNoaiCfx6bUyCB1gYyEyNONPNt
hYzvD6mY0/5NF7AYXjcNZJHLpq2FiaOxjuwGwHXVX+T1Qs8F6WmMcAmwiEETzSSCIvc4RhYRFjXz
abh1OJ3IvmX98ouzHIt3gxSRS56/9HGqtbIEh6kkUF7gltCarB3DDLVTgLT626nO0Jy4QYh5k6IK
D0kfwpBvmh4N+n2azmn2dnJzV90NkYyGrWxV734KEyZ266plLq/6dKnG/RT5odnqMcuWK2Nlmsdt
ndO6jvMqQuZ90w0tT3KZKvIA9czhjSmiMez1ZKfxQ6aYo0kqBJpv0yai+RnUcIrzNFcMhhWSw1AD
0MlKu7Ov67kUY3fbKxvQOzxq8QCHGX9uTDaWS1yEdoiScikH9amYaINihSddXHlWSfmuD45NiaCj
ZwkX89ReFvmoeVLMDi1njnoC8QDeUU6glZLQ3AAofewHWdXNrk6jBvBJP3zMGsr6uNOI3Bap/GXg
iL5vscRbU0c/A7NCL5/3i6/8wONaITjwB5CzoCVQ6jiX/jZVh6bFukFjczvnuI9nx8x7AJCfpjmq
rrMJOqDJ1c2eeDElFW6GS9YKcomMzZLCp/m5buE0KIRkVGqYyiLEtF5lcsb9NLPZd7e6VcwXscrd
ALzJxAJpNx2OmtYmsxShfACwvZitwC3APlaygC4mcKkqT9qQQhcKCGuc5bWv3CDjhi8Lf9szcPoz
yf7oRivtQXKD0gO0D8IwpnmsvdEE6Al82dwWc4EfDCCm7G0ZNG9dXOaTqH4WYsxDUmk/FQ9Z6qw6
w4echrWElABuA2S3Zid+Dp3i6IBfqG6B7Rh2UHJSlrS8bjeoarp3nc3pmex5aiEpgFSHBAqonNK1
hYbKNAMaGhDoBjzEVT4WD0WeNfXBQPHpzgCJJ64HjeqR3wIsoYAyfqxfkba84U6Xtwbw8bawwiYd
wN6dbcyyTwtd7Z8Ph6dux8H3NNxMKaikj+URCUglb+bidujI8rF3otQ3i6g1umo0tKMP3y1NAt0E
N4QURU94lNEJTIyezG3KKvy6EHlTXgufL11SAII4lxOf0CWkfqKBXAVwCAT747uFrluyKjLm1hRj
LjcVlmm4XuhkRYwbuHky9HNRXz1/xSegMrD5BEhiDZAEnSAAOoKeeWr1ocu45Zcmte5LI4ziu3TO
PbrOKiXGnyq35B/a3qMxodkSyW3b5nX1ptSKN+8KhS266Gnfonf/wukooIBjaw1/1zoRkdUKypw8
iGzKRRn3rqJs01jOxk3fOjpft5Edll1X5xggAWMNfTNbkY174vr2fZ/aUL6pOUDKaqdSEp1xkFOT
KXz0RE2OrAVgqMcma0uoDZPP1CEFJpVuq2LJ7eVga579bGiruwsCm0m/Pq+TdQhwAq0+xYoDx3bE
8CuZlehpZESX31ps/BB3iAzQr6ohDXE6R+X775UGNwTSnymgF6haV786W2SUj0QdvK2NfZ3nrFaf
xrIWy1aS0gJl97y8NTrnBOQBg4gQJpicdG5R7sKMe5DXiLb/0Lty3EWQyORG9tjWiaE47eLK1oRu
nhe8NuVRMKgUwTWBMiXrHqXDFVCVC5YHqEXNx640rH9t8bBc6AyLX1HfRvUZiSe9wFEkMIoIehDI
nnDbx97ThNFKtBh5QHUjzWsxqEHEfSmVS1idl7/Mth/ad3Zusw+ot1Zf5HnFf5tzi+ozWl+XSTgJ
AfjP4PoY6vq6X+ZqzkmHuDyoZsC7JdLTrgPSK6nSGd+wRoakGOWU0HlhF8+r/SklEEh2UKLBm0+B
YJ6rwc7zJA+1nsKuDcRfW5xtAFWImNE0u0znos1jcIcLxgXbVNM0nulPn7g9dFxHwgCcDoJqVVRk
LaulJSU/dAXv7gly5G27lD/LNIUD2egaQwIBzyu/txOF9SkNCV9QqGegXLpK+HQZo1nUjTi4atbZ
rh3TZtpyP+RDHi88at6moZ2aGHMSue/2PZB9nMDBZgqBq69pXwDQ0Gs0lB8gtmhexdz13Yeq62Z7
gee+bHYQb0xs5JLRTzCJybsiXgJu5pseZo3s3PDgJKdRgoBGhTQKm5eQ6VeRYKtMsx4X+CDFkG5N
33R3vs6zq6Fj/svzDveEKJj+CPB3yNywBrpSelZYX8/AhR8y4TuymapMkl3FZqE/5aNr2w/PiztJ
K0caCuY+x+QCJOk6sgopF9YEiw5Lzdv5jrfj2O/CtKQmdvm4RDSOoLlLz8TzSRaFuduRawETQWQB
yfQ4s7RAWgFItPMB4A3JbizcdExg1FDXt5Ftp7cTwPhxO48o7c/0KyexBJLhvgqSKDTNGh2ff8Ms
uUBmh6WdDjqD5j3EpVIL3w+yjcLbMnJAtXTR2C7JcTXZ7cuF0/acaz+h8mMuAY4FLgdVeRXO6dIM
o9FVf+AGIAquTH89V3nVfhxtJpd3ERrNQxf1k3k7Nph9QFyb5j1QzbnZlaEQXRy5cvltclFebNo8
qO4mah3mrz3gs9fPe8cTziigMeAwHYQkeNLcpX2oxsy16CDSGdm9LgvXxhn1ormcparE9nvFUXpE
USBPc0B8K82o1sjj4L8/AOLLcdyRrGKxL3GBNsjlhJ3xwtPbQRxhcHsKhBfwTCtxQBWbHJX9cGjF
PIQ9G6FJ2HSsQWzvTUvLM8o8Jolvez0ObToYC3aGYX/hSNs8dj3MdDtFEe8PHXeR2M4E9BcmS86N
BE9dHAARADAM/g1/1vwUTL5rXs4M/KtTeXdR9KprY4mcf2PrTHyaKkyLvcxYk++BVhrJGSN+TRnr
ezLYv0CMs2MnvgoxH1xWm3LpDgrwOH1ddn1TJF1fRktchVKojddTKmOqO4yTGaFC7mRuOI0LCHe9
GaoxMglzrR62+VK2UdzNs5+u61a79uPMtQsXMEvq8A7mnDm5clPZ1AC2meVn2ISn/AM0SY7jYgpd
1uoiMxJZ0aYkHEar+CdeEPnFNUP2m5dqKM7U+FOcceRdjx0qgT4VxnUrYf0ijDAkC4epi8zyVuaY
A6WTYTfusScp0GIqDdmm1d4VSY2LBkYCuS/Tq6DmpjmTo07zMxxGK8kEAzc6aZv7pbMIGrLuUNR9
ucso9j8zh8UWeth0U43evy7MhM+E42lepLALCWMaEA0Jcl0UgFBMhXZNd2BLqUK8qLRqYrPI7Doy
k3yLS6rTM1p/KiRhlgs0KlASCBDW45Bklky4zicPoDryYVvmlVMXrK1nckbQE64kjlcDPPU7sf9Y
UDabplO4hphY7PTBAJmfFKoFstOi/lyncCoLtngArkOffqSU1sSwMI1jttPNQbtUAFMJ1cLEFZWD
A8Aa+O335mwGsBSaEigPx9WKo4q/KahF4EPHBXaHxtVzGhtPLSwfLFNI32hVlXz3L4iTHPAwrHIA
87jK2fOElyIA2X/APlvGKm5qT6KY4tySJO+g/Ts38T8NBejqsYDpOTrCpPU4Zu5gap/rvDoQS4AI
7nNSsws/qHCcj2akgY2pASYFu4hxa89UDLwef0Cl4ApgJ4HG54lUDswDFI3RlwcnrS23KetMfdGT
psnaOC2mIsCscs66Mh7Gud8aH+htYCllFzCAZUWVRAXQQcOZOH3Cv2Aio6CZoTASOIHmPq1QX091
eWCkgV5nxpEuXKzLCGZSczTS6lz/c5oYYPYD1QRIDPpElAbRIcNZURyIk9UOdvXSIpFWdDuM+3yK
y0w6c8bNnrC6IgzuBrQ2xOx6AFnATJ/mUdofGtM0O8jCexGl5a6XY/Mmm9J2N8LU/RyZ9MQ9AfyA
Xx/BCETwyreNS+VYMREOmZT+qixsu2WzwRdZHsp9PkzldRT5KopBC/k+murpaqinKq6G6Ze0W4bX
tJ/o20F0HrrTrk288ZE/k8eeOiKkZ42AMD4ulayqVN1gCqTWEA46DPMG1hh0gqKFXI2iGXcGLeIM
vfOVY3gMJmC16WuPQI+c/ho0MaBQSSbH7pCOrv8ZFe0eSsek4jofxA0fSRn7rCRZTFt4c69hbXaR
96T8xFXg8qJeSv/BpkWTxwJVtIk1apYr2Og0ZqNNOm/h83NcyZJ9lHk6DclQ58VbkfnyPRmRzuIo
HebvBhWcUAYraDDjhc5nnU8WNjroOIDu7n3P1AX1fTfGtCi52kxjFB2+N13CZAgaXqBsqaJs3U3C
pk+Yl1q6A5wEuLCmWGB9kE6qHGGai9CZ5uo0M0BbA50rQBmAfUA+P64FsFthp6gRDprJvIStt6ys
3+QI/mw6Xw75d+chGMECZAKOUSmp1tIyUmjJLKzp5XZIgYJJtet7YAFy4eKsc7g4tydwghb0sXYD
CSeBB4LudRWfFvYdmpmj6KbqyKQ3sEwre9gnKgHePm+1kygDQUDWAsl4TD+wzP5Yj5OW2LPURjfD
Eub3dYkraBSy4trahsEwXo3n0OeTAjm8bAIcKkD3NWTIisgvzIv0xtRyxMkQujFs08UYs40gvc5J
oUlnztzyxFuAtMUCbge7WQiWT1ckAOY+18vQRDcFRMlOhXS55ayPvixQteSZvHWSz0EWmIxpmI/C
1vHadEvuxoK7KrrRM9HtZmnaFu9n1Yt0W/oZldseMJ+7gA2GIM6IfkK3xx0fWICDM8D24MqYJEVB
QFJOb2BDoN/MaZvuIuOrK99k+eWAR7R73nmOv+9RxoSFHSiX0NPC2AR4nVUQUuRh9UHN0Y1stfZb
O+WR32SN4OWFlZG8tUTlPF4oK/KbOrj2u60qIDyO6xpAtPETPNgMMInol1TfFAVv5V02RoDSRDQM
OxgbtdWvz1/21IcAvcP4El7UUUcIv1KurGzwY4b0TQ4IG++iMicp5Ho73YaKVdW5Cn3U3Uq3sP4A
oQ+DcgjOtW7FUBid0lbetDigKjFV0S0xl1BitgWinfjsZvj81sCGWgkL3CNz5DKd6s4lngBfuGky
EhUJ8rBNcwYqPqGIY7sG7SNwavoE9HujI2lqJWDa6KftXMnuQvIsv6hkL7ffrXNol4iAXMie6FRJ
H2VmLmd5A2OQEiUzkAqziAuJonEHLL2B1cPvFwgQHBgFWDE4dSmKx4GlhZc3NWlxFve1i0Ki5Txc
wfqL/ul5YafhCi/gw7BBwTgVGJs1e8JSNB831sWNZaS/CGrQiQFctbdjoPs5E+iM4U4zE8iDESa0
hjCFh+HG41yPnYlqM1hxk8GubpKXOd5jgooveYPrvRmCTnxe23/hkjBKBZQJpfOJF01kRWBW68TN
WI54eJfNtvzV06j+Kc9R9E65SYozg/inrglLjUAyA50AdMoqK4VxqEswI7+xeUrzGGIlKt9OvLNz
Ahypl9cc5QzFRRRQfcZfn7IoNCqwywMkN4PZ9WMNO+/aEpuG3+AM9oM3mR7NvMewD202qJmWN3Xe
jOX3IiEYFgjo2oDog+ZNrt+poMU4cGYAolZDNm2HcVx2kL6md/Vi6L/gQCAFCjdsyfGTFFgVkiyV
5/yGK2MuLJ5h+O0jWBbsGXabyI0wiRXFcqbK8NNMCOQigFgGgYlPSL5KHN+h4Z7feMTNLW+yWV6q
qub5FvlafPz+mIR2DIAXvCADCz4rpOCGjMxBlPymH3K8k3WOdsvEp49NcGlC7HTucmCok+vBxY4J
HoYwMCBZ939KjwswkoHfEO4rEZd07H4GojCQK5gLNMXWdiTKX/Os6Np3XYicuclSWc4bAHY835Q9
AtUrJO24K5yN5m3GlzL/iAtYDtnbslXZjelKxF4XRVb0OwFLx31cm0Y3MfcIpqwkG1PY/C6qji37
KPQkxLoT0se6WRBJlMp1BaCsg1Ay3ovinTEwit4WVa74FrokRy5m2fv853IhnsU9gX3rPOlEr9tt
labKq4tsngttY6d6WE6IC8wmckPkNPANXRzzOyttwb84vERugu1vlZaXPUwDyU50HYu+yLYa7mgm
WuHjWvY5/Qhjs9HlG6agNfzVtm7K1DbNmVyWfTvB7jqsjTuYisC21WjG2FYjsCbFCJstceX6lF3j
EKEeJ9h6290hL+BNmzgflDgA21ENcY8a11xAjaPQ8hfHRR5Vu7suFR28j9PDQj3qnbvGnuNdF4nw
Rqiu/wVK5bwlxi8xNguku4qOv3nP9Xs3wr5A3PG6cZthjjAUlBAC+ckENHYbWOZob70p1EPjFp++
Y3lb5vBdq+C9LJE6si9KX/bxSKp63HEczdHe8/LYZYnLpXfW/GwB80wf0dAv4QNsyNtPjtVBx1OQ
VR83jRpZDMQ1ziBYmy5PMlpOu6Lw+JMjk+GJZ8aauOhNZOJ24rwF/tfQt7Aiic3BWgwLp4bI98Tq
aT+I0QOmJWPTgJPStN2EhZmbwgE1E0ufoaTvjR32Dewsq8Sm0bT3g/bzW5+O2ZS4qIYxn/VNP8fR
JBp83DYuALhwG/mrGdrycjMVroZXIrJ+qLcaBCv4b1Glia2su2xg2GauW9ku9LpnBuISZzJ/Y7Bd
hpiWS1rEGFkeZ7KrX4+UtHc9NiXa16mc0ZcBVnrNr6xvhnBFas3tdvRYzzHKYDj8uuvTlF/BuBte
tIrkwJOpK5bqToIT04uRFcvs4kkb1ryZkUR5zGrLfRLyoi/fhJ7X6RCnqh3MvgZQmO5GW2Afuwyx
YtuaOnRvCtjPAduR4m6C1u6jLllGY10tVQPFuEjjUmdhTAwbixZeSXB+3PrcTVUCfXtVJRXnPY99
3sBbDMcFO5aYvCAW5tI+FRtV5+mtlKZMxlS4LK4WfIA83pvEZWWPYzIU9nO3jH0Oy+3TsGwLodJ3
csbVW10NtoszpIYatnpxO8VhKY2ITVYvabzoIf84zLa+G0RvzRsYXS3tzkayrGLvl37ZTNlQ4Iu0
FXa+mTzwXInP2qG+gfUpqMGilW9gXM5cokgBuWWqi/R2LIDnv6w6PZVJ2jRkmw50Tl9XLfZuK7zA
FzbP++4ipbWOtiC9GBJfD+0vLLDW7eBXzG4X6TRNtwSSXpuINoyvj/kSdrLbxr6p4H2GPMYD/Lsr
hkxcDrrnRVwOLNoNwxBuOqSNe80W6MLijCx9Adigcf1ec/Ma3kOcLlNrxnQr5jn7VAVbBXhHUqv6
xvVw8n3bZv5WTl3z0HSdZjfQB9l003cIlpZpA2TxJvUlgzV+L5bm/TJmA/h+RrLu8D+UfdeS3Ti2
7BfxBgn6l/tAblveS5oXhkw3SdAAIEC4r79JVc2ZVtW5UkxHR1SX6U0HLJMrMxklLVlBMcggZINq
bJZ1PqwZOZUSU4+/ynHiY20ymyx1qJhHYZ/7INx3LFvZszUEU6pqUY1Wle7aSENL03YdqUBn6cwx
zIa43bEeTUJY9wAvwY7G0Baa4r7tiuJE8h6cdRpb5cgxDZm3PxpwMaZ6oqwfr1NtVnMws+2KY+qj
huygAZh//Lf5dZv0lCFIPiDEfdAAz6HBdMC0yX3BCb9aSmgZqyiYw0ObxpA0WTb/oTwCE/JdgkUh
D7UFWIsEB0RQ2oq2f4wNIAqaWltG9M4XAd+L0bN77lvLa+KDpjk3a/Z3jmbpmoNMH561sePXLoTB
1y4dWn4zS5rt8MnLM7QHcwg1Rl8cuqEMxGNMgM+4IuqOHUX3ghTaIMJ38folyAby1LUF6JJjMl1P
ZAZ4HA0gVoge00SQh6If4K7xK7O6JK8m1ax1qns21TzoJo6595Dtgibyn0I+ZMeo6RMATePAd1Jx
eRH5mEADaNERYpzg/y5VkO0UUwR5l+ryXyaCnrxqwbaVZ51CLgnKmI5vOaP+LvCrfk5UFxfA800b
nKYEiOo+WyPznPOl9LUUGPXUrgsUGiDMPbFEVSROg41HVw+i6Z8siJi7nC3jFVS1S9nW3UJE5Qok
tAqUgx78etgpGQQ/Ee2yEFK/KhwyQvfJko8XgURhaqUL+Z6DePJ1CEIeHMH698tRB3PhqjkJvT8z
brKL0gLGhuoREouKEN3djBDxj3XTZSKuelOA6kjWMLlacpZEFTR939o1KAUkdaCwnFiwoiJZInuW
Yd5DZBYTWs3rOOLGtVF6zBfnbnU3L3dtuSx3oHKEV8ii9BI9dzpVAKXR19oEQaD2eqKgt3f5s/by
r7INZLQhwekla60+aGBBZU2ySe+Y6LNzORflDfdlLPaacPEEgkheQfSm7vhEgzNKloVcr+kw/yvw
KbuXaCUeojmT+2Ge57we7LQmECy4tJ5Wr9vrZfZzrTgebF0EK9OHFXqer6ArQq4PkOVB2zk6oj9o
K9/ocuMmrtl+nbLoIY06fsyMl+fRo7qt2Fi2bVWyhanaZkvxYzDyKwUG8RwY+Tx0fr1WCeZ3IbLh
j6iTIUIQXY5jk5FDv/ruoUvXKDgaFZgrm47jVBMzMl9h1tx85mpooIgrZmjvcLRgH9huTupgkvN1
y2XzHYrFYm/Lwlw7Y12V9Ot6O4biW2ZMexJx05TV1PDIVSjQLbno1kFUamwN1hV4IeJkc5fuS5S1
gDbGtDyEwXDLi9SV1ZqZ4BIankieEh9ELwpN55lkKkEH6GZ1jos0PbkGqsI9WkdsZNLyYu95QWXN
ZYYc3QTkhWIwcBjEDMVHErXj3lo6VDH8CobKR333KLVk90RYfWZhm+6DXJix9iTx0bVK2XJcS5th
p8zrbS9oXo2hu5WDJhdAE+hhnkXfVh2EXIconpZDlq6ysh2bd03EzHUKps4RVCZ/LXnscFQz1/nI
kqn20I88B6B0VJChbK4Qgva4qqx9brL1mkRRcZhKNn+ZipaGqGZSZFED/TCDwLGdzxrS0W4X9GN4
YfBQghrIYXpg3skbU1jWX/qlFI/wT/A/wknGn9yUNBXv9NKcqe3VOaVBDgWMp89yGC8HmtBP8TyS
c2H74S5l800QicwC6++6DLrWKf1c0ji5inJIC0zelUCsSFt8R+xvvrTCxZccSolLmqPe9NPgQP8C
6na0+ZA+9r6YnrKxV/+ijbmxYWGuiDHDZbZ27gks8P6C5YkEo4PwGEsFCo9npeeA7AkLIPOwbiOT
gcV4FSfGsEqhYz7IHpUUYWbYNYUu7t2YqV2e6PRrK7IwqN28+quEs3KtpqBHVbOGXfDSNdLlsMKI
wSgmgfwMbXi5W8YCKhspUwxAm3RASRLJo5aJLg7QafemnnqS4tka/101c34Ix0xcTeUUyApa0Jns
eB9Rczk0Lr8wfvCHPg3yh0SkKaryQqyHlVj3kHVFUE8ep6ZWhfLKdpxW45iXdr/0ej5nPX5UDdv4
sxrIUj7J1n5tZ0jlKpW0i9pNM/McytukOM8sIreoJ4S8SlzcP9AgKT+ZqGl9hT2UuprrhT7RtOie
87iVfJetvrjOW1H8WMcmOAXt9ClIWcL2Wd80etd0LrixeLA4lSm4GEHfUN3yaZZoxYLxnGjeUXAj
6y7xpDf2wrtmcOsuUGhKb2S8RuMu49MQrZ9kHqMN3xEzdVRUYBrH+Z6jahqOXuc820GF2EXXkkJa
fKkFs7w7gshm3Z3r9BqfZyiRxpfZkODvNEikfwEZvNSHDCjpWHV0AkzIu8V0J+wC/iVItH0IuVjY
TTvHKq4DEdnrzGbDmtQ8wcdivB+iw2prJUc68VqCCAuJMmRq8WGxbXLE8Ltb7+wCgOAwQTgZHjkL
jb8knurdwChZ6oaRHAYPLcTVOwsOFsMDAY6y7kJjBboqiIHyi6AnHdsnU2D9EyDegOw0COD8gMYN
gbfBKiyJN+yy6EcfLodkc4NhcOZIbdYfEhCW5NlAYLVeowK3SMjFSBwoO71IBsSHdG7MAH8TDuI9
pm+5GwlCo18MLtAg1OkBZYFeoBhjfTl7WvVo8rOi6jzkvzu4nap4BzlTmF41FMmSVUE36Ly8iJYe
FjEVi1PD50oHo2KXrgzGsNI+Gs3tyLJp+crSOVoe0DCk5hIMQ2dqR4MhOvWUTnXXZIu+5W2R87No
pyBB4yFZcJkyvfLvKehOw0EsohcXpc67EPVEgAr1JozHWXwFXMETVqeqEPP1VKZSjLuZQjxdLaEv
k4o3g5B1pBva3/i1y3Vc65VN9AfwlqyoFUv1iNyYRXxdKsebVkPjR3J9lnqa1MUyL47vUB5B4VwB
Vl/GGsoC3tQzWkMMflEMLQQKzzCTTz5Ku7wKOOvvuhWjnq8juPI9xo5kFmjYYrLuwLpV6Iwh4kr3
nOkxrkKQjdyJq8h0h4nmNnzJpSHTKTaERHuPLSZFBaAvD/aq1FuzpIfQHNH4FAFwL0+aayTElb8U
ZGjQvS8Jf2KGlLd25uF6jSBuogfWg0sVVm5BS7kH5yrursMMHiK3joW91PXQjvDbGRSKywqVHvC6
OjapLy9WLMq56geZkF0EkGA6jWtu7TGhMuxewhLcMOA9sgf1QpQjvB18SXNeQfzKvpR+HWLIANGN
mesol5JfprGUwYstORF1ih3jIDDTSLbpsqbl3vQ9fFfQwHJXIbnl+bMbRBkh+EYy3Y8WkEmVarq6
bk9llwu6N4kMSCWoTDAIQSnj2V5lXU8vYxd2456IKZl34B4u/iamjAU/SL748VLIIlxuNMhu61e1
GlNc0WRW/ECbTXM9xi3FWo97C21lwYz4EjZybq4xx2/TO76QNN+XUeT4WaKRkVcxyLQDUBxVtE96
tDL7NqRGdFddKQtxuQ4mm6pxMIn5ni6etRdglI/zwa6BTz4zQeMXoEB5X088HLCDYcCRHRcx6OFh
GPreXgEYipNzgQ047bMYJhKVyop5nipjnMWBy0IkMCaxvniBti7xB1K2S3KRlHh2GH+DQRJ9LYyR
nyCNnZaaapztfo06JOsK2bVPastNzO5A8ov5XnWF81/Hth3nx0xjv31pisHbl1E04jlvg9WA7cNa
3u2KrBmHm35cINGoxOLnYofeJ1k/92W4Zl8M9NHDRQNq63puurjsjgoq6mkEFWz2yT4vh9LsUtw7
cYgh24he2LoOnaiIyFYMzVOBRuYO+S8s6Q6Ue/MdgsgJ+q6woFn5JdIroXerS6XmtQX+BVpg32bq
RJcOhhIVwbXEe57PRXfuw9mux8XHXft56tyS7OUQtX4fjCgHNVRBIg++ZVBAZrXKjUbPkqBF/z7P
PekrEwKHPEF8saonFNzUnWBVMuq/yLLw/jii6ouxALMBFegCQxj5SAwIfWffYPte+zCf/1p8j9Kp
Mgu36OCHaRKIViXfiB0wBUOW8cGyBuhbmpgcIw75ShXQJhLpATCU7z8BFurLC8HlOu/nMFj95wwE
efp9SmTanug0q7hqGIwxHiWJXPS1YQL2IUOm6GSrFphbfxAQR78g4CMEEJcMgHR6t0xn5zgtKlBK
hY0AHHHyrRlY2J3aQItip9cMJCowOgp+S1fSf8HgAisTYbIB2JQ6hfLZcr+Sg4PhR3swnfWsavRa
mEsCYVf02Y+5zvdJMsbjXTAxzRHug6KoCYaX0yHM5tCeLW3S/tjGbAanU5lQ1YVqVXowTVsAqJxj
Tvpzj/74qpjZzC6kth5rn3cr5RV2v8ZFJp0zaNsobMSuGkWgNau4TjW/HanJ1ovZYfDeVktRSJQf
3uGoMbyRknPsijm4K9deBedgQhPxgsGhUieQPYzcd8Ws/iJlX/oq5IjVO0+DcKrjksH+B7OjhJnn
NXdmvO4R0IJ9nE3ZcjRtBhRu041AfqlHtlQq5EbWijacHh03DbpNFjiFDmhRMjuTKe3IiRVDMaG5
WwKzsxruLrcrN6U90maA9zfmuS67sQ2wt+uG+DSvodiT8m80Zz3Zp45163mk/bjWWenck1bzkBwE
IsJ4YCPmarvCFUuzi4YgGR4RWuLwlhCz+r0o8za6gmCRCsiUe8HL79jo4XCPWKTUzaInHR/mHiYd
p0l17XcPTC2r164V6iqKx95WLobK7TnNVR7WscXUpEV91gFNCRVPULw6jP+/zDCtiV7Aq07Q6qzN
4I80Z6jixRx23WnoHZxrJp028Sn0i8j3Km1NkqErRpBCMlknfreuGdqWGt3S9n0OS5WUodHcgeLJ
yXEG3jfVWL2R3GtIp7MTMOG4e6CYuwXooYhMjkGL6gjlQO6AoPVtAd0FwUwuIgAeUSBWhFmhrjMu
XvIMQwznE3nfrw409oqPmPOeKQxt1BPpW3qPoi3tHoYmQm9VTZB0N//KJlq2RwwyWoc2FkjaMZxC
oX3VCUaBPfY9K48wDxHqMDHXwzampE15A1pUI/ZMmbHbwXCsG/YSShhrq2CINygnHBKQr0WOKL7v
FTxi/mZTVsrhAfBYyT+j6HbZtFNBarCRLiLAy21em7Afx/5xHnLUW3C2iZDy34aLb26Pd6+Eg1ez
wu+MuwVA4JtZ/f98+3+f2IR/fxqq/+eHm9f9f767/rdJ/m//6vgX2/x+5fs/2s7mfz4LJ/N2dpvh
4y/ffDCf/Lfp4jt7yYefnvv/n1/+4j35i8Xmv907N1fGuPwHrPnBefLfDp3/8Zvc/v7NbTIlMHTF
MH8Ti4LEC9TxP26TCVi3b/aSRfx/gMBCggIP6wT/tTlP/tteMvo/GUy/Ng5Ctv0i/a/cJd8Re+HV
Bh0L9D/AycB1R1f1K/w54aGDpV20n6KsnU1ZcS91Fu7B6CnyefNgbNu5QsZvxLfApt5ucwUyzvYw
cL72L7rPDAOck/aFUDs1RXAG2K2KNDPbt8Ia6s4aSGG5VEvs0ymp4CxWlAtqqiZuySmbEML6I+wA
RI4ea5yQsuu2zVloqxHooWj38KsYcV4tGJk4rzYAyl0eJaqzjKHenBqiL7Dg+cD2qMzD/D5Ga1EA
I3ORzn8soKyx5yTC5EXt5iDcPjBbAM6Qk+1ajUrEZeBPwyNtc5Uip0AOTf4YxAMq1V0uGhVGlx5T
yDU/Dk3AkvQA8g/ap+sWs1f+A6qSCKC4V4bZfEeTtcnzWgBHwOcL0YNrdFVYCJ7dGZG0wXcJZRRH
E2mC5uQoOKZRmJMIYZPgONo+2mYVa7idP6CvHpeNGU4qvv1jNb5t2n86imLx/ZM7hEcOphIBTx5K
bEDem3PpPxHvZYC3ELLi8uJj9K75GRzKxpuLEFSBLIWQi2Wq25PWD86c2QqwwD/CjMwoeoqmJs2G
0+9P5x1NDHafMH4owEXdmNzgNL47nT7tFCmtbZ4xdMmwNCwNMfXcRZlxwQQM2G63ShsA3919QEae
6Svbr3hVxR/IPdE7ZghOBNsSCvoMlqu4O+8pxb4wPYWgMn/O2cDS6UYvctawO1uQcpP7Eg+kyVBM
YT0CICYDXBSWKhA6wtLqHUbO7tD4dfuijStNt5tWnqroNqfaxcHtZEddfGOxWlvwTVgTD9cFoI7s
/vd38x3HJIcuAKwgcNTjEEHig+ZqE6gLlXL3bImgoNdl2se4jclqWOmOXSxFrC/Q3EkQ56vfHxp6
yfcrC+7t4G7CmQGjmxAIza8ra1qiZO183D6jDFpd87TqacjFASWOwDNs4nE7eN7rbQ8ksG+iBKRt
qUtxPftUzvENJx56xwpeRdtO1TrqvKlAC4i2dQHWK+Ar1PY5LW/ZOhGSHrMVUPpSG90xfGa2CJeT
ikQeUt2Kaa/LL800UMshCikpdnHSwUhlqgC7AOo6xJCBYZNJTptMHByBHQE2rpQjTtNZl+OTy5iv
iDtOLyvOaJLFtivhPbHFJMyvMVncwYMjwV8u4MUrWfd50S15zcW67e2Y5A6/K14/RYts++hQ0R7X
ZRO5BRZgVxN+iHZuQ+cWO2/XDOwH+x6EPYCQ+4ThdSzd9wbFnXGXMraN4RVD6Sy+IYjOuMMz/D5x
ej6UHeG7ZoSmdxfxPuwwlF7KicZDpeBzx/uza1EJ5PeUo5/vjzPPW93c8wHs9uArew2QIwA+PDxU
QqPlX3SkRnw0UHLc708hBFE0uhopYcNwog1h1GLWFGA3IMB6rfCnho/bWRdJw3FdJW118JhotUW1
6fU8RdCb4BGgB9bqjqV522HA6sgyRQc3mhCzkx6NBzr9GUI8Ge65NDGmABSDLHF4+6h2exFOdpu+
RlSrWmYfpimUZi/aQer2mPajVeRpZWJ7uD2kQXT8pLQpCnRGuYloczF00DHjhNVaZuslCZ1EjJkb
8PzFn1hKH4IuqFfYe0hBSLXYHO+2Rpc1ofS+UGhxk95jru19Keb6LeYFYrG4ZZkePBaNmWmEL7AV
Mzi7tz+J+14KsYvppEAeJsWWrGNGFjxFZfLFPAKQBz6/W0fwQfJj2ZFtl2HEHGXHdKItECQYGi9p
8kgjm/ZtX4Wl5Cx9BPpFlH8ILZXtA7ydASVeiRwtUgRGKaZT+XoJL4ktgZJYpsM1C/MWB3j9Bjy2
bX2z19UeaRctEWxONuztmCY6cKZKwfjAOlhcKmRwBzLhGPIMzoaaqe7TW7aLLHG44qDldC1rEZSh
EXXA3YzngfRIca1L3rcQDrQJbcPwMFOoK3IMGItFfg/TAG6Rp0ilBDk2jvzKgx1ASCGzixQ0iqbc
g6jiZ3uEKxmYP4chwlg33KccipE/Mdg/6CfBOUZSheQtjmMwkN+z/PiUxIhJ6YCRiU9YeJgg3Rj6
Gl1TKEmNUfB2i5okmWgPskU5bl1XRKGyBGAVG0Rlz0QIROYPwflddivgPYSktilmQPD8WOj5npO0
d/3ynCpicPFeAzAJ96MUsBS/hoVmyh8QfAuGeK1Cac33Ej633B0tKUwXfHehCul0XUZ2BQRADPgW
RT03o0Z2meysqAUA1NAkvw6AziTnpaVM9v8lxTAi0PyAPrk5yeQAVN/tIpvC1Qi4IXmM3CLaoO6B
BLRAuAbUtgJ9ZQOqd3wmgVGGH0Gnh5r86ff38V21AhY79nGUpVjY4baZt9//gy7glyVKjRfmETbv
Q55+MqG1qQPbJJqw5Ic8HgBodhnaelJD8b093TyfYmf/wCX9eB6g6YKCDHrj/8bWHQRJQJ4R/PE1
NpJUbgEZOx9p/6Ca0OKxGMD724bArkc5AhPgre79/e14V26gi4F0CIzIDOqe/4XSSodVLV0WSzwQ
GTBw0pCqAwC+aKdnUvy9AVByuKSJzfM/WXN+uAM4MCodwAlYCrgL7+pG79gysMHzxw4uP3y+Q7DI
EaSgBAvw5S34xPO6OHaOO63dS9NE6cj+cAdQOv9a9YDLCysU7Crw8Qkq2fcb3owFk8NU8kdAMBZ7
O37dYB2d8fROo1II58diYAu221sRg2ncbPRVxxpqwmqYUx/TA0gJW8gG4QG1Yb8CPvvWYTKGuJjw
9Oc1vX5wjEKyA0o8uka2NSC3dMGIRvBA2ac+CNhKbxXsnFiwD3OAZpjEJl0yZJdk1luhYZokE99S
uL4iyy25Y1BlwF0YLhQPbVlsq5iHy0rdBTokWL1WPGhQdB5oFxKcSv/ajqlymbZCCJP5LVO9hn+q
sfq+SaDrOIwsDTD5K53auG+OQxRuSQMuYW2cAa6GDKc8EC09e56tX5BjIiDCyPGvGZCFi1OYIaRi
UPjdMI8TTjZhKVqtS++3NvEQRg04MJg/poCg54YpzOyaEfR2sO5oi2s8gDeLnuYKEwu/9JVyTRP2
h6bApLKsTDJwLcARnS3VVTGumVO1p1nAn3FfGDIteLd42Af0kwNOwWMKi1NgrzWLWSaCCVrvVd65
GgG/x+88UYh4R8OSLV9x7UOcCkgRCU5sLFLgxuesWDp8WGodXBgBUP9sVQPsLvzl2/8QYVtjoczI
uWgmUbNtN7iBczQ+GtU/pLW7qYtQUmmVLPG4C6lO7HRCot8qwNmgXEAtyi0wt5q8rig5Z1uhpWDj
h3w6cmT4cB+lDULoHgXBlqsjGELgcIntAGoffI971QGTx1gT0Nc8JcOoP1vMulx7ua4gqqw1Ad8b
qFW/AoK7D+EU6IeD1LMyf4sm/1m9R8rhHgWYuVBTFXRowrjGeFGhmQowZx2usxjE1o3i9nNreJV5
xCewC2OuwqqBmK4IribfLj38zFo4locYywW06P6e0A8QoHUwpCzlfYIRm80vlrLc6jY6J1Dqn6Zi
HpkEWVn3iB0vAThDWlwEFGkpAs03pCiyFyvjcD00cmr9JSDboec3gIBt6R6xYzzzYjc1GLp2R4zq
+618JYnwPahXaGWnc/S6n8JcKdzPqYXZmt5RHTNcJ8o0kLl3DmZIOFDeLluj8NbdvD3vKOu28gh+
29vOSACf4lPesnIAlhIiN6QlAW7Jawn9+8D9IXrCYYdAlY9sGpLN1PbXPCZApoQoiHUPr/kDiAFK
uxhXZCFmtTANrBMYPuLcE0iZ0EeyXGNv//4cPiQP6N+QNvDmBTDqMwwR3p1DnzOql0Dfh2Qd7X0X
smy4djOaiZdgjtHrHGbo3ZHWfn/Ynyz9f4qn4N8DdgNEjWUBG6X0/bUXGGoHkBe2j3lceu++Qa0/
d8lOo90X6hkWG2sGEi3QqyGoRrZGSC4wvYEX8m6k4CmZg8br59BZKdBmwQ+a/CRNck7aoM3h+50h
lmPqO2yxwPdGcXaLme2C5xiHPCoRuJc+RSUFB+EBBmYFfONGcp8RDz5g6KJtp6ZD4IC6NPOayEOz
rGQrquE/iKb2rX5sdWdRVL6dloT5P9J+AkoxIsIYBKCrPUJ5R8hQW7EKNu4iMBVDVy0zqKTRXDWo
6Gm+p77wUYJ+dg6X5g9Cm5+38ZfbjGca4dUaKIch04I35K+PF8x4A9KSWh66vimL9hhNGKRQIEuE
2wBjW2s6eR2JDh6xdRR1Imd7hLzBpZfl0Cjvn/HChWVtT4Z7bKr9JMa84IeoNegPThK0TtypztMI
9wHJo8HbM4JoFPqhdemCByho2FFzJByTvOjQdjnfaLzoqKPx2CND8Hg3xpAA/Un2mLxnlGKEBuUj
FheyWAyR4butFWWwrgInfYXtBSgFy1cKvi7K6X6RK7ZVzKJNdxQVZsUCmXtHtufIwBFbdj3CWvEE
hW2CnwEs2wCBKJTYDxytLf6Awecgp7sQ4k01AGoAS3Ta09cPTmDDRJcLtUY2MfsyWLDYqmwAkVdc
5mWUTf2+Uy3KxHPWlA7LZdISL4C4VDMIeMgAcQArv78wB81seon5Kc6k5dx2y07CZyw1FxgRu2Hc
g1QHGjds+pHsG0gpSGT5VGFihCHavQXxKuUnACmlDg45ihzMVoQs16hoMa1BYTGAJu+g2ksvOYS2
P69d9REYvgtAo/kPkNT7pgd9NmTgyeYdAzeXD+g2lRYySbeW9zE0UJp/BnAy2HvfxS1C2lYaIkl2
VKe4G5Yk2476fah5H+EAOMMvA4jiZkiCf94tBSaQ0twwFffYbKN/SV9DqovHHEuAdKPGEdEnIfT+
18eNN9+qctP6Yjz+rjZOwY3tTeKT+zAJcNyEyw0uN4RtaQivmEFYyUf4PvwRAnyHABZkmyZAiwUS
9zbkeN8ejV0Pm09wMO41BNcLrlGJKe5hE/SzK0AegGvJBQOtA1QWB9CDp3diRGsMpg7t3ISXTImE
5ssZXjgCE1YiUW5+BpID8sL6hw4q2m7+P+MTuDPwFAxDtHQwVkI2/DU+lTac1j6Ju3vbFCua8WLo
toUA+bks/oVSi7bljtCpWZ6ploDGwNF3ln5Hm42J4Pmt42swogWdruvVSOddHPNAmN3C8+1G//6Z
vkOQCkLQbkLvi7u7WUC973ekwKtJLHzV71K4QCKQZH23rSKbxA7f8Z/5uTcCVImUrGRyxxDzPCTw
AUIctH+/P5kPC5uAGlVkaMa3f/L3M4StGgOjvNH3c7b22EshGMfYS3EqcxxLbuZC93KGGOTl98eN
Pt4FKBnRdEJGia31AV0pW9uiB4eoCDTDQJ3nRW8o9zxb0Qw1UemG0uItKasuthK/Y8P9W2nbynhL
GKqUDaouU7itf0khxsJpvwGfE4f/Gl6sEtkNbybagTlxAwmFB88ytxNDfYaB/5D2f//+otIPKxGW
GEiUeLZwZtrwmXcrMXGdB6lJ378B3yX4ptntGglXdPs+9xnnJyi+vZ9385CJoT31M5GK1zAT2cqS
VhqBq1ELiVBxa7SHI8M6Bir44HmSN0EN8DuLA6hGJBCCKk5sScCnyyzeGFXlU5cO6zlXCRQix0TB
FEA9683/NNi/1mTEpBsW3ifdNqBZgJ39/ALMQX7pfJGlgIBzSSEwhY6Kj/ExC/okdVUzZ6GeYRTR
wXnhYhVaBY+eQRCvvr09Du8g3xkrv7rtwUk5sxhdYhKBXVRn7RiNywGc6u1xAMicsJrfIPvRgiit
dutGZSzQonLklKsRPAT8pYDznTNHtNPF5FXFB1j0B+d2CjmL0GxYNB11rsHX/pMnzYdsg3EsXsYE
/By+gR/XZpZ2rU/yQd3rOd52qGcAuL+NXQMCVgXEfbuHeTQ26iz7If1j8P14+G1TRDAm2hAJQCK/
riLUWqDWgAt1/4YY4+UQIfLLsBYZjg9CIyYK8GGJcRZjS/HQ/5BsyYcTSBH1YSC/TRhhFvK+8OkU
rJEiL/Rdm0GEmtd0RP0GKDpuVwoFi2k8zEpwOh4tsACygwdIfII1socmg6F3e2uBA/BS8MMVARk/
xFsVtmnJ/Dp6eeuaHIOq5bGR6RJCOTG3eqUV6P3bUd9W1pSM2yhpaVdQzk8OpmOThu2OWiHYUZHL
Aw49HjwwBliS9XM3BX+IkB8CVQbIFS+YwlgaY3qY9/36NOwIkY/EjPzuLUSh60vwyN8K9xiogPg2
bDKaM0j7MVaLyyDnu8f79v7YZ70vSBM4JGA9YDKXb+/4eT/YbCI7pq0b7RN4YkGLNwzB61F8w4u4
wDcBfRHr8ffx7AMEDo8RXE0Omf3mZwek9NdrN0GataxZ26cuafo4rmEQib64ihxAQpSMrCv1V5NA
iFYpCaYOZv2IdaOtB1B/IC3uILXDl9+f1IeuD5Y5uAVbPYgRzMeUJe2oHGNT99SW7RZJXDzESPf/
j7PzWo4bydb1EyECLmFuUYYsOpEyVLduEFKPBh5IePP0+8tC6pwWFSHtc26mQxqRhQISmWv96zcF
o0rK371Am5nFLS/SGLkn1WKqAmm7njMca27xKCCZqZMXKIjb6OHJWjwSTKWe3r5RVolTba9+3tu5
vNl8nsV7zIqZ8h/6EplZetwL0Jbambew91aqUT0+zJxeLXOvqlgSJbYXeRWl/bTCcqg85qGR9M3Y
f2hxnST1JDF8KY49Lki82q2fjbSXNTw/muVpbq9wEuaWvP3kc1lcXjAaqqeHD6zeut/f2be1AC89
s3tloktFgCPJmzZ+HKzMDBnHfNANfNX5w3RuMnOKzyAAaw7HVPJ6/+lzfz41hZqm4euCdI95AP4G
b2sQW65ZEPvN8rwaZrjI73XMkKt8ZQZVFV9//xWBtVmy/7dYJB6WMFdkvqj+qXEV7P7zknaXDTdT
jtTntGlgq0QFALNjRqmQsquPIkVC0NxizKdgwUKYrJ8kkZbKBxP4NYuDLOOGfxgzPuaJ4Y2zGB92
XGeynFX9u+ucVMRwZsQBHzJ6eJ4yMu4vnj06/F3OLkO3B+qr+sdxcMM4vUfaOebO3TA7i2kfxylU
v4qjEVfsKGAKYXyweuZf3QHF/zi9zlaWb9hA5JvMhwMs+87BKXG/UCNFaYo/6wK5EClRYvrlU1rS
utuXau4AwI9y2xi1Qdfe5sWMlsUhJu6o56uQ2WUXn0WXhGH5qd5vxExXtKyfKyRdvnuwrWE0nXcM
yKdsvavy3vNweA4X4bb33tIzG35JQJX5ArXbtr0LU6dIuWfw1hUTJA1pmOrIgk+XLbermauDbKJ+
96pbgdjWTRnoofBI0GaZZpmdHExZuGqMeFo02AnDVB7YpjBU85JSBmzxMyZ3aG7OzeSW8XYYKFtB
rtMSCYz/EjN09r7EZaAuJXNqwZisAI3iSNLPgNAdAEQ0jaiO4/f6PQ7RMoI9Y4LQp+hJHQJlnafR
HAK5HMLKTgCAnMIil+/G6BJ1fRtgKHQnKyznKqagHdQjNxb1lUFHYWVGvQmW7BzTviBfiPKUoEVq
VpJBfywhg0qJB2PXFoTvUzysLnxPFOwFqZiycVtuomvJnhXajyW2mLdojBL+Us+Jls60zPguI5XH
X27hSzA4OyKUJIPu0ZxsiAlRF6MOsG+QY02j/yTNFpHRxzS2q757RZYv+HSCTAbuhvRHMa8XhrWs
zEsmW7XeywDpCGoQZw3dw5ChdHjQRQrECkqmx2XIW3Fr5CTAnBLb7b3sHWb2Bdc4ZkLyo394n69H
0E/vM/ZpjOGp1yzOKqYgP7/PfDpsIEjjzxOVgNsdNwhKmA90lUjQpbV1s1A6OoPHEOOwkzE0ayPY
+VlrOlqiAhJubMUrsT28IfxXA3ZKkPw1xyydJoIrbUBw18A05BBG8a25llV86EIAueZIh2PUCAHd
FG7HZZG9yd2dmPupMVLfqgNB899Ck1QPfGpijqGMDZn9ftsZe4Jfwb9Lpz7w3Agx8GK1J+jrZBhH
koF4coP1VcGwlEFOSOtD3+AwigjiteTHKmNSqHk59Gp8oAf4LSkgDNujpgPXA1LPaiizJ4bUsxzu
Swt5Iuq6/Qcxj26N4BAPrNjq0LaTv7ZHEo1c/iMcdwgqpJH+XH/WZVziyKmSZwwgqmmBBM2qh0iz
l3ipXaiGdZ8EaeKNHcSKXCOwMejeoVqArBbhACIhqNR52KZcpbNPOZo+RSJ936mdGM6xt6riUdeQ
GJLHRjYgNR0VpsbeiQP1O88bqo7VKcNpYEaj60dNCskFjiftc+5uQsmb114Nqex2VYM4mhwHLrWY
QLSyGyCClR/X3JZ4L15xHXF4iHqApxlGtqRc4tw3GZHIgwPbn2ZsMFsv/7u3QCTrk92LrWwudUEB
4x/03CBkya0O1EwD3sIfYm3Awt6ebCA1bIjK1lUhl2+LNTcdENPBn3mHWzZTxBMnEzR7dIoIK5BJ
gEZwixgqqk1nK5khPem3OcSvqAqitWczqy520BZ4KEhzHMeHIRZGfY49kfOz3LkFpNlBSR05KalA
rz1sDEovAFmQr7HEnkgc57VTn6Cmh8uLj/SXDsBD7cHfhW6sJhFWnKupjWyGrEJnSVbitJ5Qh6lz
AIdv9Uu8UdKkRkWfWvQ69kAxVrlVwa9q2UdAJmr8DqiDcvpeUH1IhYq9BzPKoVRCUKHAC2M2AYLo
oq/kMxotrjE3edvf8aYwZ0d/jtTjwfZDCLH3AU6o7OXlVF4pbkvirOMByWWcjVGxTJTY59FGvJYd
TNHTgJlzSrP/4jCMLT7IGXLsZS8Dl6pQo/tMEVQaRm5wdbbz2CVVU530/KAYoJhlh3U0eqbGC49B
3u91q3Tx6hFHsaC1zc94w3hZczfNbH3NEQI/fUVjFEE6L5G5gWeM98lWqeK2zzFyItqx8NhWXFOS
shF5JfF5KwPrKxqmscqunQpqS8JfEs+/5F6ritlhsU1OKZ8sepJOG7cMb+swxjLlLr+aIkf6gv0W
fQ2sBNQX3O0eriSfaaJ0UjfO7mPfjaq6LDtK2BTrZpLq0mJE09XkSJ1GDLlquLo3wWzmpX2229QF
PJ4LV2Hfmb8kXBe2YermjXU4cXIXWbEkxM7CQcyMs52Vq0LaG38FthtG/j9cc5JxDvE+mmaZdBc7
b7z0ksJM5oxHzoKm6J5FuXBLTQOZW3bD5t9SGiBqZHY+SYa0RMtkZmJ03WvnYQJv81Zf6auBM2Hz
db/6cc2FWQ3bpH2rbybEFHfrTgEjpW0483ZjVHXpNkNVA/rHbXNUymyH/9NFD8bAtXkX+x2j/bC0
1ajD8T0sFI9LUKl54bAojPmwDJ4v369ZtaDT3JsYNAWKA8J+yRLTf2jKrednaXfVUx/cJVugu10p
PHqQUlhGkJgYvwXbsETjakmZnicVavZBAqYVlFPC7tRsyrMVg6ExmrZ28J+yatLhin1Kpl9GM6vR
/kSyTYi7Ozarqd6XZH9gi+eqRbZ3oqFkLlTcdmOpcMuo39faOG3uZV7zvgrukdB7U7IeG0SK6mDS
B0Y5oZOmxxlgj56n0mRDOgP0ZqI99GnukGorJb6Wdy0I8+qdcIRF9n3U31jMnaxxnBkX2I9PTVOr
LYlmsBjsQ+ONY/2tvG4jMyuL/YBjQC7LM2ey7xP8yna9xcF9KTnAlhsfN48VPoBZpcWdtA23lccS
mvkUPg30I6zJYRLqeeWB1zKDn3eAyFjJbuT1FqxF2vKAkSNUopnH9GoiGy289KBnNdNkKtBZT//s
bcUVOgJKVDCzxYbCmKkmaZC/XJkr8Yw1B7noRrX3GAXzTjjVfEcuQt+9bTB6vnIiW3O8bLIPnmFi
EAiO9EhdjpW7CtmdryUHtgvqJw1/Hi1qDWTXtnlqrBKOJ/xc/HkSCoIO668IlWiQyw/EOmz8QGHZ
MEdPCAATf7z7gVyDDnLdcWCoN7KIO8xs7/VwoiVvg00IBwFrPWeVt4Rf3aKz2Z3sAmljNHikPE1R
3vc+d9VacF+e8oN+zbD4jA1HRNncbcBN0ZJ3mVU+S/4ZLSlOMtd3eQoyj/lrRjY7K9gB7Rf+JVsC
9QWhz5qQXjubKt78Qb30N2bo6HxFmXb8rZzCTC393OQkOvsZ7W4SRlQCKLBaMcLKDYpFIaQIAiu2
goRvyxayd/Zo9ENyqLGjwEfiOcZ3lq/RWjLmihZ6J5VRvVdmemhjeGYxVYdmsvMyeF19PxguKaUc
T0hfT7WfafZ1ULjEhiud9/p5jSUcG4hoY+7SItERGmrDTplIKtlEDl19wIkqBRd61GSxMnFatU3u
DDIE+2qBznVHxUPwVNsa4py1kFe/J7MJiBRnaniVTg5AxnKFrtIOzyGWzY5C9HCjWdNsz9ebzNbP
n4I8aab5oUJL2eWYgdHymKfJ9wCDDgKB/TzfeGmlXjrcYmxWQ6LG4t9KWsP22xpuDYEM0f6a6C+I
O+Z11ZjVlWpJCB+Lvof20H7TWwwANi+AE+YKANPHZVzO6pOhDLncfb1jV+Ps8ZV3SkKxg7atRHAN
hTMzTC5/8iCY1s/osHMOwamp1GuHBF7VrmXpqM+R5M7yS8b9gOzqRj0FyE6qftGT66zDvxXofksV
LVQ3jy1GbPwc0eZqSJEgH+BPjUfhwGueV+r0J0RFHQN6lFjsO+B2xQ5xquMxrPt0c3PH66rz/RWG
djs6APVn2wgGNgcxzoqfqAeg2G8Qr35TLC7Yl72TP1CfqU/J20G9omWZSo593ysn3tTKFeqnPab7
22u2xH0sLj27prnc2bB84K3o760Xkb4Z+s0WbqMm3v0+IgsWv2Zl6a+vN+HQ5zV0ooFCzMuPyQyO
TxljQVr2D6kNkexik94J2jDvxV89CqLoH1e806rmfhmk4ZcPoqsKdMrQ6OP5O2gsm+URr7aBmtbu
W9/74vKX1LI7nNJOsePgr4M4hkSYeiA/x4gSd1SdsODwAJTAv1S1slBVAn4sxuamgssA6PqlV+Od
FrcSZLptNAW4xLsnVnVH3+o2cT2EjzOGLwrKqB2H39iJUv0ndDNIbGCgbrx8dSZIrF8UtZQv5gSL
elE7MhnKJyZVXO7gELZeHqHLlK2tItoL+akcMwXZOB1G7qTTbItauTuCQAHR8weNGSQ7IiQ7qQ7+
McOIBAm5Gyv08Ped9dtugpEqUwDwZtN2bF7uNzhZWnZdXQ+N8zRnHDONciYhHeLoFNwavPWu6663
563JYNtNuZPf7+vu91fx8ySCyTfkazuge4KL7XPEKMjyXyzdTuHdRRJuT0nZKF7sPh01S4o/RvGc
TFTY+/QfL4k/j/1/xv75eBuqAU24b8F2sH9BJqeJTITKDZYnuyY2gzFVS4hBGukRACAVdVeSVdgv
RGFNHJSq9/3r3vC/GJnaCsr4N9QBzABnGcayizEoc6k3jwSCiU9hJnKaURZ09Yhh3bTM7TED48BG
ZkSZns+nSTYNCEA4DzyoNJOqL2d8o6hHugeHPxj7+TNTZ8rfKOXnqGxDlLygCciiwcIT/0oHHQ2a
7a9jEyTVhIFBrRo0zRvNgBW96pQAR61/Gjv8cteheZBQwryF6RODqDfzL0wXDc81evuRXAX2CL1f
FilbAL3mdT6eL5MqO8lGvQq09sk45C/1Vvx+Bf4MirMEGNIzayCx0kKE9cvMJYeP2vYinh5TsSie
/TJRWnOsXJvAjbhltf/WsxLh/P6Df3kB8Sn1sGDzmXeQufPWGdzGgWJMQ3d8FHuV5XfAacW9HuGO
bgufQReAUzaGqfs92Zu131/G2++vuBUc6TjyeqDzv7AVxtma+qRCGI/6aEctU7w8z0DYGSURLwii
gqNe9b//5DdZNYxeFaEDaj+jWGV2/xbQwGMzgdMbGw9p1SvcoPRjmt1TkLeyG6Kh5dz9BtdTjUWW
HXQYg1Ydwry06ih3Yz+JP1oSW5o/DaHeLlGEF9wLwSsd4ucr3o4svH6DBuDH5oOGVcROrhzGkCZt
X6IzjpzLi54GVZ6nKgfxv9mkrivh3/uCzagYsgoGYAxr4eq93SQ9pch07e4BnxF3g5u73xMol5P5
fk2G1h2Po4Wo/2tZeKqcsZyutr622J4XySFsEcIAQyfEVea3GOjgbfMHhs7bpexZtitI8bAZW5LC
9ZagwzEzQdgP/ccforh9oUqD0glIKsjpk4JM0BwgUoXSZG2V4DJ/v5zEz5Qmxrc2CaBm4PMqw4j6
hdJEKTApNHd9zLum5Gye2r4JusdwCsv4NVkWw0ujwcCGJX3B0U9BG1rcnHlwxzHhYgLoPg2+WGVx
I7fWbP4rCVArviLnR83kRF5vTVAtgpESHS30aqiJeJMEcLxnC/9leguyn9DQQdnit+vqva3Yw9Hl
mb4immq0VLkNDvDmMbJhkcODgCD2g6+h9/QWURK/Eg8X9W4YwSTmgtoG94EGb6fWTmfGsAiyN9ZD
EFCF6s3CK8GdPmDIIbL0gLDP76YTGLPTB7gfFLmSZk7FqqRn5tQaMuEbpONY3RROo6gOSYBNin0o
7RRn95MvqGXlkSC0fsBfqcUdzT2BgqTm6++fnvXLGkIqxDsHIRcky/rFHtwP2OFmJoWPGiWW+9en
9KMhvuMwMuMAHehchkzxOoZCCNZ2KrY+uNpdklrkozrGTNyzuXubOyjq4K6B018bn5al+WQudmLO
x7YNvPhPQ8i3M0hk/9A72D1QIEESevs+OEjOAYDN7oFmkDD5f9Dmp059RghEd6Q1mFott9WGEiEg
5aQd3be8dPIVg+kP9/dtpUVmAFeC3NiDbcitfrOJmDFGOAZr6mGuCDBNPzuiG2RxgVfhGh8C6mwK
TR9idPWXzSbGgl0mIlymuyFZZiPELM6t5vlUUyn4Y6Qvfsa+naoJum8QfKGHdvrLxobKKkJZGRvD
+fff4Wd6BPUZTBUPWZcK+/Mpld7UDdMKf8ln1PbgbwYhHgDacYVTrrGAe6XR/1d14JuQUQl1YFSn
5NpvA7aYmbT05KJ60ANFXcG3e32Oj0BGs9B6EJ3tP3Az3j4vtjHBI0O0BOPM+aU+L6ZWETdm+YA9
tM9mWdF8e19+fD5pHY737OMtwufHFqlef5JL/fL5UMIx4b2Woy65bW/WCwHOKYavVnqvpREzm5rq
qX9SbVWWgPhwaW2UwX9iKf1yATxmCE8oQ1BymRwxP7cGGNO4uC5v/R1MuusO6F6bbH34JXgRqrNF
gNygYO2y3v/8+9WmvuC/T93AojRTzAUOFqL83r7ExTK7SFGT9T5ng9w+BsHY4xjcezEgDxfdGf3Z
I6qn/8OLav9s9EFuOW2QSc4wBF3FznpbehTCmZytarp7lEVpOz75mFqur2HV5dtFD9NrzDKcz4PV
qak2741qd+HLq9Yli+1c4d9tPtK49j5Eve2AVAbI79zZlUK79LSeTkCdUswmK9YQQiyTgnvCJQq6
XY4VY/OJqapiRPz+tr6trKDHsrAhmcK9o/p/2+TEgkjwxrbyewzynOupa2eFH2EL0BXtaayLSeQ/
tF8Cm/3224iIbjJVjw2h8Q8P+e2WokIhecyBuiqawLetyFwOYeLgMXtPWiKVXZZARgP0VZXdDgP+
/sv/+nHsXEzvEEJCiv0lXC3PhGCGuYk7bEl8gLLcVmivi3M71lNu++cGV7wxy+AeAzTCvOFNDgR5
or/Mz/t4aTGkb+80AZiAACqOJank9kqQnJq1KR39VN6n64CS7tDhX+zKJxvTUlmeEUnHZnePqXoB
lKrRSi2oEgmsdbCVsANQXcoYlEkzi/CLCpHbNSi7nsVGJjQRS/xWdTCs8DJQxsWrGmFhtqV6DioV
tXZLfJcBvdKY2Q0iLGgdoIJXPn65U7zESDZKevSzSg3S8bjq+OfBzphq6lmNIHMYg0CzTVyCkWV7
HVoXbcMscyJWgzn6ZFON+lamSlMWlHoj0m7KNvNQxi0jvgMyKlhB2T54w5VWCfQ2v1YXirJFwZId
2jg+RDcFTVILYMlJjuorKZeIHxIpPMcVQK+RtFhs6oVr4mCjwCIUU0GHe0dRqhbwG5ZVRFQGneEm
QzQTxbh6N32FIie85O2G4HwHZ0xznvneOTOSzTkLUoDS5/1m6WZFb8f5rjHWwJkeFjSLU2+vGm0B
11TdnX3FfHZsGHBN4cRXDqpZC3PNb2LUgat12ClzuhMkt1bdTL+dlFRZz0Ibd1YeH9kVZP43z063
BW7tZu5LSZTghMYBhBN7fAVjyv9SIQd51G04gHwdCE5AVyYS7IMjpFr45oF88y3BRrPrcq0tmxto
jLYSRMIP6Oqz5LUKvbvKlnN4n41+P37M8YhACsh8QWzhcS+tkAPVFGJmXPUV81DsARLngAunC1DY
ovT/CvEp8w8DAxcPy28Tgz9CKDJ0qa8jHnpMrJl6GAlkeoiZU+RZAmDz1JQFkpyIvwLBHIrcFDdd
UiuUuQZSCMsIPski/tr2qUbpGYPzLik8dMFHDcJrqMveB+caho5HaInfqtKdVGkGBOE+dWY7F+mh
xaxz+zR3K9fltIY1f69gcWKXkeZbKl4Xfs/2ymx9HP8BzLDcV4bi0/gOe5yKNBbDkMb66rvbYgzv
UO8pvxmxuWpsjBfm1kNnzDerL4/9PgfWEwLcBRT/EknRddoUZKrT9MGrWaz0yp5FWSjzhmmOz9xx
O2syALshe8HNVoVeN734QTEYzJ52hJ2dV2Et3b4L6AIuXD03+1wFrpW/7Mt69BZeWfy3+d/JBGNP
jtsU2H1zmgZTLcOdrBAbzDtupWEbU3GYdmbP3qoXiEJZmDunM7ftXJhwMfG12I6yjQUzAlR1an6h
FV1eXsxJdzLbSoxAuGWapAhFu3h68olmmCF6aT4nIQsctvqb7kssWD1kYGbJLBtp5uJseL/saOr+
qhdEBhufJ9FNzincty49+3MEeRJsf1d15XDlsZpXvaW+TdozoCOfgJe24Kjis/epCVAvp5cG7svA
ZCfW1FUX9jAoPnY2ifm6DFQXzM6060GStMMHWdl+esIRGGP8H0OOfULlBYuCOsd5K3mAoDXqDm0L
OgvYCdyZkGzx6xRts82GcYO7i6aqdlR8pZABBv9e0QTbb9roZ5iZ7IpjB8+JDX69LlPCLNjmzdRS
QxaM+UX6KDJsCvGb2TdKQm4DNlEyJQQvY0GUU5Ef6tDAeiPCwhSWSru/bPP++67Tjs5Z1+ATHmE8
3SjOsVYWWLSDhbEKdg7T/mh+rO3rrtdzF9jkfbjx3LJ9p0SoweVZQafoSByy6hTICYvhUvbxvSYV
7BQZt+5U95MsajKMJ+f1cNuhIz1rd649oN4edpBxzC31CrpYRfBcvZ0a0oH9si7rto/LMjlImfFM
w9bwcwSTNU38SApPpzQxFoQP7ve+iaOFdqnScTpQLWS69/I/tJfX6fv/WWxXAdC8bj3v/VQX6t87
O3CBbZy6AfVeUSalydrSD8g0FwV6kB+WbtiQ92sOV0gfc64/UNPMwabONY39FM1whct3XH3dHLU0
JsJTODAdygyGVcVuUTTs+4rEhhr4cVQTaOMEJ5GAE1gOg5p1Uqcz0PtL4k3JWiltGGyUCfufrB3A
X/ZP32s3+ESqcdAAfkGpxDoq2FD5cvFYs0eiSVWEIn9X59BxVtYjrqer+dB611GbHGTwpUNdlX5O
GC7XES7JjfG9zDHb3pXWZTmpU10PJSUzCw5EDWnPbkI5qewcoG/ko3IGmAi/YNPe5VchEzoDGRhC
PIC6OAnrwjkTOpIYzUH5pLKDEJylTjlXzuo8ATN2y+CAFCdO6qMHADj2p9E0MeM5DTtxfV+24e5D
oCsBfdxjmMQOcMlae4QJiE/cVoeHBCNWaHh2VjnGdi67Rj1fnhAXrjdkXTjqhQ4YoDD7YlU8Hj2f
rTsO7hfdIZaiWtXseKclhQamBsixJDooGybLtcYd96JKc7yQ6Ci6UTgnastEc6hWDBMz3jtR24JC
Cw8/tc86+TCyYKDGpKR1Mn8emmO2i3a6ndMT23RzDdFkDD6xx3CSKj1q7gkkMFVVkq95/Y3Uh/xG
TnSFjVbpoOh+mhsm24muA0N2NVg1OQrUY2BGzZu/n0ehHULUMuAEM4DZd6e9eOr28hB2iNot9OQ3
2efsWDfBfdknv3p5btmV49jOymJhL0h3oKrfK1t4xx7ueSTYVTasOhhJ3Ek2eXCvS17xvSBeGIFy
BdpX85hYqhvP93cuVwRnLPnhfMDt7Hq4YwTuEd/aZORux577rdofduPBNX8dclwRcDJI4Ri+OKS9
8FnOlCT99BGb9Vo0aBKU4B8TRkUHowVQhIOd0WPkV5Be7CNpEJqqhEjIPbUxGXGppg96Br/2opzg
zsXov9LD2Ltq4qPFLvlOmrMoL3j+bV+Ktnk258xB915ljBJgvBUwapnsXndr/Y5Bm9+68RgE2VZ6
Fw1WYB87FNYhwZgiJVoln65IFqdkQfzKxGaEpb3JIJcp/U5qdErBelWfgxFE5K9JSVSUvmhdveLL
r1aOxZHMytE3WUsQOaHRwx4U3SxdnvqdQoQgtR6CE03I0sijm5VJn//9+37yLUaB+SH2nkxSsETE
z+YtRrEJD8v4pC7JGJSQsyFi7/X8pubF6z7J0jKT/6cPRilECw88A+wvGF69heLKAmf8oNnSO/ID
2+DbSqfgQ/KXOLDgRNEaS4X/NUcF2/zvP/jtMASIn4Y2cJmbMfVQCVQ/w0KGEWCGWdXpbT3jROxe
AFYHL7kL8ZiBwg3FYfSDG6JcOgseDRkCfVkf3Gx1cLPxOFM7+6G4bi2DifMIqTNrP87y+fcX+XaS
y/g2CACxHR/mivmr5dEK28X35eTcaLLgTkdctF1clyvI1wywGDfO2M7I1M+jeAn84MMyTFLKm6bE
5A1j9KoDyu8aAl+TA6Q5uMaEpbi2g0/k7tPXplVZ4juUlUZN5AnRkyTdp1SqTnqqsHMBx93fFnGd
Cvz+a1pX+PNfGBmzc8tDOW+Z+JMiZ3wLn5gw4Fibk30eRLoZAaVTUrt45oWhRVLGQvQZ/2msjNr/
sGGRHScnzHbT5p29+8h5DhU3/aPfWcY3a2RTwZjqOlDRtniajw2+CQU3qnx44OnRxAeEPN803Zru
sWOWvZqHyicsiTShwVS6j3om+QBPENxu6OzmcUixKKRzWdkI26tLHfQpNTh3JzkhMAxRMBCdMKoz
4pv2BWpKWbfGAY7dZk03Eksd8szTvBfysaEMLKobQN/e/orBKNyF0yoqx38lulAgsvVdY+wL4vCI
3XPvWzuGPHSzjXgcPMHGWisaGJg6siQyp8ia/KZcQzILLNV1w7sVoTF3Rwg6Mlyf1q4PHIkcOlOo
gTCCLYFGO2F4ul7MHu3bcnTmODOKk661RN8Hi/EZv3ixNIfe6XBmjRqExsZHdzZNgW1hQ5RjecY+
Huj5JgtEyV4/k/u1IbTehrVMTtlE9sOH4MoxqPaJSozSyf8Hu500v0loQVpAu6JGnHfs2mFm2W27
Eaeeps1wnHOU3sbKO3yclt5vSWVxVjp5AiU7WJ+XCtuisSPwmwLVuTNJj9iyFzrDPGtxS2p8s8fu
d5TF1zFdZvMb1a8dXEbZWcRnFUtcEoIooTwwOdPunXvTlAXpyAPpinhci4cpkMo+adcqaEtTXQsY
PFLKhL1vm7ZGCZyHQqpqekIIRKqTNGYxVpFNhTf9Z3+RkpzspQ+EwMzIDLwV17PuODvNhI1dHhj5
6x9eMWwgfsahwYABgdnasaF2oQy8FYUi2avhEUhxmZo0c6YIJmvS5CpFyccXk50wvvXxxxFMN8um
LsNO4tthx/7tXGKFSoIN8U73TA1j6yixR3qY50GCzY1W8rEsR2xxQrdK5kfbr/r+kC6ud2dyD0Ze
Zs7LpLiD7AqOVxzKcOjN49jx/6U3lV0Yzbu8wFbnzpC4Xt2MyCKyY0oy9de4L9b87IhsRgVnW917
bBCy5tRKlYDebYFY0QZ49nzx4HDieu/EoTy2eKEPh2xYIKQeraFYrHuyluST4a/+FJmoffxorNL5
ONMNblGdBvIIOtOEd4lAUYOnTu0/YBpQE00Cmzjgyxb+B3Jircexc6cZZYpjf7G8MLsrF9GTizn6
+VNXheOxGzLrdamWBB5899VL0/bVsOziqXQNsha2wYUEQr4uqNGE3VeKMekDcBWz8OMi3C0LD7nT
Vb35gAbH+E84JQ4W93l1XBFDnOA1Jwdf9MEt39U6mUbKHtSAf3z0MFWJSJ0cMeoKt4dhi10C3TCv
/2SSdXFmqk9SzmSV/bsJr//n2JHdY4Lu5lysg3g/BIZzE4dEXze5VE6GgAf3DPPqG5PO4WiB3Spr
Gf8R56HkVmJo+tGUQvy9EjP3Ke6H7mVlOv+QYD9GgGdHCAUsRJfUycaiXpq3k7fkLqynLV8upjOM
9w1cqHeN3RNzM3f5ifgwG9uySSYRxK71PzKYSSsY3fm5cs3hDpOy9Gn2zaqAm5STIFx12z2KqvAD
rlvlnZXE4jmAHe1GOW6uEWzx4N6E/PqpFGP3KcTW7gbGjXEAJ4lvRTdKThNAtwNwkeECmgburTt5
9Qc5zHVzUBx80hgn42tiZ81D2EgQD5rGDzCzbWj2HcGvfmM/2k5iHOdt2r4XXdx8SzxyVnFQM47N
VHSAUrH1zcJB7dZv1uLWycT6brMNYgZI1Lqx0mm6pHOOjCneVvjkWZAfsq5xn3EqDpYTPsc1n2LF
J4Pe9V5Kd43yIOj8c1AW8X9hGr+GXjN+szjebuAphqR+OHABB8F+SLbtR5cNmKC9IngnEt+/dbas
wZ6s5wsAC4uPAcU80vkZne2xIcf460jYMvFxbd48sDRpE0I5857YNeIuTMmoLwrrIcFg5uuSucZd
a3eov2h3LoLt5KVpMiSk+Gm94jGzRc025V/TusiILbVr2POC1LpYxhaiZqzgYAlPDjrUuay/saFW
TmTznzzi4CnAlpDkRatttH+thj+eBZrVSzHKkT2DoNMXLAqHl5nDhml8X9+M2FxFATD0Bw+ypR3F
VWMVxcHIppQOGfycHMYyqfq/LX+on1KKtZMxM3U+xpNvZlECNHdC//k65/gBLmPzOd3s4YKj/T/E
u7x64P54fxONbIx+cdhCuz3T+EjjYg1tET6A1VW3fLHSOVAeyScqijQ8M9okFa1tbY7k1ADfQbom
2V5JYFYu1bn5FQbFcphDMX8HtTD+NhJSOiPZqUBPrqr8j7fV4jZPDfeeQL72C7I1466gpeHlcpfH
xHXmuzHriUEB4qsIrQrav2fOjntrFd4nbOral4pAQfdYp8Vw9tbZe7WtvuqOcUyisj8IH7d+CuLv
RkoqDpxIOeC0YWMkdkpFnz22i0NelRMT/SYL4ZPw5KM6Dv5iaE+ES9+tmANyh+/GqbKPZjNDTd+8
/n2DiduJcJ40O4NimO8TJgETAd9VzBdq2Esg875Hjm+8WHjAfW9IPD0XYeY8oEUhu5Abb5KAF2Sn
wBmrj8gzQdlIMvlK4G/yqYDS0JMNBUUl4i7ID1aYi3O+WLiyZ3FX3iRNkH1xvbG/9Y01/eb28Afc
ePBxRJnpDr3NLqMlrmNeTSS3Zwz+2jtifuojJlugYK4Kqcxk9p9Apu2Bwjd46UDSsIdzk9sy2BYa
+n5AWGMn99U2yfs2W5+48H/y3qv+aTerZviJS2BTOOzdrTOcoOdm/BQzurvCHcInREsuYSCiOzvt
nFSRmDN5zIUhCBpcvMiX5he8ddz7pVjQAJbOcDOHlqK88+4es06Wf22uneL9TS4Y3JshvJXu1H30
8CDCSY3EqCcjMewDh3Dzvu6W6dYLje1ispvdzOsa37p8dn70J9d4nwbThLkfuGd5Jswyq2+KJEjz
7zu7HpRQMYq3LMApotgs5RlCvrMC4nbJmNwo1LJDhsM4VSShUxl6Ld0u7s4SO+qhbUc0q62fFT/p
vWayF2wo9HM77BkMRQpwiC4Pg1SCqMqiDMl2SuYte/URzlLH5mRA8E/E7mlFcaWa0n2eR9hcNxJO
KkeEUxEgAvM5IiqT9nMswmqZfgAthI8GBI0juMkvYS1q9x+NvTK6wAr00Fe42h7XcZq2R9g1SXfb
xYw3cKdK5Coj3jqvfsqrcZjGKAnFkJ9GzPzSk9F3Tnc0jBpAw4jrNfhuYrka32FZb1WImApKPIN8
g/ncMn6vX9y5jfO/SLppBol9Sd9k7zHzjC0LYLYobfOeoe8ivBvsD5I2i0YsZTE7njHQX08DDMfg
YVb3LiJHkTyEczznHFwR5htKDtUvTNz0hDMPSyR6o0Wlc9wRo/DqhNZumyQdlRakGr5jOFwQiDMg
SBD/+WFCZ8ugeJyZLyd3q+nxigV+I2/iImbIDu5WbN7XGZOA+Gi4m1mQemEV9bN25a82RuMNjyNh
NrhPSUIIcGSEERRJpk86WeQX7b6GJiFKtAuLqBQUg+4C7fHTXhpnpqFgND1egNWPHDRCpdb2L9pC
Tiu6wtgtPe8UOxx+3RO1FGg5MalXMdM+OHFGe6tyElONfk1ucPiSfOY+WDQ2LAQvOz6ohiD4V11n
JZorDA3pf9g7s+W4ke2K/oqj39FOzIDDfSOMmlicJWqiXhCkxMY8z/h6r6yE+rbaYbf97oj7cFsS
i1UFIPPkOXuvLfWr3OdSIoZ2XFpL1UgiVn+2jWM24xXxe5JJHpNqyudRynN1jtjsEMroOiojWJOU
ssXGKUi2rsWEWwVUkPLAbDMk9W4y0+Palkq4vHUPt8nOqMvJGYbRsMzl4uPN+jl2R3vUzsz6zAT6
jctXU504fS+t8RCOpPz+3vuO26Y3nIuxogUjE2BRX68RERzjzsAIWuNigUPPQ64yK0pQ7R0Kw1j5
pbyKsTg2R2LsWRtCFwUKTetQ18CBt8aIIgPiOSlFy2lzjVSNJ92YTTzR7t1GoKpf5wiPL32zEPZG
ETOSjwxOB/3BS0A4vgFwjypGlqFX2i53jyPbixflrFQixN6Zwzqo0aAiMQQswTqtgFdOetUOC6B9
1WltLGOeEX242miAxbt0j0fl9B0NY0UNrVUZ7dugNKmJ8OspA8zWRDbVHKasajmD+qHhVZfpR1uW
YTUN1CKsVkZSY+zLCxpSsOT2bZpZNf2/retItDpfwWal5WQh24bOHOtzeiom/NbUPgR/LVSDYCF5
K5aB3wtbHhHY/HJmmwzA8JbK27GR6ofXRREMh5WBSYWjaIqjQgJnGusjKEDJjezRz4h4l6ScHHCb
2bM3AG68GO62OfRm+nOaceSMMhMcL+ogh6s2f5rhgnWvm42z8hMcw5uyoqMrlfAupq5ZOoAnFz2C
nyz+sof8uMxfU5YF8UFA8CUeFFZMWhyxlo7jV05tyUspKcMT83Jfz94T2UjwdTCbLX36rm1S61O8
Rml+mzjA3Y8t5zHnnVpLeofJPgO1S1+9JzM0edFsTKNxwPz2j066eui2MeNmxBiVLa4YE/mNGnnP
QrEZnTfL8nhRiZPQxC1Z1oOc14NxwNOGWKJwgPIo3THplZX9dXJn3f9WxZTSr5ndy4N+q6Rr20N7
MUeoLlAXCqnqkPm1skdQY1J/XyxVWLzUBoiyIaChNi/EdFoAlZOdWo82FJHS2IAwlm8HA/u4EgHq
oYgJ3dKqOQ9euE61PyH6UF8Rgbl1IZv13hJyL3B8nL+oyajeVRHflKXY8OsFE6nmB2rHzhBasXCV
syV3e8O7OORNGir84RQKOTVSeia1Rm/b/OIysKn9bDHfOnKBpwKbN8kA7zbvMs4gqXNRYyBjcWWg
QA6Z1Zj3EeJq+4NaygATS2fdNg1Xc+dONVAEeETkBZPS7Rd9J//hcBl1kPzGEzEosz19L/kW9XmR
T2o9QpcbHjb4TltgmCGlUOk7afxIz6C6TWibye2namr54RWKmMQDuf1sno2qNOaKYchoFDOJJ2oh
dpAL8LRjEZayH/T20hmTjKA44r2PqpnLpe6XXo3d0mSS4gWT8K31kzMusOzP88K4CxpoRgO4oJ6v
stRxD9vUq5lTzBbn0cnlSkBrUNY8aoK61L70EZWIAaom0PMqYaXffAOKw/iDs7qEcq474qJlI5uU
0EJdt80EtV1sZewjGlrqtps2ksuNM4VyeybFUk5R3Mq9DAQuE0joCQMrXgnkj5BtjsGhT/F7QTu0
F5iDtWbj0F6FSUnE8wFoTJXn17Q/vaY96R1pV8yjfWeeIVY6BTf/CXpXJnCtunRzxuusiKXrcAQt
isR+QJEATijISB7Ed7DNxDZ5sGm1cp6DLlpWpVj0zbje5WVe99+6XK8G48lsrcJK9rYYF3c66voi
EWACNCTfjJqhV6MvvSA/NHQU8HJ6nlM+vnMuW46Wd3KjRdKFmi/iACotkRed9eZppCSWrwqNUH6B
wBFkBVBfpmEhMkS+K6FomWrzYkpGpGtgSj8tg0QF7RurtXRxjAHuqOor9BzA5K4ryL68tfUiibN6
sUqvc8HgOd+PGkfKPbIDMpjuycTgaLqPzJjU9P2Wi7B5uXwPboXxMYV1lPvIbi9P8nYbqwe6jMfe
DO+ihAxqNEGkP1TN105HS3WoCIMZlz3jc4tPsVU6prr+BH67Zv9K4snl9rrI1aKoqri1Mx+pEcG1
bpfwXQmrlavu5mHeQADKE5coBQR4FCnI2r7ArE2lVM6mzOTHqqGVT2gaxnKwlsyu3Gbr9kIB7Zie
8BW2WgoqBxJll6IPhIHE7RJfILuD5U/YrTeZxDaH3mRCDD7lwH1z7G30hw34pnVwR7ErKdbppsup
cQ5wmU1LcHR5l2Ugq8z7iqKPcLwyxRmBKZgtmJ+LqmIFt5Wl+UCLfiaTQJYGIowY+PUIJvmKSgcg
EwEmPdURtLYZq7G2WzNEXXScUSUWxExdyuhNWojJkzSh86iZidvtfxDtCMPiuugqXqqhaOGNKZuM
2hHJ8pUMBg3bBe9gM03bHWGSFG1kATGHTBcrM9qXLLMvvAFV2tKEabmASpFZtUvHTbbdM21tyEE8
Yh6Ju+nDFnr+yfNDZgynBHvWxRxeUo5RlcnHRonIvFzIh2z7XkF/yycFcYF8DOeQCGom5BPLiR34
HRgPsZ/beiqKndrbaKVLrcVCM3I6uCbpvBWyRTOFi7rdM9vJA9j/5QDSQYE8b8t+onCYm8iSXAlp
tN2OSQsY307fl5iLmX+oE2lUdVKf1qdxz3emNvntmSYPTn12zsTpsVHAvUV3iZ9hjwuhvhwVFWBb
sDXlN+fDS37Alh5WKBHCptZxlbzBW0y56m4zVmsh1qfddWprU+hIPLZyy9mWbJRIcm0fBAw3JJzK
FJ6nYE3sveJKImiw6hOiK3PSz/Wl+t7UgVptkpx0Eyc6K99hgFjGh1FftLrlfBSKfEfqjwwlC1LM
F0P57X9cTaWcjNpOXnxhzfSbAgTglFBrBzkC+/0gjahA6NmqF7p4g+YEy0ouKR1GOG5lHURMtmjj
03ISQMeUjFZdB7P35EVX2qbWi6SHV6mrI1Vybxu5z9mJX+UrBMP2X7QP5CXaNFocCOUGrXfkbBO5
4FmRDdpCPRRNh3MqPf5AhCsFByAfebuWyhQfK/lvC02dCgrdpsbv+6GiU2+5r2daAJvgUskIY8A4
XKJN66UkPKQcyFtd7QOOamjQo7xkeq2rFCx1ZiO/e7HMEhchv0wpWFHucHSEcqn1sTnwfUdGJU9i
W4jdqLuyjwLvS7I11haoAnhV2hsghMdhlhdjYYnmxSo62LzKBiPfWBLboXe1UUvwJhRrf1Bu+4Gg
EV5THtfke7nUMFu1OPoTYr29hPoijOvDKeqQ3CiRNecvdC0EysjFv79UbKppE5keHcydTXfQJXaB
7YZrw2FUymQ2vEGhcdtCVbhwOafZkEoeVexuWzfZnFSZlvJvNTH5UZRhSliKlpzqvqGrwQ3jXFoj
Soe4QVRUFdVd1MGFqvQjq5ZSyFStFFk6jITRl5Q3oXatqxgvwHecfzZlzLYvMGq7dMvUvb59d1ps
znJtu7RbtidO1ZozkhA+x4Zr2NQgKD6kdFWVTyHe6uYVmTlHfpeFTF5e1e4SSX1pkykOyJYDIOps
LCnwsk5bO4Cj8ZDdg6oR67RrxOzrVD3yOFOlrRSsqVKbmYKU3WzON3P16kViuQQIIqS/cjfF0i3L
WB2VrNyZVH/ONlNZExN+zG2uNIps5IvkOkdkMn3aOBsb1gFdqFzf1VHAU6v89lXjo5Dbedxk8qq7
zkXM785hbMx3Hu1Ex9o5KsFSN6jl7f0GydkUkZtEdFuAiDqQdYnqf6kDkDYjHLgj40a36REP5lR5
2yZSdIZ0Iv+gUvw5bAHR2uWhU6JEdEbyK+rMDANmyXwP2Wp5ACMuLdw/fLpKSMRZTNb62wFfuqL5
Jz90PkqPyGPKKVHdDlsLkzjHBYwUMQF4WIuL5m1rudRR2rsG0QSzOMaOJvfDTb+nbmQFkybIrefL
A8Akr4lyA1In2kjmTa3rNshSi+O6uytYvis8KGOxPOQNZHcvUIrVtW2leHaz+2y7o8qD2QISNmhb
0nBM0Q/oGNd2vNbrglrliNutHUnE0SIp+9zWPXeqpMZwI1U1ClH2Q9d6qdEi/JY85Vs/peJQJ8vK
dpSP6nZUMp1Jlg2VCoLZFqsNZ7V5HUpVuVW2J4lgMeIWCipD9JJ/QS6X6XVspPjL6hOSBfmOYIVJ
e4Fue3E/Q1IJM3pM27vt/AQv9sMml2WyLD9Q5CyzaE+w/T192dOjk1ztHCkRz6VS9Try8M/XpwBb
xG5x19Eb41KbUPv4VDzEmKeOSlyv2gKbWlM9RG5K659DaWPJMqMVjgT84LGXr+oWJeOd/SZzbhqW
Mjbq7mKy2Xxr9EtXPq69tvJW2AqTUaFiVlVJIcKVImKJB5GvKbyBH+hUWbPZLzSSQ10mYgTV60S5
X/wb4Qp5y7ia7N6ldNzOkpumXNUH+uWIPwzICaND3OhWnz2x3MnCHOay/MI9YclLqi8MRmiGEiLq
hag8XFyy2zoe55hz+Ic91j26EgpdsHm7LUsW0XVGCl0VIHeTi/smQ98eCjeC4/fq09Pl6dsEz6EC
a3RKGtqW8eLyZGZmR2z81oBQFK1NX+7PXTQcCq/H88fc6VKKbi3nTXUvzblcwlhVfZ4i10yqeVgq
0eVGEJhwL1hiV01lt4yftJgmLydKr9T1+XrViXUhbMIp8mG9q5H9z/Y9djHQc7JXuoZ1Hr/NraCG
OrpZaaTv+wx1jXOKDWe0PSxOejQQM+SCVA5susjDsEudfmneIqOuxnmPg3HN7jlq6/neqYkYHj53
4Eosb29geAEna6+r6R7qkObQaR3d2tnLbpR+16VgvW7GBlFUfPJzTuKPSzwO5rlcyir/VHIb/W5r
jHU/5c7gj0dYuytzzbRYHNrxSKeuq6kZvoi6aat7XHFhcQpH3h8qKhNFd8VzB/HLPgBBsE70/OLh
cW65t46FES7iVFdiWm8MqDD7rEoNFPWV4VIXRCy/yE0sv1qCHpf3sBfTjP7L7OLpurVHp6JTw/lO
vy1XiBoYvOrUOQK38aH/GOtU3XhJvor2aHV+31fB4JF/lhytfNLIYkoqbbjT3GzOlx3aXBT9QcII
cNYCuwynzCTnTJSmy7RWgxG4G9Z2WpA6eWk3EkqGsMyad1VC0k8aJORKod+OWR+cveAxMDHUW8K+
DZEZG1Wgxdno+teQopLeCcxRF/O6H5lZTQ955RTtS2WXqFr8MbanG1ykQ3UE5GuUJNHl4ioBRwHZ
GbfLQ02Ubn1u6Hhad37eVdqNXcHB/OaxKNffauE4KT1QDY/612JF75Qd4mEerTHokJnXdIahHbw6
+cTMiR7GZ2wojK8Ce0NuXdTN3CJSUm+zccc9vUZnTYJpcM3qq71SXkmL20y3bQvNUY1DV48i7RZl
jOE8IpLhmwlay18qk3yKjFkUqH+GUMlS2NZVJGmnS1DgJoXeoJZlDREL6+om/t4KZVXiKxdCgnVj
/OzRaedwoEqkKpKWwJPCzxgqWklx2ZWaesa9nt0pObF6kVTNL1n9RjZn9Sq6vrp8JjKVmOpss4y0
MCePJ4znIFz2SqS8bTiq5alGpCHkp8vaDF+Lm9VFSS92Q0UrG/0/6BOCYox1tT+GY9MK72G21lLz
DlmvM7xIElcekVYdpd9bR0pUhYz4Uoj+cWaTxdGsN6xuHd6L6kNfe2H5mvSZE36fSIjHIClGUbzr
896CK9FJb6P6tMvWd7r8kVLXJ8uU0GG2c9EbDIO6/JPLTrYcKrqLgwfmUYtmcw+WVvYnMsXISS5V
ScSHNNBwkE2dlLf2kNbeaZl7pJmhMEjce2j0Icrx+TKNJg1nsDlOdMQT61NHSYH79sExy3D9MlB4
kEnmIKQcdzjD6BcczD7DGfJi5Eaqa6eqyxPocO/djpd3myukPro/3sTtwPKn4aVc4soHhp0kEaGV
u6YeoVPPhbDrw9A2bRMgmjI0rGzEkd7Xs98gflqmKKUEsL3sCPiqPdr9FOcnv1+QJ8EDcH2E67Hx
lAmtEfcdDqv9aDczI6M8f84wr34C3p1dVYY3fGPz6eu9u4rlEPp2iHdnifmluRv3NzQRId63Yz29
jQk9uCvOddX7mC7mfZGO5rWXjuNhmHwexJ7+svW9Jr243HcEU7aneMznb62FpCzwVmNKdlM31K9N
VMNnWdAA7XF1u08tZuUbOKjWLRAPswzWKY2Xo2EXzb1jz+krcvHmgdUt5yqnVgxAsTA/xnWrXbkh
6zyO0WW8MnJ9wovNIVt8RRbNqpbXVf+ZWj667rj4eRuE1WC6+wit59mg+/0d58V8DYw1RvXR+vhV
GEHw5WV1Z7wygsjsO4NjXgn8e0r1XcxAuwnaNqFDrjujc4pcKr0gYazlnG17TTJMLl6UIgYzute1
LFAgRYZjQktjfoeOIgdCshgYsYxUNHdEJzAtLt3cyPYpByTmdk11dovE3Ke6Od2mYaR/8UTlfoU6
lHxL4my4RvloPkyzzl3mO+HRrw2Bfim3ro2py7xdT99+DgwRttegNqpn9jZ2hhHT0rOmW+Uxjnju
OOp9HFDefwk5D5FGPaWPpfCLY2/0/sm2xXw0oe5/NQoj/hQmtrOz/Sw5Ttoavo9TtDvuZORMYgdj
3oF0ae5Ly2RJTbR43KOwK5qTWbjJ97nS9KfO6+L5kI2i/Yb2dXb3KBtpAFqxNtZBnUWsLCEUy13T
4oMkewl2Vq5l9b3Xz213EINRFPvRL02EpiIZT9jEp5fU5yy2L6NO7AwrHBGGzNZNCpj5zmaPv1mj
Ad1gvNhPetnkxyENCY6H1H8GdxehieynKTyj3RyiA+tS9eQNS3QL7LXzDjUV3LspSqbvRt1HnN5G
j4m8mdZdu+eDmE+mTD19FDOxREyiU0/saojId/xaTKtRuB6bsS++5RqI6Q+pN5L4zU8cPTkf+D1h
z3wpNVGGV0IbneGjvyBmsu+8aXZxFHL8Xn3ng+1xheZsJ/9JEp0AqCPoRbDOABWTkzbExkC/pgp1
87AutILxWfbF/IAfKuvvjAkLyRl5Tq2f6aNl+uuykEOQ7jx/8uxPET6LdAhcnaeNtcWgZdzvZ+Kz
iwchjAJaEopRkP3FPls0x19NLIBE6KUPCYEAKIl6TjTUg9fAf9jf83aZ9kUZDu7dLFLBJLoSQtxO
S8RotxzxsZ6MJVkfK9AjbiAyu3tMUh+POzEGRuy3CBSRpAWpYMB+tWCnq8iSYFa0J+ukxzAzRI04
cxvk5mM65Pb6t3GGP+uEIapA6TBpL7iIVIi8/gsdBQjJotsoua7Mi2VxOyD27HBbHOi/fpv/LXqr
HpXAv/vHv/Pf36qavlAU93/5z398qAr+9+/yZ/74Nz//xD/ukm9t1aFM+B//1emtun8p3rq//qOf
Xpnfvr27/Uv/8tN/HMo+6Zd3w1u7vH8jFaG/vAs+h/yX/9u//Je3y6t8WOq33355+V6gIUvQwCbf
+l+2vzp//+0XvlUMOP/651+w/a38BL/98h/561vbAwtSr/bPH3l76frfftF0mb+DQPDy/6VXp6za
Pv7tF0f8yp1kopMF+WFTMII66SpMCb/9Ynm/kg2I3cqAQQIBjOjVH7/+p+v0z+v2L+VQPFZJ2Xf8
tPszfQPOheOC0ZHpOrqEuvw1yRVytoEGNDKob6BwjliG83wSsBEGoRF9HFCeGu51FM4WeGS3HKJP
tdMjO8GxNXYfC6LCyysbvJgpyVKcIucocvo+oDCyYlrvnshFIOcl7mPXCH/dAzabeOyWxQ6/2dE0
hNciB3JwLRhCxEeNqdB4iE087UcOVp75AqW5Ta/NJO6BRydR4ubPqDu08cYrtXCor6dWxMjI93A9
UMX0TzbiywqxYNLYTDzbzw3TrevJbej7xIt2n5AjxYjeT/Lbcqy7O5iCcbYPo+KzQRPzWPirQ+bN
sHp3yIbYFtFW4jYT9O9Pfd+IIGltRshNShN8pXsSNxq6K7Nv/c/2YibvuzbrLXYHkwp5ref0QSRR
d52DXKl3dY9/p4vJjkDSbZ9tM+pIel1fyqKYn+rZQ2a54EuYGBVe2wkpHeiKi/K8huStApStqq/T
HCOx7eBw7DkWaTg1vQwU7LDv6bC9p+YakCWSdg2NpvXeV3BLT074JQ0X99rSKmEcYI3HjzG6pkOP
lB6qql9oeKJyp7md09g9CnNav+VUWsfCBuy1w483esem0rtTHNqs2a02HJrca61dhjprPxTe58KP
25sCDs3nKOwWIr2AOX4CXyHXdN3lJLeWwwptXNc1aHgt6VB5YXR3Ta/h8PRG711R6zhGknY6GAv5
ElDJKEEKBtW3Egp3oH6d7qFERzsyqjXjkFuN87EIw4j2NKLKuSm6rxYuHAr+xkiuF/DHH/RpAt5c
jNrBX/sWbel0bwOP+ApIt/jgp7P9xEnGRoJBKkqQuBoR4zA6bqa4Nm8YEcwEEHpsCjBivxE0wOm1
Jb3tgcnmBHeMkJGZZvTtUAr7i7Y23RV2BXFtFEP1GuoN3hqhZWLPOCJ+MMrcOMe5nXOZ+v6mj5IH
DDJPq233D4AlvDezcToiM8c2PDvEqGMqiPsvDlvT96X1mycyW+JXxvi6sSvKxuGcvHT3juXZR/w+
lBkh58trm2zwCLL3gP489qLynExJ/ImKLcXqOufnhOAOrjVlmwhyvyqfdV33jvpcLHvy2sbHaUzc
U89pIQrWRpdhNBiKMFlMDM8rq5DxRex9HHiY7pTiDuA7Tie9mu4m9HP7MkXzIMyiPYKqFdQHqHMH
K/rC0xU+UIumRwYR+XVdzh/iJnWDdC6HB/Zs58rQIyfQDAdZphs6xh3h41MOwL2wD0mPsU3TyeVs
CRF8txD592RM9NGDCa1rUPlOdvBwlZo7LWTflIdtTn8iPXi+ZQTriog2SKsFF0ScfE8hYX8pImKf
0erFCOYo5w5LhCadHkR/NqqQYRCA6OoAsN4MZNvvUwgXv7uaqFluUF0AjSftjHxJt4CZERGOVWSk
y/h4LA5a1ojmynbXCWP5kDX0G1xqpyIc7auc0m8JPPzeHrKgcLrqe/2GlfFkQWN6mKd5CdBQTnek
RnoHrerCbwAKhh1H7/ZQ2jMBeYZe2LsR1at2SIRXGgHh72SbhgPP9VIII+g00pNTy5qf63aN9pWj
T7ea0ZkndHxOcYqHNX6v1zS/sihKriirWcO0ov3OPs2NGvnDXQL770NmFcaXvna97zPCo36HbSiK
6PfpCxaa1DvYhPJdW3qMgLQe9PdaPvrhYfb8LOgRvRxYHOiA+gYxkjMelypZnfdI1sSLqw3VeOzq
CdNLQ5dn1/VDfJ/Ts6Z51HrFaaZRAbawFdcuRlqcM2VZujsBcujgDqywhIg5+3C1q3fhYhRfs0mf
pDRzeYw6rrGI3PjK0ofa5xtPtTPep+XW7oZlj5qo+ZAOffu11cqauK81mm/KJnHOOj30fTJiaN21
jjUxMLQt/iYznppSeOfWrd9qPXY/aqObPE7WskQs9XTJTnNcOEXQr316E1lWgk/BX4/6UE6P0Wzb
u4GZ9tFya/Mec499yoi4+RDCxf7g0UOCZSNciDDEnZ1LbWBLgUZYXmk9+Yk7LDavZGhbeuAwNLzV
KnN+yFyrBVKdN9C0nQoLMgaB7iqe+2JfiAzXVBZrIujzyrw2Fs1/KvF1XI+J17/PiBqCYTNa8fOg
ITkM6D5XJxNfpnvw26w4OmBz3riVR8jYxoBiYNHs+2FY2TXDLjFv4mkZT4AC3vW6nomdBYnxpqHr
gaGvH/V9M7Y+IJtFS6BntmY8BHSIH7lZH/QcQGQ9dFXPrTNroLRHiAS301w4ex7t7mPkcYrdOT2x
POmA4BA4dxsFPaStOwpxfgrihTivk+YugVO3/rojgm36aMwjTQIgApF2ZfaxSe9iHcaPCBmXx3HN
zIc0zxp9rxV0gs+jHvkLO3bkf+WNGPFupu20t+nz/a4h7SRGxTTaoO3r7prOZ7WPM5wnAZJ3+0TH
cf1cFRpiAVwVLEtjUhW7AY/gbhwWyw26YijgIdfzfs0y7bYqRbivk04/NnPkfeXYS0yLn1tI47Qx
IWgjMz4MsTk8J3lY7iMiIAjSokxKjlCH2htnskadkM+oPgMNaPnqaOGzljXjhzQv9Gf4XQQY+5Wz
t7Kovo9Ez363alr+0qe44DH+u+aTOycHJEyV5FNMSdAUJGoeRtcc6l1jldU7M3Lqg4lvs8ue4qGt
nPq0NWYuhe3/HwH+5ghgiEsR/9+fAe5eyqSvXn86BGw/tJ0CPFnSS00e5T7luCzp/zgUCIOTALwL
myMjhDyH48ZPZwTM1NDrwTIyDPv5jODxQgZwOUR89v/liICv9KdzpOXhDIJeBPbYp6Mm2ew/G+zN
yUq4/0zn1k2nKLrb+ncocaP8vgRdr7+zXfo6uy4bI1pI5Ifi34k8O3xXinjMTiN+Hyxb4B86jFa+
5t+xgnVPZooUZFfj5SNRK6Z+pz2XUlUOX/oOsu1zvYa+Fd+Oi4aoEHEtIZnEg6wYh2XCnYfKLYhY
Lqg7aMlM/ZWNb8zPD0sVda8enM4lOpAzXdPcIZMNDa1fjpNbvmhz55RzkPT09KYDbRlxW8MJivN9
SUtqeYDV3xCOSOM7FY/YWVdMhsUa6VVysjO0LofVF5qX3U6IC4ruFpVaX9yvPiOKW4KtWCrxDa/D
726BPfZY55FXP+PLc0eMD2J2Wk4XPeyhFufGKPqbomZSfrPAC7VO7gLe/iqnwLXJvsoS8dVD54JL
zvG9xLRvMi0yjffZ0sZF4AxruH6kwjWmdwlDEu/BDDW7vE8cj8U7BO1tn8woH6OXNCFS+y7W9TR7
R2Ydh5xMSzl84IVPujjapcaSFwxmQgpl1svQQA4l6CLXee6Ri5MaZfOYEw2P53aaO5lwMHNmZH8d
u/VMrZ6lR7dthuE0ek3hXtvYQMZrtIcC5cGU+dH7OSnaNzaFND7VFF3jjTXQEWIbdrPprsVwYrUB
iJskPZmZM0wngHp5fYtNJen2ptaPBA+n5PyQqNRV9m1r6qQJ9bRi8yNVYmvfdkZVRTdQG8AeED9r
iUCrs+I1rgmPPhAL6bH3+ZF2SnNe5sqgwdWx/eNbZbP2U3ENwLo+VF1HccnHy2lJTZHoTr5bCXuv
VW1b7KLSGNE48PvTveMW3osR67hMAdetrX+bT0YXOeuBq9vkab3L5JTj2wK0qkyurGrAVLmDbdmu
9Z5siEXT7h2u/ZR+r10HGMBQJobkVKDs23GO8lEVIQnLnkGoac2OOq1a70ojxh7El2WU7x020WHH
dz04QI3rtiUoctWR52vwNcxDWGDAQOFZkPoEI4vgBnEmIabSmpMxriH3jtfSfKTxFCMscnMr8oLa
mFJu82Ht2YNDzCM1TySg6G9dA7sJlxHYDsEdQYmW7/CWEtVKQmVf7qKUYN6gg+g2kEZK+Mbvwlgz
XFCxSLLfJztlIrkjeMl4H1omelf0kZ7zXHhj6ZY7r0jDh6hoqq7gI4fNRyBzdqefuzk0rx1r9SMk
hdVUP/krpO5oB3QpesqKvoYuko1Fs0MQS6+SYrmtyfDSo+exEevaAKys2nu0Uv7cgxNcGCEMY66n
H2aZ7XPFXPPd0sDL4tjXeZMPUHEX6ybRGjgggD9wtf5/a/zfdMdAFPj/Y3vsfihfxuGnjtr2M9vO
6Oi/AlqGT41JAXK53Mn+2BkN8avjCbDuugSZ2ha70rYzeuavOuIj7E+CvFjddv7ZPbP1X/HCORaA
ErR1l8ba/6F7ZlyiwP+JO2F9AMRgOcIyXHgnFNB83D+nlaS0RsjdyswnQubmoT1Oo7fo+o2uAfKz
D+u8Vt3zhBt/eBONjZFQH/BpgYhXaNLMGbvFeWDqLiVwCFEAlYQ+y657SEoDr8p5zFwZkke0eFZq
VxyATedUehnydUQkWBJNu8Iu4ypNbll1dXbIL7DS9qJxJ2NLJqmbycrMMo9xCd5t0TEbd8uBdope
TsPyhkJDSxI5RU2r1fhdIzoHC7xr1TL+NSUth/Fk5klBGWcW+VH6MBe4eUdwfgjxxST4TbGI9OFN
b1lXyazqJxnpONfYpSCq2M3QnjlQpmMScOC13Zumkp6poDHxnb4vY7AqTHLH2MvDgxIMri2J0Fgp
i8K9n9AuricnN9ArHRHLrtUXL+qlQAdrV1PRV9FJ1d2Y70M6ltWDstwpvysFv1Sml07k59dkdK7a
Szkzx0DffzE8aPT7MMBQyVQPG71046QKy8yX5uTg/k8eCQyM6u8et11xg/GuT74UDCNJNxvcyiyv
/JYQ6J2SCnlFIYqb6qIBrGsH/2bcpVrznISCa+kVjZPUgS5TGPgxjbcbQ+ZKd0WdcxUb7o2U8xEb
IgPoMm1+R6wtJXI1eJzWOS5oYponxEy5/22t9L5PDhpWxLXaZYiq+El9lFqhiEYYYLKC0LKnDZuo
/mjAcdM9R0kq9VCbMpihn4QL2Q0ZNxuZSOYq4wHqxg4bNNAhOeW32WDmd/R6pPacI7q87gT2OFp3
pceJ9P7lbccYdTPmbFek8jrUiDtr4ehCXHxsMn6lBTZ2Tn/IfOx7JELGC0TUoFW6dAgGafeMKl3e
wbNthCEZpPRPjDpYEsqOg6CZF++V86GNGp2ahRC5Fp8uj6RUEzFjj1/LdXSKs+1pVfzVbyMPd3Uf
gYLMH8VAh/jZaOqI2V7D4IYnoGkaNJBdvfBA6uhEu2cO/lIV2YtBvo3Kcfrh2IGq9Qh2K/FundFM
OUPKqBoW3bVDqHB9Lu2+DZ9jeI36DSL0JPkCMt4bDn3tN/pNv6K8RQblOeVrGyO9fA6TJXcA1815
fqB1x4tKVf1wPZEwZwfagIqHmffclVdzI91EoB1dc0ry44/mt6i1vj9YICyOGPAWvJNWx0gzYLxo
nlIhmvxcpiwwwCFCke7F6IYxlUXjfcqTWt+Jrh/FTmR9/ewzMbL3zbz0QEm0kSZXrXefE62rPntL
5j2uejs84HXIqQ8Gr6a/PBJdXDkVvy3WzPA+YlT7MsyedjBz1/7K4Lm5oyuBOMerdEJRGQaQmvnO
EmtDgXwD3jMdbgWvyHqwCLfrv/hW65m3JVaTvj00Q+z09+EKwVR/1xtNA9WAzBMpF0x7vEfNcfM9
lkoMncxpw3pVGKPUraoLacu1+S0DK1J+mNai0zWc6ENcXv1ptLPNVv48S/kLWJuK1pEINJlEIGNH
3L+OUkY48D5infQJtK1fXrVVL/T7JULi0DG5GGD6LRk66GLHmFYqUFlOhXPi7CFF0Ubttrzxtom4
g1f6FtFDaOdttNMqvCfikZYyq0kyteOAVrBcwuVvMPM/k8gJYBKCeROZBp5rmAzr/4JRo0nsrxh2
8o8oL1o3vCpa32IIj8zHjowng2Fo5f8N+V3ujn/aPeUqiU5VFwQYQ4/7L0B9q+ZkhiMl+Tisiwb7
ZnGQyNAPImiCPHo0JpMjMVf++ulvrtRfcGx8WDkbpUag0U3W0n/BrueGkw+j0/Uf6PMPyxEuQpZ8
idpwcGA4oxArn2PZhNrZS7sC6PaSkWcvFIhcYdmRwhDEHVs89BWGBSHsn8WePnCCIjp41y/YrZ8d
GuvlldeBSt3FuFyae7MIU2OfARD6T8rOczduZGvXV0SAxcy/nSRZyZJHsjx/CHvbZo7FIou8+u+p
ZgNnLAM2DrD3aOyR1AxVq1Z4g7UnHoe0ZrpwcR8AurWMTSy/sqp250lP6K/oEwDvRRCecFHTWq4/
FqA2mmYngDZxiY1Vc1lkR0TAHeLRxBbtdG5yFwi0l75kuuZvAo9JLl3JMetPa1Ss4bNfUBr8DOgk
9g9d0+jV26OBAKbzEEEmG7wPk23RaK11VbavpeXxS6IwbNpXHbLD0enOwec4yPwlXyrkFJorq474
iO1qBqYMGfcxqJxibWrdbgURIAaqsqxpVHPdrHz+QSLGbE8Hz4s7hMfsdUGm8FiWw0BjfCKMnxSN
WXUEn5c1TxrSJOPAVlsT4YmU5pBod0y+qJQ2IGZ/58dggyBVH5yy4T5rx13dnqR/5K+kmQGSf4Q4
INwzX0T4qXFGqNxgdVs+g1OHFmzotxY4R4B0/tPM/m6fjLkp2p+FO39PJUPIrzT8IutTmPY9gg6I
M4x3PTaP1Sfagai4Tb1iFLhD/SKwb+EA4lwKogJp2QemeEhDt+G4qAdL64lBElaCFc8z1aE60i7l
0zgYNNodyJopKBluBCZpYQpT3noi4DLADhRetcfuy7zSBOU4BpdYvpd7mrseI6BczjxWauqxuR57
waorpliHzwCaG1GdAKvyzjP43ci3lm0v/2ZDbkbWv+5iVAeYHSMURy4u/N9gBnqa2E5B/6nFSgpU
1JQiG4dTGzWWu/e9XEblLbkxDPJDh93jxDENBqNHjwKNcYJ0mdgJGe+ft7j7vmmFzY4fAov2Aj8G
f/TeLMRzcqAZk5hp6qeNjdwdZhLd0UFKv32SycIiskEtFtl+qma3uymWiucfoOQUf2w8e7YKKPRm
MeQQUfsHFDIm/w7UCTOu3UjSRRQe2gjg8amd6ir7aU/D0D+YQyf5gmRHNpP+uktYriyFQHf3oJPX
Xu+aXk0AVBpR2+LVhowzfBN2U8jbjGytfUGRoQEfJZijfkFwSaKyzLisfUV0w3aXw58f0a/+SsRA
TilsLpBphM0gvPe1Szkrkux6tZ41Ahq8sNr0ApzroUZHJty3bRxO62FZPfOFJoFR4wY4CWD5L6/q
nWakuRCM6AGSA7Fk6hoE5kL/Y/kISLJh187tp5oBLLsTLmmXYQGMWMjy0RKZN+BnmCCz/LRGDU+j
Q5CZ2Is11BqKvWKSDPHMr6uwvoNt1QwnjLW1aID6egW4S4ViX2FGXdgi/OUAM53PXw6wyCH7B57h
eo77uyVPpJSyAxTPnpeyW8kPo+xsSdljlhvDsalWQ7keED6msJtaJFf+cpC9B2+Ys5o6luLYpj7+
Tfp0gS5Kr6NanlanwGbMdY1VA29zrW/nwaU+9KzIpM9BO8Kr9SOMYFaoxmjT/UV29jcYCT4iIYAU
1F+JAD50pF/f4dLlo8D2LHlG9iDR2T86Hpz6luqNKsMBPkzRC5EPpyvS2cxlcoXaFKIty9pQ7GS0
XzD2aADD3Qb0RVliW7F6+UkkABo2VFDl5G27dBwW9OEbjOY/WWQO4B1AzFZV/q3xEqFmDDCw1X7t
lxlSzlYIbvI5F4sPpYMxfCzrJA+nY0EkCoOjmzqrxAg7S3lnJGMbv2BDC1eJdIIrPfXa+qQp/3iX
w6b27zUV+drRbvCSuUKirpFfLlISDJFSjMfP3r4zIsMIi/IsKCouCuT4cS3R3To2E+p6y4w0QsiA
f60pArN+ob4Dqc2DURFiX8FpiDpIKVmzRpDq0ZMK2aaJTEdSyQ3kyx2hwrxfXAzF46OP4ML8T+5n
YFqZrHbO7UUwAd2Itsq/x7lqSTVxFMUuC3ltabzuUMg0ZjPz6BmGoVpLIwejo9RUyCrU4GSuhMoG
0laLSSvLulfhqkxf11CXHPgphP7Zq8yXP8cp71f/I+KDCeAuIYIeCwAlg5P6b3xYiiVKvDEanrst
JjEGA2P5TToIvfybuEORp3s9IFSFEtWQ2vuEoal9BEVuAdH2isDwUty8okcQLa1BwKdOasjFGVpw
NlATu2uS8NaUVMD4Lsybvp2Zv9JWTbts2cOXyAZnR/o369sg9/qQKjKmNr5ld8qOV9gXjnMVlggz
UjHBX6AEZ6BpdR/rDFO9lzwjs/5nkeUKjn4TR/eMp8R6qOUqWF0NuS4MH7L/3r+qESjjdXajXhN3
R9FhGi2aDsX8qZI4YP0lijBJehfHHNuOSPkRbsZ/1P7tCXP80mpj4z1P8ZjSfwDYExbOE3bZ2BDR
NE1ZvxvEfqG3xhoIhgxjmk0IybIzgkuB0D6Cz5njKryDYbB3+gfF4uohkoZPtEAfY6nZsTZq2fop
cBai02ZvExdOqNC/6ALc9xa0JkTPW/OpOFvsX+o7hGHbtT3mrms6UTWgD8nhS9qI2CsSz7zjC2B+
c5vfuIr1qMLwFi3sYbJO4twly11DAN05oEZ51BcWoykSzAqvtSnMVI5j+zUQsCTu77ASnZuvJbxG
O2AykNHEi93ZXMMG6xdby4sknipOqRT+8PEiDp+1YSW/1EFkfulST+eWR7RY0roeVDnoVxvF5/bk
Ta1vNUCYAnMXSPYaZvRld16cAkaoLNkh8lpD/GwiujrjkZ4+9aw/12aRhAoZjnB/kfrtcJPkAre4
u8Xg1EOcRu6KjPrjjia5U8w3vqApnl0FjHKGj7pEr7EEKuScw5RyzWrrvbyjxk5QgimvVexYVr1L
zi0ymEDc2yg6Gh2CER02PGPAkAyg+lkWacjjUC0PbtNZwY2ak8b+Ttqa2f1HMEIsgHxh/BBerSW+
my91jmjvCd8xW/1IstHQRDeCZR61EWeVteD/Cv3MAbsnrzfRqe0bLhYfSQRol7aSXxpuWd0D1rpZ
UpG1X3ugSxDY2j4/c0AxgSGBiRFQQuygCIV5M4jDGokcVRTG4bswzIcvSYW1t9zNouz4gkySOdc7
IGPytHQIHNwgKjNZV0te6u7mz4HunZI5chzkQIQ52soM2BAM934NdB4ab1kBv+Y5r+OCY0Y6KiQz
JiYbAvF2iK0MUBtADt3iPiMNtFTyEPmLeWXC8pAIB/cDuXw8Xqj/f77C9/mOAwsqDGmr23QI/MB/
58BH55ZkH1zm04Q8CYifkXFOvqtsP/Kv226o85e8UXF4xCQgCj78f382EYosR5hmOxZmvz4cOueY
Iedr9BTEco4/5HHdyKdUxd4L0zbtvnWL1dNuAWT6N99B9/0BRIaFC6nNIJ4oySj+3UfT4e1delfh
k5zQMEp3gDUm1LBKv3rN5QLfUlgj/wqXakDAKrK/2apK6OEHek5Oop6C6ICeAxtp+3cHAsdy27RO
4Xx2Ya7Z+ybMu+FuLC1INXOyuskXdLCn8lqXKRwM+tB6PuSzpaJ15ztdkAE2tJzqQwsm3v3ReX0X
XCWj3dq7WSIRCk1o4p+OXCAd/vklvO/YONQKoAE8MArCBZVg/vt/UnUYMVpKSHJPVepwRu1KtQDn
32XA3Yn6boTQrn3wCA7t5z9/8G8rT9jGMSrCUZjGGsXCrx88jnpJ4EKMT2noTxrYPqSizxnIpfyO
Hnat92jYBOUtjZUp+8u2/O2eGRORfoB8oM51/PcLT+bdiAqYFz/VY8XRhaaNqVq3EK/AGkM+2FKN
P9/xO/9bogF1EVLf3HBgMPwGA/7fZz2H9ljIuLOfIkXh/V0Bc8Ps3cuxIQZBvBoOnM+rQO5ENN0q
sSVDH4whjjXGmGXHQga5SHe49tWqvMvzhhALWNJk4h55rgxOU4VdKdaVsTtNLdLNeZ8oziR4Vuvf
WqPvewQOQzo/YlaGQwO7yHm3g1qp+ySoEv20GRjYShJPjWKF+Aa/v0/uF1tZiI1LsTjfMnoW4noe
PKSD0ZZyor9EEmEWy3/LNscMJml34qxJ4sNC/vXJUlvkFd3r/AnGo9UAS3aBEzyHZTJa1f4i0eGH
pGflrp5hjaHnB8S9+NcaWtCmR1yn07I7oTpiurgp3sHl16hXMKpIf4aW3/HnlfC+ynMA+dAcDTga
sH+N3y9Apw4qZE1r9VQI5GdeU5SoIBWKwFR2cOmK5C1DoUPdw/xmKiXrjhEW2gnMOP6y+8P3TRWA
SAF8gXNPxTzCd7uww0lL9vABn6wYtuDHhXHCvIJFmQPvLcrLVl0JHDUWsQM4bjLsfAhWwJxxUqQ3
WgfBfA2SBj1h1m0Rw5E2XHsKWxEfgmIIjr0zwUtEUzpjKrimeRUeIHqB+nQx216uorhJAV8jndBP
39OxmyDXgNi26x/VQh5hWoTA+7sdSjkOeqR9P2j3GrfAHt2rtBng8iFmL2EM+v70TL9sKv+FG0HX
UNGUig4EXLa3lVnQkAZcFZIvE4Sw4cgwM2YIR3Abjhx+abefy9AGFznB9z6MnrCg/8FuVIcuGgZ/
L60kCU6VSIjHbiYRzO8AekTwS8xRkaINjQ+lj0/AtYuHlr3H8f5cT9mV710DD+SfkAuD5gZU+eJc
9W3IRZc+BIx7RlmcFjUqjZTOkGK960DhF/VBe2Gd7KakZyBGrkXOMDCaGu4QOeZvKvxcp0/RqFpY
CX9emuK3o9Fh5QM/50hgH/0Wl22UPYZs8ORToQQfKFXHkXexO7czmweNnh9Xm0GKQ9mSJqidgbrw
V3nMPIjRh6yrcvny56v6LWK7YeAx+meJxrRn3jcjdOklUZVO65OyEg/3EfLrSkaoRU6pWva218vh
CXcDf3z78+cK+/dPjugDGadexw2Zabxrg/RYd9PbtNUT8NcCQ/WLU7HKkAg+eRnKGChWLYmRlatz
39SntPMpo1fd1RSDatPFjArcRz5hjolPRgfoVX1mTOYMJThpRPy6fc5aEK+xD7D8Sz8XzfjokzsT
7OsxHuNu7zerTo/N0mLqhc/C7OMIXVaRx0Bwjs1aY3gRBVTIWVydEHVL3WO9JhYQubWR6QM9zkic
Mjdg/BnQwocFmrvnKinytADPY+sxf6CPbnoDWx9mG9Q7IHzWV9IoM3qWXYXbyaF1c9On4DOITdPq
mHkvrHvTZBghOONZwrFhrkm0LWNlhEpZscZZhYyW5pahshfhSES7+Lfr8/OiX2jGzuS7xqp4Llt8
F45ON3uW/Ig6tjkb0SCw8YW017Be0U1LjSsIp19hf7Zyu+jTO5VBrUHiLaYhNX0gw++Da7l0QyFP
20uprL7LMZeJ1zz/zi5EDAezHeQ3M9i75+dojYspDy7ifduwXGRxwFjSSgUJ6j7mnAGU3DT1aL2R
mDvRSHcpUOW/I/gNiqatLbg1E+bNDugC0ciWuKSyI5Omu4S+jtG4m5fY7ReYEvB+wxtlBOtPKZ35
4oPygim/XwIYh/socVR51dVhrNFqZrRgfbooxi15HKwPCDDRzaiwKOHX4+fTffrLPvgtKiAKwv/Y
BjQD6ZC+SxOpnaBgYQ76ZLD3yTf8qq30XwyX9IQQIb41pwBPF/U/3Vvr9yTzZPPqDxarrfMVpvcW
VIws+0uk+i2B9HwfIBEquWEEnPW9SxREAD3466ifehQjWJBV4zBctZEMydoD6ges8im1YvkpQPK7
+8sJ/tuMxPFM2uqFzCF8xMLeVxCtvXqyA2rw1NSOyJddOovIk/vVBbTxvW1Ht1d7umpL9AmWvkml
q0maL6MYAkec5hnAzF8y6uC3wxyHJrIgwzIkv4zevyQqa99Kak99DN2WvXDA3TGwbtsziGhxG06p
DWNUi9Bo8EUty6ijgsdFfMEWQV/RCFjHdW8v0PE+bnK3W7vVGRZ+gpN79b4GfjkzL70oBMpE0DRj
s5pWw8rU30QQEfHw0aknq3HLHpehJh8gGeyWqmDatIsLa5jvY2El6RfMLKjVgB2i79vtVt8hdtoo
/ow3DCuNxMtFa2ZaO/SED2l3blWCFab1uszKNDo3XSlNS2F99c7AKExSSPN2lGyM6C9yY4j6LOy3
S/cwa6xFXaOFHdVIpIVggXfZ4PvpcfVtZ7lFMdD0GC/haoNHbR6PmyCrmntTMvh2irxvg6opUg5F
2TK+I/xb/tghmUQqid3ABORC/MUg7beVj75AEDGggOvpg+5+txlH7JsWZ7XFIyYmnX+FskOqXxZY
DiRBmuHZh8we0+CtpZhvb/8cCBCLepdqU8BEAXUi/6eH+9vCV0ueTXm6rg8N8gtOelOifOqOH8hk
lVXQVFdGGbC6OHBuDSC9qcSpTc4waBLNoZmjp8MjHLVj8yd3UxQktHlE8MlBGgBBrynQ9I9yt2Uy
eNMoBFfEQ5tgLPM2TdKL+4Pb12MLFT8fHGL4PM7mV4JgMubZzPkhtl1fVCW7vDS/BDElZjYXkTjp
rbIn3/cLoM0X48FNvhsSZWXE3wEBcpKEsELy/vNF6nJcdY71o715NbpWNPJhzViTD9BbX4Zml0Cv
871THayFnV6rum7H/FOQN2Unjo1ysdTa6VFkaCzNNtINEEDbOp0+obrfga5zI8auzzAccdk5AHJd
6uE693wEPu5017b8YrsHqJOd3NpqZ/S+Wh+pqCu3R6e72Xmi0WTRmCEH03Okg6qk2T22uX7phMVp
/wwlgU7OWmJA9qIafiZ7XmPR0uldu2W27iSorsXDVYVjbv6sy7quS5j+Z8fOGP1IPmNcHNFDgsqT
iCaWBo53jcz5XH0VNaK3HOJMKFC95tOC1ypNMHsCj2Yaor1c8aK+radCJycHjhUbkok5K3YGKpFn
NwyPzO2OE72PdB8tsYJdWvSYeaQHdHVc/SNJu3B6ZoaZxe6NHUHBexmj8pxubL+PSb8ZdHDZsx/s
aFRzKYsoZyDxfbiuXH6bWuaLTKTNF9FwIS+FakUBAKOo1+BbRa6C4rpC6Sv7CcNV9i9D5kawfT0e
xPSMgBL3DP4xTHC10WW38MSXYDFXEUNN43O34BmjNcUfdClJ7HvfUfxB5B7PX/S8oA8yTobip44w
dzXZczY5jwC2Jx5E4eZcVXyW0UYIMG2tvWZoWJ/0inb5UxlIs9BW1zd6BD1qcs5jWViTuckU6uUH
ZHXb4qctcMAl3cKqgxIOoFFmymFy+ORUTQmPjmEwDLBTBD+a573ECH99c3OmrfaxEbnku+2sJZT0
o9+Fd64FwLy50qDb/Qizqywa5A0VYRDN/4ayHxJvzwZefYBm8KmnZ5SfHa4SnX1KCFU4fGA5KsFf
RVibsfyQm2GpeYE783cFaLTgAwmv+QOYm4ULS4HX+2+y6yx8S4c2Y81CcDNSjduLrXko/Td0+Nzx
ZRJID74AL4yqLwH16/LkT2MbvKSFY+5e5oVyHvulluqu7ZICc1Lev3kjIUZndOk28bBYQhwWdxPY
Sl/sQyl61tkw0ZL7NlgapfwdWVBd/IxhVyOddF7po53mXJJTjuw53r5ZtHUAv+LZSf2aO5Rr35TF
GyZFvNStiGpcMNBv2/2hRGy21UD7JPhQMa7nl0G69Lxre545Q+1cJnN7zLDlK04totUQG3J6ipxQ
fu/1fXdw8FLrv/ZQx6b/Ra6dNl+34eSWxbuc6/KLd5bWn3ymAvcbwJYsOx6es9XPh++V9kjW0dMP
1ift9rATwHs4bvZP5ZG7eeheJcuAbYXfRhHWyvAxuh+XddVrzyT1sq1YKZeV2WElxsqcmw5ji2Ma
VDr9jJKRZpWhylwUP516yohvQSXMQg5EI5AdwLIgRcpmyhZjTSuKjKcOdtko9KblavowVus0xc8e
iWka4/GYI/x4TCLmMe0tYGFSzS6zK2BVXecXOE2lCEtyNAIk5oPrwUek/kg/0JwLmzMMLJ0zSG8s
jVVkd3ZS2EzG3aSgJEN9xK4f8VNhVOyUyLY8bfJNeGmB791g2BeZcDzfTSlUlaM9A2yFq4tm2ISF
ur+za1CVJC+o5zD6WeF920eGI9KOvqYFvR9jkJvnc3TXYjQa/9POcG4f6gTrlNeJIyi7mhV9Ycy8
Vi9Zv5RsyfbeDZq8+pYXtRD/gy3VT/MHuDN6kHvRZVVwb2WecQO+FG2NGs7ZzzlhKTBAax9B0pGl
jfFqpKaxEfEG+w49zXb5tma0AB5idK3UNzese18fI2B18aFA3jnLbtWs7R458qmJKUSLhKgxHoAo
cCBda1fVfQKNlS4GdhBFXKqDSs7K5j2q+JIptZB4cxEVYNbe+6jqxC+4OcbBTxoJxp7xoo04hZCu
fnhVb0Zo0eqBhijoblLzpajqsfSdUi4kCZcSy4csxTc2PBZMC9Oa2Z6z4dmnKjcl3eJF5jcx0R2G
u7XKl+42L+YluzMU4vSeTmCrHjcBWnEeay04LFCtgXA1Gw00H784ORtCuyGezN97P0+Dr1JjrnaS
CCe1j/E8MzhkRmw6ZYy+gXfaxDnr0wVZz0TLYI6xBuTBx0Nmd3rXt5yM5a5HF9/h+1QsKgzMzvPh
7mweUUnHjPHD83y2x7OMaSBmeOaRC1ybyD3gvXFp/BePv/MyaTC0uGKzYrdkdVWAOTTnR88FbWIx
W0txjhiPyt2idWO+cLv0maYCFNvBL3Cze4p0atJgrH6pFBRQcErzqu3M+Qo0jhJ+BUcIdOGCgRic
0MC0qxiZnnoPWtgUA3E3Enw6QOjAWazEzOVQDoBFYVJMEPSIJKQHJTua2ZdXFJTavCm/zSX3mvjz
4Ly6tiPH6ro/j+0GUvn5rVD9ChssAl2LsmgV4Fsq4RcFpU3LIrJpErzSe1AsEeSExvBDjSa5Ux1J
VOi7wXuje3GZkNoCLTYEjqFERdMN9o+YGxwalZUWGk49setpLhUPBX1erpuPmrwHZLA673E6czbo
1YG/ofJradP6o1ltUwuE7qo9Gw1UIAiJjyIH/dscWmYO5JSoRcP2fVJRTzy8jh3S/eDOnwSHyw2o
KTbElU3KZ/JeS+XFk6uKihT3MsWVcWumqLjWNzyicZkgjO3aYnGxB5gwovVPjYowaDxK8gB4nh74
UQIQxU3Km161NK7Bl7liPTeWtdxa4RBG5U0XB2wdTwxhfhwgVSDbH7nYZEkG5lif18fZnV35Rp+g
tlBnBwKg7XtuEEjBTkXhwkLbqiLLsVtIFn5CAlvt8IgX/Td4lGb54plldpZPCOVPTdybdYKM4hm1
kuTw4OCisE+RlU+SyKDRC4qrK6zKSSggemcDYqmbe0eYBzl0yhzhmBnBgDPwZQ4NeGVn4xzKZYMa
CvJHvU7j8o1eLAVhYZUGkX0uNXGiYHWSG5iJOoqP/m1vVzhsIt2VTof2zONhbtHJH/bkxPIbG5TS
dIM8hBM6/Y9huZh23/m3bdSFeqIxdz9sv3OtMCp8Ko2I6reYbJt95Lpwd+oxN9rmaK2aLZgGeFc8
rAwcm0/rtg+J4maUHXVICuPZK8AWtjcBcMXEuYVI27vhYwSnw8g8JzGv94rzDzjEcStWS1uZINQN
AaEGlA3YjjIpzs/Zbw0rCYiiAT5ccETO6OMOoMfmDHlI4pROZ4LKYabvmiZC8f66XEC/3Izb0F0P
BXPzLkzMqba60kCEeh9P3xJ9T5/8Itt8ccKNjFSOkwlhqPPaLA+r642aem23I4swqq0axlQ4RFAT
TslkzIN3A/2c+grJHWKaxKpdhhpELx2Popqi/YTNMF6VSJ217qTVfnK6wQrcQ5khPbkku1XCdFog
DbaqB5aJ0MKIHZo33gYRjAesCJH7imMV/20kdp6V/r8pFJV4wGAH6GPguj7DzfhdXQ4kb0oQ5Yg+
Qu+tI0GYLlMLOFJOTXxvT8KMNwJ0Jqdn2nmmZiA0VsXPwg0X3GdXH9TzvQV/can2nZQqeAOItQQm
82/S9tqqXZuf0e3iLB8RDi/zl6mmG35Ni3TkP/RhpmSMh2/j9Ma0Di297nZdSmrRr2mlTdCOk8ai
Vl8ZMfbxI9MgqHY715lhKhg8rSmpxrybSbyRNK9IXINQB0V1HYC4AMZaAT8lQU2gG69XnpLoj++j
tc0NTitDx7DZleeqQmyVWD6qkbTLtSUWZtdwy0iI0WcwVapbWWj73Q9ZCCcZkjIKa9Qh0ET3K4Rq
dCQwFE8pgzovjzGcLGkuW+ZGM54dWnAExC95LaNqvimwO2QksQ62FX4o6mZ0Houlpx3KWRHYfNkS
9SUJGAh2MxuQj9LTrOJjOHHCvrQVBt33Xof86T3pshc/Cta7XK+Sfgb6cERmk8jVWzUdqgOJvuFW
I4VED8I1nd77rdhtwPVx+sJ08Ybh1begDf8scTLnxnvmtc3BDysZUjThj9QF14zClrF5CbzcbDgX
QAE/PKLDWvzM6Qnw5DunQFPzHgwfhVTmjikVomAAQcWF3vjgC7R3LFP8oT5fBG+AXFRyamebQtPF
spYuwSZASoD0GIi6Aul6t8ZrE/ntU4puZAYoq64WqsSaSp+bsmbS1+nkxb656sYR6N2v5/rjUjeP
robctq+cmliGq3EevDV10p1rq7Tk6Ww3EMSzqWYmt0pH7JPPgqlDjK2Yd5qjCeARGSCCpg20eSSy
mf5Fw2KK5Nlb+dIvSEveO3EmeJ/Q17pGXm23BV+o9ov7AWyHRYLJAYcS0UyJol/wLDVTX13O5sWH
bZ/l5SOuU1CvbmoCOZ9S0QDlClw6nLzUKKuNrLDXZ2KMMTdvm/GhyJWTrmzDkie0Te3qoc7EHZj2
6ILE1bSxzTJoURpob9PFAydXWUPvPBp8D8M+jCBreSVpyjfOw59bb78OjU108QVkWtg5gp7fb7pu
dRU5M0we72PsF+76jwupJbIPrl9YXszAYpyjbzlgd4kstaWMTvvAhMLK9qKGjPLnS0GO4pcuIBcT
Mh1xGQgApkP0633zPZpFWMe4qj9S4RcWXrSQ9Wi19lWSPijEgKCbj0hLsawSuBKEF/z82JpRimyL
tZczUqTPWysnLinSHqEz8NTDJfFZgluHIoknvmmOXX4utkqqZWe0axIpS874UuxjdjadCRiErEAU
Wy22Rsy67p2ruo3M2dnBAGcrbR0RNqBpN5ELmvJ6jhV9IUzPaUPUvOBWgflYQ0yxsyo16zYHNsqW
gzk10zQrOUdQwcKxYPoO8BSGbrNmS9kfGk+sbEKvwTHoJ+HAhPghjyZD20Vag0/iiAoc/FMAF4rh
pJB/YDUWWsfT81K3JvyHo8ultxDjsQnw6GxFdwUQWX4T5gUZrcOlRmJ92CHKjpLWDkvlJIz/VxaL
AvfRN5Hl0nbBJ2G8RfMhKm68MRtp0Ce4P5gVb2QCr3VenJttoZMRAEc4QMXPTiHOD5N+aWrvAx31
lm2/9ZKtxuedGMcBCnXIycSoykLu+01oi39yWdhqEeywrcLp7nyiuWlrnnVnecytezAHxNTtiWP5
OmHSkEH5Vm8ttSsWuaXgpSZp0HAx6HTRaDjgEOAl3mkKHbpTITiSqr2lR+IiC7eOoqqyq77r6dMQ
07E9vu5Cd3He6hXA/lUXtQypoVt6fKqSZSPH0yjdKUlPOHxbNq8kq6Ji2SN7bFpkIsWcPd0Lr8MG
7SqEQsQrqcek52pahfpA9sx4nCZFjU5Xm99Zqpt4NhxMpk8XrYM51grmEbxlZtbcxf7SstgenA9z
Z723ZQz168angYTe9jmq+Bkqq8FuolXOUsRVwGyGXgC3fcPy2qyWjE8wwWRWqIR0GrW3aB92gLQf
YUaY07pJXfr6hxrPVf5UTVVPIySsA7yiUIhqOUC20KVo3PJ9tOzYRAigcF4lqMjO4PlQdP85hdLs
SspHOhLj0PNNHBGmZXNpRnnnLjSIySJ87FUryyPFk9H682LFGWPRXKC9pTQ/Di4jrNJdUVP3DcfA
0eb8KrYO5ZR0xIWtk8PEZeUXbALkSRYaKkUHTZR2blPQDSXvt5xgnxrYDoDk0pl/BFZgBCUnpLrN
pQ3C7AMnA7lHwgI8keb2NuvQAkeUx7DpWJ7AfDzezHYaJbhV6Bd/WUf3+c9B0At+i8hAB8n1kNCJ
GUF63jvwTFyJgJ5dmz0iwc2zOZRhNTVoNcrJMbz3YZxj2vlaVbNgaj97MAOEbzcdfGf6R5itZ1be
BPfb3WcQxs1usJmuobdXtnTl4e+XgmxwS7w6LzQd2QXTCZ6c1SSNfAlE6Se7uWBq/bMFbKhfCwuZ
yn8az+GJVrow6w04vgEmIBWm2ckRbs7o3an+XJQ2QSwKOke2pb19EqNwhTa85Psf3SnTzFt6GzOv
BYKj7DhbZYKwCM1uWKDetV9rhg8vuU01uT7OKRzeeK/06q5wLuexmn/4qCZMn+yu9pHsmGkp8LNt
KQm9VRibu1h0wO64XEyZT/zWRE5maEHuTHZFfpH39WnJi5GNuzA8IddxkLNFnAgbbr3edBgqORST
jduX1j4477Y6i867yBzJTQ6vARRnUTQ1E4gQhuYzgFdz11GNUGJ2Yw9xSebr6SJsu2NciKz8F63U
sf8RF4lZdyLK2VdycU2WlmwngmQGzxNLVW3sqzijZh6tAkHBg9YJWhFv22DBDSvazlE6u/lypauu
Xu66nmtYrpSGSfcNLmibRrc5/NAMSYXzcIbmvwkMAk9aG0mTGmI1j4rZ6dJCP8ekjC3fIDXIpWWm
HYwSnz+zz1A+YOYVfLAMttw7OWXrZCXK2405lXqLDtMj+i3YgLzIZdHuE/RVy/kSqZnhx+3lkOm0
mkxshKFCbCQLM5u5ioKFHYUQ+TIBSyYUdQwvzu3qyzcWtBsGAlEAuTS/G1Z01tCyTGuNhiK250n8
KCOa6f5hpotssoIpMPk0cO2Udx0DpiVv2cJEntbmOy6zqyjtHMc0VEAHJ7uK1JGseE5wDiGpbVxz
gJQDjA5vbzMlImRved5WZmVRVPAgoDKak9AqbFN7mLjtctyn1eiXD0mWLdV6NQAaSZHMryrnrYXA
Ulo3Af384ecse/o1B7sQIQM4NQkph9fL6Ijs+DxXiTualUZif04rFDZEyL5eX/U4+dn6RUhCs9I7
2URZgzI4YqppcL34bIrmhvmPSh6MuKm5gSSkFN6hYpUl+mZSubnoqOnpyGBerJPmUzqRAw/XGqw6
3x+1nnmxoyjMUZCjlMQ6L4CMd/oTJycYvt12hDMSm51HGgkmbF5810KMRcy2drUpD8be1av+OADt
8t90igcYuo0YhlIrwXkRN/MZjgaOvuEchG3h5/EXkF/0Y3ZFU3raos+XM2GtH+beRW30eu5llby1
1UDDBEe/EfLaTWOIRcN92Km5Q9+nAKRH5pYjfZArl4EGngzOP5jCJNh8HNAn8BnuHEMsnLnJQRRE
dr32SDDtRbTMvP5ShP3kfKiZm9JQ86CpufYh3Txp8g6Sqjgx4wLr/SrCwRS1VnIezzqQk80O8rzA
oxcwh2WVouY6mASpTKGh4gxnN2id3CROmor8Swtxos4/jljIdOsn9rXZnfEsTTawkFAVxZtEwp03
k3ESEyNcVCKJCg7tDDabRQuLMFn1gL0OQbboMHq2o9Hjd13uDkM5CmuqVtdsDVmYySXuJ4I9B4tS
yu+Absb6iaJ1VdXhkhxKg5jDWZQgjFGBm0QYXMOUys3ZNxc1xypCGOaeLnU4CoU1u8U5j//o6BLp
aTYT2Lbzh+lvT5DzZmqQA8YvMSEnh3/HbJb+ETccyZIAIjt/Sf4nIpCV8ojPBGJup84jmqf3YwCv
7lE0jdn7NLcZ1lHKjIByqtgK0/nztorAm2vK18iq4LbctENBs+ZD4/hd/WPrZ2TBkgEpRbm4aG+n
mGJGoJYMhgDldfSuVBGCxfIdd0F12ji+BuBVx7UwiUzp8NoHROem2mxTQp0Frn8ViNumhCMSSI4m
ejgRL6moqtFePs9VGobddWVBqH+GfeCM3u0GH3ZpkLJ6dTpoJRw8WSbqXjJSEppm6cx/2pZQfZ4x
23XjYWV8Vf0feWeyHLmRdelXKas9ZBjcMZh19SImBoNkMplkjhtYjpjnGU/fnwNQtRQqo/7a9KY3
kjJTzEAADvd7zz0DHRnvgcBQgs2Gt73npcuZsHPvgypS7XLhUMjWH7bGVxfT2LQlEZpoYY1vQ5do
Sco9lble/Oicye3f2YhxhvfrKpn9IivlSdQG3jC3DW/iYHyAa2jzPBBAt2TBH4eBVha97dJfrJpH
0be82ibQAW8w5jEZHfJaCsLNWla+E2uUyCtcwl+mtucVLWCWqjZpNUJn19kme9gAMJmE7p6o0VvS
EdeS7mOCAtmzNgRAYW48s6wrpcvAR0uAA3N8qv0S4qRfdYjDQMtbHvqOZtxkicG3SMdvXgXnfNo3
3HTu4AYxBDjs8S6JuWREjbe+xxPMh4LJtiIGqALeW9uJMMX0PbxleGPwMkmy5XkfxBTy1FAmtTyM
yRvV1ocwQkv6XUTMU1EcbFcrBW7N6RQQf5Q2HOBVF3CYuttAv/TUoomYMfQZw6QJGJrOkj5fI2Im
Zwb5BlPeFN9UMWlt96PwfFk8lGLQ7PzUr0ewnYeCbagvNIpJfKHoXfsTREx1l1Sfzbu6tRPTUhDH
uILwHQpMeHij4PhRN5Fcp+VPdQ7dAKKFRmIS/Oq5xUT5xLA4K7UbD2yzkkc45sy0blkQTJchypRR
+lxEOs1VpFV+aVJ/KKpQbTFgeqzMVh3ADZIyJuF1YSYPSCRUGTb1Ah+mHeNatbF5UD7kpzRoltqn
SNWOy33E6GKvMQpgLB6KjktOee/801rc+7pU8FIXuTN/0fokgAaa9HYu0nK6jZa5v4BBAlEwiOmj
1xZj3aiSwsh5nK6yYcKdww/VkVfYleS+byhRulI9RBrW1GCCIU38y8LR3Xtsndxu82OGawzex6xN
K2/edZgW2+5ppXKse98oXaWiCIguZtWndYf14M7x57nBJyiYgtturALTQU08lFW21ybRWO0uBsi2
yPwsRed5ON7kZXA393g5ffCWKXWsZeCt+60AXUGseaFT8HrBk93Z9HJ4f3QVgRn5xTdMtVVsjWAD
xY/VkcuqG/6G9H8lz5cmUXUwBeE66450sRm90m50NMYEf0TWmwKgTr/oso20g8Enxl+8uFU3eNWd
5/gIsG9ayEe4MBJUKMhDGXWCMCom4um5hy8TnNA4jMWXyvOID6sMu+H/BYLj4Hi937qiXHLZJgxs
4ZDSxYGJeuuKis3pJecszvw3K3wE9SJqAPZgLlbfErNUXUqeuBWXny5gHHEovMUb4wTyMJDH61dk
XqNgEOUdxYd1bAtW+l+4cJQuzRwHA9GeBJqQ79wW2HFEN7hSKtCodSyF3vhjRmzHzrVriyOD11fV
1xtpaKvJmtlXbJ/eY+z1guKdsetlIOPUJRZdb6H4fg7WwoJ1gxX1YWTMQb889ktNWjvqXLeZxHJk
B9hb87aRDVjyaa9/3+t+12C0QU0E8od4CZLy1QPA6JErLOPhoVRUd+eicVdgXCDQo4XXQNbi3Yqb
tFW29J0WQa1A66Nvv7x+JVdSKtaCBA61dLj5ioTrXNPyDSC7zi3i/oGctYEFZ5EuA3VpLaS3tq1Y
2By0aZwYvdl78jC7BgfPdpGN3tRUxUbgQJQLc/6byEygjThOAfzzhb/jzTgEXtaz7vVv8GeBtvoC
wG4mhoaYS2E5eO1m4nV1WftWWz6UC9Mra3VoNHuP/AaAOTz/wW5e/8ArLao01WsP94djBMmPbjtX
0ylcCGKZmyJ9GMjJqH8OBIil0c5YiGiJO9JYm8tAAxvyTjp7mGMJzMpKYw7F5shlkaPOP80ORNf4
G0D5z4zW5do8lpXH8kKGiv76z/otfOPrsiPZ62EMpGoKTJilw7THfXXEAnumBjYfiTugBXDRRf/t
x/9lRzTx3RCQ29lUWVfOtX6Mc1sp1p3unvddwcMq+IKyoY0NygZoZSwRDihV/qyrg7de9VJTZ0Jc
xM3f4sZsYa9JzeG5nt/Q78ai25Hu63vPjZD8La8/U/d6FdmmZSpePm5b0rT/4rflC6/RM70fHoxc
MG06bxxAaeN6ynXhJgw9EkGP+RiQX85vRVTufD+vbxWYuDbcYqJWBxSufF4hfaEnpuTRqup1gXtX
/DxqQXipq8II2fneApqE0L3Vf7Huq7Z/oIWgE1uxJ08zQM8Qpuj4s99qk1sa1mGgEuq+Tgw12cXo
0RT3wYf5aX9qo1o9eF8uApENd0CZw1keNozyVVXZ4ER/TOfIMauHDWuXy2nv4BxCdUIRpg6Bcm5p
7NrS1MrstMKvMZQBBsMLCDuuMJTBNbOaF85euR50kyWXiVpuq1HOWrPVy9a8IquaZEAEZjVQnNNb
rzDknAdl8pyEHQSWlQbkb/SdlIwxHODtoRpOkY0cglCJaYaPxpga0CuEfMwasjtfNfNQCTgCfN8X
9qOOsNKnVcxDuMKPTKdQYB+wjfElJM8qNn5ICdcsIvISLBry3Fioygo3K0WlQ+7pUThs+GuS+5T9
mDIqIWSG3pYS//U1+Jet2MZF3LIcHqZwsUy93lcgYdkmwR7xg8aex0tDoL1CFu0pcqh+GDEDDDyu
G0yxsgK7kHIV1rM3qV61JrIFqOn39nTlBXYzFobOjg46I0YbSYuqKmYjmWLMTw0knKQzLNDy33yZ
642IbZFNgIEWDHt2pOttGda9LMI0ae5Ln8KccYzejBizCazl4ma3XTjUzJYIi2gc53lXN7oqkqql
dJasPR7FMBeq0QirTo2hfGgl/bus7/hnPzJegHuMR7v8NMiS5f36N1C7+B85CLaDxYmDHtYBhdE5
If+8k2qaoCdxy+Qenmwjq4PXGwwHYMg7qMfIYI09VkC2oMOvf/BftiKlw0Eox/Zp2i4C1z9/MApT
8mRrYd5VZOtyflYe341YE0WAxhaWjej1z7ty/GO7U+cYK46CEGDI9sw/f2AiazyjCkfei7hVoFxf
hertZ41jMr83RuIX2z2opAVrVfjgHBtzuK7rkHaq8CN1yG5PLJymFblt8p9e6ThzuAdVUb/VxlJh
WNqgOzRNtDItqYP2wCm7I2NVH36Wei6IZdFTh9fu9e94/TBZhhQ5tmdQrXN6X79ao4DCRBhtcw/X
QkHAyHtqC+QMbD/F/RzHceW1OyuhwOsfrB7WH1cR7ggOwmQdsSVFCm/2n++thpuJwzQmvbdajgCm
pqjN1MzAVLcMkwo1pZ1rMqoMDEhh40JLWenvr1/GdcHpcBhLXNFNzsb/IPv0QBy0oI2q+7VN4791
HgXKDIVHQTXLzPgSLnOCkYxuLm2Ark1mUxYMzbfXL+V6Y3A4rQRFgpLdYFF9LZS22LIi7GX1u6RK
1UEKJ1KBzphysMyjpqTTWHEgUTqKx/D6p//leVAauRhbYiBAv+FduzQEvt0ZOkl8lykJEdyfu7mj
mPBCsEfkHUr682nbX1A5s2jXPvr1a7DUQ//jonANWhwlhYWEwJq8tgUM6J7jsSj6u6LuG3k/mY6e
R0fsEz3texk2Vs4ErEoo5XZWnfbJ9yj2fH7BPDaJwqM7QmBjn2zGWH7NAoS1IeL6ZaQYlCOrq7U7
hWM3g89QfP1OTelAazmYAejIY+05NKeHBkel/mNbVibRYmNv6eX3zgN1+hjnnjrkykUM4S01W5Hh
0Pi5hC05OMe5z2ma5mhSFIkh6kjQKtypJRQLgJOz9/W7db102QE5S6BswI5DJXj96vo9mHOVZPFd
nzDCUjrqSK8qiMz2qCP/AywmrKsRjSTzqNeiKpiAKTJs1e5tM2vr9G8W0PVOQtgGT81zlSsgatXr
UeVQjAFWmCK8W3u2lRdfrJh3tHQgw+ir6eLrd+H6UHBZrNwIYxGLoYe52qNLWJ+axjZ+YU4dIZqq
go76Z/HUJmZ2oLz5u3KEo+7PyxQhKG8K/jQW+5brWtfLFAfQGsFllV+mRldioiLFtfM9YVHM4UpA
RCcdAboGgo2PRB3aVCDE2anSntBWVRQ7Y2dX/T4YIcjnR831ZyWRwpiPDbgmCkVJCKrapTJDiYKi
+zAR1Mt+pJllU+OTWpUAzUxPmtx8RJ+ncOK11kxm7hbhtR4O3u/RnCkcYB1PE+Cp4GFnbeFXQAxs
T02rmqby+aGVFtFnmGwxDs6NjvLC1TUAQaKT1S96X2cjWoUqSFDVFwmZXvIvPQzUybTtW2YeJXGw
wwtXC31E3IqqSqxGlBr7trHr6PPKzVgbGFMbObc337W5idUF6SkDT9QeoQmXZA8xo28goXmw1S5O
RRsXPm1l+NZD2FahYK1okSQaqUjzdqfD3SgSfLTmwCaHWpEYyUOLyKOSws+Tr9vKAHZ2wDJMw0gT
zKqCNjfaPZ2NJj8Gk2RUsY8nLI6nnd+5jn/r64kXpscwY/jbHpu4n7KneZgD8QOrN+ofbKGUBMlt
JnTcN3kFzBfdbFzFLodQghzFK5cOZsphN+C2it7+3o6wBH7fCYhW6V6mCXSCDRxQyAJptIWBiZgK
HYRVukslg1mDMC3eZcbRK8EvNQNtPNs0XX2/y6wiGp6HGXUHgY/L6bVyI1fCEww29bhGRrTc7RUv
nJa59+RNagdFpWqm6GGqGVpR1YiRZ4wRrwKsFyyjz63MpuosJ2FWZ6TpyF92xQiPQOUSL9MUEzSJ
n7Kabmb5M3QKGpxo6Yv1w1aixxjpF8XbucwZw/1O4hMz4Ky56OVWfRs4KCOhdeic+RUDAV5Jq/3o
tph/vJ0hHPDOtKGmjqSNgdmQOD3tWztTUx2m24oqGFmz+ldsdgo1SjSTsw28n56/Lxin8FsrKQKv
BG7+LIHUIfshtoUNtCrcetug5mykpYZ3/Sor2+behMxJrJdnyxny+3QdcqxIhl1aDf4ZtV4n7L7E
pfGYVwZJs4DimYk576OHQKY7kcZKFPng911zYD5n+3cJbEyJpwLTtzNDGMUrTVxLtSlyGTbkdClc
5tqlrKObjbEp3KHrH00YFxI1FFGt+iNmsbSsRQ7b4JdZCMWMWOFvKBgN1VUta7X9pFPIjI6Ro3rj
HREyNIz7lteCUeOErxxGtuj0oNiYvPhk6YFm9LgI1bgro6oyjNk7b8UbvkGA/xB0bRci90Dc8aPM
A9W0DIx941+DD72gORaFnXQAmS3JQ7dwVisD37kGeLk82GJMtJZKoxOU21PgEjLwEBQzzeiuXlki
cK3VMtNSQmBJBELCzb82tV9b22wtUe2pIUMsvCEiqxWX/77aM9hL22NGGMMkIBvYo8ffyL0pn4DU
svqCXtdpme1mU8WSXgdbHONsZFSH6gGs6kMMlhPkAl5lF8KCDAE7+52zDqnlqpXFOxUIwNZ0Ar13
OVMNgdXkykggJUj9fQLZyreiZVL8AbelVkkBB1sxDFf97MoDzjlNWMyz0KRsfqwwUNOzxI1DX5BP
7pCKalSMyeIEZiCuRPAovGOvdcHAiA1kRNVwQcbzCE3SdeiIxSJT6EO12Se2q0gO60vq4h4lpBqp
Eeb0Nlz1lSspb+NtrerCaBHVtoQq6Jdh6tqB0UlOadtf1geP0UcDYBNIxeLKYlS30A/S2Czva3RU
o3+weKq+OHdwRsZpuyCBXVZ4WI+MDe51VoXuSvpfT7lIQ3r0noGk+lqBtfDc15nMHDpzcu5lOiVf
10cE0Ki2BiOyFJcF6HOEPkGqQVh8W2WybEwFt5ZzXrWRdjrzlqxz2I391a+qzWndLZHs9flLAfjt
fC+NSfQ3qV6xIzQ0BC12yAvlaJ1haV2lMIjtFkp7oEH0e8bZfJpnq4lct+BmVZeb8w9YhkV5o1lp
6nkHrbKd+SVUjkdoSBdaDQlZqgkK3JY9BHWx0ri21uTPnyYHM6BmJxfW3BiQ2GLv0KUCysStlTTo
bSwvqvYq+ZAnnxB+rv6eRfaKME/1FroyNzLwNOEZDSttD1relLwRZqEbHQs8bsbp1JPTFA2PtP6D
eCSestAfV1Kci2abU3m1PkKtwmb7dk4BdCAP26TdoMZ1pLr/NRae/AuNN0uxWd7PQloLdrjcK7Pp
ga3WWcX6rC3MoOwL76Q68taVVy7sLqpdnlRZox25CIZNVNwhwjT5qTQwcPg1lTEWjTvsthWQts32
wqbn665I2zqAzazQSR4ALki+epqY4csOvgnOXVzzanfAzsa1rvS4jW5amFIVVutZ4a9sXxgiDid1
Z0LjUWTJvMU5JxSi5rKLYlLKhS5Gk/Bvcl1XRYsAfSWIsTmpls/Dk2p43wRC7b56OCha7Epm3Ijn
9krDLFbGWSSZDz0YGIWA9RV0pt/s2o5z81NUxExZcbhphR1sVdyKEVWdph7EuNRFydThdnrPxNaH
qwZpkx/KxgkdKKpJUbAXlSPdB2EysetlO7RVDJ73Qaa5tblfafdN2atmBy1sWrv43w+9iWH9Mm+d
crr/eq+XvvLU3Lp3JNc87qQxBFqJou3SI1WjF8o3HBAZFD8xE1oA+dSD4Q1xn3kWuPhKG40H5BDG
XZTXFNu6nvJPk6zQ8T3CTRSvJ7sJjKm9h6beQqVZgeftiASLUHiC4c2eH+37OrO47t3GqAH/UCBo
yygVHctKuOAXVIztgqFJuPuMe0ucyD9ZMw+a2dey7PJs5IZt9PBtV08mNfHcGKiBT3LAjvkCNMpA
tJIFEkAjhiRhjtTVWhkvz6faWL8L+wUMF5/Ec4QruDpnUKkwsEMNoICn7WsQBaRIUsGUKmlHvnoN
aEJQ6XpO7THksYWpVnBTxgpNJjNDYdf2AiQMi7acw1stsZXrIHvmtadN07Le8rYoU0LaYFjG/dlz
Y2gpFaHh5uO2zyLa68uPuk/NdytIrCp7aOhIBRlGDrPhcQqghuD03cB2y4zUtucuTNmq8hQqTfJt
rI9voRKoMlbOhMXydxDlNL5PFvR6DgqmBSuOuRaD7aQw4l1WxDlxcWPU9niDb6dXH9oWCzGHqcFN
6QeQ5E8xxsXLCrRVi+TNlvojugQlVCpszWmi55EtnJlDhHJDCW16H+DfGHRF5ukdg0cFc5MTdSPC
rQJ0ry2U3mN7Cdfp3zaCZ4DLt1aC5kzft1R97Wn7Zpx86hGuX633SU2CKLUOuhqi9tIPc9Y5+p0Z
tYqSspJM2Yub+NdG+UTqoPbA2U3VvJBGgGOtK3k9LzIM1J9sCzFeLAASBKZMNJiM8L3KuVeVvr4e
goy8XHPc6/CKp29SjxW7dCoAJ9/nXujX7zeWdiNdJYXQwywvglOF3VH6FQcp9RyzZVjH8JHlv62x
DW42ZzUZSLNItREb37hZhuSya9mf5oiXnMdMYCY3dVlXrl6wrtjNeSMwiFYXuvKqpax4/lNkqRJ/
9eFY6UR01JwSTjCH7nNZDzkSdKx3uJ8++fN8LoWlglXjolVLqlvc8TSX0WOwZ8fT7aca41AiM2aq
weKba5RCw3pPo8qecM/m9daiVBJqGJJiIH+sJJZVlk0V37YXYwzLrzYYQVMdtm1XjxW5yEAKx+WT
P6KUUmvNtjFZ3IJY5ODMW6VGFsjtEvZETVRmfQtPqe8/wG0tWJ2UixUjKGOpJTeiBoRTFtV6HurS
avnJ7e+hrVZypI2uTsPL3pppiZp5bMDXxv0xKj32i/MUIshP3vk6RSrbyTKfatIwgdQaO4rTtBZN
JW89b+gm2+u1xbesWjcTBECKVNePRcZ1EiJZSxKIRIU15m6svcp7l+EMwyLIydp2WgpvSt/HKDYp
c8OORBk10hspmRh/mVXBq4pbAifSpiKzMdPnV3UQwSD3pYfB297FT9utaRHbHKnmQlSDNgHkEy+S
nk0xZSC3hse9tXioxeLxpdIib7TJuZm7Hj/dvBvZByKthOZ4tFfaZ5noigu57m6yBomo921qDKpU
alzgyj1SDL15qGGMaXcU3Zr/Y9UgzpgccFJmGvM1mL8TGxeopXrJV4BwdDjD7rCUifLyZjWkmapZ
ibdW65SERCzR3PDg8UUABVoWqPCwA+X8QAQDfw+btHSYL+nMgHY81mBdmfNIGEIeyCOJuUXfHGpl
4//OsTUe4uvI2pVPI2MBwHlb4ndqMTTHR/dqZN4h15e+CMILdi0YWe5n5OqAG36h3qSaeFO2gqnh
GSK9XPEgwtJUtb19/9VKyFtfyuXa/p8lR6sP+l6UEzR+TDD+9//aPvjwtf36p18cl8zKp+5nPb37
CSWr/T35Uf2f/9M//MfP/0nypWkhaPjDE1KfsP3km6/Zz3/9883P4R87FQgxRN+Tf25/dPvjX//c
fvL3/EvrN8eWIOOki+AAgXDk3/mXtvebzlTLwk7OJOqZx/vv/Evh/oYJmkpqZsSv43kHEakpujb8
1z+F+E3yNvEabn9i/DfR0FdTDjhMavjpWqDXIMV/0Rj6ulE6seE25woDDxABO/8kSkOQxC4an1h6
Mb4fHa34+oc79XYdIfwxZ+0KnOZTLbBUZqsO0zzLu0ZssSaoybaP8zNnzS8LEf8XTNWjE3ty+N7M
/PD4330cN8olR4hhDlHasD6uQOnMiCojzT2swSSciZ0ZieQ8d0l8P0WVfvHbtPvx+gde31VyScHA
PWbj8CGkvP5+ZhT74P1+cpZjORynLm2ejczHbzbhN3eQqD2EFoAKr3/q9V1VY2BrGcbC9sFf/epr
lnFqtZWEEDrog3uYtYiYuq7HNWdI3ZcGR6fT65/niCvkHTI303zHIzOYhpyph7qiP3iJlyWJyCyw
+DwGpf0Za+3yQxCG5WPb+ZKccDch1NfW+0vQNfE7C+keZiNpeWJeMZ2F3r0V5AcCp/remySFVH9D
gpO5r9iBLzhTGS/Q4RIJ0O3D8A4JEbowp08/tH5vvW3aZtAOphxd2LJxlu0JXfHuQ4LYDnbFb8aJ
SdyBa2flYxNY8kwoV0p8aiXvAqxQMO3I8T9D0aM/gDrOR8vNzBe90tjVRejdRJnpjaRYFuZLHaGV
pIzEnicIprc50SEXqL4phk8gxHdqbvaC00nx2dQmTL2zqHysx6ZU9pjZeIojw3niHpo3JNNxOvQ8
eavRrFuSiitIOVxzERXjW19SRcyY3n5h0CsuOJ5aFwj5BQqZAB6L4SO1mUZI3LiXtSwhD4MtzKJb
cRox37x1kIjexKGHXXHGwRXvRy9t2904BcXzTFAkIaWGl/2agz4t9jFY3Sl3aOuqXM+zPdxCm9Nk
TLwb5CV8xYL1i1gCP/w6kMZ0NzEa/JhGkVG8102GnccE8F0ZUjll/ZD2VTQdMGctngNf/eEUDTwu
m8HE58HxdQemHq6qx35MAQ8RxQ1PUAVh16Nxcp9QnrlP2Fel44kzj3uejtl0rACWX9R7/FQDAuI8
q9n2Sw2bijAyL2zfQw+cd97QGncYb+SnhtR1fMDjqD1SSxji0BSZm+1KLbEunTbIaVdYTfTkQ0f/
JZvceRlq4T4amHO+64PRP0dxGD23gOdoUwxcT3dRZftHzHzFm7KM5W6Y0ijdpWVTHTUnzz6IHKMB
5sGE5QEn9U1/49KJ/ByiyKx2OeP7PSHjRXkwdMH4mKQxgrJL3QriGyPqvWfdDPpgRw5X/SmujPEt
ctQCp5kB4VcBDrr3qz5qD+ib3Q95pIXGxRji8TL7ORjsSEjJV7p67UfjReaRwsn+ADUke9O0Rf5M
8IPPovecmKyVYga76yWeg2Hc8ndbCDd+6EYvPum1GI9eGblPJh3EM5igd8OCwW83jstHH4nKIdFN
44XiOwpOIdwHXDuqAdcjZmjFM1JuzTs3HvI0GmJWHym541ssPlidNuk9II+Cr0XcLO8yR2NHtkLs
3RvAfG98ULXHKkujcLfqu5ikyDPsLesyASccmNzNkF1j+WDganHsMTt+ZM/DoB+DjeZH5RQDEp8+
ec5k+iuq3fYe8Kq4V2KlLyvZq9QseYd1Ton/nOM8WXhWGBfoZFxGVhr1TQfWIHbBpLPY+pJ3vSs8
nJYHp7SNm2W7NKM8epOSr/4W51/mRTiQveCE5N1kOi8uXnvyXPY8MkeMaQ03YqLtGtFFEiqDYft8
xColDW752epJWDEBwT4+o3c8at5myJdP+OcYL7HMAuMykAXU74JEXV3PuP08ytSsj8QvmtYeb/js
nmyB7uzje7LLMYt4DDvT/+KDeT5HLvNC0BzpcoqVvIKGJNBx37oh6K3FvhLMkXfv1gi4dr3ZYDwU
e94Xps9sBrE9e1/qJC6e4f3iiiqJmbjTsA+qj6hqY3tn4sL5JoPLe0t8qX3rD5X+bW7q+iM0TRun
U1Txxw4SOZ5cBsMm5vWO+Di0iUPlSdgClDT9O2m6ZBc28Irv9SSrPrNbWtZ+QntyF7ttcUD+EMbs
ONC+YN4PrnHjlV45HtpyGt8ifI2nw8CaiPd9PqEzjCTfLjPV+KoBj5VH7Ln88cjMRZ4lEsHm5BbJ
PBGlSSbCIY8m1ozfIfXaM1hCUYt2nQsL647HKsb2c13F5TMSd/cmEWnE2kcKQcDnFDzAeOBZ49Ho
7ASQhbW3wqI/hH2jPc7BFL1Pg5rXqS5Z0wmOV/djN/I3L1ZCDnojfGWpfchElFkTQooz+rsZs4O9
aw/QyoxxnxP7ewE0Y9QxhdF9KbPogoYJ1WlcPNZQde/wBopJw6ujo0YS43HCqQ6veLWtd5iHI0RL
vZNAc3LocaDCfVnXzjgMde/JBcLasczjUzQ1DTLtQV58rBF2Tm93zJe85gi2FWE8OccnIw3iszni
1Rn7jnuhTdSeMYbp3iN0jc+z5WHVas7x3ogGB5NbkGmM2lpjF2cgGjutNtAq0fPc5LAi98JRvgJJ
3F6gyZgftaDvbnt/ik/MluaTQ3rAfQbz40tMY3ScXWkfdCcasn0PMPNO2s28N4uiuBHSHcSBFFRB
Dor0/S/0msnnIOmVMFrHQsjIvsyAKO+azncvyWTaz6XZhJcCSeTeHYgNxcbKQ5DZNc3NbAqitHv/
IS1S1NloLZpHvTYC7UbTkiC7DScz+6g62uGOYGptYPf1WvHgApRHR05z3sm8yQEoyyStx4OHIpBp
ERTP8ojKTr9lIpNfvMkuzjZNVbmr0ZNh1jgJ5zRPefhIIpMudyR641OFuLY7YjtK/lRlchzYZh9e
ECyN9/ZMK+yOmnhcFpPXl7nGE48BRKLaNI8QypMDSV7JAX0nWEE6QRXJFVt3Z2qhd+/0srjvwyC6
a+Mu2mGCKPVbwnDz5KTz6KOL4p3fBXUqbkjmjt6OlN35WWu8LLip3I75OlCIdu/rts+czfBuHQR6
7xPOoABlSmrvNYCsOz/NQ9pKGYUPSTLfSr1197WNW+OuDfLwwfC16da0/O4mbqW4s0jQga1FzPqO
YEeIQ+ks8WpHV7tXgcC7qnOyvcAzwt/VQ90/jGDm+9AQ3yf+a4/z/5kQiA8Dsp6TOzrxAXlQieN0
QwKj734Jw+w7E6fprbDQHt01Mu3ELvEChORlCOuHecqdUw4cpFKoyLJqItQR6QDv4iTu2iGEy4X5
4q63rYBzPg07AcEjxsEFN8FRczHpjcr5Djxtrh97Mi8wnNSDpHN23TyUlFUJm0iP4Xj/NpQl1scw
2VrEcmM1PsOv0fHlwkNG0uEQTJpG2bGScnwPb2VkE/Kzs55p1Zsxd5OPWFL/VP7vb9zWxhkQsj7k
cafBsPRgRQSc7OK0Dc8MMXDZora6QD4piLDrEvl1jqdp72sRYVtjIR+G2mABZTAfERH64c6n2MZz
WMuKo10n6X0/9PKcpqShaIXnHrM0EJ8D7dhGfX2hxAju0QKld4GwhkuHFrjcIbDFV5+f/5qUwr6M
YEifByM03xSxaxPz7M7dZ9IXipNltPFT4cGa2aGasC7tZCWXurDE0bCtWm0ctvNTC+HOYThl9g8B
OpJbNLM/W0k9KOQcfoZN20ChjUzvyS9q3TxWQht/GhV27IcU4jiBzdPgYZMfQo+2qS2xPQ93goHj
3mxqvBRlwXUnfmocGotY5CKPTgVg/7ti4l3CkR05HCVdA7bl6e/UaUv8spv5Pyakgns3LINvaTtp
T0bkFD8LrIVO+ONZ94DVIVIEPGguw+xGR9fqspeSAfEOGrD71cWV6SjB7m6SQK+aXSFsc94FsV48
A5TKU4yhybyL/Dq9YZ/3f+RW392g24u+2Y3V3BKE5Jy8lAQz2Dy7zp5Nsul9Yql2eT/kyo6r4slE
8z5j6bEZAqZDx2EIgCfBi1Y3z2qMSFGqF/s2cwQ+3Ga/N2fz5DPHPqfuPO59uKpklxc7fi68mzqv
uINv+AiX4nuMdP67D4tprzlGfEjTzro3eNGPtQtffT9qlnvpyjg7BEMuDpEzCup6WZ8szAsh5sih
OrSRMO692XF2led86bLMvyunTrKRJzhhd7qe77Q5Kg5RXaafXHIcvkW8Is0uS1r8YERfv+TI43U8
iGX4Rgs0bLnTQH/SxiZnQ9XmWz2oxc1AeXWWfeW+xQHorJmd/tPphfaORe3Q7NSGfMIfz7o4djrB
DaEjGxQg65U5qKzbmx9FV9PyQ2knRtqTo53trNmhMp7xpusJ2zLNj3jmUzZ3TN/eklEvbnvUeY9W
N5afe3ieJ62OcajzdQYTO1yOiUkDbHiJxomuU7M6c18OhYvMuyxPzNgorxq7KE9zQa9ppVQ7VhK6
T3HrKauZKnkuMBOdmXlj/Nfj0zR00RtZpc7tlIzV4fUG/SolSar+3DRU8igTJoi91yqbimgyDS5V
fAZ8Hz5Ww2h+7GuC3mTv6N9KWiH1LOPokKXw9CC2d8RjKEAbq3eZXAhyCxErusN4W09p8e71i/tP
4IElVYQTRlcIcdwr/ng9j3HTtkl0JnOdrSDMkPMefMTQ2c704l9OaTQ/wNPFxeIoOepTLG5Hs6Wu
76rylGJNFh6GbpzeNLhMnI3S8r7EheAZeWaefkDThELO7ixy1lJxa+aedZlbIAQtCMSFjFgeaYva
5BaoZHw7QCDbh8QU/VqKzeWznJ7/EUN31RsRakxMUyLyQ+COdAsxHGm2UoyMnF1S2tbt8owL8kkP
DFYlLs5kJr1+u67AHfUoLR6oB7USuMW5pvlnOkW3RnV/TkmGeVt63APcsOQZjIVhn+BL/g26c8VA
Vh8IMEHTDR/dBqa7wnYQL8bkwtnR2U+4v9hrMQZGU1xSJrEVG26QgdRkxnQIndH5m7yD//BlpeIb
OxJNBugIwOgfcSWNePsO25LwvDz/PDBqOnErfaSlKR4H5C/ri/L/N34N0vmHJfZX/Lrov/7j+TtJ
BIC3KyS+otfLz23otfR+s0kKRDHsKH4IYr3/i17bvwmFTDOT0CGqeypIKS8QwQNRO79hqaA7ns15
gsTP5fn9jl5bvwmAZoHCAUEv/Hbzv0Gvr9YoDGdM85HBCQBlLuRagoJNBQaOkzBuUmMsGyT1OetT
YFp4txTT1eAp8AznpW/qov4Gbv0LyGuaYLueelGwCOHL/nmRpgOiiVEbx5u2HowXhkj03KXp3sO0
sR+E5mXsLbbzN5pookT5a/9AyrdMEy0pjwKJBI/jL9um1IrJD5u8uxEMf9mKkEsALgqMM4oq+DRi
c/1iuaH/AavnmPpjjvljSaNAmVd+1sya7YvIGNxrXMeqcR0BbPkqyg4rE5I17uBnGm/IJ3XGY0Z0
holfFwiDGxT1GRO26V0cNT3mOS4QBtbgxZ1dpTTnbUcP443ya499yhsz4pfLxzW9P75LSaqi+w+l
dV/xqr/LB5pmo6nBX0hYSw9pbHMgln3b2wfNx9AMNpT0PthZgslML7ohO0F5TOd9neoJnSdIJtk/
U5IcOpDLPc5P3dlB2gcPFGOFM81CcIvtUn02TPxvjySFsTRInOunI6kU5gfXKfwPcyGcFwNcxHqa
RGzdSaegHGD79T7AQ2EVwVEq7mbSlz63YwVI01Re86Mwm/KzG+ESPSVmdh+7boGNEsuNLB1+sDXG
d1jk+/CTdb1p3pZ+xzdzdW4uZgDFXchqpdiKM/2xNhtmnuAbArqTUahmzfFVPdfzFY2yLMOL1RXV
98CljeADq+GAVzXxdU5I1f9/2DuT5biRbE2/yrXeIxuOGYvbCyBGRjA4ihS5gUmkEo55coxP3x9C
Wfeq1HWrrK3N2nrRi5SlTBIRATjcz/nPP8ASBpnCXQa6KRDzxYKtJOH9TbAMBUOCUMb1Cl/pVHAW
ntKrnXvZQQjCne2tHlZgKPf0y0/vPtyPp8cWo5Iu0FxADVBm4nVnzCr2eJs6BGZxmIJq2KX6bPGi
BZlys1Tg/4PHUNvXE5Zs0XqAEtqbyBAaq/8AFaF9npdYczYKfne7USXWXEdXsRAHjQNTaTBb0NG6
yv6gce0uJtNkL2yAcG47H5ONYH1sl8yaq30f9aoJoeCwaJXweBi9kbM0sUbFZHiqI/HcrbdzTnTM
dyO8z4e9Ro4J1EWA2GlXNSAxG8pGHFKyNga0MzwExvAmSJtNfcEdrxDre2Hl+9O9Xk0zwWp67Tgg
d5kA1iNj7E6pWFg7Xx+LaEvsseEeKOGc5rbMZ+HQx2i1c4aenxdkH+h1t4c2zk1zqki/jANYOLl5
fGQ9avxtWqwoERGA0+Pa0D0nJkuNsX5ZbUqtLs8KfCoKbKCPOJiNLs/2THixMhvN3IZHiTfkpltW
1L+CLBH6JVgLwcfVCQvmIvxr0UsBsp+bHa/NUrlcLppFf89fSG6qtp3+JGRgeMVQLTN3xcR7L9Hz
oIRII/M44VTVBXWWGM/enItLx3U2M5xeFhdecwMO1dp0n9rSeO7ryDtTcxnPsdssYnN9FxKn5XEZ
uLDEweRn0de6L8r0Uuu8kikkBOemXG98l0l+Fgwu5hBRtjQ7c56mx2jVkoLV2HzJWpunx7HrKL4y
bQDzNIYayxiiuPeuNgJwaA4+bQEJH1wJ1QEPPC9pte6MzhDdxrRo7Uieo8hboNDjtxwNU3Io4Q0v
4WAZ/NrqLPVFMwHhs8Z4hgEnLnxH/wWnNlEdsQH0XzDwsb+lwzS8UinSiumdMeUnQs7nl7yayocY
Z79D7xDYsLXwWWG/ycAMbX/RMZWKMLN07RLH8ozuHNvOKPfPnYOPKN67aYVUKndvmgEI6Hp7QMf0
V2YCLUh6g491C2PtLm2UtS/tqNjnXoZ2STjydS4RrFS9kz42ssnCWvk9vUhcb4u6wK2m8OZ6EwnU
0wAjXXtgHBF9kLDZhADLEfR7zDM7Mn1ojDAWP+QDVh5BZS/zQ5m3UgUtgXNBrQ/2xZ88fNY9eOq3
U274uyq3xjxoOJjWDA/j3m6W7l32ff2WCOp1G65PgkYBN+9w0Fq92V2PDuUUkbNhDA6LxDY6vIGm
khCJjWE1tGLKNq1vcb140YkY+BaYqedgyomXIRzVTduDjvevvRFF37yDCXhnmBdcBTkNbxTbRHUa
9Zn3OakthC4RFnHgAsrfFtbYapvWtFpMCmH7aU/T0E33CfJl8tOL2X8Z8KslMp4+6dwV1y1hfRd8
q6NsSGTJip+Ub5i7WSzs7GXNPrmumASQtgskbDprm6vKxv7F6z57MfD2y6xL3RPR8EOzIx6TNyE1
3OmxySwcDB01sOt1kScuOV6wp1T4LX6ko83XwVOISydu04XwHFF7mgaP3PciPgtGiu1hlKupUmZl
cYKdtM/Lk5WN+iybpX4zRsxTS7jiAxB3kb8LMU2baLIZTWgJ7BrJylzhJE7eX2rGfz3Jp/ixGTvD
RhEIsBAi/1apEzBpmPhtRoxR6uFPDR+q22JqtHDJjXHY4h8TvfzzC/5W8nFBVHYGpIGVuECw8m9D
7oScsMTNDXMfl52/Zx7g79k0afHdxEiPEQEo+pTqZ0Qw7fF/+8rQsVbSAv0qHdFv/SoRKpocTNPg
bEmMoFGFdcR1uNznqGRO1dTgoKFweWQK8Vd7Aukl/lH9g5uM8vc3XR1fm7IcGSjFNq44jNv/vth0
pprgXLO09jrTbowQqe32BDxQQ6DA/5B9cUuYKtaxVGfeBAqu12+Vbq4H75DMcpsw/NzRPbrwHzX/
T3PwjA2I2HTodWmd0x6ZpdmNbH5ktG3ajtkJ/Kli6xQdqz0xeUmmSJFKZvZyz0ypvU9iu3yUrT6E
HQq/g8Ko1UOzMdkUjDI/TJMWtm7zMDTTsvEa453JJ4xlUScneBDuvkef9WelsvWg6ZzyR4nIaEfI
QXXjJbN2jJJBHqgCm21LLvvXlrTVALui4ksnKnlrubTstU2hCvUg32VOBT4ZIR2JFq2JgwRx3XMJ
qPuJ3QlSMHO2AElj62hCUf20moyXxEoatrVhdAUcBEFgUKneABT93SDHxgpl0+j7Ikm7DdJfDkfS
QL+pwiSKxslzQBM3bVrIg4wDlbCXUxmPjPoLJwmyaE5wvpJN/ErSu1cHzghgbJDscFs6lV4F81q4
1dMSv02gTt9sBLY7wliodFNciAGhonG3LF5MqTSXD1HRvEL3G8Mu80RYZN101pTDByLh8ZRS6oWT
4bJXDtBtjABPSfECp1fsGm84eG7cHURklTD8gGMhA3SOtdFYwcdrP9BWQ7xx0GE9IoSa9pLYiu8e
IsGTnklJIQ5RL+vwZzZzi5B4S8j3pARK12VCNDFmqXuEvepQZYlzjv1ifsSP9cOtpuQ9Yfh6v0zC
4dgoizNZPEWY9VW0EW7nbkeZAccQ4HaDfind6kNHylqkaelH6ol+Z64orismeyd6v1XbFDIHhDee
6CDZ0r2x6Y+ZnUa4Dnb+mYQePHWLOX1JlUKGlNom3NS5TN5szYRW3wgoviZ1deHaEhfruGg3LXrZ
u9Fr4tNY5vJganETcOT221ZNuzVkbNtgJBLCpDu7vTMFEbzcQ0RYQhzQ3eHbUZrJJo2rgtTsava3
S2RQfpSd5Tzi4kSuZpkf1dBXxxJru4MqzaBzbe08zeP6vWP3REY0Vs+5tdJz/JrTlnVnvzkKXzsh
orfYKPVDrY80MV7swJ/PjVt/mTlgy8w/E6a93gp7ra105hQo5ZjUe5Ek/hBO6XNXrnyRvKVPifD0
+owR1NOtlGXc3fuEteBLYg9Bja3rXTOV2mGM3OY8Ro14j1Kz2FkUYXdQFaofc2OU2AE29VsmYmc/
LkUYtXLax56tflg459GCmTXbrra8ps5AQWPbzmM1esxeMrEms8xHRS3RhJAhrTlAEOm8ZJblPavZ
jj8ZPBa36Rob20t/2rpGUj8OcI22kRjKbYe5xj0QvrPvIMtw1Hu1Ezr40DzYKotuWlvOYWKpt5pa
/1HH1ug2jvtVOWXvMHbTzqg/+m8EWiwMW3PjYuZphsdK49005KadyhqhEkb+RgV0vZS3dR0Zt/Sx
hNkx6T2msdXvtIVZUezX8Rcv7+stji3LM34T5VvXK3sjoyX+HhvMrk+Gk/MUEp0CYNSZJIcineob
SEXesBETxQq9OKf7tQxi55weMWibUVDOyxM2L/lXvGLiLPQLOg9c2tbG01iPdg6+dzAE9TJj+36f
rEVs5AzTIxIh/5xAuXksVmoXpIzWDFX8I6Z/ePIx8LtFP2lu1eKMp+tfI4hFXKJpZCIHg8V/0Zmq
7fWowEAZ292TUA7wp9YUvCNRYj0QK1SFhKwhHyQfc3zygeh2DLSZ88L0enZTp31iCGBsmOnWx7nz
qBNlPj4y54YtX69z0IV8gm+17bBE24zOR1MmN+AnySHv/TwKzDqOHozFMk+FTeUYA/pePd8pUQwc
dRfsh5X7bs84bNtkCW16lBUN0wTD21uOZr7ny7TQW6WTWoPm5MExl+g2xcMQRdkQf5nqiXuS1Tr9
dJREL3j0wlEYJWp3dMvg8HObgmTotdIC1WePTWzj3KJDGfKazsY/P2k/KOf1Dyo8Nkusjeuf0wGt
7fkmFHXLjP20tMkQNeibA4bE0YuqBQ1Iqrn+S9nZUBiQ5J0UPsGnSa4nqw4lHmJFDTQCC/xFFq6h
dobnALyTU+UfkHiabxaT3At4QXWpB8u7n+USXwofDk+k6dpGcwwkAp2f3ug1Y1NXdWvPPtv1G0D6
+IbYuCR4eyzMmVsMq8xdMYyysVUejhWcopjZ37nnDlYhbrnTk60ag9S5zPe3uiog7kQooqKgxp/0
vvEgYgaL3q6OKT1LKB3o/H/uumuB52gO7SvW/GeTEdPp2siCBo+UGnMPhEGsYEj6VfmSMhWEA+Ov
qtYmW1kF6JgZBsZZ8epZfv2Wa8VyxGVCvDX17JwlFq+h2VAkZKANNij7umSu67ReGyVyXZxTlpre
U4KMC35Cmeh1MLTS2ltQ4WmIVLwdZoCcsnbKm0E187MLW+oHnjLjJm47a0MvUAXDQrOHLhhSlSfz
56kT5adgQPieuN1wcKe5PyLeB2DB2e+gM07cFnoOxsMPZm2YR2uA1FI5+MYMSldH10/bKrBGABSV
1zywBJJgUM3s2X0lmzey64osKAZ3ujfsvD7mcVKQxqQv89aSpr1zYyP+EZlGdZP3VDZ41XEdGAJG
YPVNTy0/4/FsjOpYuW5728Gc31dMq0456gtMYx1xwX5HvleaaRww8c2Oi6tNwbIYq3wxYSyYMIzV
svU0cL0u+ujNyL33SPZJfrb6BFa2h5xgNBrHbrFCAYn3a2/CiCQJ97GKFYyRyMqOkektn4VlYzkS
Dcd2zMpLnBBaCxUMvtIW5Zk6LvAD4yDvej/U8KS8UeakP4zGbG/nOU7OJsU9K8JK629uMg2APhF5
4lj6GC/X9WbkHcWZH3vmEaoOc5ZVNBiOkQYRAlPzM7NF95GtOrIDsLjhAAATncksqw8TheKfymUT
CZheZNPOb5ibIqSMvtVxoViANgkxQaSE+IETf7xlH3a2c+GKy0yPg5EYMzgoVdq5KA1922Sr8yUm
VKjqixQ3njo1Dy46r5PMemyGzaXcj9IXBEvky2djsyFL6pdLl6zIA5ng4lIM9pzA1HDsB0J3Hkk6
qr4kdgkB0Cnt9DL7TFsxK39QmI/u3LTUNm6chniQs6tkY7mFqKKF160e1qQPichzKbs9lC6jCRS5
jitXXwnIH4a30btmuu9XxtUkQCslEZ4vtL3dpzPlzRfEp/xBK9sLXqH4WC2D5b+Ytc5pg99e+WPp
pWa+zlhOdJdmfdMWn4no9Q5iQjnd5z7NgGGwdSo2j0cSd9b91EbqGTbaih4xIi3mG+gbABsQeVuM
FxSAlejoQnWFE/Ou99PmqFu6fB/sfnqcoC1c+hrH1y2oFp9jlBWsGxik3ac3s/cuOMpYQYer66tF
bOLLWJtgrYBF3f46kFIrKKsmxfGhj7x0/tg6xqYT5hptmwP0ucqfHi3Jx7CGRTwvrllMwZzasQiU
3dMITCAuYtO78FBDe445v2U6UrDq5fr/qZ712es84z1NYDnN5k2FBa17ZvudussVzXQmRY0DQMmv
vpGNzctsMA4Y1yPGWx2VYBBo8mTi6PCsiZUpNrtL23JSEQqNF9UC5CWB3A0A284scClfz/Ukl7Qq
NU/XXwt2MuXY6c2alQNPMKsfiKeBUely+9p5oekiILxszpnDuP+LTyLxuMmTqii2SBPWGnBkG8nY
teIj2hL/ZSlz+2sSN/UtyWPrE/BAOpACMQPoTessetUfinbgaWcZXwuXQFqOacXkhQIby9e5AfmI
1tEWKPuCUmv9EZ6C0X3ixV/u/DUMxULX9oD//Lp3FysodC1+1GRRyHh4pYInAtkwGp4e48WGYcos
B1g66bjtna1khBUBGKe0TM0mw53czoCWom3C+Xr5xlL8c/4l5cOCyXFwHb1cJw89Gy/vlFu/mZ3p
X/TZKi6EsrJsM767LqmKrYlPIGWGmkmRt4qrxoqJGzP1TDhnI79ez8+akcgnNsfqDS6tsY/cOt2Q
jgGRd20DIfUOWa6fytaztMBRQm1NOyof3CsSed0IDOyqD7MZ++efXYJJmXQZZj+9iyn1rNAoFyd/
pnvP/lzMBtqGpeXlF9GuCBndg1r2pE5RgTuj7PFmj7Xvpp+uCJI1NDlbzwoIkbnDm1PkDm3OPDH4
GfO5+/SnpUZzB8gakXfDXaKLdMxt3xkkDEKRWoIRaJ3hxQiEHmMEcYt3U3McxToGYNwVnQxb2Y/o
v0EtcbfllTBtBs/mVObFsV6FzuW6QtoViB7sdYKjmQWYs40YkGgYxC5P8D0pcUqNCgDyus6Qo5gl
1Z0Ejjz508pE9a4fPlF+HG0TndX3Yg2RGI81NaMPGYUxk6u3rA7bL7jESGDNdBitlKhNTJR1+0QM
25zt3Sqr7zV0lfWTPg3NN84+UDvih/hRcRL5L9dirOjBTjZzVrJ8Cewyj9dDFt0VqxMaLB/bp8qC
Q+dMfN2x7KtTpJL41pmVtmdEuurrdVBjraSM6joI9NcK+7qmsx6UDV9s7t6gAXRH+KLQ81X5LfTM
/A4fk5KsWXv+6usUU04DRexR45y6tI3BgVH3MwA4gMx91JD+AT1/4XYtQ6zTEhu9zSQc/CmFA2jz
mKMysb8ZJeXAscZZfNomzJTkfWzj5LCFpDndV7LUb2EUt/O9dEg/2Jg6OydwK6YxkjO3C+2BadoN
AbA9nGhJ9tu5hHF/7Nd9GRI26Lo/gRxX15H/9VGrmkkh9TY7fZlHcIWLFcb3OCmsY6Mx+JyHht1b
R2AX4RZE3s/ZJm4L+8a16C1dzivLGvyXlgSaF4hf1KeNEbEr2iVmAcTxibfrjlpGlGJs+qP37Pa6
EfDU8EOQOr02KVSD/SdcM/O7NngrIQeHtj7FBbqPhm1kyvke6KvzA6gcTXMk4pPHudQSt5trTa51
Cw/IWO/F7LETpX3LwEemQNHLvC4woet4qkRVJu/9hD8zrYIGpovqMmQbMXvIWWjRg8nkAEQByj6/
+LZFQJnI3MuwvlGRvVQnV8PmJyiTnheCzouFPpLZBwCWiLFHqewVcUBchqwwmLRNf63IxkNUsAFW
AAZ9aFfuehoqhye3qEG+OMkwNQFmmPpRS9X82HVuvycPrn4RXZ5XUBvzFSAGWrlu4/Qx0bNuNGm+
MbjAcYBCHLr4dN6a/lg+VCTd7jE8mJ8pK5lbXjuX2bJBFvIKuz0gxWKTLuzNIbpPue0Bqy+6aPBf
ciOLDR3Kx2mdAV56ndnJFRpErQH0wnbyqc3Ap8xj+DApJeALFQdLBq6J9qfs7e4Ny9ZpP+SeR85w
kXCH9CW3gdNlrsP1TmBls2V/icUy7Dp/LZ8HIpNKJfsTyQCEhGIo/4KlozrDCKnf3GG2vs5wnHb+
qNvP/xzy/V9QV15+WE6GRdNtM3n/TXK5aHi26P5o7B1TifdYlN6NDbIkftZ2//xa4jcDOeyhUWbg
IukgxrN1mFF/D/GOKW32RAbMnnduIRkITS/SZIG0LbDi1CsD4doECLspjjenSDOS04TnOtwHmZkG
ibmVWzyItC4OVk03+2xB6ttj4Ju6R07+SGxZkzVBhXa/bIkD+Mu58v8aheZXBej/2P+oVpFldxWC
/ocw9KcU9D9++/+GThRazDoJ+O+/KlH/Tif6RnJX+W/PP9o2UVU7/8q1+evf/sW1gUfyh67jb+7y
pjHcWAlx449O/ft/IxkVKs9f5BpUo7j54VpLTwfJ5krJ+YtcA7/vbx/jr6kC9+i/njLwM+v/ZJZY
jmewzLk6Hnrkuvq/C4w9QxJyIXXz7acLdkOV0F301h+YbPqVXyE+G/UyOvttE71TU1OFW0nc1nu7
mVYp1OyZ2r8igl0v+suHck2bCCzXcH30m6bH0Ofv34oItU5sZOb4moJjVJmZbhP+OrwUPRPVbkot
QlWHMXvKcqO5wcAkqwJwrVru6EnEd0nC7Cv1sHMQEHiehkqqbpMVtWoOUR9hyyhSbN8aV3+pDeUB
TUivvelnX+KwRhbKF2/w+jokViEBOjBgnwKMxx22PEXh3yZVnbghOrJ6Cd3GtKYfGAT7yCngb+NV
uTxzP7SDKjzlPxeJlDX25nbzkUduC1ZJCBF0hgY/i9BvHXs81aNOT1mnIn3g2HLiO61VRCpBcB7i
g2ElhEQCqoCkpV7v31n17Om3iRzH9gYjCSj69UgUMnVNqpARTR6RAxJQ/Bxbbjtvinhwjs1QaoFL
uosXUKpEMmx9DzAzRu/ANLjaLc3UtxeF/RAAZDl1z+gmmPdAAEdHUnbRdIfDHljR0iaPaKxJIXPF
MBjb2qUQChc/AU6fRrRxDKqoMMsFF19YGm757KyE3+0aBnurPKQNOVIEDHeNta6cANA/sB2J4FAP
c32h9XG8YHSoVZEt6tbrVHnNbTuYXRfieDPHGxtjBQwNauOsibEsN4mw+sviMvonysPH454j3cPt
ziyiLmzHbrwMXdMHNgZqpMx4OLqEFp5iMw5eEqCip1g4WRNcAjjefoODNxk+iIcQXiyljdwi0TL/
lEFKZa5pmUiKVKp58hPXcNETwzDJl3JmKEg4kRVpAaE5OiP5eBgPjezGdqNpo7VtW8z4v8zuRHp7
5vmXKSexOuiIGsQOFNJ8saHko5kyMiSWoGOTD+ubIKnuwOw2ufOzbNBXyGX4UoIbE8zS9Cg0jC6p
vqe1P3+FqRKTkD1prwVZM2dvJsjpiXtm10Hdjj05P6zq4qSRB0DzjJ0UE+e2HdqdBg9/CWZBgPHK
dNE+mrZjEmW2TStwsfKaV5M08Xev1m1El0y5Smwr++zWSDDDCXko4iMxoEwFY+F6e5XofbY1Vi1f
zVl3oD6ajmhmyzO/G/gB9mB+KYkpMgKj74kwdN38A2CCvLRFI/M4BAtN7kCEagFmqel/0qCXN47H
8gig1FTbyHMl3jHxav/YzONGEB92BjhxNz1Q36MG7e3Nas2ZUV6CGX+oQRA44Zswfdds1cW4UjXT
BFXAG0/kKeGBiZDpq+uoaYsMSeLbRfDs/WDZ7SnVZLxsMnuIeK+j9ty0en6CqmzfYJjTPHmdjrgA
CoqzyzhZH3UqoGJb1pp3U0EBem0i/dQIlBDox3BMDhiTqtumtHUZ+gKEdPSkDEuvRQrjkC8DISNR
ZUZq3OC9gnKVPMumYLqsVg9OOY32piidCCcRjDUs5it2uZva5YXM6PqLbXfaSwYhkd0B1WsWKJe0
4A3hD48gfPl7R2W8YwT0tbUtm+Gxo39BqJJ/SZTl7adBwbgvrTZ0Kfy9LXboCQrJpQEwBCAUW5TV
ajta2GsHtTMw/uROGwR316b+EdeaSgm0pP8MjUx04Zih8Gqc0jVCOlwH0JlIlJrGktHQg98P2gaR
iX4a41J79BBI1RuUMO0mbhBp8HnlJsGwdzdgEaKHaeFa57nTHUxADSt+o9t20Jxi2xgac1bNO8cv
9HRr4R2MDX6HCJsasBiCdkoGZDNSu5CW6Ob7YYjTrwRT1jTuQ5E8xH5HNDUxezsXa5yvRWQ3jFRz
64fRjxPIhkpPFsNKBnxDY/2o0wGMMdH6fT6nLuaZIw7FieYPH7XVNDcItuVLFRkDY8Qxw1UVM+pC
HWELQPiANuGkW6xeTZI11Ii2GNvk9KGtWuPDGaSHZMJ4IMEv+cpU38CKza0s5ryyEdvON4rPVgwq
dPol+zLjjJcHRKQ4j3oF7dFri+4GtBnwAq6LpLBnwukJTXtl0x7TE7rwnC6PqRwvTiyTk2hs/Tsy
Qz/eTERayd3Ya2bQR873fFnywDJ97yKcRdwgFu7f2lIgHO0LewV2imbacaNkEcDZavONCQbF5A9f
WHej3LimqbZpcAPprwGCDDo9mJTS/9I0q6O+q5l6E7S6s6a8a6VzFxma+mhNFyVNjPXXPRdFTi6J
Ay5fVlO8g42zFIJrwOg7ITSIBSMTYChUmln7O6LAhkMJyTAUI3Moheeoy6SNwc4+RxlCJsXgINVN
ZUeAXSlPdpH5CxPyRX6QkzBCdxtARoq8H7DcMb0ERWPG2kQyX0x3opMuENAYCf9L62EkvGklADtk
IFCNEG85cYNornmCnisvZvbN9zOaRoeOZhuLxryRVFcgxrFPVAawbBNvhNWkFv3CChqXZPmpfFge
CIWIzk418sRHD2OXjfSdaDNLi70VutAXeA2p2DSzpV3SySi3cKYA9Mn1ikN8kfoflRb1/a09OBFk
SaugHWxdBm8o5LARtY3GwTGYqi3BmuLIcsze2zrWGeqPZfHuMi/RA5tcpSQkerrZcvbkJ8IW9Zu5
MmvYT2N/THJdNzhtTe9uiNtmge6CwQ0aJ43BawalQSzCOwu2zTuYVZV3qMHabqtFTU9kJU5Z2GN2
ehlk1rb7IeuXu1l02cH0Ig0kAHrJ0+SbX1yjKLHEmoyLbnbqwCJt2j1ic2aTls8QHLxNMDLhzef0
dPuNoyOiQavitt8NE73+nvPc+SqBRee3qarhbeR4LTH0w3GyRuIYdy8FDs1uMCdAxtscVhnuoMQ4
6yHVjXtc/Np9M3E62wmnqN5p1LM3AoXsdp+sfD8+qCHTAJJ5zGtKA4w5V7uhiq/8DR54QgskPiYn
IL6VcDwClLY4lhO6MdkyuukKSqMgITbptom43DYpdTVhzao5j4OPcDGIUhuTAJ3JHFpUoMgo8Nld
HYYYEBUCzVh0pEOEwIMXxNpzMg/ZvTcP5l2KtP+Mel6YO7x89GmrYk0RZIl5YBXYszZ86HEhbw23
EcWOHSx7JWUd5kbHMN4MdZk3+VYvneXQrImQTlz2JzTtBXdvUd1RwZ4iDpPyUN9OEeg+nuUDuha8
Purbjh3+1Cf+PEH78aeHrKnlJa0K8bB4nUk13UtK2th7yzPHa3Z5MYC5Z9I51ZODO5cYVU/RlaaY
IZa5eWcnkHo2cCJLfDlLvOGCvJem2C1wap+cpZ128J5VdqxUvIPYFB+X2mBIN5LgCOIxuNnBs8aG
E2FAwR4sTte+OprQEeR5Zr51pxGX5pIdzmb3MUhY5IguQ6tPS1JW8YFzjsxaKqi+RWKisfdK4ykp
cObDYJA4FTL1av1bbqGMMl8khPh0k1re5AdVqfOamW0nSZlGw062e12xzeGNOZCeR2ArQely2WNG
K8bN0hkmw8ZUIasf8S51j0J5X6HlGO+8XQpEJVHJSm3n7AfIjrG4n5LkHROral/EEu1hU7tPkTeJ
PUbnhhdMqXJ29VTXUIHG4oS41Po+sjKT0Kkr7DLbGA7/eQRBQl6pYyzMZzCkMAwak2xo4WXKhfbG
M1qh3wqidhhqoHDPdqro1+nElYTQQh2fdg3+r9MOjwy84AxlreBeBkz9w7RQg+w9t+TfdrOO8afj
gXUeY1Os/mdMGfsZCak0GYhndUmfKGY9v4y9nj7h25pMu9lq5bAr5DAbYeeus46hncr7tsYvHNxM
EDgqlESbXzae/R3b6qbaQrvt4JgxQi+frSJCDoivDyOyGrgO+hWSQdIxOQEYaDrRChmLrH6bykon
pW1MPCDxGjfP+trVErzrmc9u7Gj5Z12SZvoFp84+OiEWjMkLA4/2O+Z6UVIUS9s/GZlOaQ+063Bw
4y8C6Sa9KQwI4BdFDZM7e2k4g80EbpYQ9A60tOmb3bU43pCLrubmxxVB+P9gy/NcY6317RPcb5N0
qk0+1K+ACczHlWH6X4MtmHL9WfXlZ/6t/Py39b/zt+/tt8+q/Qc/5W8SJ+MPx8CmCS2TgF1p+sAi
f8EujvsHjE+wOMs0IGD+KnFy9D9Md6WiQlGADGqs2Rl/kzg5fzi6jyoJcRCcAt38PzLo0uEcrMRa
z7QsGrffiZ/ljBloXy32cR5E74UpKCliFGHCm46ildjfKnDbkTbnXwUr/IZH4jwG9OJDOuXu8DWu
QqRfzJ1g5xv4iYr2CCm1FEduR1vtW0eUzOAkylXPst2JECqSUMKOUc+fTK3Vv4qxuEKs/4n/ALqu
UBegmIBgjCRwffy/SgFTRg051abaw7acyGPAMXq74Nv3ps+9g88HVMkcDtp+MTUpuTFifpnbYrwn
4ZLC22j1h7zSNVxEajZYWsCZUmdOPjhN69sCQz0IJHJe0IvhnXz4Zen9A9ouBhrYtP0CqdkmJmcW
D80liANQz/+drZzj1Nf6tS0AkJEJhBmtREoQUUvhTHiw+8BZwme7mqQYa5dCUjBC6kC2khmKZmY2
RwP5eZg05IAr+mSldwwl5ywkAVYkKzlxAkBXZcOAt8gzd7wZOFUel+sMRma221dQm4iXpz0nKyV6
FJMYP0wNKZixDua33pXAZKzM2MnsGT0UukLIAUOUX2tdYw5Uob9kycWKMX5W9jRrWMcwW09jbuRF
YDP2iu47zg/4yGXmXUF00BFaQQEkAMVVPGMWC09Oon+oA2aBTYLsnaTzm8VHN/AScWIbQVvm/J1F
86bqSHo1V1rzj6pjNsCn/aQPJmhUS6zhnvPeESHbcCVCHMuzk1+0dV+GPy+CTw5HmD76lvoWV6n6
xOhgyF4TUox+WGnuJ1uAKfl9beEwlGXm/91SHYfHXI6MOUcLqkRPI8bV7RSpOtzD2gsX3fUw/xqX
IPMspiH2YnXGBtcYaj3hQHAToBnPysVEc4uHtKhv2P6tYrcWgAwTCVH9SiA8avXJaCUhb5NEnuwv
2N4onyiA0wChwdl0NKH2pkZq/IgpoD1uJsIcCkxiDQ5WcSUZFqqHqwqXsau3ub/qm6JxrFf8mTvo
z6gddhmp5MkJvME3z7MH+h9Q3WRnAXQhHk2cjGBy2qmXB4BrWEOkY352o0pnSqXhn3mqy3l+/fmk
Ufs3Ay6AjaFoEjPK6uF6HQ+nNGcfYfPW3cfCQXpfge7ge1V7wgqWnk/06I4WvBkSGMcK0Y0PFKkX
6zplD3ajU+KvrvKQQszxjjJ+ybbYrlAP4/bd+gFAD55vuGfw9Wz65ux/EnYmy23rXLu+IlaRANup
qF6Weyd2JiwnTtg3IMH26v+H8jfag3Mmu1LZji1LILDwtvmG7JnJ2qCRq5JXWLqSLxoG9RMtAqd8
Qg1ptI/HcUCl6+QGSlNHo1wq7God/EVJXtBtt9Q5XVo7+qo9uTOnZJruZO/M+c9+JHJ1a5BrDj0+
SF4mIl2WXp1a7LS1t+bAyNrncahWL0jY9bQqECxDYiGiEDT4NY6puqteZq9j0pncgPRm70Yk10PJ
hKSGgsz9VImmP8xsdn8Eoa/LFpo2A1FxvYQ4fm61QV7fpZkLa0qGxGCEevR0+5QpLwbBjhjC3vy2
avL9RBxOc2TeY6U7fu2OJByVVrOOwbnripChzOi5Na1VFr2UBugZLjCbgJJZWgdt4itBfEJY0t63
uxF1S9BI2lhMPKLEGzQ+/Pxa4LqnwqQfbzD1a5LF7AyxWI2XzlzF7a4i+IB0Im16TUjnQtxtQYr8
6pWPBO9S4Qdx+qSb0hFHvRSBuGgzAgMgBGIVARBX3oc8tLzVJJQLVB8VM9jnDBguX1WDuefl9vBy
H4mVuckB/sVDRp5Ssu1dNoBNb06tPFjuFAQE/JjdHXrxHMk2G5okjqVXnzL1Yqp3l7KtdtNM3cCv
qCCrY0tWF7fJRdKHvnU6zQdceDizXqMsRjOaoNKYDl1Su5p4jzVCKV8CjsZd6rlo9/1q6u1rYTMK
XzOQav+9kciHQG2Wul4ufk48CdYAwIowykFhT7MPEXsolxzZuYCaIOSO7LMBj8RNwkS7i/7K2cfH
YNOWpUOI3RCvj4ldsGzSrOc8KLvKGS5K6wCNIwd2d5HDwMtus5YTQrco3n4OxAtFF7PNUW10t1Xu
5PGq5kwb3mhlrF1bph5glPn79pHOHLI5vj8LV5jNx2I5nDkZLXnIyVfhUfT9Alxw33NRyagBs7ax
1z0sEkGMbyDsCLMqWl2OLFtU81S0fmFMhi7Crs32md1clklnRz88kOxiEw2EQ21jG0D6lPhGOYQL
AtNgMxYJv7CgdCbf557PadNn9MX/hJbh761SjM3x+xFUA4q0iexCGda6I/gWwZP+irlKN1AMUPOh
N+MIGE3dfZWgEf1mQEWjQq5HaAhSwBlMeQbFfg8j8gJMX8F6ks1xb8lw6CUfqUoz/NRDbzBUIXzn
rpBiSi3X7kRuLDevFdfoYjgPLLx2FzlkoyHIwy3JpRrHSkj2KJK8PmabqTsfo221StCiAtcMroH1
hAkQlKZslYv+6oc1n29E4cAORwZr+Y7dsdKoBCtWu9UP3fTLAwCJgdCTCQQirRD3gsGte32kY+5J
U0dV8qnipFa/rUp2VoKAPeP8cUAuaJWO5gGtNVfAOqQWZG53aKKtfC+zkRehEFEme9eZHTJ6upl3
vmtbXmKtA2RuzFbrgElikvpdeNxpQAEKtG2UiPPxOmLhXZ8di/9yJEVtiOWjcY4VUEi0XyKGolOW
TW31ggJHEIqY+Jl4XXc6/BSGm3FhvH16OlorDiwTr+i5U4Mldil4abw1YgRpe9emynS/TpZswLeI
yCmueUNjk1MnjIS/yvHIbiX9uIHOYBlQ6SiQ56iC+6SXcG5+PyuLvb51JWpn59AHY80USY13d+FW
yINZgnrJsIpWACa/LZN6wk50yR0iETFomoJ5rISb28iyhqwx/ZklY5mavZhMPr7zt5Kwom4u398W
Ido+XrNTY/g53SwUi9lLa1sIV0PUe+vWoL77fXKcse12kJCVD9aQyxh0vB2aM7Aw3ywb9WQRtF2w
gG4Ww9iv2vzvt5R+dPPIPv0vYfA2RLmpYLnehKEJdgCCFlOrcvdOvKrWUxLNmOgSiwD6QjC1oYId
DPkqmNHYz9clWQyMPo+5XL+cwiv0tLdl3JYs62+heytXyRyBC5ye/ehzJlH8x0c+dIJ/4zuklx0D
aBPytJCc8mHryWcdQXJZ7qHVlDHvvre4bnJ79cPzkJttnHjyEGK2kT/egSnwYUCNYRYXN2yiiNZN
10pdUumVEw0KfZuB6E/FbK3fdvTvyO/B0exzcHcA/A4UCQh6X9nqnCQ+YwI6Tn7U9ytMylXa7qbr
AV67OCeIQaxZLZGVLNNdChdTfFUxueRHpGK5+BjmeOw/C2PIxjuPNFlqWdxmkdGlaXz2lu8NNgkM
4t8a2yqtYwCRi62za4sshfEqS+MEkwFWaVOMxXB9GxqyopTmVcf0Oe2+P0VnkdI94TZwHg3+Zbr/
Dp4pJjeDJR0ywLUe3vTJyQlTwImWsqN7aVH5+Jcg4LZxR+TaLvN0zpo0o/UBNkWvtkYZ22/R2Iuz
JfJCIoXFUlIXHp1WTN+JCgsSNQNGihIYpE6yHl+0XZVrLjpufWZeFjpezHpDlj0rsaoJZzwWOnDe
RO5Z6KXwBO3ID8FQ0IusCe0mWqxNV1b5tI2red39fBLTD51ExLu3rbQqLq5VEOlvE3vLvE4QPCCl
5+KFBQZrp19LjOWXhKuBgYM0fZ7Gxot5AvWy8Dt/n1ffXoV2nFh5C9NlBAyYJfrie67RHjp0afSX
2gvqLFRwSu8cbafELQX+JDdguBjcNgaKJlwJJU7sfE8RAsJnLFyd9fH9JEXrRoJaV+d/A1zFnFAo
D9yDCSEF0k9AHhJpz9Kk73R8jBtuVbQ/uB3iyQ0LjyHsf0e4nSRwMLVhxb8hd6c0LPXIrwqmH1V7
aTfytUJi64Q6CDyAVWUN8EL5VBy1qVo6M8n4x3R/k+r3jZsnmJnbXDPExWR54CtZF7NjlsySGnPe
pbbK5TEdYd02gwmcvtONTiFDeL3cokoVPZKQF1D/sYrHa0Bg+4TeMZch7RVOvWlQB3NppDc4Z9P3
nB9G2jB50R/F42KMJd/2exymiGLkTJUzA+X3j0OqyakHriMeJpR60d7mZCfJoLPYIxBOMWHf1M3O
RCzaTjS+sJ+4IfPXogRQwdu6ZnJ1eEHJjIWi9ehXklNwHBbCuI5GtqJ6vsM5sdFlvZ5DI3fWEK0b
yyRBcUp6ck/clEW2bAIA27Q9/0M7eW3sJfSZuqoui2OU3zopH+NOegWzqr1630G3xygEguCl21B0
zDcpjR2HtMJ9snGGyag33uRPb1oR+DaMMXtS5NZst3bfjPM9n4dCetkNBD2TwJg+LE6t1mBIxZfc
3Hi+S2X3VkP1JoD0fowHtY8Rq8zYOAWfH9l8P2U2cc1YhK7VsdYcncwtFbb1HKb+JekLU7yDUg1L
2HiehPmZ4aIl/W8R6bKS7dBEafiRCiXNB8PnJvkl3I4dAVsxP9rDucl8N8fqA8KKc3RymdpYLFQO
iSmfvIseBjBPSHA/pvQpBQAeMoGP+Ha4OgNAFIQDh/VGTcGA6NGCYT9aQey+NpClyX6pEgDvOTdM
vdMzQOlTmuAb+J5cmOfEGAqd1e6+oxpweDbAs+qtswRFA1a+yioRMjOT9VyIuFtSc99dvi8+qBJY
F6Nfzfhfx4TT//vItXjdLeGaJpNA6cxseLnb8l8IKG2/+FmRDG+k0rDWirhmxmjt25N0m9C+/zwr
+qnOcR70hOmZxszOT6g1P4yiI6JZgqBgVskgM4j4TY05BbWhW2RXmNRuH6iJdCAgFxx8O2xc7EOY
e3lj+Zar4LSteMjLbD2Vcs9mhLR7zQNbyKwY3uZodqnl7gtvZpDy+fsAqij62VQkzogKdvuPb0Cr
h8RJs2M0tcBDeTuJyevruddj89Zfjd8ioNUc5LBetWKP7V2E7N8zJHKXKtg2S0kVbs4ycTYW1U5/
TC/WSBRaYoN6L2AUMfMVgUkKzxuep9t8OTV0aXB5ngmlHG+3fnLm+uZYQaPw3mPEmfb9YlZIblvL
n6/JIO3hmfQFLvduYXVhGi/G34ggDfcsdMnb2WAZ4+1pGz4v4tqI5enGmbUuR4ygO/SncOVWLtMI
nXBhA8VEKDruGrS0gO7pIPZdwRQEEBFnp6otC3OvFNDL0UsoZmL5ZlJv7S4gHFLbyqxCUtvVofSM
7h7qa1w95y53pgWxEIEN1IWSKGkwtUZgdvtJF/JIE07zoxQDeagGiY93pR2n99KryJLgaJk/Vcqo
ht1o8ciAjaKZgjjEI5Nuy1OnlgqjOIuUehXt6btESgchl+FYJGoWzoeSnr5yOFyGCih5G0Tt9DmO
Fm6MCOrpgCKcdJuU3tKzb/rLIS+t6ozayoT4n5JqywCd3IPSlJ+DJdU/TqggjEj5OSNeJYU1jznn
xUrRgjHiyyCSZRckGZsEcCpZ3HVQgmTx/cKomAQtlklKxLEGb4lL/yVAFfIGq9tfcG61ez8xFUeK
p5i1csndu/PmO7vzgk+7VDXhytqB6Uq1KBBUVwutS2ObeIAYHnuL3/HbANx0WOKgHa9TFFcXoUhE
2shKpcurtQbdmLNQ7QnlNxm/vo/+Q1udffQMy8UTlkbGmjjoE8NLkdlLxlZ0RuiU5AwVVXZnDB2q
+T53j6nLpZSADIH3Vvnj52Lr6IQSINnR8GkJJK/DyBEnF7JASg/Fj4sC72sFkibSLo364IwELxpT
PW3oeUzuECpkoZ2kw7wV9WqXN9YYD6NdnAMeIEWDLZ4ddA+1s2EE7h7FEEwX4BfNtNqkyXX1Xxk4
B6L4DBFYWDt/Qobet/67Z+TGB3Bt1+7ZloSxcxtLkhIxVCEDaPzG09+TJW4hK7MIgpR3OcjNMwBu
9TAmY/sgym5KDjFVIRz5iJ3zjZmnwXZFFdjuaAWkPxyLdOpBBg40Hr7ngxX/iLvYfBfKHLNzkGfm
gwAXQBaUR+YLZcrj3lD4mgmwQhW5z9kpxz1XeWTbtvKbSx8pJbDbTC/FPOXvQcesfOB3a022/na+
52icnyxhNBhumzZ7HM10RP1RTqw/J6e8DuS06f+lQysOPhm5nAZmEaBTafs31U+asXX0qq90cEHN
svSX1LJFYJIRXNvMWnyS/iCvFCUvwAFoiD5HYNcxJHJHmwcEqupsFfX4IxFm99eJXPdSxyIi3XF+
a/vBbzZoHW1vixx34GaITsoJkwYLFh3b/S/E5PG8rXm/n0CWTbSE9BPjgDEZ2nqBaSVyl/I4qHIq
0DhgXA6BdvJqR+Ne/EkuYX8iIzyDXAY939VxWpP64cWSgPipqMlH8uunrotraj5BTH41ImCPkxPs
NMFZ6OnscfiQXlD/LeLRWyfsoDh7ke7fkdzhUkJcd8V5Jr/cCHloCMgzvo49G5i1LBpNvZJ1FxqZ
7UVhk2TJ9FTb7h87U+P90padZCRkcsVH0otTRjRCSQJC1bQHzhH1LLrKvpQIFJ4Q8cU/iMC2uA3r
6Tkw8uTKmdA9MilF90Vr6UfDN9E9JkMicGpIOidTKxX0HFTjeBzp7vyXURzzkqFeC/2yd1iz9djs
XClZBnE6XaKxWS8Gip+CTzujdq8Dsf+E4eI+q/r3hLKMGTVQMf5qsikhoIbE4jcBnEVtbFOqNbsB
hdOmLoH4COLp7vzBTHe1bJtTrLueKw9XkhKJCHPJrmT0pgZNWMEj6szhhTqtCX0SKOGBD2g5lPUC
Ipyr7qngvHjFj4f4MQmKX6WiCgYQakZjj5UZTMUL+LKNYczeC62oEYnQsA5LmBJZ/uBLcspno3RO
BJUU+3niTrAjgyl79ZPUeHf7/IxnojwXhT9xGrUZhg/bcV6tyFcXt8jl62LP/rVBGHaHXkf2u9T3
0uc0boJXbvbO33Zy8f8F5gSWGGW/+4ip08nEMwtw+Ac5U2y6gaqyMHM68qmnqnrNJjv5TA26Os55
abODBjwrKBIMl0oIxvRNQyj6fqJT8cq7I8IWlXWPTk22/a7zuKJIz7D/wJLBNBTQAFMZtWoLUZJc
zcws/znMQV+5M9UfdJ6ROM2l3u3Q2w4CucFCG8uGYN1x3nCdrx+8AVnLiaJCYruqRiiM0X3xyv2m
PWRmzPOfJCPCVSIvXizVBE9mbEQ/YlWMEEUCr5uW5J2EBOlCN8VuabLgfRqT0WehOGZKaoZfUZfn
rzklYfCekZndj7Xf/ghAcMaj5yGU3chx+kE5HAmhdQKhtqEANpMbvL2L4LpAEnxozLoDCRWt5quJ
k8Ez4StMeV3+4K8d8lzR7YNZe366ajectRaSIQEEw7KO9vqWwvcVJDZ4ZhXgoTXTL110XrqHup2b
XRWV1r/YtJK/eUESzn7OMUFzrxopfvZX0rsV1mOHhfFYk1t3nvqkeO6pFftMAEcfabgbrm3ZFBfB
o3kxC1Giv1Nz9c/XZbfX7ZheUwiwE/HxxkNLZ/M7yIpzTZSXUL3oOc37UqFD2EAathdMehY2ZICS
NwCD6CgTP363h9rExI14/4FrQQNatnRbJ2va+4gWRXONgMt+LN5YOOfc0s2W8pLsMkj0c0TLmfK9
k67X7zTo+PM4Bf6lt+khgNZjRFtYtUdb+2p6pvl13jrIuVsKIR1/B70kuovLzZzWGzNGHYfU3Hvw
kaeAEXnRNpDxmtLcyZXNQD+v6x4YHf62O7vpOD5THSbIcpnTT4IDscoFZhZsbA+D7kHUy/Lmp631
QLDBvvV7b9stWJeqMmsfQA1ANh2hj8Q6lvcN9wMW7gSPFhmts4uTqtk72JCyDb5Oii8oKb/HQacu
+VBzNmksNOVETn2u63/I/JLXPrWLu5Qus7AImujLS7Ou2sk4d190nERuaC2z/llW2ro2jlfuCBhI
r0akjedA1CbPuhr3Kiu7HUInN5Rx5exJYVQXQmqqA/xVaMSakDplmJR6Q/6EGRmjp5Hr5V5PzI9X
Qqgm3O3V4v2RPYFF1dioaWv1cubqaVeSOhmb4yYmbwll4wT1FSJID4YtH8ywGZLWG8NJ6UZtKN8d
Xr26a4KtQ585eSB2e8gJhdvOHvS+O0r/3mcUyo+Z1yVHtuLW3cZcxf/mUHv/yJFiTqct9Ddkx3Ck
8jd6MlxOqSQg5a0q01qDvBT6EQu3fyqqik72mNvJB8gUhRJlZFGkNEY+WsIk4s6g4iZ/x0qR0dWx
poHXDnEqACkxrmSxkO1B1Jw8JdyoN1Ur1FtKjRHNfB6A1ZaSzd5ZHXUgxVnDvc0eplNWwjmEpMhU
PxtVRtcJDBlBmXdPQwWSMLOkqMKTxfSqLTjSvTu7VREudFRyYzf7kcaVcazvIOEQvDbluzI86rHr
eXkYhN99qM6dUaCP3CqDaN43fFibMTKLX/NgVv/GSpI536ct7SOWi5q4Mw+NMaY7HrSeLAMdx94m
i43uLWeuLjatRA43wX39UKbd3xWg9fe+36Q8JwLPK9rwWKvrNBNAUwuSSWiA1lbIvk+vR0Nygwek
NTy32k6e7ZiRHJe41R4IQB+GZ5zbj8voU0aieiGoySibt3bIf3s8BtmbCfdAN0LqWnTO5srlqwry
6kF0GF62ztDFL1nrJS9DFRDs0LkoEmgeWuMdWq6d9zkv8nm26vav19G0jEr8CGYxQ8sSIXPoC73c
l7kDN+njJAyJOEP+PlgUlnQdTTpE1EeYjBHknty80cSWiNk7mMw+b6qevRWtWpqDPVCDsjE1vZBF
OaIVJNCySkLZphEEv9tM1LgiU5/LJJNbPJHmT3wNIDitTdA9Ylj9MbuFea5KGzE1m56rtv3CtF6R
M/fskVT3YzSK/FPgiZk3aPPbvZkZ48R4l10TV6Fp5yifTowNp6nNy/gRJbzxp1Fu5j24kfJ/FjlJ
D0UwGvW90za2vdXCY2Mbl1Geaksu+5gjA3yvl+SJaNqAevomJiymnpn+ojm7DD1QnZNJe8yJd797
rIe+pEHGWjJqdHh3qdFMq5NooyTfQpllxlalkXefR8b4U6o4+vRo71qrOoBq7g2CSX5SauQRUxUJ
BudmKh8SS2afitQhVhQq9r+ojsmV4IWf+EP+r5pUsRkaizvZjLz0pfJWnFF0PmeL6DBm0i00HHon
Q4tsFOlKALfw65Znam9LuMR8yNIsf816yw1j0IOrosX0sSOnCStu4T5Asnfexhmjd983/I+gltGI
LJ0CBqbupv+NF1llW8Ec98UOZG+QAyV/atuGNYlUm9Hl4ie/UaOk9ySA9HBYKALJ4GVQ0Bjp2e7c
pEZ8h2xgO5D9Tz2G0364uNXCkiSl+0po9yln9e0TVeRPMft6iDmavDGLR4aiENEcSYedztyHAshg
dAqh8s0ihjAW0SvmZv++Txg8ueN60SN22OGEIpDL7NJ1J7A7e7OG8GNen61x/RhSZoCgfy+G5qEo
cpXuGptkKRbr8r4MavxN0UPzHEWNd5cZui536eDIC8UV1rjn1O1eWq6LycYfPP3hlGTXoNFS/6JK
z7DDE0YgjPTt16JiHeJOFL8TW5rPfjbY/LSkxlfbEJXA+G0WTShGJ763+gx58pKBbhottU/IJd4U
5p4nSL/0hf33TQOZ0U2eGmI9aOj5MKN25B6fDNdIYyvP9PhuEMTUczBYASMgyQeMyfWbVWX1Flu4
cOhd6woXd4FJXB8MHol8wiLRg7oc6uWT2MeSBem7J5CSd5KWr6Deju3go+Ye31D+JX+IwLetjbWG
ugS2wSaNjmQ6O7gO9ilVv8kePXRyoVtu3jsiOXjM8EeQjTKMScTLQ68lR2vvusN8cQUelQNUCu49
5ESCeS1/HBEq5DQSJvo9qILy1aIErOZ4rHNCDwO012FQzJ9FnXTJnSsAmXpsRjYHmuGqvU3KwTmD
37napmGWWxWXxVNWKG1tPLssENt2xsTkhTrjJZKevWPumT+6yZ6PJfoJbGDY7HE58Zned6qd0din
45vhac0hr+fsT2Uln15Pg+Bx0j4ugtTz4idTOcu9EgGoyBx4h3puOmAGtFFbYIc3ETdkmOWlf6RE
jlXhNEkfJm5i+kAyMbhCPAbedl6a/qJVFvzBvTQ9FWCYd76KpuoC/lGSILHMU30oJpvE47KYut+O
vwShPStYIkYqYjZw8twnUSf/uVYM4jLOQfSn5X19xLRRP5AV3f/qXKY4g435HAx0Am24NGByXyDZ
ftukL3xADXj5JiNmbacnYpGeuLAC+lFHhIsU9eVb3JgkTqqBG2I19uUF9jXijuJGjBFT0v/gEtTd
CW0c0545rlA2tysIc8IHjT4sxqH7Q5e1f+i7AqOkOUwvaD/Em7/08mnO/d+r53rrxIxxXd8T8pvU
IQAtml7HSR4zoAyyi+rCuM44WjmtouQ0ONGX8FIU41EvQ0VoGY0lCwVU7bj89WI7eLYI1AqVqZPT
HHGL3teKPc4nIYVD4x0DXa/v84UwHFjp+pE4nxht9/iaV8FMDUWjDzajEA4Q0ebzpkyL6JF8HJoN
TbIjzpgsYnaATs6/S6+Nh+1oy7jckqtNaMA4eO/DsDi/Fr91EHoMZbalnT26I1NIvSlbzKDuLRIJ
3GEb0zbyJ/Cy+G5wEvk11+sVkNl02SJPjp770XVIqjf80HYr92cuzOEs/IqAb2a27iHtlH2XB2Xz
6IzJq+VEwTtTDzTVlFa7oLfsO/ZvuO2Geq5qDYMCDKXmrW9AN8rRYfqcA0okUH4M53yRaEPSufuF
QgOLhFlZpG/VYoJTJivvl4ydcS+iPHYA1SzJPQmKJESTlu7ntCj2vdVoEQ6uyB8K0/OuxdAXjBNd
3u2Wtu6uzpKqV9UhawRYu+Yuxz0hnfpnlAUfFmaOezf2YR0tOiU35iB6brJTA3FaRsZU7ZGrpPmW
6HGX9FCqq/CeYvlxuL1Ms6IgMwiyJxmP8y4ix9LbG4FV/GzIxyvCxojMqwTtPAmFOSGkQqtzgUmF
uhfEoRSbUSHPipq4JUk/8BBClZE86HEeT0R1Ae+vPWoDuBg5LgT7kHTDM/wxLZHxVYh++EnnEtOA
5/f1dRrLPExbIkJmH6huo5SWf8myZj7GhOlsx3Lozz3dPNAHhUVpepE6uyppx1+Z6u1DMBTFFXsF
UaXIbKoBA7fR7OnmzJlxq5FHb1ZvUMNQbyQ6qaM/qfrBH3QpwtGCcTPdNLKhklTcEoPCXbu0lp5c
llxMoGy+vAweXqRNNtYJ5sLSvY7M4xeBMuMpwwX6MiQNF8nWKvKXIuMLyxjA5ZJTVP4YF5XICdJ2
sPKqRLxZNm7yBXDuMplGXYUdXTHscASuIXRrsp/AFezSlBQ8sD+bLFawKBIfq0vjjsZHZypS8pAL
0Pk3jt6JRUmMeqe6emN6gT42nUmvYjzjBPYnk1XbmMzmJAPl2HSZDZI09Ht3PMYxwprN5BOzFKaZ
tMAMsEuWm4zcrF1jNNFrabXWvwzAcNv7PCoNyPCW8CN5tINmfDRTczrCfXGdwKDXgLK3Z61ade0a
p+/2AIpFsctrjAyb0hyjr7ZDsYucrDmRov6OsVpuUbOmOtTSihoQ74Gas0hbyW5xnSRkEpYtu0QS
jUeMBtYTlUfLv9poxN8Sheqv3hD2P4KUopDtmhK2xmwXJEa4zcIk6OcH/HrLi5gnD6y6Wu88SQBB
DL+o6vjHtJh0kIlGwLoG1eweajK7d/iC02KHqKmxt6IbjAP6ugG2SOZkXdo06oag2DXXeKb4j0hz
Dm9gVGd+gd48LksTgV1XDL7bbGBBXxwh9IsdOETBAvC4G06sw9Ia9EvCXu0KZPGApr1/BbxQ3GlD
pxS2WdUEq5XFNeUYS04NBqLS3Jb5Yk3/n46P/4ZySBEg47eltF0OIVR+/5GfQ/ABlto94cm3uDDf
1qvEBf4S1VY1EU9UGzbMZRq5K8EnNUqZFQo9Bj5l4EfEexBmQ1dhm8Jrv7KIQQ5dKzXa7quFGdM+
xW5fvCQmRkjUXavg4f8tQreoif+PCB2Q2TWhYKQNSeB7/y1a4i5E8XEEiaZJa/sF4qmXk7+Q6bNJ
+wEwJ5mq7rUvu+Af41XzAp1QRedJLiiTwJPh/ukTyUfYCUYus6+zOzR29Ycl3KQ8wchRApi0QOl/
JJVYRNqzgf21xrVOAy5qRPyhYoHCIFk785CVMd9NCeXHKUJ1miPcKvK3XlvLRwYS/18aC+OY4z5l
tE6I54SAZ8KxA32HDF4W267vnHmTZ8tvW9XqPMGAdJtCJMT2RrY3/ZVK/M1Xu9D/nBIqQgU+EWtB
7Ta7HB0xNtc6OsM8NHMt7RhdPF0QLAUPVeYvMWDw4Lf5zw7dcLYletWsHp0+1l/ZGnEvMJejVyJ0
RWzmxpGoH1TO7+nDCdSnpaU+5MxdCFVcO/TogolDRf4gjIWvx0SPqLYeChbHkOMTPWGZhVxGCYG6
ozMSwz2XXpZkyHvQbm2+dYgkYszmQRWNKrZ2Vi7Xph6WO0KwKMArpFt7W1okqooSCLLjtr3tnZU3
xsvebuEssGFVhypdbAMUTyPO5AHR6gf4+6rtr1KWplIdry0bI5tth7ZikV/NepW64HdmKZJmyov7
liKQKMAvBumf/PUhfQjskcyJxIihVAm/FRp8M76b05DMur+5r5xo4tAgVLT7MmsXNnu2V1E1Cw49
WEy+0UwmaT6Ze45a3qkgEbyD/VKw5qJo/fr1jIl3t/5YzgzXfoIwzOo/ZYpSf8JAQKhxhSfx/iYw
TIvJI6TEcBD9wFKsboY8zvj33yKv9uZgoJcHhYDXzbDMBP9brxPRpbQ6JJgVDxEPRaw3TUq5z0s1
zuh5oP3ReDGT8LoJ14BipwQSPeQaLOweZALzsY9L8hYRv1u19QXkDbtdkdjP3T9wzehapso7TRT9
jMdAahr9otbV8dZ0rf5P2ZsFGFG0EPkcla/Eo/nXvF+7bZTgGvJYSJ/S9EY6br1HQYS6nU/TeIyz
rpgOUzwnBwkZa9O4MDoP7hRBzMue5LEowpIwdrZPIAC6k3hHbzlvKrAub3OKd8DETSjVmV9reXJa
u6WAx1ukCI08Qwo1wiqIdkBihqKfcritmbDLbyVa9F85ig3rQHAhhD5VJOgoAagd1k2U8eEPvjkm
OzHOQ73hE0cWpXoafeZyHhGfx6yZk1GZCcAoMRNFvpniOMZxWQjBAhdt8FRK5fu71pkAyMhZ6MTD
XK0impv24dt+0g0jFCJBI3m/xR5FmBmCOsRsDU0mXyCzdr8eGaIFtk7HQ004OmETemHqLeJCISTp
0G5uu5vdkWjC2n2eKm75EUT++fs180JY9+Ytt7AXHb8FhxHLJqCwtworVxvpuTVjGkAIn6wPYh7Q
Qrs3FbK/1tY1TscENY4lxXTOTN4SYNmfGpk2lQ1++wnOQz3jspZubYmSpMrNd+nMOn0rPvqhrfOD
4ed5fQicVD17WH2jHQm68Z989GW0d3MC93ZZb/bdbrTayD0PrEAcQLldvtf+nNpbvwRko0PD8vZV
kSrw1pWhpMGUBMVgMQhVRlpmtrvWMibiXP0epYDO5NlDaBBTo5LPQ1iijVQ/UKGogH8zu/flLNWT
1an61JZJc2+weJllMac8eiKmRjJD89CizUloSoqG5E1pbMqhbgx5NqcgS872TfiFUYRVQ1oQ+8m3
FJXCqPWinqLmO5piTq9oLMe/PceAu0X8FBlh2o8NPaySls+NOaE9PVH95YmN0dNY084ui1GvWWT1
La/ONOvaPgLods2D0TZGuSOdsicTq50ndnEuBhdpGTbNmH4z84qXrkLEfYtAvn2XpDfQ+HrcGVCI
xjlyNHPxdXegNaoj1juNaJ7OOCbvRNL65baCCEb+8H0KCJcdR5NmhsJKdOwa1W0Bzv9H3Xn02I1E
Wfq/zJ6NCHouZvNsep/KlDaEXNLboP/1/QVZ01NSoVVoYDazKRTKKF8+BiNu3HvOd1bp+qZXd10i
bHyyqdkWautuJNkovo+slKtECp8lPq5COiARBN3AOE5w50TuI6NtPP8S8FmcLeH1vAgC0fXxZtah
h5ScCzYIijJmxyX0weREdyO1x/sBrFnOdIK6kR4xdHE29j5PBbO7zMwf88CuHxLKn0+b0SvgAFF7
RjcuZF7Ez+FxyYlGuCyQpTCEoPeLdK8teD8AnmB7GTIK4mcmf1wo2QGYvPteXh2282tGEXXOW9v/
UEvnIy/gek289WhclL3J9QSDPeCWPFIfrVk6F0pLjXEds0lFQETzo5HkGX5edHkITjAxk+89A9s9
CJObA70v7pN934lPbIrVzxAWHx4WAJ7fpkQwYzBDgRRtXDXInte6X0oqpQqpYFR8ZfkP+67x8lfu
0SGudqTSAaPbiAgXlFQPq/TZ5DwGwzhPRrFXgpw5FIjWG9KJ9IHulIsXDALHTYZ+u9pxDRi+2N5c
GIcMz/h3SkJQjfBWp+XU0E3CYeEWGvbjAaRg97GI0TWZ+CSPxThSPuS1a13yWKgm/XXf69aoq9Vb
MVa9fEEq5X31C5orx1jO2syy+jb8vGV9soyHL3PClcA2BFP4Iui9ENy0XcrvEtFIdcFkvMQ5h0io
vsIdNTCtNzmcWid7UibgBvxa7fDoByFqpG6K2fM6er7m3gIs8N4aERc8w5zsz/6qI2waHTOGFpOP
S4gOTojUy6Z+N1exJAfJtL/0dFdeyFxPDk6CJB88UBXcuO40wk3NKtd6UZbQcFjtoMNhETZfZ8Rk
r27sgggdkVJOt2aa2rjpMpTkiABG6KsSsQwzMsgl6D6tEFkvIUehecmUHwlv7czhY+C01cGa3PIO
UN90UxhBJE40JvGWNa6v5hMCKHXuF37ATk1TejuErArysQZ7ZPylVfLbYRmJVlcz2kXepdn8xi27
+ChxOCQkyI9Vfsg6cNZHUkoIfGEijoZgJrebvok9e4zTkItmB8wNk3cwuayAR7BAwLxgpcq9M13s
AAFT0+TqAud46J8kxrybrsKos+vquG4vCNcE1cK1DBeh52Qyv3PbBFpSNPXy3LaEhOw95IU/N+uC
YdfiYVYDjUimM+CFjJYHhM2LbwqrBKdpVCXZAzIjKvLRwLE3WXPhH9DkZMaBOGn/ciEMwjlg2B/M
b2QNs6pS+ksMCqHPAi3qcHQQtTyxhhEgNUcRe7RxDeicPydK5B7YzdTeRFXsPDheNzz1TZZOx2mY
/LttMyi7GklnFCNngp8RnuukcjDbGe03rGCxe+cxODwLZ2CD2SSrQ1JkF66tpS8jDfP9gCZhAIJl
chT79mT9KNuggtwQB9kZ7TV1mg+4YoKl3lKD/eVyWAi7OlUaab/Vt46FtHcXrg44S6EmIyYN8/Pl
KMRAWZziDTkGo7fQpgBu9RU3Dt8g+fJGc7Qne8j3veYV+HW8CJ4uc/mdGyHc31dNys4bDYofx1XJ
unRwQWa3m0Gi55X4PLBI871JwnF4VdtBVh+QAHM7QRASfWuYuQaXbF7mC6M7jBJYInWBbsLBRCcP
Qx4AMGqrs+xhCDIoGzNgVtLv5s9ZiyATQYv+vdpy4WuwVqr35mlsVqMdTAbe1KYdWd6LrY1Otcnj
OQn936Mc10bdRIzzT17l2DoWHnMRYkPG8hv3trF/daD1GPYulxxW1IqxBiNbo7S/o+tBoVzXWF2I
cSjKg7taH0Nb3x+mSvPl27zCF4WV3D27awEwrt4n+PAov21mL58N0kaw3+EAtS+K1QO3Ji+6jUnR
mukwE2nrcwfICo/eJpeW4j3RklSAHFpSurod+lpftNLI09cPBeZ5056yD1flcyV9Poo32DzNYI05
gGLosWiBBUZHVSf6j1x9UFXtAvcmb5wKcTeEFIsXSAy4mKSwW8JrNyZg7FAhGDZoZwPJenaAvJXP
tHb5uTEzKvslCye2NiAY/BNzsSkIHPr6JBL7Y876lDKDohY30LgOgKUNWrhcxIyr1nRiedm6Me9v
jKydw82i5LnlxsLfb1suSA6te9VBii2rWt0VjdehB56FTJJHoKGoOGiQaRMqUh3YNmjHu89rabyt
Jd8o2vwcDXWdvhcO6RZM6eEXnRqINs77Eis8QGriWnXaKLTbigr9nn+CtI2rY+TS0Nq7pjZjbStq
8xtuTiomBDx51zf4mNx8xb3tYsvCbEFF0X2VqWTWzqUnIEbOT9wo+A47jB9stg5KbHYmxNQTOnJ+
Cy4eJVSdRi3Y/dTqcReKnMKHzdgYMM5iyjslVM5ppUMmWS/a8G66EN+vZoAB1hnrEXZCc/XvVqNC
4hRNnUIVozcEn/qOd3uNohwtxuFHMDX8ObVJcXoU4cyfH8GMQZle0NI61Q32k0sAx2F2jSrIaN44
KWxDexWQKuBEXdp9yMCfyUSZqY7Z4xiTJBOZMWrwOBreGBbLl5DEDiacWdtHN74PWvhMnpE57lwM
D/dUv2hoaDPl3NDz6XWgF/vZRoFyi/OO73W1gTH449NYNlOLE3hrHuFUVMMpC0pRHC3QOocBje3P
xbVyouv7Kd27QYWQqnTjkvDXQlJG+mnC9CromEq63sDFvkTcdzWgfZaHlitxfD/2COgPDQ1bBQz8
S6RG19iRYhH9RORsPoctyrhDNQ28OHMyyOQIgUW9C3BSWHEq1KJHi2Thfr/0pdN8Q8wRPi4eTW0a
sJPzAUGDjVJVkkWE1pa/39J763ThCfTVYFOeo/Unwp6eU3WcmAWruxzb6KEPa+6bDp1tjmc6P1jT
V9NmaTt8YAYz7AJzktBuGUyY9AyUefPTjrnePdrwJr7P25QlkzEjfOIaT2OkQ8qgCfV2mX7IsK3T
jwFX4yx3MS4W6iiXLC/3ShQpfTyv9/UviHUIwQRDmPpKy9amL+MIg/vQ1drhJRCQclvUc61dEqWk
N+2yqabIQ4rL/7w58iqDzCC0lDgIab3zG8Hl4btca3ezp2H215dbLAJfsTkk3bPZ0NDYtQ41xJ4N
ukwewzLmTTfWTNylTibjLrKXksAifKU1QaW8FwdMAoQTKUhXh1TEsf1SS3oGj35LKiODIBGQkVH0
Xo0sbkuuCDKIU2/VAs3yhZDDfHqPkg7Hi12nzXyLPCOqH2ceavazKPmejnhG9ZuC66beqaEbpjsQ
HOJZOFX5jhtNf12UAbT8XBy5z7jIepI8nNJ7Ir9UdafWBb5zDBFSwpOMmwJiIkp8tYcBKdQ560HO
oqXrTuDDqtsow6l+EtkcesetJ9txqqbnTrZxf07dFHSCtAPKoKydh28LdGd1ncwVu5qcMr6xAJhs
dNyMx9ttaWvoVJRD6Qf4eP20hJpYSvTPeGYO2TrNJ4tbv327vXOwUAFFrG2qsS1YOUrnY2x+8nF1
F5clvvyjadhUsflqAcGPw8PNaL3Eh23ti7WDGJADRC27PlLg4HxXWwxU6rXYQSoiP9uDxWUIbpNp
6LeeRjvui1zbW9PVqrkelZupnuYcK2P7e7TybFxgNfTiLwF9v+RmGgl00QhbL5Kus6KnMgb7tk/n
so7vPdUhggdOMmOI7GGFAxngBQ6vI4jb8rAtsaBa2B/SyuBzbmuFwGf2H0UuG+5gOsD825ToPSKm
OQFt6gqc0roZFdsu5cnm8xnDkN+qwchi346jO7xEk7aVbW+hWPe5JRacH2yaRC3WVQwP+89t8X/0
xMHKICQJPLrG4Dis38K7fYvwNzMlRbuaU+uJusoD/ppBNHf8cbT3nanaq0hKZj9j2bRfG0cVX/6H
n8CDCQNkJ/Cp1yzndzQMGA2FCEYikmp9XbbErcGNtQF6tl49K2/gCzRD1U5IPmhQ7FbYx58/g/wV
+exA13Gx+IA38kx8keL3ryHlNGWOVE1noMTjdyMPqrduDqwHxy0NbzcUDkNzi8w0OowzdVroTsty
gTeVwn2cdMH9L59Hp3f+QvvxPN+RMIc8T1DSeb89FsPAmssNg7c+1UWNBZSTgGLIBjdIj4JHG5bG
Q74E1k/mtgR/4vq49eYqPBej7hpGM83Gw58/0poh/+tHCmA8EIYe0KINkNPwkf+GQRojv00WBTCf
3NFiOAllLxfVYrrPgEeyK4u30T1haxvTnYn8jTZaWWObUmz0y2HuRpfyvPK+Ok56z2XN6vbJBF8R
7BIU+dpd+gOgE/xITtm/uXWgbyOCUFyCJMG47T14eN8Ny0aL3yU52WSRN8xcGxMzuFOq9e/X3/X/
NVbsv6Oz/4Jwv02+M3KvPrr/DxjupuW5rLQ/YMWww8UaCvZfHPfkp/oVKbb+Cf+H5C5Y1/o/1+h2
y/0P2KkO3hHpB9os8V8kd8//D4ZyoN6h1tpMNvRg7i+GmBP8B6uOJADpWMJzcXP9T8juv8YYIDzX
kz+BJtrC4A5CXb91f1vCTdYUFR2c4L1eWu4xHq6QmM5C6g1P2/jyb98NxvA5Amhf9iQwJmWn/vf/
+m1oCi0M5ZiP0RYeFsZAwGC//jwZzRJDhi1frdW7vchigpjTTqO+ZrdlZDPrTr0Cs6CaqfPDiN0G
1a/p1NOXeST28aqmqc1odHHdGDY1owj8w2wN6cecTlRinrOAAygLhyI2WTpdqcnSBEfw51/kt+/N
o2XgOqZ0ucbjTPGd334PBHBhgz7efFUDZopXp5wCho9YB2O6/VOczBvW778l8JviHz/RlhaPXZqw
QlCfmr+Nm1ujppGKoeiNsGsdb4INn4eUJbqG2joj2NipICSAIaZPDYzcw1bZ2Z5FK5HcF33/S3Q4
2Mb56GrF/WhDJPx1b6B5Zt4Dq+HPKdemBc4RLncu0vnwlNhLnjxykY6LH4EkEelOlCaTrtIkjHDc
hS6pdw4sm/6qWupZnKa19N7ql23C1qBTonaF79TvJ1a+TA45oRMY7Se74sayFcorLCVkzOO+0/mc
s1McIdXeLS39b/rIisIDXCTtHne9sit9uT8k/gwdAIoGjRVaP6yKil6pfQFchy9o5ignBt2kYr/G
hESxtJVe0wzv/C6qFv5LOUX8X8wZqIpES3f2ggii1rzXVyfY0wwDL+cR5P5bgkxQ3XEba5YfcQ2g
+ERdEk+v21PYSkZZwJC+2oAZHIpIxxFm0rfZG74HfWlZ//wJBy/DRII3UG54nrZz2/ReQPdrkl/q
1tRMQFEUCIRmLILhirK5i5c9IkzlIUWDTcEvInquM9s6SGXJ30Px5RdRJjk69kEsDtdjtO+xSfFa
A6dGZ2V3vG5Kpe7wtBXKzQg7bN7XZs+XiG2cPJ+jjJrJeN6+uQIoKtMxrlHD08zUi4Ajoy3YKsDA
UMaJfuaT2H0AZgi9mOBO18zD3J0Y6A3yCEko9719UeLoI2Gm5sFOuc9Ko73v8RY3Es7/7Wzzv/AR
wzrkEjyju65ulJunfHqVzzy42BO8xwVaShaM1WtC11xX6+de9wQcM3REaq9ircYAxLm8GeDo3yaX
XK5073W0AOHg+Dyb/mg6QwceJqlahGv7JHeC6StFhxMfi8kKhy9pNdGdYGIcBs1Xx6ykcTOXM0tv
MMMueyMsmbdsI/p4NMPYhNa3LMPvFdS0UaH+vgRegoO+CnD03RqZw4fDxUOfqEgtViOIBr7Nuqht
VIpoInjKnRsy1aydol2+43QQw4PvdHQ4jMIqWEHYiGZ+9e0ePXQu7x60RXbDrR0jjYiF1LQ1f3X6
DvQPiAWoOVp+SvVAH481XZdoWa5EQA8EdRp7HD87LolB3SOX5tcYK5ik36aMtYeEbH1f//of55pF
k4N0Q0dqGVbzzS8lTx17a/15FubC5mI2qmPJEh/L4hdG0Cf7BLNt+2XMhEv6m5ADMgtNLXpd1mZu
mFZ6m8pos58rx+Jtg1Jlc/deF8mft2y9Qf7fao2jhywOG8S1h9YCT94/Ctoixo5oT+IVf7YaKWGT
yi7uLUQdTMn//KP+sVdTPge2JwXtYfCYv5M5h6Ke8qAR1ScoE0N61RE/Nl9lOPTCazl4ifwXKZIu
fX/5zdCTICL3KSUsDojff1wToH6y26r+JHrcI8cBX3d7YURJ22DghZ50DiyEBj/+/DvKf3yfjufA
RoVm6lO62O5voURsD4kwAZO8tnYj9atU6EaWDj2J50NewXWhGQyt7WMRZIDNOJLjhiKYoRESR5DM
SRu3ICWGNP1AS4Q6HgLfEjOR6RgYJ4//8mn1p/n1O/KBPzFkFOidSF74rVbvcG6zfi3/lTm/l18x
OrHtV4NMgBSrgj4xW2AuTXQEOjgt7Fhd2F9468tnWtWIm+DPn8fUBcIvn8f2ALfy9vGxGA+6vx3n
fWUg88ui7tMUxSbvaOYlRpLu2YDxJe7MKOWo7X0MGDDtypEdl84twYFAtLlKsFmuXYg8tvVrp42o
dHv5t8UPBkwEt+05wIYZ83KKgXvHz5oV5MrU69PPXJuBf7KJZC1NbByaFE0OD4H95c+/IpOL339H
z6TIo451GZybTvDblQ2GoJOVMJNe6nF2RtLTRzH59gcxew2S36bWTI1O9GzUDTq77HaLFRplx2lM
KO3Y4rorl171V8PQRr2xb9e9rcJHSibaYnXB1yYnOO7JLplS2fsYCkIJmHCEg/lMu2PCt9kpTqJd
SoVIr24ZiuVR0ryqnsp1D+773sLgN0B1zgBH2F3qnS0DUzt8HNlAwzEH7xwZswWeveBOftF0hFdm
+wGoDlUFsSWUMC0tWrbltAV6os7NkFCObMeqtRJYiCCpcFEwHEiP9WAQSXHAnGVUzquNWbYpTlHp
UWHgWGA79VUGCOYeXBr1EPUzDPib0QP3713VM2MJb99XWjmV0BozntUKteZj0J10qcmAsa3/JOLT
NkO7T8x8RMY/JUtWt+CXGt0EL8MR/tU5CvxCJeemQEMJwZTMCd660cJOGV/2Zec677NwwH59bzwe
T3VcnIzzwR2IPv6LMVrr6U0KUgVDbI56wBekRuYDlfrscAZbHoOED2waHHYSoy41U26kxQ+nLvh1
t7OO5lO9jBi0GKNUe1boyLtAGAHF5Va222JY+A04NCzOW8vjoBDcfc17WZGpeouqFIjJBWx/3Zuj
86UBKFB1QPShEtU/mMg61nmS5aHzTiJkzjpXPZf088ZDNDPbD+5JYbEd6kzgFMUJBiEP1/dqTvuZ
8GVAH1PBNeQHpjhQPIvFaJ9dozEoRxEaGXDhu61OYZJDTfTXeQnAjuASjmwKpMJJ+PjbT6wHxU/v
QR5dNkmfBvvSGNVXv6IYv0hmWI8XW13bru+EEDbSqjM2NMN5tLPIKK+zGQMxWi2zn/my5pqH/cMR
zLKubSzh/CNLFdU8Xjh0b3m3fTCrxZ1VWUM5nbc/GsqXwB6CErBuGEMI9CZYLdbrwzwFTDf2jNQz
A2EnUblTf1gSdHfm8V/2B0vvub/sgdyMfdtzOJmZWyBP5d//7fI5ItpwUcm1nwDENtPzmOaaKFsw
b9iNKBXaj27T5RWiouAM/NRuvilz7ZnjKu+AgfF2VNlOOkiQ0lNkREU5HbyGFu0XLyBb6XUT6hnB
mE2veKhYNoMbybwg+JrlcaksObv3nhEw9jFdr6sv7QSwww7lv16HQBZZAmyk7KvQBFMgAEGTUlsn
wZAVPzBH8mgZZNCgr4TFQ+U+0nCG5G1jR3eFHQ7yse99BsQ3YN+GGCh12OujcuiRdZvnvEjRSh8C
2oi9d548pxgDbK2lmBQTwgIGwn60BJqX19JiJFDc5XRjHfs05bRJ5e0Q00LMbgm25ooW5javHHZi
jX/0mSbZlzIUFBxbxTYw8kZX2TJ8ueZrDNMZ2Rx9v6sqTHRvl8EL63mPHrhN+7sMV7SfX6hq4NJC
xWy3xasY1JAyS+5lR3XRTKrw3buYWr7KKZnpGTMBKpMEh17qyKVidFVntItjxdTk6HYBhW280G+l
Gsr4Vslp4krPgDtTh3AB2nwlZ0Y918Qh6ItlLNjjhh4OANsBBOjktG1skF5ze9+UuJxjID2I45gK
K/0p0xHj4XFh4J9+bBcokxcDUETmdH11EUfkmnyI0aJ1WppoJx4AMFR0zHpOQ95zTo70Q43wpx+n
GKb/J5nk1pDtKxnb8Ysb2k38aknLaY50jfmNUEaS8LWkGY896fMle8nTpZGXpO44wQPfIv4DFAwV
GKjQbu3kiIsH87Vbu3yAjZsG14LtBI8Sv0Tn1dxUfHY+btvCkEcYrnPRnXtCGdn+ZJIZnOpDoIUr
t4RjDAmSRTb85XU0mCXuqjCM5btBrZIdKgYqXgeBqIFyu/foIsLN7LDelv8iIHd+ZZjbvqBDTLfG
sV0HuTGFzK8vcBJ5Lbf4vHv1B0I9ukOWN7qoACur35UlR45BWuh6Yydxzpu+xAVKgNtiBYmXAmPq
VYLjYHiyOo2CmhPBs986Q5438DgRBrFgjZr5YXSRZyh3kT2QdkMGcpTzlvehX7Ns8wl3MF5s3CL5
zzZ3naF8scJS34bwb/PGpGnOdaixsfvdp7XJnynWJ1cYDIHJNEnZKj+hyB0BaRRQ3ymqtovSkAmW
aYADzt/NzRLFZ5nEut2AKZlhHvh758Kh9sFLzSWNvkvVc4hHLXKWe6bD7nK5nQZJrhngsIR5JbZF
k2FToo8Vd9aTYM6GteJfttfg9wKdiAH6e3SoA1r5TmD/9nRmVTLFsFPrBVKc73jXUz4A9hFOadj9
QAQ89/sk59AD8fCcmEOrohO/IhsHkrR0eq16rIqXZqpcVt60zgjVwnTpsP1Hsp71c1iEmLGl6NbA
S20XjHNxOKbOE/TmKSMs3uMhIALjGjCmEe+90CKbx26xeBvhUQXGT+7eqUVu9BCMryLVAu1JhHHy
KCpNtm6DmYdOkk/mvm9X7DSNeFWctdqJFDyTq4bgt+l1+yehYfBG5onJvVLmHtPXLYak60k6I3gw
YrDSANgbPfsJ3+jifS25FYILKJ1x8EHJEwIyHuOee/UVSlNg99ihVDiTnhRSxp/DFjrwW9O6/H2/
eLrsLLCJ0qToVGpSDTYy6zk7HNTLvAOKhgolw9qa7Kmi+M9DgLSft15RD4AKMepg01wJ5UKXbjty
2CY5uUHQcO+AS0XlVJvswn+1bOgEUa/v/KjR65Tgv4xjYxuwkfjkkIcSdj6n1LAgvLuOPFna3q5Z
HGonjHz5uAgi0aGhPoNj0WKKyXSTft45+PmG+dzHSDkmUGyu7jHFcVMigHWCao7oRSHpaXd9VZrD
DxyEXnUwknjurmqFgO0bjqSl+ZYuhm1fVOwE/T5BMw6fvWQRyWtvrFsJQ6ACbOscqwmH+isheDy5
0EVVfAqyiDPCJchOz66lvthsXcNqbZDNpmQhkG3L4yXLDBI4pAqdNoQws37dGmqbkgfKhF6ZcRZx
UQKaoDvIVHO6EDZzyU8ihoh/s31oafb61I14MtltL0xdglNM0DyeJOXuVl1l60k/VqaR6XFXr7/w
hoMhMi/iMabIbQG6Jo9uJYpW3lklpssPXiRulXXv9WxTVeuygqYs0RVbqxxFVV/Am9JtwXaUnLV5
afDIikArisewRjSxd1qUgDRsFB2etofaXh1b7lSkiU+eEkbxNmaKt4WwQL3FDWs6gV/BPayOxXYx
NOnXszJHPO6p/Y3CMybfrMwDDHKHxZo9bhNbS7NNJm9On1HNMpLYJ1ZKWsHeI/+J3Ur2uk/L2adL
B6jbGMWRoc3vonGm4DKjM0hVtvaOFnthLIcLJjCTU+u3E3+IROPMOzRPY0SsOqMIgR8FgBgT3RrC
RVYH8khxkqYHOPAcxDWMNZpKxsIZO0N2Ku6VlajiYQjzwridJhk34l8uqvY/jzEibT0oPUDlhO2s
QbN/q0NlANG7jbXTnES5hZg/s4zdG75+bqZeFrOTeB3C/pxuoQ8RwaHxX4R7GnfwsIAQAGsdMZ9l
2HE4JIP+hQTJZLk3mlE656pDJXMpym7B7TaRWZQgJCSLedn7PMvsLawbnjtR5cvTkqem+VCX4NLf
egCk/k9zKL3vPbHvoFpCo6vTp54AJChUttf1TXdSomrNg1XOCbkCVdnZVJax6p9MIdrmgiKft9Kw
XcrefBlcqtS1pw8XKwy+W0XmpRgTc329SiH00H3A/xRh6v7zQaRjeP9W5ft0wZj5+I4fBIHpOc5v
XYC5ICVw5rL2Avchb1FEzMCo6R/Hug2/CXNIseGooVlMbuq//XT5W+fHR6XimAIxh0OmrOuaet7/
t6crwigrR1pPD+B5qMcuJPAvNzMvsRAjdu6uMyz1dVI8Vqz92cRsqMoCuDnFW7AIcnN71Vlx+EIu
STxGzc4LY4Ron7FIYKV8GL0mGgeL5gx6RPMlDRGbuV/dghavD9LH5Df97CH1aGy1c0EW0Hkhokw3
vWERN5BWanAj73HBfvdEflbbyCtZlDR7EWtJthRgc3l8M8XN0u3HrDStZ5r/RnM7ZcBxKZ6ARt1v
Wg9McxxJdWQZQCD6QPEOg8HQZFkasSOXYyQ4rOde9ly+s2Tg4NkkhBOGddDNqtWrEYxI8WN2GdEQ
ksV08lyZiz4HEtHRtUflZsOX7pEzIrtq4fXdJqWwi+PEg4NcvsrxRtolnOElAnY2y/WyOxKyZF+G
hsVZqFqXjX9a8K5elkPKAR1hcKMIo/nXMRIwRte9Qkuq9+6FGuJNpJpRS0wpG/+yVg8BLOPhKVfZ
SjstBH8GSCNWeRN7vEx/7TxpFLKXIn/SIqY0mvl5ARH3dLqjeWGnqRQ5b9xSeJ27g7X0bSJObNl6
tpGTzkvSRIQg+XXI0na5tOLRCY6yQMf8Rt6Ea57bWUk+dR5jeO4OsWKS+gxjmJcUvHswiuce7Uyf
IAdrKGqR36fpRdTImXzXMAA6etkh/wIhue56IVEu2SsnhjeFR3tMRk4WFqfkDJRlpdh6CICT9jvB
hYPczf44UAEZca/8PSq1pXrqfb7CIxpajTwo64gvI5I9zhm8F0n+LAsPeD4an8h82Do4mVezdGYp
3QZ7DSPucvm0VcaVm3c8cdUP+sSsAcwxQql8ltsUSJFdgjbosYl0I2UwvFReYrtEy5vCCneEP35J
EqV7MePE06Xdu+RV+kGOtH56gFAY45Cal90adaQ3nrjCRJUcZ1XZwZtwmex8ZA16UJD9KqBWTkfN
ue9Wd932a5V0OIanorEcFtzScXeqkA7O36B3M2Lf2QRAZ7dRyIt42v6HrOj0nyeCmCod3xCFndMM
1OpR36Pm7VMXjalrAYZ6KsBq8qEgjXPwcV8rOWsdM2EtbA0cSkPWriNSXhj+PC4o8zpz2mR3Ojhb
7TvE8DFK3U43CAuDnwn5j8LGchR5s11VewJWhWI1CiMawwt4AjajTCtjlczdxCuaTmVKgUGMI7z6
7brh4/PmQ3BHXL61XVmnjFtrvHnfMjs0q2tuvoZ10Xctv/S2Epp1sjOviTOkkuruLvdtXg5cGHo5
5Z3D91Bvd6lie5Pg74S6dSwJhzj5FXe1najntQok4Jv2XGDY+iwn9aNAqOsOfHtbh1Pg/PAvXdp9
zmPmgyh4d6sEVsVue2vbCVTZF3edCjkmM9r7Mgimh3YdQPZNwGuBkEnDmBOgB+4V7VC+nhlX7Pi6
VWxtupjNt23+2AiLewEdev2RUJ4yTmUUEbHwthDDeYs01OkWBBzSLCbtsHC52b8MaxZi7RCLGHYw
USsdlZjXhYutUecnFlzgz3ABvGfiAZYrIirNzwYd2+rENJ2MMFfnMWLXJJqRUZL8MrFwhjW4kZo1
zc5dilH/gPtwPmusVHFgCEXwI42ost2XUaT7amtCZAJZgJpzTY6szbHrrU/JFioJRGjUizs3n/lc
kXXh6hxKsoucnCtCyUzpkmsUEZY0t6u9q5aiYLynOwsCnRqoSo7C8Q65v5fuGznW8fVUx/HRVmV7
imu3EbdWLpl50EFtiZHlan83jUlp3TsikS9FprM5zdQQnzEJOjflErUveA6bm2ycpse5691lrxpX
d+yibvwhuVUVx5BGlQ0jjrRQC3bGT6GymhxRNgHkmiPb3y4pgvRNejp1tBMqpkE1GCV+8DWdtCsg
fBx7lruFKndabrT4/76Z3ezBNpXx4iU+SadkQIjrnPI/Ag/EZnQRVvb4nLX9HL/3a2iqjV7tyV+Q
qd/EALNvKxiy3iNxmyYW0Qos1FVn2O11VIXks9K+AW638Cq3B+4x430BBATWGZOS4WCOI0mvGEWz
z0LHvypjtLJDhCsm/1IjxbKOHe9eeDdWNcmy0ZoyWxqL8y4JrbLPCmyTCQSqC6N9QZb2lZB93DxZ
bL9iNwbWK0aS9NkjZ8A/kH3NhKfOTC++7seRxKZyISnXIEEG6aRLjBFpz1PzFVvwdGzsmtRSkMxA
VGSgdqlt1pTWuOXvUQyQyktLD+6mkU6CmBbHuBwi01MXheqSkEyBPvvSZIl1yY4eHZnmkAU8ZA43
Aj9xXPwhXB6fqAPrGd9KTfF/YKBcA1Epau910gHEXd7VyYntEIzvpHOKJzFB/nRIUbKZooXhpQ35
rXqyqLGHY5Sa0X7RaciGKn3y3x2EzlfTGqDMIiBMeQyK6T6KbQJ38zV0uXDoM+yWxhQH7JTZe9h5
mcdJQFZzvsY2D3Agzo7sjZvYVGFwbgNFg611RMCHc4YL2UOz+ZoJ4qGDKCYp2tKh0ejJ3fITsa5w
jodxqLKjzF2CeI2+0dSOCqkVby0dHs3YwVgJRiu+N9cka4ymSI9lVY8f+P8Iu0baNO5LFrvYxZHE
PiF8Ca6myt/DOfhWFSQ6M60jQztd87SdviFaW4dsk6QBLHIMdfZ23hIp/WiC/XjPWLC3LXJotV90
eLejY7yboEfXh2t0AulcFIRaZjG533lhVhcNhv7P5Op6+6Sb3VtqMYfhFFG6JNitYeKD1xC1zY4Z
Xauc+NY9d0ECJhjm5+0LRxFGKjJEop0TlGV0AoQyYQm05LEw/fYWaFn6SOO6W0A7SXGDWQPgI1kg
9okvHEJWNDo39MzmU4uLL71esBS/B/3k5jyWtPgpjL6gDnHdDHNhLScATXO8l8PsKOjYSdKfKtmY
D1lONsJe2aAQ02TI7gqtZZ7AQ0REGvuBBjWLCqFNOl8Oazx8vEbFzzTcuoMDMCxGxo6eJN7PKjGT
I+FDwRGiAKlG5ZpRD4yQvHpHR9ePOsQ+iCKoUCkI1tfOcYiH0bH3QWbkX6j5n/yxteNL5fXAY21H
GZ8y065fx9SVV7DcEvGQdZYuxSilynPigXtvy8F/66tiaK56+M/gVhiAzXu/9hhqL2GmyAOIXPFW
1IZ/tWCHLY4+1okn+K+Tf4EyqXnGJeSgZhP5dQzb+EbEUfgzISFHe2XHlr2OAe5JtbLSfS/smX0+
sYgCgOWh06kIyljgPivIf499UgIrs1prDk64cZLPlH54aISlwptFzoW8KugI3+nZDyvQyMqroTLE
R50ho2eHlvF9G1OGXpQeHsJChvmHoal8Nw7xfTcM9yedUZN+mt2RV2coPP+M+w5QsqkUTzmp6FWM
qS2uJ5Az/YvZNjgda1oiMcgMSBOHkHQt2mgt7EVAUIlv3joBdfB7bylHZzNx5j9Daaqfm0xGJKrX
wfwuVVJ98wG8Uy7nedk/NDGnQms5RXNRRlMApJ7EFFikSwVir+/wlhxaLD2mZjbPDelMfnDnN7zg
by4FAUOWFg5PBfv9Iitmke1HYnvxvs/GRBKjN8WfMLvQ0R/8qPQxn5fZ0JyMsWE/DTBMHCozNoa9
8qzmaE1+Uh89+FrOz141xHWbg+8yekh9PbD2s/7uP9k7k+W4kTTrvkpZ75HmcMxm3b0IIObgJFJk
UhsYJVGYZ8f49P+BlFYtMqtSf5r1sjdlVZUpIYBAAO73u/fcUKdPIGCbJy+sS+Wu7JwlClhJGJPP
3j/+Nth9JwkGu61+UKxVv5hyJMPDvZvEfucSrdQxSnSsDm0KwiXdlJgCWFkI31BNfEDPbRL2bDNT
dQfskPSZF3lbHg3hdNOpxrVO01LF+0F63UNvWeCjyN+P7bVl8w6uKLbbNp5rBSCqQo4nJ134haJi
KKLkZga5mwzVZSSnGtGX4KXqALCIrXBszOo8a9Hcnowa69xV1gFRfpBj517ooh2jg4EKuwD9cKai
9mPUrxEaNeDajRemxfWS1o36wORIeQ+K6BqrjNb4QETE1SgwmoC0nTuvgsrcGm4tn5zB7WvfI7G4
bLsmdtuTOxvGrnNXcpAmNecmLWrVHAb89NKXLfayjVdWYM7zzL0fjH68bVgK0duHK5FEfy4brA5j
do8epk+nmM4eCcXCGJiFoqlilIMDl5lMvb9msxcZ+MY2iiS8ucgrMzWpiIt+qBP/27bqf+uYfuOr
/nfm6/XTfAFu0SZME7r//u66jl6r4EW9vPkf21LxyrjrX9v5wyuXRP33f/7wp67/5v/vP/zH6/e/
5VdtzZCwMU39e1v1Tale2qR6Y6T+8Wf+MFI75m+GlJ6Hd8ZhEMWE45++as/6Tf/u8cEnawpJO/I/
fdWW/Ztr6xZGMJ0cgc7U+Z++alP/jVw6QhVWKmahjuf8HV/129mLJbH24O1xbKxmsEMNQ74VnUaq
La2QJ/JZ5W5kX1fgVexrkxq19hf61lvv13oghDU8RHjCdcvDlfr2QGrWDEWTSH/+w6tXhQJRKTK7
naFBPgCZvTpffvoqbn9odz+7uP90TJNViLQQQ3QOK9aL+LOi5rgGrmwG8WeV6sy++xrVei0ibd2F
B2o/ZHDImEm//M2joo/pnCe8Cf6L8/6SQv10PWXoAwPkrs2I8BfzskkGmLO3IxPY+N6ajC56+OuD
vnXycXltk8Aj0gqsLwkG/92pkhNqFW8vdbJRaOAvGrX1woOqpWomT3//62Otf9f/CKXrsZiiuqzT
bbyjAH7fzeuQMCOZESg5eW0VRfuIWHAMoD7tre6P586/tZP/+bSsVYnl1PALQjB7d6geiaWrDK85
FfNg2z54vfyRvC77/rED/n386xP7F0fzDErU+Q8umPknUhroAQ/mWXfCZyS+1kMoFx67TtOSQauT
X8VyzHcBLq6jzY3CI2G9lLbzXnCOPQWaZAqL0xSDkwI21LRN9+yg0LYbWOPAqo2ixzgxOGkDJRcb
D3XgOXn9o0wc2iKqqObNKwbX9bZSFFa3q9qeTV+SClPs2WwOJcn1wog+WfRyNicj9iQrCY/UROAK
/GYbFP6l2PdjL5ODU4JjjTadNeL7mhHj2Zi7ED392kQAP4PXgZLIbr7onglz0gHe6U2c0xSkjG5X
DiYfGgUtWqioGqboONn6kH7AVMW6kjAFgN2ht3LgokXohqeV4ir9eiwt+xZkAitSzBbW4G7SwRla
Y9PQ4DmkQAi8RnnUvC3QnX/xcPjzl83VJxJBpTnVcuZ7m20M9giNWBSnBR6zOrrSbJoAGpTRPoaZ
zsrsb91bCMeSqJwneF5j7RXrs/7nZ1E6Y6eP8OkcJ5kM/Y3Uxcjjp2mF8N2QfU3w14djBPb2V8oB
meFwIPZ16z2my7cHJAgMNFi3rCOKpg0o2yg980PCryx1MQ2qnjVIg9RoHuj2Q8NOkRFoTOYhQhHP
nKGimojI2YFR/Czi7Q8VsXWIQ7o+ho9Qeo8zhnVCDGNuhvN2Lo1CPKq69trXLJsNjeXmCOabQqlk
st0gI6+IzCoWynXVLiPd3QRsvMN9i59nfKxFbl/GUVFKYPZ69MA+O0Wj5D5JdrwerOdF6cYH6RRd
58c43k9zDFin2VhdzxQXPZS0STDGE6tGrHDo+mRPGJizaMf894Dh1PFKCldZ/55ip0pjC4eUVtpf
J61ve32juEHM5VwPjTLTvSYWCj1SF/AFSSNMEgYSxnp5qoLOruuUbgQkaRQS+ixwjtkphTAiGrNN
qxWuGyR1GTP7SrtxIbHueUBoMGJWA28dsAOrb6BsUeRySu7mM2Kj/pLW4wj/qPQAG2zY8cvhgWzS
2D00VW1o+xTALQPvNIJE000Cjnof0+mwg7CO4yGx5nY/tC2cWXoLkz3DUaqDlF7c1JUtwdJDJcY+
4Thtd0G9UiwiY0X64BGoptTPEgDztQa6A1qYFYH/Ze4yBqMbWbgQYrcO4pg5wYkMQOfu6i50ztit
Kn3LxNYrtoo6nvs4tcVVz++e8eJiyE+8HZNTPlmdDZ7RSa9bnjl8okR/nAqaHzLVvtgM7B81yjyv
tWKeoBAtol72UpQW9k/DbBaq1jynS5G6nUqwA46LrPB5HUV75aTQetF7ayqzYONs6LElAWFq+sDU
KxOUkY6y7CF1xMJJb0CahNcLUomxtWWiDICrYZjuZuVGz7R54gHXKZxhRT13BvteUCwvlALHzkHr
deuAa2nmLJZwPMkl5LlGQCcbdz0QtCNKaDzdzplRX80jPYMEWkKTCU+GMpzNDjxGakz1S7bgjEMk
0w0N8iKfewvpvd5gXonZn1d6+VIYFcTTZfVhAINswA0000PsVsOTxbmRRKis5TFKZxrsC+E2XzCt
yyWQdSL7PTG0ct6QdQKKg0LBixg9E3xDpwMUX/tEtSHA158nL3qvJ/NnZ+iTl24swr0L4OwZ/aLZ
r4GrEf92owRsOcT2kBIB13O2jeNRjNM7KM9Eop1mFwk1uJfCE0m84+Mq5ys79Pm1ZhBRnSwtpdd2
oyDq5X6EEPiN4R69U1HizM9kUmzzRI649g6KCQxdL/nQ5wTklLQ/TrqbVFvOYuyoPMNZNzzGJnCE
PVwr+qkU1HlgX8WQiGir8eaPniJALYUTrL5yuh62k+psw7kGy10utGjIsv0MpT9JCZ5kE/htvenj
rd3P/d3sdridaihF3UdcJTUYBjqgxDMzhTk+Lz0O/Cti9yg8C8i/Gx5eTnbAKTYi+dSYiE82w4Zc
0LIwqvjBDaXUP1jf8VCCCur+2QqtUfN5HOR3Ku8WsW0xSdB1pIgAItyqtZUKsxyqtuJNLK57lWo0
qhH9B6jYFx+ntPG0qzixAehkTmY3ez6xNzwtmuF2VHw0NLdiKV/CfNsOmLaunMmjU6cYROt9qoDE
1TuhR8CgmWdHxdEpvabdy1Ajxh+lvZh8XWoUSeLaw4HMnVJOrxorLOt3wbM58fu60YoTBTaLeBAL
EfT7qtbL6KXMbBPB1cmjKfxQFZSNneWQJxNDKBHWWxy8buw3WQjwPdJp2vPRnOcYezxZ4kBZhYsq
oSuvgFbM0FJ+xHzkxlczziIx+KxmMm8350SlwbovGugDJ+z4aYK0bMNnlP/h6xJFjfg0kTgzLrM1
V+lhAsNgXU8MGObcj/EPmfRIjl61Yx2cG1eUkpQYg2ZU102Mu7e+oAWk/J2jxnN2Y7dlvjxqHXNx
ymh4YnQPzIuEntOe1/Y8hSQvitrb1WCO+EKXxLGHb3ivNKDdxLTcawlDYA6mGb38LB3eDzDHp9i4
bp1SVcgW3TKdeEi5Q7FJKqPsNwtQLO0JG+fcfxLY9ZrfGaMx2qWezbQ/5ZWtRNC1hLHoEk2pJKJo
1/g8ZBEsC3QJb4HBEkKjq5J9NrPLN7dFWuUesvLMjX3jOV4Y5RSPx7oRX8UkPJ3yRR/qMQT0ny6V
7Xf1SHfqFgNdm9Nn1ITIp4eqmpZ2Z+pjEUEDsq0Ox2wQUyBJv9isAcoAmDQJM75UoWuZwxdqLrp7
gJSlRq28iIdsz+K1gIXMHTNhI85llF9jPK3jDe9qUW57ZLZmk5KZ0nyKmigYqSevQS0Lh6UNyq4x
6QmQVruz1Bjne0/NQLJZOTveLhGxvM+E1ohrknVdMFjN5CshVzvG6B0yYMCPykU4d/UhB+OURk3g
4IXYjo41XHSEX+pYqJloNhTAw0s0VqRQyyV5HZIJo6bqveoD3zJYyHQwTorlRcD6xHuxkYC3GYxa
+2vdu20ZdAp3/D4e8ukLExXmoO4iR9TErq8/0/oj28uMzBuEvTvdTbyrbpecsZRJu3CJ5zBdNdzR
cq8dhN+XmUn7DTVpOQj71Ix3SVEYzGq19lhVw6BOjCgLD8qdnV+zQa7k7bqCjcHJV2Dg9SyihyIc
8nYTrsbHIJpr66gzuPoKPm06GXgBXCQmT1AshBjNY7bu5GcwaZl1pRmGttUwEJLfKfX+VBu1FsQW
b3Lwx2bcks2PUBl7q7HtIwKxpKDEXiI7sCfZfTZxAz/FLZESn8Jh8wsA17XSUDJTkakAB05JU72h
/FRmQcqA6dGswWw6BfzvVDfGSxpG+u8zOsOnbjLiLzRi9qe8q+LbKY1d7Ihlu/dqiasLu7gP/r30
WQFlLiALg6JrSZnHSddl9VxiE2MJ48TRs1qYecYRbBm9LD6C9MipjpwaX6vH9LYUHmM8qbw9dKac
5KkrPi9d45E4czLeiV23bUKLCkQMMx9AE1XRxhllngeM+iewvXZzXZpYnxm2xUMQetRT743CSb5O
labfVwY5QN5h0vsIytlmZeu4tQqmLtE0WjhBR0ERHsioJ6C4fPas0EbmZlbHXMvqa5O1wMQSqraI
YVDtBhxBJMPesZ3xpS+lvjc7RvK4QDvhS8Yc5FIm80zZq3ZlDU11hpOkw58NrXuobGCuzKoIaF33
XhmRpy+9GsfwyM+vj7ZtVVb3VOVEF+hqkbuJ8UE91UJkdyNeuK+yXjsaWKPW+OG0qKwDSOzGvZH0
i3kL+8rFl74s+l2Vpa7wax7+VxyfFj+Av7u2kDN1rJPeDNuUtlN4hgxOXIxzNGfi7H/JLZs+tWXd
e5yBgcjlMJpCFAdcSE3LrWkuaXerVLU06S7Tlu/B4gq+5gakGIINxFs2tZjTdf4vXbMYKNVuMhP2
bUSc7s3WI1pEkhKjEGOTGQCswE1kV/zcuVPwhE45w2Bvqp87nJHdLUlKbn27d/nDYia4BLYegO2W
UVCSXxYy+MW5CfVQHddpOd98nE8aN9cAlDijwZhxHR8EXjsITmB1Reh84bdaVzdjxdxoB7rou+ez
E+xUpo6/rCx7w9I23z/CFHpjleJjTGf9Iko3pHwoIQRan+KCbNe+c2C8bCWzJ7qCeqyXu5w+g+7Z
ZUKh3ZuhYLuwCR36hUJas2zSTZSvuhCuNhEB7/UouKf5sBOxxWEJiFpxfp4L3v6e+AHv0pRZ4vKY
164ozkUVi/510Ps2/WhjHRgoY8UK//mH8ld6ENavNF4a1U01NhGX+rsi+ONq2ejQ2Rbaoj7xwk/d
/PrH+aGGdbtOcs9SRmIiEFS9h/EKC6WTblVaCi3gQsrinOPpzS9CpnzfQ6xxppk9OsbVqBwW6VSb
jfONkUVucUpIy+oHOSJ4HQtzKIozMxE7eY4LbZqJLXijaz06Ntadh7Eq1rNnpV2VDEHSbPimqpI9
TxD3hEvBbCUMumhZyteim1aU1NXt+uS7xhPRSJFfIq65PKBN59Gp5T79in1rsYpN3UWE9WBvedoh
pxabwY/p0rBGsBk/QrKASdkztOhyIGoT3Xww0RUsTClTumBCod+naDZRRO9F1EZ7IZJs2Oe0KmO9
VdFIxr4UmC/4fdvLQyipwTrUuMPs0zIqJKCcuSm+1Tyc+2AK+2TaR44Un0kOJtk3En0RWOU6ph0V
88WUNMgLCifnxm3q/JHljhruLQ/jODBxxOaXdGgtiIyFwz5b9mNsHajpMcMzIDd7uECUc+MLr/ZY
aVsd/q9z5wmehjfpoNhld2Da2MNm1MXQKI+VPmaZT5R68SGepsujjm10uO+xWeDYgZgvfCpy+djG
ZPGnHbOOp70+RrXYgCluIvpdCIj54eLBwTKqRKPjOxXzHISFNXp+5OptVAcdGtUYEBUnbBU5Rmmc
l3Jph/tJNho+W/wF68srhhPF1cnlk8C51F4gVifTx7hxaBf1HYvA/heNB5J58AqGZIk/dBpXNUlt
pMAgAyYJ+5wYwsT4OAIw6ZwpRURJK8slOeG04ueUt/MIpDHH1EDa0bmQluo9LB4pBV1dJYS4jHPE
Pck8Mlw4TcO6ZZKn7TOjseRXUsZMrr571A4ss/mhDF2Gj94Hmp8bz3aBZHSayu/xTAwE1gGGa0hv
dit5FTVz7kIL9eop+0ISFzWhaN3Vduw5TKI22Bz66fqv5aN34tgqHumOLi04KMJDi3qnu0oxSZZU
k3VcMWpkx1gZ4wde0qKAH0B+94da9X/jpV+Nl2wEup++mXWA9cdg6vqleP2v/7htk/LL6z+2X8eX
9us/sPq+lF/fzJp+/AV/zJps/TfPWcdMBu4phkcuoJ4/GD62+RujJKZFOCRsBiKSb7xckUD/9R+m
85sgU0HwhrGSBNTFP+qq/vs/sn4DD+BYBHtQCklIm39n1vRO76b+DCUfSzed4A6y5Ht53fQWdtU4
hfaIlc4TC21AlAx9Xues069Li4IwdnTwa5m6bun5+3uwAwZB6+ENTtGRNuf6HszFQ9DQ7MXw9uaK
n5llT7eCN44IgZG3++lL+heDJ77Dnyck66FW+JeLbw6nBwXkb7XXRde6RMUVh6JE8Ii5KdwSZJH3
f32Udz/SP45CbMojCsAkYf0UPxnGC43XUNuU3t4yi88ti8NNE/cn2q/UL7Trd1LyjwNJfNSYrcjS
vX8a2DH1xOgo3j4Zp1t2pR95rr9EnnXfsIdm8Tj94vLp7wZ3Pw7IfyK6wm7gKr49M7LuLBALzmxZ
p/xidacTVFqS8q7yROvjyZLxjudt+wU5EwqOh20lm6R7N/NgPxJE7M66KhOiqst46tGsjhKyxfnv
Xn5nHWmi57tkSsBEvf2QdgGilVeBu4dp4waYoWkJmrpvFCMkv4jI/fmLRj2hIMMVmKp0FOW3R6LQ
zmo09hv7vG+cfQsb+kb38LYJXc2/QHT8+c4lh8BKgHEFX7V4fyieE0mbEzvaZ/FAVzbO7CMWhPwX
XzDRdD7yTzNEvlsXQBwxC9dyXYl7++0p0U7W4SLzsKdHdrgdxBAfLYztPhJ+YflmRAH5zmspd8Y2
zB6Jbu4UUdrUZWDpkwwyo9A+OFr6bNBfxz5Jm8fLSM8vZR9RbH+MLH3eK63qBqTgHva22xTRntrJ
fqtbc40taCLc6s0N0V0IeFqWG5s+YilAb8n00IjE3VuaU/nN6M0ewAMt33LAtKSocNCOMzRoqtIj
/dA6SfxcMT4LDDIYm4mx98UeXQi9XugehrV7quxb68Zi4LvNnVQF2OziE2nt4gpgqH4nVoYwaXjz
lsBX9GRXk30jkEKD0ZpZYqkq63xwGnTp4XS5BWNA+iTWXkEqD6w0wsH1c1s1z53e2qRtbTZrGHnP
PE/Nc4ix7wIbH2h85bk0RBgju2zmKuwlbfWAmVHbJaVNx/3kNlWQC2V8yJ05u/JAPzEZdKLbSNkN
MIHO+lAMBvXlTVbpm7EXTAabeNwMHatpP5nT7JjSdmKy/i1KTPYhteQMDeFhNbF+cEJdrVam/GYG
clRuwANTo5w19nCk4qG/pYyl/dTPzZNoK7ZcEUWD2FGhlX9DJkfTFlwI2Yivy2R5FPOm1QvYz6La
0pYptzYPieuwclC906Z9ln3XBYKdqMtgxruvSMFj7mkJmnDMYjglTWberiD7NMDWE42nRgfM1IBS
XndVCKk2ggYZQMYlhaMxpmzN3iQNNTSP+GMr+o7pcXvWF5RKzFQiPaEtirW0JfqAQ8kNIjI5lT+A
uvYzlXbHNFbwOXVwiM8lQuBtppdnGpZxS6VnJNQ6QEInwOMh7A2e/YEmGneDMM3AgVnhScZD5TzP
Tkct3Gg2j/iWrkgx22sUdvpdLtq87dkFPLkxWWunJNndMtvTh14LiKq8egk3SS+keu4bahzMJhIf
mJnRtZbWT13Rqg05wDE7zzQs4pZ2yGkGJuny2V9wfR9IbLmBQ7zynqnXgzbK+VgwKkIzZna4N8vS
vBNlDAGe6r0hftTazOXiecmtENp4ckwNLVJUoY9hLvT72FXtZjBFi4cYGRkpIP3UeKtN3WmcM5n9
5uLUk9y0XAwipgaENlWm3UNhZ8xfHC9ftq2oa0yrzhh+Wuqo3LFRroJKk9BFUXpcv2Ka83FdVO9T
hKgvlADX1EFn0UEw18c9y/jBtnr666hEVYHHEAi8devmO4pHC0DaggS8omAGGi6U+HmEOa1r1fRB
g/D9MUNYBhKFoOFjcWsumDqiJ4I1GXuAxI2uRSWNu2ygXiRMZXlfZ2uhguFE13MEawG33tR/Msdl
rQDn4boIBk7bnN7jJ1tgdD+SPkSq1IdIu6Olp6TTV7MeQlUzwdT5IV/MqSUmxSxSLts1j3mIWkkv
DYm1nA8wW/SMwQsmf9923bivzdq8BeAEgUEol+osm1cSLI5ubzhYd908cRSOWco0giY0McAtNOuw
8VOVCUI2XvLdSAzenzOHn0zeeQ2x/ITUFfdAvXOUsdA9YM8Ku+3MrkYBVN9l8ewCBYZuz0WqgSjV
vSRzJB6diWxKV/OtkCJsLxihnBtX9OW5LfSKOFI0b5vBHH6f+j65bvgEL7rSa4WdD+aLO9F7M3T8
feRv56CP+BezZJpurXqRp3kK3TJAg6oEbctR87ywtbtuJ7a/EmTzFs5athXEGvfmLLVrbY6Mo46F
cGt4/Tei3nS3mPRYqMyk8bkzIRXXS8Ai2vg4KaKKDGJrZrUmXu+NBWMB8+nibBNe+yfd7R75GuwD
hfLos5Wk15BnS+NLng9PwtXEjdJhnQLFhmVMDpkRBxvvexogLJzZRua7FuczTrNGuC2xTt3Q3sVg
Ne4QnqgyIPv+e1No9LfrvXGcbRzknplj9cf8QUI6Uh8BTSMD8fT+RFPNEFiaIY4RLkOqRjNMj8zB
8CYWtCWmoQGbm2ZqyOkFE+rZ5e3ZDc0FVaN5dmzdvHV6xzwBjf6K+9a4Noh2+0sDuD1ysJ8WlFPt
2DvkNBe5TYw1WWu+UT3WnbOMzpGCQM8L1QPmht6P/iuOCtBPlCxqNyWDsytaSTN1EGOlHwhrGfdZ
6mn7LjdttRUJEM0K8MIWibhi9l3YDzjinjJKQL/Mi5VTXq5PN6GWW/Q/YaSMMoSZpbSuqPQIV4/a
4jua229JUlVPXezpD0tILfDidsS+nKYkNoBdvWRmLbVvzFp736xDnno5kgHS/MQILwU5L22tDPq0
tm90wQ+LDnQnqD3CdQa5n50kqv1RE1G3Z6k9uWQIIp5EsgUS15fG3aA4ibHNvcxPO7M5UsYM7SUe
rN33Fz29uNQzMOS66YjfPa1IEmBjlv3Y0Mq7gfqrX7CZp99w+di4AmoqLOnOpn1ImMHQOvRJNMqG
CD5654ndDX3KZXwwUqM4zaFh09ohh/vM1px9JgTNrTy3z/G8RFeik9UNeXGb6Zzx7NGA7Yf0422p
svlsyty6UqQog6hxq989tRjJ3qr0iF+fEX4z6yHTzmwxIUtI+CSbrlXVV3KIOF9rvvftQKLtJjHV
sOdmxybRihQRZ3SzFz0aZsJ7tTtd/fVK+8/7D7afqxhBEThDmu8AiZ82Op5rcJnpVqUJ0KPajv8i
nPZkjdysY7KziCv99fHk2yjuulV8e8B1Qf7TAcM+XJRYKrnvSucxpnO9HJcXJu0ky9RWM7pjbtV3
onutac42xHiY7OXFqb8qOVwmvEwtCWuLNrieSQgdyLcDfSx//Qn/vEF6+wHfLZ/bTtfKyOUD2ka3
TUxkZUPseZHsi+ZXTqJ3ueQ/LoaNfZPdh8Xr6N2xyCu3lIBkcs+34PPo/GhaFNiyfrvYzBuh+e+4
yQKzoL27q7XL9xP9P2XoV8oQmWW2ef/eeIz9+fPrlzda0I8/8ocWZKHqYOrV0SFsW/DWwv/1hxbk
eL+thl+D7TWgwZWH808tyJa/2Wz88OgK3KSrP/F/tCATnrNpWg46PihxcF5/Rwv6vjv+eQPI0HKN
CVNkwg5wFaXe/sTqiobQGizTIVmd7Nc2ENnud9665iPFfA6WKmcxyZ36VPCSy3Wb70Y56HdMZLF+
uCDVo3IeKDQyiSjUvw8utnqdPBgtJwjcs9d06UHA+o+bjcbbQ7sK3Sil4Y5kHgo+lVaa6eMxnKut
UyaUooDcMFZbbjez//j80zfzL+SgdwjK9Sdkw11no7u6gkFRvt/AhwAWI9sx9xTgLdMHl5m+e8xA
bs4BcEF7NWJQ8NPtse3CRt1YfapXH6towvIWO22JVY45ZKV96sFVV7ewAwcA7pKl8C8eKxKR6u3G
HM2KVKJDnlKgkDGkeKf8mkWoaGDAWlt2g9GwbimFbE/Z4PWRd9HbaRZugJ5PjslXLJ5rcRkyx6J4
oHTP3hAZ+5IARTDX4x2uDKrRMfkEix6LXS1YeQmYm8WGRHsFqorVMPHi/tz33nLB0GLiw+in5jms
c7GDulCznmpD/cY1tel2IWO+K4ncbS0Qe5+9MimCKrHVvu1VPm40zUsuJD7wjLbRQxGHawqKdOcS
OtmViovpAMBAPcxu67LNcpGTVDFc04zU3s0YxC6rLnnMeddRstt0Jn81W90mHZftkLr6M5GPkRk0
ahVR9AbFIHairYflhjipm9CCp4/uU1VU3r3NYPiurXP7qGlOfD06gJ02Wps222Wc06uwGKMP+NLd
DXmZhm1f6e5CQ5ueZ9XN3B6sDxhaWmdVt95H7PLtR69lu8W0R8ND2IYHrXWN+5mu5e1S2tRT1S6j
C9W7+DjJkd6DfqjJ2wJe2YWtY31uwya5CmN2wG1uVfcmZp4Avo2xx1YnrxpcWUy2O+O1pdrzs15i
+k3mUAtcra5J1mvV55COwwNRhYkYOCWRm15vFh78Xb2Ppqk8WlQ6sCKlXwf3sMtIDsrf3bD2LWxJ
35d7XQvtINQqeYlNDNwpBdLOThS9+5ot1odWw+Ey9+Vwa5l6uW1bdDwHPtGDyrpmy/VMbqaYRjVj
wUHjG50tg6iwrQcisPkXO7OTYFGj6fl5xWiPlGZ8TUQZa51H0aVZqCLZEPPrzqZj0MSa4E6goVZs
DKtMtmOdZJ9rzxmuulp2z3x11qmRreuHse0dLdtm5g38bqNAqBwLZYqDngvvk9KFnfrFUno3tk5m
UeNmweQ4xVCnx4FuhIJ+2s9dvZAHZWFi59A0XJJwU0xaaFJO9bshjHEX0ld+MKI8/YS3y7sl7zxC
9/J0ONVSHlTnYODD1fNYdE0ybuaiEW3mGyDIRud+VLoTVTuvynu0wLl+6jW9vha1K7eJaOhTTsfJ
Yl2WkadOl/qJZk98NjTXBSn57I1ZRBUDOP0LY+xHsKDTJoe+saN1VPqLlztUONsjpV6qByjnQ2jq
FLDDyC17+vdyqkipICN5X313/zsYMZYBE4UxOgOaLJRrDUJGgkJ7HvvOjW+HeKIjtKlaM+jGdsA7
tYQSuBKbSKvO2ZsV/E4qqnyHYVeHCTdA5aa6wrGZ1V80TG/tPiKx1fhhh3lsL8tZFlexptv9q+sg
Ep+91DKYSsWz4PGit0wXDcqpxGfJltR4BIzluAH1UCtTHoI1kHTfLIaQ60vefjhBGJwme4u8TgZF
GwdcBz/CIkjbK0nCdEil0PiWLbR4VXw5kmsRM2esEqZ+mOlT+CQDO/uYzKnZJyraMIDusGQuVgZN
IcVeDNUGkpP+hcSZEsYxNEeAAtch0URjOPFeMHjb6RUg8PiFgb5hvEqYll0YJPBo+iAb1rn6omcU
bUQmWkMZiFSvvT0MuCJjUM4XP+2x2UZw0cASMz1kA9HHy0XCCOqf+paSJtrZ8FpA/LAZ6H5ycJOE
PjZKxrWCxZzyVayx0QTRzx5vKyLUCqawiasAahU8e/YyH/gQdd8XBMkBDU0hYWY7TE8mxJr2MkBD
4gkzGfxLEf52duDIXXicm8EquH1+/I/Rbaw0kGlbv+CdsDmpREdk8eJSc4991hbFEcgPlv2LTOtJ
u8XdMzBopsG049Uemog+w1aVUhE0hI057Hsj6toLUXJ79Y84ZiyuvGLRqzOOkyg7lVbICU4NrtSr
qTAzcV3mbTT7drSO0RNBEPuht0PoWV1drDzwiZdxMviSn+TCkn/OpOXLZBoK1CJbDnf1UnOCHog3
5ukLVZNblhb45SkoXx3lsOnXk/2RhYgQkDD4V7JMv9FSQWylmfhjGI4YPsm4Sqf9gvbVXroOYs2G
ipaleh4gnRl+G7Kc+OS09DXRxxlVJGS2gHlQMxio0y2oBXh2OAPG3UOHVUqOnCyknBCLe5ZSucoP
vRjTYetkVVT6Vg+k3Ne4SbUjlAEGx848oNtA+OWWwtBeNXid1TAFjVLUmVtQ98iJ4NFItSvZ0dAQ
GLIl3n3kPkrSg0wh1wdmRRb3YNKDmsKg1XnDUwLeE0zHNljTUEt9HD/FsIbZtsceEy83DsWC/DhH
XIgHDfQ6xKJWYP7A8sLof9I1Bs25qvLHIswUPoMfkQO2g0QkFK4fTAIeIgM6ADXS21Q3jWFbeA1F
Aqk3wDabo4ZQASqaBU1qVPN6+UOcHzctrJ7cB0SdEdfHbyq4q/vM9D1V8ojMJE+oQ+nRFP0E2b+P
d4tRc3OOho1WmlXlzMYbvig3EasPIB4xaiOtVJHJ7Z8mFtce6EBsncSsA+xm/wxrPdDSWTEfwNDn
8vgo4uyUWE4hsMHzvHutrbB6KW2Mm8thsch7PmkEvXExYXjamklRYcoe0ABtN39xIA+Xm0FaJ09O
FaOMfiy25RTPw1dMSdhHNQ4Pcx/W19NQ9qq44lZR1PqQpV+hDJE+n9xyzaDzZBorMu99uXFb2S+0
tdniJqrN3tsNTmVi5WIRcqwhfX8F5lV8KiFHvUYpTVl+6i3V/2PvzHrjRrIs/FcK/U6DWzDIhx5g
ck+llJK1Sy+ENnNncN9+/XyU7Sq7qqvG3R4MGoMx0I1uS2YmM4Ox3HvOd5AaCJ9OHBkNTrA0QXPg
Cymgdm1ykhsfhMGDgkHjvKQysnODLF7neu+/AnYte6oeJmQTE1HRKdGMau3GKFLTMrPzhZPp6QWa
uuaMXBX9diyt8FhYnVhBaNQ/VZaOgLM2hnbjNHALlkit+GIUCOycdNc2fMX/1PkrP8fJl0SVu6M0
Vm+joQaWWFjtdGDBMzaKDay2KDD7NKT8UWfNSMs4BaKY4PqHibGoOzcBj2XYw4oMsovSDd3XKLGb
R3zoZrLDJeMc9JKkhgMRs/oBRKA27ibZ9B95J/ETEv7iJk9h1oLPK9kUm6QNc2NVSKAq0Lql4eAO
WClbINygAIZsJ2Ng5Zii26UM4lJbRRimZdbWGfKzELR3zG8Fh1GPvYOJhOnCmAL4D47Jp5nmQrar
GKD+VYEUVj9BupNxnaqvz6TL07YSue6Mh6qsq3FZFpVzyryhQR3IY38fFSymS6vseSxsP8j3pebj
ke50LCSm3Wf37Osna2NWdrOJeCsX/VjCJxDCXYe1q7YDmBoqjRT32JIPg0/aie3GqOm6ZEDOlFA7
jaTZYZ7LrHBP8bm8prlTnxmhLNcMS2AdhOnJs8lKsjOKwQCc1QhEwO1S5riiD+wLEoZZiQrdqR56
PSN/WA7gbpfMZP3GKRqEvaJj9eQ7ENEOdrudLssmyraodmzsOG4Tb1LXVdeB3fT7ViJ7h1jk35ud
eE0AXuGY4Ak9VkmFoSAnguNab1v/0pEkXrkUYmFv9VS4oJkErC+IJTOy1ugKOOpmRBAzrTTQiXSa
KnJPOYyJR3Ad8l5EfjWuEJ0F6Ol63XmOC1JlFmUm/JNuZnawUqT+xWBWCe+fwFf8ANBJj6S+00oy
lLpwGzZnwI7A4jq1rNmlYA6vlyj74AjEw1huIqbaPd0hPV5LJ8keVUK+OGJ2ZixBxW8VAbNaSWQV
Z5wq1LNJHs9u5N6PnoUkFutLvbCKUF9TO1Cf3FjTKQwbpVymeejf9EEenMq4c9fEYPgYHqqkQ/TZ
a2oFhGCbG3V6akoqsogoZbihtxgfGMEpZKdKY8piSwPfQffVeGIMiP7p1qAnJl4MGXkeNvZ2FK2H
FK/UaUgVKXpTFj4tP2HzRkR8PrAEMLsMxrPhIMJH2FhbnzSq8EeCaTySm91gujAsNvw05H28UFHv
iNXUwdRbwkYc8gOBgd7TZHFeQNYhq4cBgvu6pyqAdSn32Z4rXdOPJoKpVdnTR2Y9rDRKmN7E4a9z
j5OVA8oRTjgswjynRpqH0ryeYu3RYoV7IRE0EVsnda41m4oLO9PO3yV2P+5s6nwExCRdcWVHLZgj
wQxrA9lP9WndNJ19ZiaN/ZZ2rj6sukD6NnhNrxNnfjo+0QbNgiNFSegYPoXw68YJm3sU2elVDuz+
Lg0xySzHkcAWHqvGpMrXB9sBtnZ/SpHF3KHQSHccWfKTeLKHPTINljHPyadNDxzhhAM0O4lGpsNO
d6Me2h2OhscKGBodoynwFceOsqkXJgWMDeEY4CH0eN4XDaRj7WGv9R1xpkavloXW1GJVzRSUqS9Z
ESTazBW6obZdcA6/s2Sn1nYgFG1fYn7Ztmh0RjK2o8uZlYtbBEwLljI8yh9r29QLDvdDfRUnqTtu
bdNJXlnHRLWSjWFcOpkXvXmdbB5q6tXg8o2mvqrdvFAfaz9tn6CaJy+hOTdN60HQSJp8H5eAzeLW
L82COFwJY0iHQIM3wruG2Mr+oxfOQByN3brdqrDCBsV60dnGrmC71i2jCW1/IkQZb+NY2A0F+FJ3
DlWPanmR6Ql9FPSICcEbPZGdmwa1H73yKbWHU+Xhuzj1asfyr22pOcXGK/so20WVSuQxq2q7wcxG
5Gq1hfyV4Agy8rQ80IRru2pdUV9v5Br7hZ9tpynKigO6rBJhKLJJfbqguWRltNztnrem1RQFtoLe
KB4Cm4VKLFB8aSU5k21htt4Or92YZwsDfVBwm9ImcNnV2gorYYZZML8dQt8TOzsPC+2hQyOrymXV
obPQV+6ACnerM96sly6Uer1ymzZqV9ng1M/Qr+1yXeb2qKtFWdEvfGbbVzlspcaZRrL0ahzv+34i
wOok0EN6N/MAyYtrQB558FFVdWk95hYVjnCRxEUDI0fYMrmWvld1sPyTOLMWKHnTOF95Ed5zIm6T
fHoi8CfwoYAVajhtMxnIo8q1Ydq6setl93mrBKHmneUn+hVxrHYjlmNlDPYWt13RcDpxu+wuCt1U
Z2fcZvYdAYW52OA7tXP4KIwdTrbD5CyGirPvTqI73xLBS3PDVnZaLIu2aa6aMOwhh+uBx8GVU6kU
TnqdYk7ZoAFI1Mcc8mK7b3qhzm2PuJKFnBKgLKWNuns5po7DyNR6MFSpGNRD49RgyZAOf2KQ44PK
/KqkL2eDVmlNYDMtsab1pjQcJv6gNqdXirXstuaxDjLadpd6V8piMTZFl56gHQ6fxJDn14mop0MS
x1a85FPAu+Pr9L5y+9Ln4154iR8/o6AaDnVjZhsJMiWAmGl416KqjGg/0Z2rF5MMaOx1Ff24Xrox
4z51hxVaoeykV2HrLIs6qrwVuejTtqRqt8cHO1HZEc45oUt05UhY16CYFJqED6bjwYI6Z2U7rLFu
vGid0Xu0NKg8WRjq111S1h/9KPTvYyWnbU2HXaxaLfAvoFCnZMLYdcQWmg+82FNvi9ZMDPUp1QRv
6Qkg7pwwspLcyokRtIgg1d+UYA29NbT1/jEtRQ6DrGzvaWDit6uU8RSxO6EgNzjgjaRFlyv1VV+s
E/SHd1pfFFdlILJ0GRuRyfoPfG5cYMsdL4EgDaxWilijherz5sLXkvCs85rhMkgDYwvHKbhlJ1tC
n26d4nIsc5Luk1w1gO/YI++LMh/aPVFU6Y0dJc0tQWbxQEodzcwlapqiXtIAbDkJYj4+WMq2r5ye
4tMyMTrrNYsTdZboVXaEC9neA3jLTpKA0+A28XXyxw04WcD7ME+CqmL1oZpZOCfMg+qjF/YJQOZC
N6+Ji8BM6SqjXtvZGGMgZH3fAyAKnvpET/N1UFPu2SIXyHYeCW5XYwDrpxEui3Pc2hWlSoPU3hUT
UvuYsrIM61zEPXIdvP1yldshRKzc1G+KgAnA8R3nwGCt38xU9bfELBBe0URxjydoTDsMTWX1jChA
jZsEGPiJwXr2VBijipYZMWoPQZoEnzyYrxReFXEv2K8qczukVpStU3bUc36I1earwsDJwXALx4+O
b4y0EvyK3m7fTvppxmHBX1gE6Zgrl1pPT9AUck1E3i6IefZALT7ttmUcUaa1jxZ1uPgksOyUCTEs
/PvEtOikR0Gkf0JqoS1HxaIGjI9HS4GpQgIxTCP4orCvziMjANinizLFxAjoo1l21cAKaVnBDZQm
DuKFYW0bKjzamrW4yIkk92lcVOa4L1tVB8jtWqLX8iyh1tl5wyGphvoCvpsSi2KIqHIH9SS2DG2E
GyKMOjwdIYaWmOPnqQ4s9j5UWbEtIbGzxxhM9WpA/yfIVSfgvQsIOKOkG7KiW05A1Pk42tQ+pXuT
5cKEZNZpZXQS9PWlcqmlO/FsKM/dKTjReRtXvs2v+x1ADs6iRP5xoEuwBNh6QbZMaVP9wWHjnxLR
mWWfPI27k6UOGrfLarLs6izaRgFd9kVMiEm87UQDG1LYFbSp2JaUrMdS4G9p8Jc99sVwW3j+RG2w
d6xxUZpGfh6MATVlfUjQBneNTp6MDL3LLPImf9VSouoWAetXsyrBed85TT9sbVLYo/mEUC7xbkVb
7l8PON06wxPRmxKoVEnIosc2hs1vbB5S6hZg6nujPhcyQl3TlFNerySd5xuNncVrEtIeRZiC83hh
WTHQnMBq9FNSQUzEMizZt9S+wnFv0VFA/wXjcIHrVuVrZmGHj230mG4yrXMmBjy7xIRCqovBSlTI
6RZJnzrGo8dl2hUwXP4mm7zkU1f5qNustqkOaBEa4jJwKLk7TgVS7c3BlVDsLFpFC3wX5WXnUrcl
hUMLmYaUM4oNUdwoBQSFND7vocB5OKKf20jDCsa7cLK97hrZR/ZgxmwwtkYwzSQ6ismtt2wnx+tP
8V7T1WAKsDbIdlysJZqkFkMnK7Y2lqhC6nSt8o7sooZkxWGdZhxl0bfeH+1rhhSwT5hzXNWqAILi
UgIattL62GKjVcUc5MqsKthmIAehmxJNnXGuIZiuN7pe5CkW6Lif6SAVuJJUkmSwbyPZi2Vqxy26
A48EIdY1wtVPE0GBccdoQrhqwFvoUXUMOcYxaJAxviicH/WNMxXlJTuBYjxTyqvsj9iKBoua72S2
Bz8Qjf/A40RbEigoEDkeihm3SJsQ6Qyx3uaF07G7XfV+h2psIdm5a+d2VFIOH+zUUBiq/TY7+AAS
ossWx263jHOr8butwa2ttRIk8hFrfqMhhFR1bm6GeCZOMKRq72ysmqF/QbwaN9vZ4Rds/K6X5YFx
nT32nHZuStlJbWdDD1Xhsi80n5ukHpRusUtC1wAz3BSngY+q8RYHTCGXA9JP7ZqKREchIkkN2W17
pPmcnfSyiq402XvigniLxjwKshDybeaXfnEx+rPUsxC5ZewsYt+Dk0whPtqDqdDqE9pPxsDmC9vu
FetNBIp1cnLnHIsVrJyoJkTrLI+EgQTLYuVn9Or+tBq8qQXw4hd9caMMQfeiaw3tZTR9L94yTWds
k3wjNrZVprqCNgDHW+KjGWKHpjN6pvQmyi8bM+ngw0itweaFJ7lMFrY5+PvODXmlqJKqXktJ7Bwn
4UnT1+EENB9HoBUzMS2IUBgQTmOPtcezqp0m/cKjb2XhGG4b61qxlQY6i0fLVgvDc0METjiyQecZ
SdHftF6X2S+0D6nyhmUXUOQftPGOVD7NX3WO5z9pZus8IorMDPAhrdNtZh+2swpqyIkks+nOI3Bd
/mdcSqOHU60Xr3HXN2rX54H1sbc4CO0oPzQtb6hy57ofkqzT3q2t0yAUmM54/3G6CzRfhOiCpv46
dKAUsYhBxrscKxfCY5xj/EVHO0TjMpyo3kzI0G4Gd4DMOvFpt3u+z7nM6XaJWk2VT643UHYFgDNq
nGQ7WRQjF05DuBB1GpoAFNvMYNKWtZWTbzS5QDO3Dm0h7bzwBzGu05Q5/ZyTSQ6iD923f5mD+Ggs
jnluwaSOoa8I7vqJyhCpcNJgQRgLvH7HqLYr7RQWpfVSsmrlF64Zd5dlX9GrogVR50svT9yjAhzM
XmUs/F0TuyrbjZiZtZ1ecGCn6NpnIOdJse0/UdQNAcqMxlwmtehcL/u+JfNxYdA4mbfipftIMkIw
Up0hP6XhuKXr6W1sUI0is6Qpg1XtyKJbOqgNmR9kX21L2qrXUAGC6Gg0gtLqkrWeTnU4kQq0slSb
Z2vKy+zrI2iZcwS012uURe3AIfvYVtH4SuQGlQeeTaWvqdkP3Wmj+fmV5ddJ8tj7FvUz+AgiIJrF
o40zEwccVS8MfQSnNCcmtf6J8OEVRFi6NePeRXxrEX2XzkuFjjZHv3ByOrRL3Mk64XlWbWwVJXwU
gl3boTNZ4lLOMgAfVWKNijNKrMSwYlfkhPdRDHwG4mjVFtVN1aTSfzPBi1CoKzkqlnBPhV7Zl7Ik
b4xqQRsB5W4JXe12bEZKCxmCiOKDCSRGrhWiO0qzg2kVyQti5CTc0wqavLMSVw7hDS7Aj0UYt3Wz
DPRMv/SDaZaRl4RvLk1O3awFQ6egKtJaYYZKQVQgzY4Jw9WYMx9IFWSv7PBsj+swAZ6BNdlIqguX
LG84RHoHs8CI0+RgOgOnECvtVkNooPgDdzAuGDjlIe9yO1jJkfzXBRvgNN6RQ5lcm6aPSZtDb/7C
ETV2VxP05ebgIYyPX7ECDuF514jWDbcQl7wBl6ie99pVOSo0o5yNu/O2qyPvELVVGB7RaoDxydli
5wv4JAXd0bbLyKBxgfyAWJiGU2Si7MlQN/Aqqsi0Pchzh861lYe0njKtlOLSieRAl8ZIQk6gXVi6
zLLQvJYEE0Bdb1qOJWtYnHg+eTcauWeRfLYQaL+F1Nu9pU6ucrrSR89skXG7Xb3FLjBNZ1lAAOMJ
WgTcArgnUj70QstsaMuZOo5lYT+jAFLFSgyVQNqKbPPU4pyA2HsMi9VUVuMnUpfGYOmhFL2Ix9iM
Udgg6IZt07NvpoBh4xxBPIkLoA7nUqvduEQPQk06F6FhNCdqKIuNy3Peb6hnUawxUqqAEM7bh8wE
rUq7JYWcDdqFLjqBi3OrCB1CuneNZurWqMonDexv7r6pIY0uA2co9rJWjr+VjR1cC42ESrqxSJ3L
wbbWAbFv+84poiXmcT3ctMiI8DE4BBYt6NmE6mJw0EJyfEytj6Km3HuGs4YgaDdNhlMTzIyil19F
L2UaOSVgWiVfAkM2NwptE8ryJisuA6UJeivQGNAMVjwEreiClnoZW6hVLWRA/BLto/tapdGdNYtt
LUms1MIKtbLbAP1A68m9E1RQmQoXTOScAVrlvOybKHAXhAuMR05gycGG1LwrRyM+obkVG4uk1rCf
GAzzYteUYQkySpdER2o6SZysTFa+sk3UCBsf1RDnwFoPnOUEF+Tao7+3Twr6qktaPla6JzA0Octq
RQoTO6r6lo7V3P6hloCoiUNTJgqPErYrffbsfocWBHIEtHcoIAdsPCFWlTEQ0bWOkmpXGPVUrHSr
HqmXSPuSQ4LCBmCnaKbb6lhFlvsEj+IiU03FAMpt4d3yMWnPGWD7Zebb3Tqdgno9hnSc7UKPtgSd
WdUJOz6DjbMKqX7kMjTT9dhVaBHFiFZiURlZ92KAJXNapAs1HQOBLLliiAuqiAF7P8eQ2ktIAgzH
eE8NyIxpe/QnTFDlreML2b95rawqnNuYb0a6huDENkpR51OsKYQDbRwRViSJpYhjRngs9aKpOstm
d1p2Tkd4LLvflKANTxfVuUd0X3HG+bH0gXYNUeOhAplwSjH7xERBhjGpdMEKY3PkiwPnWU4nOwJn
RROjoTLd+JndCYdIKtydqrGfo9gheK8v0xYBcsJyvSaF3KFZ5Ax+hBUajzWgo0Dr3MNkt/KqsuqO
lmLbBVdJnwF3GpHXLygcympvFjFKn7Qm8CKReLMh0mgbEs77dZH0OM8dv321moGDNqp0+9LKonu7
MOSnxiZkNeD2Vu7UWRbFlMF6nEDeYQVQ5dagVXurBFr0no2zi5nLKFYG4+yaHmfwBvtjNBeOobX+
whNJtSnHvDvtm6EmEziyTou0cSK6RPleJY3/SZ9cgpeYP++cTgBaz4kltOvqDhh/CAumcQ5hr5e3
5CGZkga2310qqrf3hM7SflBTxOjO0JZd+BMfZlehE4TTbPVoda32HP+e3ex47j9604jGBAARujZ0
Gc8ciYS1VijRzmvHkZeUjbpFjidkDWAmuO6AgcSQ0UbM2C0ALvYb9Zhu0fOjL4JqaBKDLAnT2ouU
JQSlXGUeCeIhv9LRBtgTw33VaA0KbEqSPn6704IS/c1cqHV3YWTYjBkqqZeOixSKVeJ5qJBHLqZK
ak9moNqnbpYvEf/JaHFL99SnXN8uqD0nYtFaJSkO7IQ++hn71zoFQEqRWNZrxB8dSg80NYxBG5eN
JleOSJKTMBlNDUJfJK29aQq2u0Uz5HdDoSGSNNuko59nWNH9mHTBjUv86Y7MAK6tkyq3LQsDzcQA
mOJSJN5jpFiFdSIJlpD50itfhQ3Ht4wcnXViyCjnAND0j/iEUnSOstIkYk0sPXhJApeGDpB6TE/F
g61kuYVbSJqFQtfh0KwPzAuwgq7cGnFfECtneKhaEsEJzzdp6kZ5bRPPoclkWuqVsIsdJlHprWKn
NjaTrHR6MlBi4foYY9MtSQDTLgHLJCcG+Zs7XPXqyij91lxTh1xauaBETdUpOO8Ra94XVP+2Aa19
ih/utMycyjU2Td05KwxccbKEtZanJ6XOF7/KNUJStWnONojNES9gSINxnqH1GzbC3GljhC9ONxWv
dGvBeFJ7zfZodecKtoZsnIg8iOHbNPWD4GGsOYPRktPzeC+ojENBS8CslWcNn1J70VtFmmzNqfDL
jWdkuQsBD960uM8MzDjPkZuLQ0Yu7IbYmBkvZ9EgI4pOaH67GiVEnq0b5o7aTpXV32UUHOQWe3/b
73rWW8aF3QTnU0JcZrISLZXK24pgaeJMBoOK+5mWTF3u+0t3wovrsdGnrUG0lzu16zzoIrFRUhvO
YSDp9qIzYo+U4Yabv4qs0h4+ynfMm/6Z+ZZGgKgWhJOA5BobiHDxOx0O8KdYhpBJZ9RFEq8bxzAO
AeoJJJhNQ8Fbj5WFyo8kwE/1O3fO/gyhU+9EOtLLxzdEHb18Td+ZdTBm4NdFFAnKTd/OXLuRB2LB
Q+CuSZCCe9eU7xC80q964xJnSXrnmH6TLdMZlCdnZF7VA89jJoue9HeiHmI/6HqECEHaS8YR6l4H
fyZbjK2Axme+k/lMYlvZCL0T+5J3el87NuVLMITI6VxSzW5tfSb9oenv7sa2HK5rwBFLnppoT9dL
vyV7dfxUzrBARgjcQBEqSHtVJtfVO1cwnt4hg9k7cVDiJvTOY05zJ6gpxWNkwqDfDDOokIwdmIXl
0ExHNbE5WRvvVENttuAkCkEOGgJaQwIfsGSH74ewsOLismBbXTFV4YuiJ2qM1oN4pyh6gQj0LfE0
dGEQaVlrn1LfDSQxrTl2nyGM70BGxChdOQPQADWyxdUwrc38xvod5UiZKdgWILo476foUvVN8I5+
rBIHJUE2+dSU+AH20C1zkQcBcEpYxKbGjmha/r/f4IdA5/OO5xtV+x9IFFdPdfLUvIRv/VP+nevg
8z/84jrANvDBEp4Q2AMcXdrmb64DYzaWfEFOOPoHXceYAGZZmq7AnfCbzcDFZkANnvM5VhPDQiv/
Fe/+RWkPGf4H+dGI2T12pp5uUc/RYYH/nlwQGWAjPWNwLixornT5ePL7heWlRKChVrY+D54/fTVD
zkL+31wNNkojtsI4KKQBbUPohvW9q6GNE1sPAi84+gliOAMLZ2XF1xbTI8W5yieDdIlDuCI6i1ZV
yf6FY63hjRUDvNZH+4ISSQc7MQVr8Bz5QXglEFCHAfShpLiS9uQFGLn5tyecfEVt7FvfL2/CrFR1
tvSy2D/P4Beji/IG13nguFzSyqqiybwcREyKFG5qqEEsKYVhUCdqxCc9mXQ2YmHMUZYY05oMEvSd
PnJF5jCTODeHrKgVcWnR5C0wFMsXzdS7AqDthOIBkQUixYyDkg1arOioJOPad5sBBoMZRhlaPYe2
wpY6D6Q0TNfFSNz5cSoAt8bmnu4EfdgdhHqaKUSf9qr1P3Ls7EfXImUGjW9xUmV2b2Cbz5VYKkCp
e6hnFGaJ6Q7YvQxlHZyaRFraO1MbXLFuc1n2KxP7PU5oq29uAj3gmBUAhyANCZkALYmUvNxF3JCB
urB1+nlomAn0OIYURS4b0jE4WKC6GKn883Jtb3fhjjoU5ZmOvl+5JOGKf5kEA1cxOGepG1YttcfG
2RarlrdPnBI4b/4Pf1+GJ+hhIuyXUURuX9x73vgyZeyYRKeX08I2OAesBRfT6OP4Ktj0DqmuG3wW
BvIkRNcbxeeJ1xMtQMF9GLHY6ZEnyX21eY+Il3UTO4tfPKh4JHQCVAboM6EX/De56QifhFEAGTOx
O99MJkDYZUz8NH2p3PLMIyRoWjXgEoZjM+b6nEvnOTjAVURjiWuzE8Mdirww6fAG9Hy3N4Us6DHX
Q13MH189sKzVU8ppXXTRW+IOzlPgpC4KHNdwi5ui1OjRDQGQqpfEjPPbrPTr6KAFqKRPcystHjLk
oh9dWcYFVoQCtBhfNm9eBo1xnNqx9i+MYuDbC1O+zmEun26JgFTlZmq0JOIjzZAZBCh4b5q8ZJTw
7Yjp+jNeLMSgLPchxgnKf4Az4q0qam6ehqPn30WOgmEmSB8zXmnkptEGEapwHkHOs/mf0oEhps+D
KAHRKfcmwZovlJG1bFez4tl3HHzGmpyUMo1feLjT8RVqRGPN5D5z9BtbrnU2eOawtkbiTr1pWSVF
18qDwQkvmJ2hxcA7m/6PLWFfvH/zCvOHsI5f5/b5pxcqyptr9a/90tdF4h9f6MfSP/BsYY/6zoP3
/p7eo0f+6hLpUxM17SsAJ2F/QAiGfzRVefDl78Bak/xhOGhbvqy533wkf3bTf30/f8xB+eN1vnvD
LxSmUUlevtHy/249tyC1/Mgd/+4Cv90xFkIhSdLFpM4azx+2AN/evOd8wGJm6K4wf/05L/i//xE8
vWZRvgKJTuWu+XZLY6FX+7338p/93h3rg0P9U+JbYgPCHzzN334KhiU+CIOqEmEx3+5Q//Fw/ZGv
90d+57sh8Kf3b84owB8bBb+7xm+jwHY+kKBkObiGP98/w+rb+3ecD+yeLJJnvvycR+TfaxTgjZx3
rD/yLPzpp8DTD0CQjaeNTWH+87tR4MkPtsWemSfl88//7cYCy+PvjwX/7KMg5pgjPgZJa+T9D8/W
t0PBMJgjDUN6HBr+7QaBBZjxJweBLTjsWLiwv8x3OoeCb+9/nip0RzJPMDr+vZ4BFLgzu+6nngFH
fLB1y7aBC36e7/k8v7191gPsTLawDI5n859/YhD8wKLx646C7nX6+r6XiN7q9xX884z53/7C15X3
jxf4Mp3uX//+N5bN735vtvd/vvLbr8fv//hunnhf8b754dcV8P1lvvzzL/f3x1f+7rW+3tTXv9xF
b9VT9RKO7z8Yv7zL4ztQ8j/T57eqefp2ufv8iP/2Tv7+t+/e5zdf/19deFERKlyHvxAg2WbP0Xev
8Hkf9bOvcPaURyiKv7vyl0n6Zy99fOt/WRAEWvfRS/LtZ/NlKfwfuP4nNlyvM77zl/k/p0/P1dOr
qr5/LYS7X/9iHgD/2hdxnKmeM+nhl+u3ii9FVYz3r5edh6ppSYeH+qfvSXVPv1y9UM7//hv5PGP+
7NX/Ilfv1+fpX/t8fhSp+pMvwwzzJ3yOn7zwf1eI+8nLP7RYGn8dOuPXcfI+x33eF//sV3ts86eu
bb698pd15q+v/I8mw1/PDX+cIr/uh//RP/t++p9/4yV9e6r+478AAAD//w==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image" Target="../media/image9.png"/><Relationship Id="rId2" Type="http://schemas.openxmlformats.org/officeDocument/2006/relationships/chart" Target="../charts/chart1.xml"/><Relationship Id="rId16" Type="http://schemas.openxmlformats.org/officeDocument/2006/relationships/image" Target="../media/image12.sv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image" Target="../media/image7.png"/><Relationship Id="rId4" Type="http://schemas.openxmlformats.org/officeDocument/2006/relationships/image" Target="../media/image4.png"/><Relationship Id="rId9" Type="http://schemas.microsoft.com/office/2014/relationships/chartEx" Target="../charts/chartEx1.xml"/><Relationship Id="rId14" Type="http://schemas.openxmlformats.org/officeDocument/2006/relationships/hyperlink" Target="#Datatabl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76200</xdr:colOff>
      <xdr:row>81</xdr:row>
      <xdr:rowOff>91440</xdr:rowOff>
    </xdr:to>
    <xdr:grpSp>
      <xdr:nvGrpSpPr>
        <xdr:cNvPr id="2" name="Group 1">
          <a:extLst>
            <a:ext uri="{FF2B5EF4-FFF2-40B4-BE49-F238E27FC236}">
              <a16:creationId xmlns:a16="http://schemas.microsoft.com/office/drawing/2014/main" id="{5A89CB6C-854E-47B8-AEF9-F77A7E704675}"/>
            </a:ext>
          </a:extLst>
        </xdr:cNvPr>
        <xdr:cNvGrpSpPr/>
      </xdr:nvGrpSpPr>
      <xdr:grpSpPr>
        <a:xfrm>
          <a:off x="0" y="0"/>
          <a:ext cx="17754600" cy="15179040"/>
          <a:chOff x="0" y="0"/>
          <a:chExt cx="17209008" cy="11219688"/>
        </a:xfrm>
      </xdr:grpSpPr>
      <xdr:sp macro="" textlink="">
        <xdr:nvSpPr>
          <xdr:cNvPr id="3" name="Rectangle 2">
            <a:extLst>
              <a:ext uri="{FF2B5EF4-FFF2-40B4-BE49-F238E27FC236}">
                <a16:creationId xmlns:a16="http://schemas.microsoft.com/office/drawing/2014/main" id="{DC10722B-B5E0-F629-A2C1-88E3E30301D2}"/>
              </a:ext>
            </a:extLst>
          </xdr:cNvPr>
          <xdr:cNvSpPr/>
        </xdr:nvSpPr>
        <xdr:spPr>
          <a:xfrm>
            <a:off x="0" y="0"/>
            <a:ext cx="17209008" cy="5797297"/>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D30F9C05-1C90-0960-55A7-3288F1FD42C5}"/>
              </a:ext>
            </a:extLst>
          </xdr:cNvPr>
          <xdr:cNvSpPr/>
        </xdr:nvSpPr>
        <xdr:spPr>
          <a:xfrm>
            <a:off x="0" y="3383280"/>
            <a:ext cx="17209008" cy="7836408"/>
          </a:xfrm>
          <a:prstGeom prst="rect">
            <a:avLst/>
          </a:prstGeom>
          <a:gradFill flip="none" rotWithShape="1">
            <a:gsLst>
              <a:gs pos="53000">
                <a:schemeClr val="bg1"/>
              </a:gs>
              <a:gs pos="99000">
                <a:schemeClr val="bg1">
                  <a:alpha val="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281940</xdr:colOff>
      <xdr:row>1</xdr:row>
      <xdr:rowOff>60960</xdr:rowOff>
    </xdr:from>
    <xdr:to>
      <xdr:col>25</xdr:col>
      <xdr:colOff>370332</xdr:colOff>
      <xdr:row>42</xdr:row>
      <xdr:rowOff>22860</xdr:rowOff>
    </xdr:to>
    <xdr:grpSp>
      <xdr:nvGrpSpPr>
        <xdr:cNvPr id="14" name="Group 13">
          <a:extLst>
            <a:ext uri="{FF2B5EF4-FFF2-40B4-BE49-F238E27FC236}">
              <a16:creationId xmlns:a16="http://schemas.microsoft.com/office/drawing/2014/main" id="{946CBCD5-8207-0B50-CC8B-EB029455EA65}"/>
            </a:ext>
          </a:extLst>
        </xdr:cNvPr>
        <xdr:cNvGrpSpPr/>
      </xdr:nvGrpSpPr>
      <xdr:grpSpPr>
        <a:xfrm>
          <a:off x="281940" y="247227"/>
          <a:ext cx="15328392" cy="7598833"/>
          <a:chOff x="403860" y="242164"/>
          <a:chExt cx="16422951" cy="8576462"/>
        </a:xfrm>
      </xdr:grpSpPr>
      <xdr:sp macro="" textlink="">
        <xdr:nvSpPr>
          <xdr:cNvPr id="12" name="Rectangle 11">
            <a:extLst>
              <a:ext uri="{FF2B5EF4-FFF2-40B4-BE49-F238E27FC236}">
                <a16:creationId xmlns:a16="http://schemas.microsoft.com/office/drawing/2014/main" id="{700E42E8-B310-4FF2-AD63-D031CB0D5068}"/>
              </a:ext>
            </a:extLst>
          </xdr:cNvPr>
          <xdr:cNvSpPr/>
        </xdr:nvSpPr>
        <xdr:spPr>
          <a:xfrm>
            <a:off x="403860" y="690699"/>
            <a:ext cx="16422951" cy="8127927"/>
          </a:xfrm>
          <a:prstGeom prst="rect">
            <a:avLst/>
          </a:prstGeom>
          <a:gradFill flip="none" rotWithShape="1">
            <a:gsLst>
              <a:gs pos="10000">
                <a:schemeClr val="bg1">
                  <a:alpha val="62000"/>
                </a:schemeClr>
              </a:gs>
              <a:gs pos="100000">
                <a:schemeClr val="bg1">
                  <a:alpha val="68000"/>
                </a:scheme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5">
            <a:extLst>
              <a:ext uri="{FF2B5EF4-FFF2-40B4-BE49-F238E27FC236}">
                <a16:creationId xmlns:a16="http://schemas.microsoft.com/office/drawing/2014/main" id="{3F09D116-F420-4956-A969-22B685638783}"/>
              </a:ext>
            </a:extLst>
          </xdr:cNvPr>
          <xdr:cNvSpPr/>
        </xdr:nvSpPr>
        <xdr:spPr>
          <a:xfrm>
            <a:off x="403860" y="242164"/>
            <a:ext cx="16422951" cy="468454"/>
          </a:xfrm>
          <a:prstGeom prst="round2SameRect">
            <a:avLst>
              <a:gd name="adj1" fmla="val 2857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34</xdr:col>
      <xdr:colOff>0</xdr:colOff>
      <xdr:row>16</xdr:row>
      <xdr:rowOff>0</xdr:rowOff>
    </xdr:from>
    <xdr:to>
      <xdr:col>60</xdr:col>
      <xdr:colOff>499872</xdr:colOff>
      <xdr:row>18</xdr:row>
      <xdr:rowOff>18288</xdr:rowOff>
    </xdr:to>
    <xdr:sp macro="" textlink="">
      <xdr:nvSpPr>
        <xdr:cNvPr id="10" name="Rectangle 5">
          <a:extLst>
            <a:ext uri="{FF2B5EF4-FFF2-40B4-BE49-F238E27FC236}">
              <a16:creationId xmlns:a16="http://schemas.microsoft.com/office/drawing/2014/main" id="{AF08D4F5-58D4-4EDB-B78E-C6D5369EE835}"/>
            </a:ext>
          </a:extLst>
        </xdr:cNvPr>
        <xdr:cNvSpPr/>
      </xdr:nvSpPr>
      <xdr:spPr>
        <a:xfrm>
          <a:off x="17678400" y="2926080"/>
          <a:ext cx="16349472" cy="384048"/>
        </a:xfrm>
        <a:prstGeom prst="round2SameRect">
          <a:avLst>
            <a:gd name="adj1" fmla="val 28572"/>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324074</xdr:colOff>
      <xdr:row>1</xdr:row>
      <xdr:rowOff>105047</xdr:rowOff>
    </xdr:from>
    <xdr:to>
      <xdr:col>15</xdr:col>
      <xdr:colOff>550272</xdr:colOff>
      <xdr:row>3</xdr:row>
      <xdr:rowOff>59327</xdr:rowOff>
    </xdr:to>
    <xdr:sp macro="" textlink="">
      <xdr:nvSpPr>
        <xdr:cNvPr id="13" name="TextBox 12">
          <a:extLst>
            <a:ext uri="{FF2B5EF4-FFF2-40B4-BE49-F238E27FC236}">
              <a16:creationId xmlns:a16="http://schemas.microsoft.com/office/drawing/2014/main" id="{04B95BD8-C0E5-4B1B-8CBD-5F30E95A1D72}"/>
            </a:ext>
          </a:extLst>
        </xdr:cNvPr>
        <xdr:cNvSpPr txBox="1"/>
      </xdr:nvSpPr>
      <xdr:spPr>
        <a:xfrm>
          <a:off x="4591274" y="287927"/>
          <a:ext cx="510299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n>
                <a:noFill/>
              </a:ln>
              <a:latin typeface="Arial" panose="020B0604020202020204" pitchFamily="34" charset="0"/>
              <a:cs typeface="Arial" panose="020B0604020202020204" pitchFamily="34" charset="0"/>
            </a:rPr>
            <a:t>Supply</a:t>
          </a:r>
          <a:r>
            <a:rPr lang="en-IN" sz="1400" b="1" baseline="0">
              <a:ln>
                <a:noFill/>
              </a:ln>
              <a:latin typeface="Arial" panose="020B0604020202020204" pitchFamily="34" charset="0"/>
              <a:cs typeface="Arial" panose="020B0604020202020204" pitchFamily="34" charset="0"/>
            </a:rPr>
            <a:t> Chain and Freight Analytics Dashboard</a:t>
          </a:r>
          <a:endParaRPr lang="en-IN" sz="1400" b="1">
            <a:ln>
              <a:noFill/>
            </a:ln>
            <a:latin typeface="Arial" panose="020B0604020202020204" pitchFamily="34" charset="0"/>
            <a:cs typeface="Arial" panose="020B0604020202020204" pitchFamily="34" charset="0"/>
          </a:endParaRPr>
        </a:p>
      </xdr:txBody>
    </xdr:sp>
    <xdr:clientData/>
  </xdr:twoCellAnchor>
  <xdr:twoCellAnchor>
    <xdr:from>
      <xdr:col>5</xdr:col>
      <xdr:colOff>152400</xdr:colOff>
      <xdr:row>8</xdr:row>
      <xdr:rowOff>114300</xdr:rowOff>
    </xdr:from>
    <xdr:to>
      <xdr:col>7</xdr:col>
      <xdr:colOff>472440</xdr:colOff>
      <xdr:row>17</xdr:row>
      <xdr:rowOff>68580</xdr:rowOff>
    </xdr:to>
    <xdr:grpSp>
      <xdr:nvGrpSpPr>
        <xdr:cNvPr id="23" name="Group 22">
          <a:extLst>
            <a:ext uri="{FF2B5EF4-FFF2-40B4-BE49-F238E27FC236}">
              <a16:creationId xmlns:a16="http://schemas.microsoft.com/office/drawing/2014/main" id="{FCD1C6EB-ADDF-41B0-A5E1-CDDDB6A90404}"/>
            </a:ext>
          </a:extLst>
        </xdr:cNvPr>
        <xdr:cNvGrpSpPr/>
      </xdr:nvGrpSpPr>
      <xdr:grpSpPr>
        <a:xfrm>
          <a:off x="3200400" y="1604433"/>
          <a:ext cx="1539240" cy="1630680"/>
          <a:chOff x="3535680" y="1356360"/>
          <a:chExt cx="1348740" cy="1691640"/>
        </a:xfrm>
        <a:effectLst>
          <a:outerShdw blurRad="50800" dist="38100" dir="8100000" algn="tr" rotWithShape="0">
            <a:prstClr val="black">
              <a:alpha val="40000"/>
            </a:prstClr>
          </a:outerShdw>
        </a:effectLst>
      </xdr:grpSpPr>
      <xdr:sp macro="" textlink="">
        <xdr:nvSpPr>
          <xdr:cNvPr id="24" name="Rectangle 23">
            <a:extLst>
              <a:ext uri="{FF2B5EF4-FFF2-40B4-BE49-F238E27FC236}">
                <a16:creationId xmlns:a16="http://schemas.microsoft.com/office/drawing/2014/main" id="{60E70F8A-48C8-2B83-0BC3-277977D35C45}"/>
              </a:ext>
            </a:extLst>
          </xdr:cNvPr>
          <xdr:cNvSpPr/>
        </xdr:nvSpPr>
        <xdr:spPr>
          <a:xfrm>
            <a:off x="3535680" y="1356360"/>
            <a:ext cx="1348740" cy="16916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B6">
        <xdr:nvSpPr>
          <xdr:cNvPr id="25" name="TextBox 24">
            <a:extLst>
              <a:ext uri="{FF2B5EF4-FFF2-40B4-BE49-F238E27FC236}">
                <a16:creationId xmlns:a16="http://schemas.microsoft.com/office/drawing/2014/main" id="{C1A1E410-9B31-7C24-C12E-CEEFA8C8BD06}"/>
              </a:ext>
            </a:extLst>
          </xdr:cNvPr>
          <xdr:cNvSpPr txBox="1"/>
        </xdr:nvSpPr>
        <xdr:spPr>
          <a:xfrm>
            <a:off x="3657600" y="23317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06DA69-5731-4932-B1FB-2F0FF186B111}" type="TxLink">
              <a:rPr lang="en-US" sz="1200" b="1" i="0" u="none" strike="noStrike">
                <a:ln>
                  <a:noFill/>
                </a:ln>
                <a:solidFill>
                  <a:srgbClr val="000000"/>
                </a:solidFill>
                <a:latin typeface="Arial"/>
                <a:cs typeface="Arial"/>
              </a:rPr>
              <a:pPr/>
              <a:t>$3,59,038</a:t>
            </a:fld>
            <a:endParaRPr lang="en-IN" sz="1400">
              <a:ln>
                <a:noFill/>
              </a:ln>
            </a:endParaRPr>
          </a:p>
        </xdr:txBody>
      </xdr:sp>
      <xdr:sp macro="" textlink="Pivottables!B7">
        <xdr:nvSpPr>
          <xdr:cNvPr id="26" name="TextBox 25">
            <a:extLst>
              <a:ext uri="{FF2B5EF4-FFF2-40B4-BE49-F238E27FC236}">
                <a16:creationId xmlns:a16="http://schemas.microsoft.com/office/drawing/2014/main" id="{8D3A3DDA-6DD8-3279-3542-85F8156FA187}"/>
              </a:ext>
            </a:extLst>
          </xdr:cNvPr>
          <xdr:cNvSpPr txBox="1"/>
        </xdr:nvSpPr>
        <xdr:spPr>
          <a:xfrm>
            <a:off x="3657600" y="25984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2E7F25-4656-4602-BBB4-66CFEA97CDA4}" type="TxLink">
              <a:rPr lang="en-US" sz="1100" b="1" i="0" u="none" strike="noStrike">
                <a:ln>
                  <a:noFill/>
                </a:ln>
                <a:solidFill>
                  <a:srgbClr val="808080"/>
                </a:solidFill>
                <a:latin typeface="Aptos Narrow"/>
              </a:rPr>
              <a:pPr/>
              <a:t>79%</a:t>
            </a:fld>
            <a:endParaRPr lang="en-IN" sz="1400">
              <a:ln>
                <a:noFill/>
              </a:ln>
            </a:endParaRPr>
          </a:p>
        </xdr:txBody>
      </xdr:sp>
      <xdr:sp macro="" textlink="">
        <xdr:nvSpPr>
          <xdr:cNvPr id="27" name="Rectangle: Rounded Corners 26">
            <a:extLst>
              <a:ext uri="{FF2B5EF4-FFF2-40B4-BE49-F238E27FC236}">
                <a16:creationId xmlns:a16="http://schemas.microsoft.com/office/drawing/2014/main" id="{EF657E6E-D284-85F8-DC5B-A60D8ECFDCB7}"/>
              </a:ext>
            </a:extLst>
          </xdr:cNvPr>
          <xdr:cNvSpPr/>
        </xdr:nvSpPr>
        <xdr:spPr>
          <a:xfrm>
            <a:off x="3627247" y="1593132"/>
            <a:ext cx="1127760" cy="365760"/>
          </a:xfrm>
          <a:prstGeom prst="roundRect">
            <a:avLst/>
          </a:prstGeom>
          <a:solidFill>
            <a:srgbClr val="38963F">
              <a:alpha val="12941"/>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accent6"/>
                </a:solidFill>
              </a:rPr>
              <a:t>Income</a:t>
            </a:r>
          </a:p>
        </xdr:txBody>
      </xdr:sp>
    </xdr:grpSp>
    <xdr:clientData/>
  </xdr:twoCellAnchor>
  <xdr:twoCellAnchor>
    <xdr:from>
      <xdr:col>8</xdr:col>
      <xdr:colOff>45720</xdr:colOff>
      <xdr:row>8</xdr:row>
      <xdr:rowOff>129540</xdr:rowOff>
    </xdr:from>
    <xdr:to>
      <xdr:col>10</xdr:col>
      <xdr:colOff>320040</xdr:colOff>
      <xdr:row>17</xdr:row>
      <xdr:rowOff>45720</xdr:rowOff>
    </xdr:to>
    <xdr:grpSp>
      <xdr:nvGrpSpPr>
        <xdr:cNvPr id="28" name="Group 27">
          <a:extLst>
            <a:ext uri="{FF2B5EF4-FFF2-40B4-BE49-F238E27FC236}">
              <a16:creationId xmlns:a16="http://schemas.microsoft.com/office/drawing/2014/main" id="{8756C08B-A2DB-4304-A256-718EF9FC650C}"/>
            </a:ext>
          </a:extLst>
        </xdr:cNvPr>
        <xdr:cNvGrpSpPr/>
      </xdr:nvGrpSpPr>
      <xdr:grpSpPr>
        <a:xfrm>
          <a:off x="4922520" y="1619673"/>
          <a:ext cx="1493520" cy="1592580"/>
          <a:chOff x="3535680" y="1356360"/>
          <a:chExt cx="1348740" cy="1691640"/>
        </a:xfrm>
        <a:effectLst>
          <a:outerShdw blurRad="50800" dist="38100" dir="8100000" algn="tr" rotWithShape="0">
            <a:prstClr val="black">
              <a:alpha val="40000"/>
            </a:prstClr>
          </a:outerShdw>
        </a:effectLst>
      </xdr:grpSpPr>
      <xdr:sp macro="" textlink="">
        <xdr:nvSpPr>
          <xdr:cNvPr id="29" name="Rectangle 28">
            <a:extLst>
              <a:ext uri="{FF2B5EF4-FFF2-40B4-BE49-F238E27FC236}">
                <a16:creationId xmlns:a16="http://schemas.microsoft.com/office/drawing/2014/main" id="{C2E5AB0F-9C29-FA1E-43A2-F18B4A529BB6}"/>
              </a:ext>
            </a:extLst>
          </xdr:cNvPr>
          <xdr:cNvSpPr/>
        </xdr:nvSpPr>
        <xdr:spPr>
          <a:xfrm>
            <a:off x="3535680" y="1356360"/>
            <a:ext cx="1348740" cy="16916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C6">
        <xdr:nvSpPr>
          <xdr:cNvPr id="30" name="TextBox 29">
            <a:extLst>
              <a:ext uri="{FF2B5EF4-FFF2-40B4-BE49-F238E27FC236}">
                <a16:creationId xmlns:a16="http://schemas.microsoft.com/office/drawing/2014/main" id="{FAA10114-A875-D586-9BA4-AF0571970B8C}"/>
              </a:ext>
            </a:extLst>
          </xdr:cNvPr>
          <xdr:cNvSpPr txBox="1"/>
        </xdr:nvSpPr>
        <xdr:spPr>
          <a:xfrm>
            <a:off x="3657600" y="23317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44D92B-6765-4C4F-B751-0C59539DD20F}" type="TxLink">
              <a:rPr lang="en-US" sz="1200" b="1" i="0" u="none" strike="noStrike">
                <a:ln>
                  <a:noFill/>
                </a:ln>
                <a:solidFill>
                  <a:srgbClr val="000000"/>
                </a:solidFill>
                <a:latin typeface="Arial"/>
                <a:cs typeface="Arial"/>
              </a:rPr>
              <a:pPr/>
              <a:t>$93,323</a:t>
            </a:fld>
            <a:endParaRPr lang="en-IN" sz="1800">
              <a:ln>
                <a:noFill/>
              </a:ln>
            </a:endParaRPr>
          </a:p>
        </xdr:txBody>
      </xdr:sp>
      <xdr:sp macro="" textlink="Pivottables!C7">
        <xdr:nvSpPr>
          <xdr:cNvPr id="31" name="TextBox 30">
            <a:extLst>
              <a:ext uri="{FF2B5EF4-FFF2-40B4-BE49-F238E27FC236}">
                <a16:creationId xmlns:a16="http://schemas.microsoft.com/office/drawing/2014/main" id="{F1F7A3DC-74F7-A8D8-55AC-2F31EA878E22}"/>
              </a:ext>
            </a:extLst>
          </xdr:cNvPr>
          <xdr:cNvSpPr txBox="1"/>
        </xdr:nvSpPr>
        <xdr:spPr>
          <a:xfrm>
            <a:off x="3657600" y="2598420"/>
            <a:ext cx="12039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43F0AC-51FF-4EDE-B4FC-58D274056829}" type="TxLink">
              <a:rPr lang="en-US" sz="1100" b="1" i="0" u="none" strike="noStrike">
                <a:ln>
                  <a:noFill/>
                </a:ln>
                <a:solidFill>
                  <a:srgbClr val="808080"/>
                </a:solidFill>
                <a:latin typeface="Aptos Narrow"/>
              </a:rPr>
              <a:pPr/>
              <a:t>21%</a:t>
            </a:fld>
            <a:endParaRPr lang="en-IN" sz="1400">
              <a:ln>
                <a:noFill/>
              </a:ln>
            </a:endParaRPr>
          </a:p>
        </xdr:txBody>
      </xdr:sp>
      <xdr:sp macro="" textlink="">
        <xdr:nvSpPr>
          <xdr:cNvPr id="32" name="Rectangle: Rounded Corners 31">
            <a:extLst>
              <a:ext uri="{FF2B5EF4-FFF2-40B4-BE49-F238E27FC236}">
                <a16:creationId xmlns:a16="http://schemas.microsoft.com/office/drawing/2014/main" id="{A4381CEF-74B5-039F-EB49-3D0F58A2C7A9}"/>
              </a:ext>
            </a:extLst>
          </xdr:cNvPr>
          <xdr:cNvSpPr/>
        </xdr:nvSpPr>
        <xdr:spPr>
          <a:xfrm>
            <a:off x="3634740" y="1600200"/>
            <a:ext cx="1127760" cy="365760"/>
          </a:xfrm>
          <a:prstGeom prst="roundRect">
            <a:avLst/>
          </a:prstGeom>
          <a:solidFill>
            <a:srgbClr val="F2AA84">
              <a:alpha val="17647"/>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accent2">
                    <a:lumMod val="75000"/>
                  </a:schemeClr>
                </a:solidFill>
              </a:rPr>
              <a:t>Expenses</a:t>
            </a:r>
          </a:p>
        </xdr:txBody>
      </xdr:sp>
    </xdr:grpSp>
    <xdr:clientData/>
  </xdr:twoCellAnchor>
  <xdr:twoCellAnchor>
    <xdr:from>
      <xdr:col>18</xdr:col>
      <xdr:colOff>480906</xdr:colOff>
      <xdr:row>8</xdr:row>
      <xdr:rowOff>137161</xdr:rowOff>
    </xdr:from>
    <xdr:to>
      <xdr:col>26</xdr:col>
      <xdr:colOff>44852</xdr:colOff>
      <xdr:row>18</xdr:row>
      <xdr:rowOff>114303</xdr:rowOff>
    </xdr:to>
    <xdr:grpSp>
      <xdr:nvGrpSpPr>
        <xdr:cNvPr id="52" name="Group 51">
          <a:extLst>
            <a:ext uri="{FF2B5EF4-FFF2-40B4-BE49-F238E27FC236}">
              <a16:creationId xmlns:a16="http://schemas.microsoft.com/office/drawing/2014/main" id="{883F5A10-1F1C-BB44-6AB1-92092E36392E}"/>
            </a:ext>
          </a:extLst>
        </xdr:cNvPr>
        <xdr:cNvGrpSpPr/>
      </xdr:nvGrpSpPr>
      <xdr:grpSpPr>
        <a:xfrm>
          <a:off x="11453706" y="1627294"/>
          <a:ext cx="4440746" cy="1839809"/>
          <a:chOff x="10805160" y="1897719"/>
          <a:chExt cx="2745973" cy="1554748"/>
        </a:xfrm>
      </xdr:grpSpPr>
      <xdr:sp macro="" textlink="">
        <xdr:nvSpPr>
          <xdr:cNvPr id="35" name="Rectangle 34">
            <a:extLst>
              <a:ext uri="{FF2B5EF4-FFF2-40B4-BE49-F238E27FC236}">
                <a16:creationId xmlns:a16="http://schemas.microsoft.com/office/drawing/2014/main" id="{04431A03-E856-43EE-8BF6-F24D81683695}"/>
              </a:ext>
            </a:extLst>
          </xdr:cNvPr>
          <xdr:cNvSpPr/>
        </xdr:nvSpPr>
        <xdr:spPr>
          <a:xfrm>
            <a:off x="10805160" y="1897719"/>
            <a:ext cx="2403719" cy="1554748"/>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F1CD89DC-3B2A-4B06-A95C-7650221B86F5}"/>
              </a:ext>
            </a:extLst>
          </xdr:cNvPr>
          <xdr:cNvSpPr txBox="1"/>
        </xdr:nvSpPr>
        <xdr:spPr>
          <a:xfrm>
            <a:off x="10854732" y="1960694"/>
            <a:ext cx="17416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latin typeface="Arial" panose="020B0604020202020204" pitchFamily="34" charset="0"/>
                <a:cs typeface="Arial" panose="020B0604020202020204" pitchFamily="34" charset="0"/>
              </a:rPr>
              <a:t>Truck</a:t>
            </a:r>
            <a:r>
              <a:rPr lang="en-IN" sz="1200" baseline="0">
                <a:ln>
                  <a:noFill/>
                </a:ln>
                <a:latin typeface="Arial" panose="020B0604020202020204" pitchFamily="34" charset="0"/>
                <a:cs typeface="Arial" panose="020B0604020202020204" pitchFamily="34" charset="0"/>
              </a:rPr>
              <a:t> expenses</a:t>
            </a:r>
            <a:endParaRPr lang="en-IN" sz="1200">
              <a:ln>
                <a:noFill/>
              </a:ln>
              <a:latin typeface="Arial" panose="020B0604020202020204" pitchFamily="34" charset="0"/>
              <a:cs typeface="Arial" panose="020B0604020202020204" pitchFamily="34" charset="0"/>
            </a:endParaRPr>
          </a:p>
        </xdr:txBody>
      </xdr:sp>
      <xdr:sp macro="" textlink="#REF!">
        <xdr:nvSpPr>
          <xdr:cNvPr id="37" name="TextBox 36">
            <a:extLst>
              <a:ext uri="{FF2B5EF4-FFF2-40B4-BE49-F238E27FC236}">
                <a16:creationId xmlns:a16="http://schemas.microsoft.com/office/drawing/2014/main" id="{575A3E1C-6724-4949-9043-1FC179AD8303}"/>
              </a:ext>
            </a:extLst>
          </xdr:cNvPr>
          <xdr:cNvSpPr txBox="1"/>
        </xdr:nvSpPr>
        <xdr:spPr>
          <a:xfrm>
            <a:off x="10899775" y="2226945"/>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Insurance</a:t>
            </a:r>
          </a:p>
        </xdr:txBody>
      </xdr:sp>
      <xdr:sp macro="" textlink="Pivottables!R6">
        <xdr:nvSpPr>
          <xdr:cNvPr id="38" name="TextBox 37">
            <a:extLst>
              <a:ext uri="{FF2B5EF4-FFF2-40B4-BE49-F238E27FC236}">
                <a16:creationId xmlns:a16="http://schemas.microsoft.com/office/drawing/2014/main" id="{C42CDE5B-03EE-4954-814D-F56342D27632}"/>
              </a:ext>
            </a:extLst>
          </xdr:cNvPr>
          <xdr:cNvSpPr txBox="1"/>
        </xdr:nvSpPr>
        <xdr:spPr>
          <a:xfrm>
            <a:off x="12450692" y="2258124"/>
            <a:ext cx="10924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87FC90-5230-4B67-B63D-C023DA9DE0E4}" type="TxLink">
              <a:rPr lang="en-US" sz="1100" b="1" i="0" u="none" strike="noStrike">
                <a:ln>
                  <a:noFill/>
                </a:ln>
                <a:solidFill>
                  <a:srgbClr val="000000"/>
                </a:solidFill>
                <a:latin typeface="Arial"/>
                <a:ea typeface="+mn-ea"/>
                <a:cs typeface="Arial"/>
              </a:rPr>
              <a:pPr marL="0" indent="0"/>
              <a:t>$7,920</a:t>
            </a:fld>
            <a:endParaRPr lang="en-IN" sz="11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REF!">
        <xdr:nvSpPr>
          <xdr:cNvPr id="39" name="TextBox 38">
            <a:extLst>
              <a:ext uri="{FF2B5EF4-FFF2-40B4-BE49-F238E27FC236}">
                <a16:creationId xmlns:a16="http://schemas.microsoft.com/office/drawing/2014/main" id="{50F935FF-D3CB-4D35-9FF3-4359E94890F2}"/>
              </a:ext>
            </a:extLst>
          </xdr:cNvPr>
          <xdr:cNvSpPr txBox="1"/>
        </xdr:nvSpPr>
        <xdr:spPr>
          <a:xfrm>
            <a:off x="10899775" y="2510661"/>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Fuel</a:t>
            </a:r>
          </a:p>
        </xdr:txBody>
      </xdr:sp>
      <xdr:sp macro="" textlink="Pivottables!S6">
        <xdr:nvSpPr>
          <xdr:cNvPr id="40" name="TextBox 39">
            <a:extLst>
              <a:ext uri="{FF2B5EF4-FFF2-40B4-BE49-F238E27FC236}">
                <a16:creationId xmlns:a16="http://schemas.microsoft.com/office/drawing/2014/main" id="{C65C88CD-FFE1-4A63-8EC5-E1E6B9FEB975}"/>
              </a:ext>
            </a:extLst>
          </xdr:cNvPr>
          <xdr:cNvSpPr txBox="1"/>
        </xdr:nvSpPr>
        <xdr:spPr>
          <a:xfrm>
            <a:off x="12456280" y="2532165"/>
            <a:ext cx="109485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396E82-CB71-4593-AB4D-F3D962AB66FD}" type="TxLink">
              <a:rPr lang="en-US" sz="1100" b="1" i="0" u="none" strike="noStrike">
                <a:ln>
                  <a:noFill/>
                </a:ln>
                <a:solidFill>
                  <a:srgbClr val="000000"/>
                </a:solidFill>
                <a:latin typeface="Arial"/>
                <a:ea typeface="+mn-ea"/>
                <a:cs typeface="Arial"/>
              </a:rPr>
              <a:pPr marL="0" indent="0"/>
              <a:t>$23,720</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41" name="TextBox 40">
            <a:extLst>
              <a:ext uri="{FF2B5EF4-FFF2-40B4-BE49-F238E27FC236}">
                <a16:creationId xmlns:a16="http://schemas.microsoft.com/office/drawing/2014/main" id="{2BD6E46E-32BB-4292-83B0-43D7D8B1BBC1}"/>
              </a:ext>
            </a:extLst>
          </xdr:cNvPr>
          <xdr:cNvSpPr txBox="1"/>
        </xdr:nvSpPr>
        <xdr:spPr>
          <a:xfrm>
            <a:off x="10886019" y="2820713"/>
            <a:ext cx="194792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Diesel</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Exhaust Fluid</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T6">
        <xdr:nvSpPr>
          <xdr:cNvPr id="42" name="TextBox 41">
            <a:extLst>
              <a:ext uri="{FF2B5EF4-FFF2-40B4-BE49-F238E27FC236}">
                <a16:creationId xmlns:a16="http://schemas.microsoft.com/office/drawing/2014/main" id="{6618698F-9109-443E-B623-F16C6A921928}"/>
              </a:ext>
            </a:extLst>
          </xdr:cNvPr>
          <xdr:cNvSpPr txBox="1"/>
        </xdr:nvSpPr>
        <xdr:spPr>
          <a:xfrm>
            <a:off x="12457010" y="2827289"/>
            <a:ext cx="100318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E1A4E6-726B-4351-855D-67DD49902323}" type="TxLink">
              <a:rPr lang="en-US" sz="1100" b="1" i="0" u="none" strike="noStrike">
                <a:ln>
                  <a:noFill/>
                </a:ln>
                <a:solidFill>
                  <a:srgbClr val="000000"/>
                </a:solidFill>
                <a:latin typeface="Arial"/>
                <a:ea typeface="+mn-ea"/>
                <a:cs typeface="Arial"/>
              </a:rPr>
              <a:pPr marL="0" indent="0"/>
              <a:t>$3,164</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43" name="TextBox 42">
            <a:extLst>
              <a:ext uri="{FF2B5EF4-FFF2-40B4-BE49-F238E27FC236}">
                <a16:creationId xmlns:a16="http://schemas.microsoft.com/office/drawing/2014/main" id="{1A1A016C-15A9-468A-93F1-F24D49E7AE73}"/>
              </a:ext>
            </a:extLst>
          </xdr:cNvPr>
          <xdr:cNvSpPr txBox="1"/>
        </xdr:nvSpPr>
        <xdr:spPr>
          <a:xfrm>
            <a:off x="10924307" y="3111769"/>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Advance</a:t>
            </a:r>
          </a:p>
        </xdr:txBody>
      </xdr:sp>
      <xdr:sp macro="" textlink="Pivottables!U6">
        <xdr:nvSpPr>
          <xdr:cNvPr id="44" name="TextBox 43">
            <a:extLst>
              <a:ext uri="{FF2B5EF4-FFF2-40B4-BE49-F238E27FC236}">
                <a16:creationId xmlns:a16="http://schemas.microsoft.com/office/drawing/2014/main" id="{5251454F-EDA9-4908-B9E7-5E56E894A2A2}"/>
              </a:ext>
            </a:extLst>
          </xdr:cNvPr>
          <xdr:cNvSpPr txBox="1"/>
        </xdr:nvSpPr>
        <xdr:spPr>
          <a:xfrm>
            <a:off x="12456482" y="3104305"/>
            <a:ext cx="108312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7A295C-146C-4071-A38A-F8F6538C9968}" type="TxLink">
              <a:rPr lang="en-US" sz="1100" b="1" i="0" u="none" strike="noStrike">
                <a:ln>
                  <a:noFill/>
                </a:ln>
                <a:solidFill>
                  <a:srgbClr val="000000"/>
                </a:solidFill>
                <a:latin typeface="Arial"/>
                <a:ea typeface="+mn-ea"/>
                <a:cs typeface="Arial"/>
              </a:rPr>
              <a:pPr marL="0" indent="0"/>
              <a:t>$15,250</a:t>
            </a:fld>
            <a:endParaRPr lang="en-IN" sz="1050" b="1" i="0" u="none" strike="noStrike">
              <a:ln>
                <a:noFill/>
              </a:ln>
              <a:solidFill>
                <a:schemeClr val="tx1">
                  <a:lumMod val="65000"/>
                  <a:lumOff val="35000"/>
                </a:schemeClr>
              </a:solidFill>
              <a:latin typeface="Aptos Narrow"/>
              <a:ea typeface="+mn-ea"/>
              <a:cs typeface="Arial" panose="020B0604020202020204" pitchFamily="34" charset="0"/>
            </a:endParaRPr>
          </a:p>
        </xdr:txBody>
      </xdr:sp>
    </xdr:grpSp>
    <xdr:clientData/>
  </xdr:twoCellAnchor>
  <xdr:twoCellAnchor>
    <xdr:from>
      <xdr:col>0</xdr:col>
      <xdr:colOff>502920</xdr:colOff>
      <xdr:row>5</xdr:row>
      <xdr:rowOff>53340</xdr:rowOff>
    </xdr:from>
    <xdr:to>
      <xdr:col>4</xdr:col>
      <xdr:colOff>441960</xdr:colOff>
      <xdr:row>16</xdr:row>
      <xdr:rowOff>45720</xdr:rowOff>
    </xdr:to>
    <xdr:grpSp>
      <xdr:nvGrpSpPr>
        <xdr:cNvPr id="70" name="Group 69">
          <a:extLst>
            <a:ext uri="{FF2B5EF4-FFF2-40B4-BE49-F238E27FC236}">
              <a16:creationId xmlns:a16="http://schemas.microsoft.com/office/drawing/2014/main" id="{BA90424B-616C-9339-054B-D34F792370E4}"/>
            </a:ext>
          </a:extLst>
        </xdr:cNvPr>
        <xdr:cNvGrpSpPr/>
      </xdr:nvGrpSpPr>
      <xdr:grpSpPr>
        <a:xfrm>
          <a:off x="502920" y="984673"/>
          <a:ext cx="2377440" cy="2041314"/>
          <a:chOff x="1074420" y="1325880"/>
          <a:chExt cx="2377440" cy="2004060"/>
        </a:xfrm>
      </xdr:grpSpPr>
      <xdr:grpSp>
        <xdr:nvGrpSpPr>
          <xdr:cNvPr id="54" name="Group 53">
            <a:extLst>
              <a:ext uri="{FF2B5EF4-FFF2-40B4-BE49-F238E27FC236}">
                <a16:creationId xmlns:a16="http://schemas.microsoft.com/office/drawing/2014/main" id="{94B4915A-6439-0D45-8E8D-071843A10F02}"/>
              </a:ext>
            </a:extLst>
          </xdr:cNvPr>
          <xdr:cNvGrpSpPr/>
        </xdr:nvGrpSpPr>
        <xdr:grpSpPr>
          <a:xfrm>
            <a:off x="1143000" y="1402080"/>
            <a:ext cx="411480" cy="381000"/>
            <a:chOff x="1028418" y="1357884"/>
            <a:chExt cx="472440" cy="457200"/>
          </a:xfrm>
        </xdr:grpSpPr>
        <xdr:sp macro="" textlink="">
          <xdr:nvSpPr>
            <xdr:cNvPr id="15" name="Rectangle: Rounded Corners 14">
              <a:extLst>
                <a:ext uri="{FF2B5EF4-FFF2-40B4-BE49-F238E27FC236}">
                  <a16:creationId xmlns:a16="http://schemas.microsoft.com/office/drawing/2014/main" id="{E35451B7-FA91-46F9-8F2D-5901C549FBDB}"/>
                </a:ext>
              </a:extLst>
            </xdr:cNvPr>
            <xdr:cNvSpPr/>
          </xdr:nvSpPr>
          <xdr:spPr>
            <a:xfrm>
              <a:off x="1028418" y="1357884"/>
              <a:ext cx="472440" cy="457200"/>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18" name="Picture 17" descr="Dollar outline">
              <a:extLst>
                <a:ext uri="{FF2B5EF4-FFF2-40B4-BE49-F238E27FC236}">
                  <a16:creationId xmlns:a16="http://schemas.microsoft.com/office/drawing/2014/main" id="{9500BA0E-777B-67EB-3822-8DC8EA4AB7DF}"/>
                </a:ext>
              </a:extLst>
            </xdr:cNvPr>
            <xdr:cNvPicPr>
              <a:picLocks noChangeAspect="1"/>
            </xdr:cNvPicPr>
          </xdr:nvPicPr>
          <xdr:blipFill>
            <a:blip xmlns:r="http://schemas.openxmlformats.org/officeDocument/2006/relationships" r:embed="rId1">
              <a:lum bright="70000" contrast="-70000"/>
            </a:blip>
            <a:stretch>
              <a:fillRect/>
            </a:stretch>
          </xdr:blipFill>
          <xdr:spPr>
            <a:xfrm>
              <a:off x="1065390" y="1386840"/>
              <a:ext cx="396240" cy="396240"/>
            </a:xfrm>
            <a:prstGeom prst="rect">
              <a:avLst/>
            </a:prstGeom>
            <a:ln>
              <a:noFill/>
            </a:ln>
          </xdr:spPr>
        </xdr:pic>
      </xdr:grpSp>
      <xdr:sp macro="" textlink="Pivottables!D6">
        <xdr:nvSpPr>
          <xdr:cNvPr id="21" name="TextBox 20">
            <a:extLst>
              <a:ext uri="{FF2B5EF4-FFF2-40B4-BE49-F238E27FC236}">
                <a16:creationId xmlns:a16="http://schemas.microsoft.com/office/drawing/2014/main" id="{695537CA-CA2E-4036-8193-AB8747F5EA5B}"/>
              </a:ext>
            </a:extLst>
          </xdr:cNvPr>
          <xdr:cNvSpPr txBox="1"/>
        </xdr:nvSpPr>
        <xdr:spPr>
          <a:xfrm>
            <a:off x="1516380" y="1325880"/>
            <a:ext cx="1373505" cy="41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486386-B489-4169-B5AA-5D49241B039C}" type="TxLink">
              <a:rPr lang="en-US" sz="2000" b="1" i="0" u="none" strike="noStrike">
                <a:ln>
                  <a:noFill/>
                </a:ln>
                <a:solidFill>
                  <a:srgbClr val="000000"/>
                </a:solidFill>
                <a:latin typeface="Arial"/>
                <a:cs typeface="Arial"/>
              </a:rPr>
              <a:pPr/>
              <a:t>2,65,715</a:t>
            </a:fld>
            <a:endParaRPr lang="en-IN" sz="3600" b="1">
              <a:ln>
                <a:noFill/>
              </a:ln>
              <a:latin typeface="Arial" panose="020B0604020202020204" pitchFamily="34" charset="0"/>
              <a:cs typeface="Arial" panose="020B0604020202020204" pitchFamily="34" charset="0"/>
            </a:endParaRPr>
          </a:p>
        </xdr:txBody>
      </xdr:sp>
      <xdr:sp macro="" textlink="">
        <xdr:nvSpPr>
          <xdr:cNvPr id="22" name="TextBox 21">
            <a:extLst>
              <a:ext uri="{FF2B5EF4-FFF2-40B4-BE49-F238E27FC236}">
                <a16:creationId xmlns:a16="http://schemas.microsoft.com/office/drawing/2014/main" id="{C01098CA-043C-49B3-809A-CD06985A135D}"/>
              </a:ext>
            </a:extLst>
          </xdr:cNvPr>
          <xdr:cNvSpPr txBox="1"/>
        </xdr:nvSpPr>
        <xdr:spPr>
          <a:xfrm>
            <a:off x="1501140" y="1562100"/>
            <a:ext cx="15563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tx1">
                    <a:lumMod val="85000"/>
                    <a:lumOff val="15000"/>
                  </a:schemeClr>
                </a:solidFill>
                <a:latin typeface="Arial" panose="020B0604020202020204" pitchFamily="34" charset="0"/>
                <a:cs typeface="Arial" panose="020B0604020202020204" pitchFamily="34" charset="0"/>
              </a:rPr>
              <a:t>Monthly</a:t>
            </a:r>
            <a:r>
              <a:rPr lang="en-IN" sz="1200" baseline="0">
                <a:ln>
                  <a:noFill/>
                </a:ln>
                <a:solidFill>
                  <a:schemeClr val="tx1">
                    <a:lumMod val="85000"/>
                    <a:lumOff val="15000"/>
                  </a:schemeClr>
                </a:solidFill>
                <a:latin typeface="Arial" panose="020B0604020202020204" pitchFamily="34" charset="0"/>
                <a:cs typeface="Arial" panose="020B0604020202020204" pitchFamily="34" charset="0"/>
              </a:rPr>
              <a:t>  Balance</a:t>
            </a:r>
            <a:endParaRPr lang="en-IN" sz="1200">
              <a:ln>
                <a:noFill/>
              </a:ln>
              <a:solidFill>
                <a:schemeClr val="tx1">
                  <a:lumMod val="85000"/>
                  <a:lumOff val="15000"/>
                </a:schemeClr>
              </a:solidFill>
              <a:latin typeface="Arial" panose="020B0604020202020204" pitchFamily="34" charset="0"/>
              <a:cs typeface="Arial" panose="020B0604020202020204" pitchFamily="34" charset="0"/>
            </a:endParaRPr>
          </a:p>
        </xdr:txBody>
      </xdr:sp>
      <xdr:grpSp>
        <xdr:nvGrpSpPr>
          <xdr:cNvPr id="56" name="Group 55">
            <a:extLst>
              <a:ext uri="{FF2B5EF4-FFF2-40B4-BE49-F238E27FC236}">
                <a16:creationId xmlns:a16="http://schemas.microsoft.com/office/drawing/2014/main" id="{0ECE4A09-9321-0302-21AD-6A87971E96F4}"/>
              </a:ext>
            </a:extLst>
          </xdr:cNvPr>
          <xdr:cNvGrpSpPr/>
        </xdr:nvGrpSpPr>
        <xdr:grpSpPr>
          <a:xfrm>
            <a:off x="1097280" y="2392680"/>
            <a:ext cx="2308862" cy="320040"/>
            <a:chOff x="1058915" y="2125980"/>
            <a:chExt cx="2288785" cy="320040"/>
          </a:xfrm>
        </xdr:grpSpPr>
        <xdr:sp macro="" textlink="Pivottables!O6">
          <xdr:nvSpPr>
            <xdr:cNvPr id="46" name="Rectangle: Rounded Corners 45">
              <a:extLst>
                <a:ext uri="{FF2B5EF4-FFF2-40B4-BE49-F238E27FC236}">
                  <a16:creationId xmlns:a16="http://schemas.microsoft.com/office/drawing/2014/main" id="{4F863BEA-A565-4D8C-A673-B2C9D75A87F2}"/>
                </a:ext>
              </a:extLst>
            </xdr:cNvPr>
            <xdr:cNvSpPr/>
          </xdr:nvSpPr>
          <xdr:spPr>
            <a:xfrm>
              <a:off x="2462918" y="2125980"/>
              <a:ext cx="884782" cy="320040"/>
            </a:xfrm>
            <a:prstGeom prst="roundRect">
              <a:avLst/>
            </a:prstGeom>
            <a:solidFill>
              <a:schemeClr val="bg1">
                <a:alpha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27986E4-B3AD-4694-AAA4-C5401818A78C}" type="TxLink">
                <a:rPr lang="en-US" sz="1100" b="1" i="0" u="none" strike="noStrike">
                  <a:solidFill>
                    <a:srgbClr val="000000"/>
                  </a:solidFill>
                  <a:latin typeface="Arial"/>
                  <a:cs typeface="Arial"/>
                </a:rPr>
                <a:pPr algn="ctr"/>
                <a:t>50</a:t>
              </a:fld>
              <a:endParaRPr lang="en-IN" sz="1200">
                <a:solidFill>
                  <a:schemeClr val="accent6"/>
                </a:solidFill>
              </a:endParaRPr>
            </a:p>
          </xdr:txBody>
        </xdr:sp>
        <xdr:sp macro="" textlink="#REF!">
          <xdr:nvSpPr>
            <xdr:cNvPr id="47" name="TextBox 46">
              <a:extLst>
                <a:ext uri="{FF2B5EF4-FFF2-40B4-BE49-F238E27FC236}">
                  <a16:creationId xmlns:a16="http://schemas.microsoft.com/office/drawing/2014/main" id="{E5BD80A2-2C8F-4352-85AC-6FC85E13D0A7}"/>
                </a:ext>
              </a:extLst>
            </xdr:cNvPr>
            <xdr:cNvSpPr txBox="1"/>
          </xdr:nvSpPr>
          <xdr:spPr>
            <a:xfrm>
              <a:off x="1058915" y="2133600"/>
              <a:ext cx="151828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D03AF6-15A4-4E6B-B363-205F178CEF1B}" type="TxLink">
                <a:rPr lang="en-US" sz="1100" b="0" i="0" u="none" strike="noStrike">
                  <a:ln>
                    <a:noFill/>
                  </a:ln>
                  <a:solidFill>
                    <a:schemeClr val="tx1">
                      <a:lumMod val="50000"/>
                      <a:lumOff val="50000"/>
                    </a:schemeClr>
                  </a:solidFill>
                  <a:latin typeface="Arial" panose="020B0604020202020204" pitchFamily="34" charset="0"/>
                  <a:cs typeface="Arial" panose="020B0604020202020204" pitchFamily="34" charset="0"/>
                </a:rPr>
                <a:pPr/>
                <a:t>Retaining customer</a:t>
              </a:fld>
              <a:endParaRPr lang="en-IN" sz="1200">
                <a:ln>
                  <a:noFill/>
                </a:ln>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50" name="Group 49">
            <a:extLst>
              <a:ext uri="{FF2B5EF4-FFF2-40B4-BE49-F238E27FC236}">
                <a16:creationId xmlns:a16="http://schemas.microsoft.com/office/drawing/2014/main" id="{AD8D6F34-99D4-6602-B954-E9681377DB03}"/>
              </a:ext>
            </a:extLst>
          </xdr:cNvPr>
          <xdr:cNvGrpSpPr/>
        </xdr:nvGrpSpPr>
        <xdr:grpSpPr>
          <a:xfrm>
            <a:off x="1150620" y="2832734"/>
            <a:ext cx="2240281" cy="329565"/>
            <a:chOff x="495300" y="196214"/>
            <a:chExt cx="2240281" cy="329565"/>
          </a:xfrm>
        </xdr:grpSpPr>
        <xdr:sp macro="" textlink="#REF!">
          <xdr:nvSpPr>
            <xdr:cNvPr id="48" name="TextBox 47">
              <a:extLst>
                <a:ext uri="{FF2B5EF4-FFF2-40B4-BE49-F238E27FC236}">
                  <a16:creationId xmlns:a16="http://schemas.microsoft.com/office/drawing/2014/main" id="{CD9EB4E0-7BF5-4A6A-96BF-EFAB976A05F8}"/>
                </a:ext>
              </a:extLst>
            </xdr:cNvPr>
            <xdr:cNvSpPr txBox="1"/>
          </xdr:nvSpPr>
          <xdr:spPr>
            <a:xfrm>
              <a:off x="495300" y="243840"/>
              <a:ext cx="16478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29F87C-F9C8-459F-8329-043982A59418}" type="TxLink">
                <a:rPr lang="en-US" sz="1100" b="0" i="0" u="none" strike="noStrike">
                  <a:ln>
                    <a:noFill/>
                  </a:ln>
                  <a:solidFill>
                    <a:schemeClr val="tx1">
                      <a:lumMod val="50000"/>
                      <a:lumOff val="50000"/>
                    </a:schemeClr>
                  </a:solidFill>
                  <a:latin typeface="Arial" panose="020B0604020202020204" pitchFamily="34" charset="0"/>
                  <a:ea typeface="+mn-ea"/>
                  <a:cs typeface="Arial" panose="020B0604020202020204" pitchFamily="34" charset="0"/>
                </a:rPr>
                <a:pPr marL="0" indent="0"/>
                <a:t>New customer</a:t>
              </a:fld>
              <a:endParaRPr lang="en-IN" sz="1100" b="0" i="0" u="none" strike="noStrike">
                <a:ln>
                  <a:noFill/>
                </a:ln>
                <a:solidFill>
                  <a:schemeClr val="tx1">
                    <a:lumMod val="50000"/>
                    <a:lumOff val="50000"/>
                  </a:schemeClr>
                </a:solidFill>
                <a:latin typeface="Arial" panose="020B0604020202020204" pitchFamily="34" charset="0"/>
                <a:ea typeface="+mn-ea"/>
                <a:cs typeface="Arial" panose="020B0604020202020204" pitchFamily="34" charset="0"/>
              </a:endParaRPr>
            </a:p>
          </xdr:txBody>
        </xdr:sp>
        <xdr:sp macro="" textlink="Pivottables!M6">
          <xdr:nvSpPr>
            <xdr:cNvPr id="49" name="Rectangle: Rounded Corners 48">
              <a:extLst>
                <a:ext uri="{FF2B5EF4-FFF2-40B4-BE49-F238E27FC236}">
                  <a16:creationId xmlns:a16="http://schemas.microsoft.com/office/drawing/2014/main" id="{78926FE6-109B-4D7F-B5F2-23F95F77ADB8}"/>
                </a:ext>
              </a:extLst>
            </xdr:cNvPr>
            <xdr:cNvSpPr/>
          </xdr:nvSpPr>
          <xdr:spPr>
            <a:xfrm>
              <a:off x="1838325" y="196214"/>
              <a:ext cx="897256" cy="329565"/>
            </a:xfrm>
            <a:prstGeom prst="roundRect">
              <a:avLst/>
            </a:prstGeom>
            <a:solidFill>
              <a:schemeClr val="bg1">
                <a:alpha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BD87ED0-3F40-4252-8CBF-395736133DF9}" type="TxLink">
                <a:rPr lang="en-US" sz="1100" b="1" i="0" u="none" strike="noStrike">
                  <a:solidFill>
                    <a:srgbClr val="000000"/>
                  </a:solidFill>
                  <a:latin typeface="Arial"/>
                  <a:cs typeface="Arial"/>
                </a:rPr>
                <a:pPr algn="ctr"/>
                <a:t>11</a:t>
              </a:fld>
              <a:endParaRPr lang="en-IN" sz="1200">
                <a:solidFill>
                  <a:schemeClr val="accent6"/>
                </a:solidFill>
              </a:endParaRPr>
            </a:p>
          </xdr:txBody>
        </xdr:sp>
      </xdr:grpSp>
      <xdr:sp macro="" textlink="">
        <xdr:nvSpPr>
          <xdr:cNvPr id="51" name="TextBox 50">
            <a:extLst>
              <a:ext uri="{FF2B5EF4-FFF2-40B4-BE49-F238E27FC236}">
                <a16:creationId xmlns:a16="http://schemas.microsoft.com/office/drawing/2014/main" id="{92EF98F2-5870-48FD-BAD8-B11E54DA038F}"/>
              </a:ext>
            </a:extLst>
          </xdr:cNvPr>
          <xdr:cNvSpPr txBox="1"/>
        </xdr:nvSpPr>
        <xdr:spPr>
          <a:xfrm>
            <a:off x="1074420" y="1889760"/>
            <a:ext cx="11144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n>
                  <a:noFill/>
                </a:ln>
                <a:solidFill>
                  <a:schemeClr val="bg2">
                    <a:lumMod val="50000"/>
                  </a:schemeClr>
                </a:solidFill>
                <a:latin typeface="Arial" panose="020B0604020202020204" pitchFamily="34" charset="0"/>
                <a:cs typeface="Arial" panose="020B0604020202020204" pitchFamily="34" charset="0"/>
              </a:rPr>
              <a:t>Year</a:t>
            </a:r>
            <a:r>
              <a:rPr lang="en-IN" sz="1100" baseline="0">
                <a:ln>
                  <a:noFill/>
                </a:ln>
                <a:solidFill>
                  <a:schemeClr val="bg2">
                    <a:lumMod val="50000"/>
                  </a:schemeClr>
                </a:solidFill>
                <a:latin typeface="Arial" panose="020B0604020202020204" pitchFamily="34" charset="0"/>
                <a:cs typeface="Arial" panose="020B0604020202020204" pitchFamily="34" charset="0"/>
              </a:rPr>
              <a:t> to Date</a:t>
            </a:r>
            <a:endParaRPr lang="en-IN" sz="1100">
              <a:ln>
                <a:noFill/>
              </a:ln>
              <a:solidFill>
                <a:schemeClr val="bg2">
                  <a:lumMod val="50000"/>
                </a:schemeClr>
              </a:solidFill>
              <a:latin typeface="Arial" panose="020B0604020202020204" pitchFamily="34" charset="0"/>
              <a:cs typeface="Arial" panose="020B0604020202020204" pitchFamily="34" charset="0"/>
            </a:endParaRPr>
          </a:p>
        </xdr:txBody>
      </xdr:sp>
      <xdr:sp macro="" textlink="Pivottables!H6">
        <xdr:nvSpPr>
          <xdr:cNvPr id="53" name="TextBox 52">
            <a:extLst>
              <a:ext uri="{FF2B5EF4-FFF2-40B4-BE49-F238E27FC236}">
                <a16:creationId xmlns:a16="http://schemas.microsoft.com/office/drawing/2014/main" id="{80D25F92-D15F-4BA8-B533-9CADFC5F225C}"/>
              </a:ext>
            </a:extLst>
          </xdr:cNvPr>
          <xdr:cNvSpPr txBox="1"/>
        </xdr:nvSpPr>
        <xdr:spPr>
          <a:xfrm>
            <a:off x="2080260" y="1889760"/>
            <a:ext cx="11144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F830FF-7128-4C11-843D-969E5E81DDE8}" type="TxLink">
              <a:rPr lang="en-US" sz="1200" b="1" i="0" u="none" strike="noStrike">
                <a:ln>
                  <a:noFill/>
                </a:ln>
                <a:solidFill>
                  <a:schemeClr val="tx1">
                    <a:lumMod val="50000"/>
                    <a:lumOff val="50000"/>
                  </a:schemeClr>
                </a:solidFill>
                <a:latin typeface="Arial"/>
                <a:cs typeface="Arial"/>
              </a:rPr>
              <a:pPr/>
              <a:t>$2,65,715</a:t>
            </a:fld>
            <a:endParaRPr lang="en-IN" sz="1200">
              <a:ln>
                <a:noFill/>
              </a:ln>
              <a:solidFill>
                <a:schemeClr val="tx1">
                  <a:lumMod val="50000"/>
                  <a:lumOff val="50000"/>
                </a:schemeClr>
              </a:solidFill>
              <a:latin typeface="Arial" panose="020B0604020202020204" pitchFamily="34" charset="0"/>
              <a:cs typeface="Arial" panose="020B0604020202020204" pitchFamily="34" charset="0"/>
            </a:endParaRPr>
          </a:p>
        </xdr:txBody>
      </xdr:sp>
      <xdr:cxnSp macro="">
        <xdr:nvCxnSpPr>
          <xdr:cNvPr id="58" name="Straight Connector 57">
            <a:extLst>
              <a:ext uri="{FF2B5EF4-FFF2-40B4-BE49-F238E27FC236}">
                <a16:creationId xmlns:a16="http://schemas.microsoft.com/office/drawing/2014/main" id="{5424F3F0-5F00-02BD-B8D0-56F25CD4A566}"/>
              </a:ext>
            </a:extLst>
          </xdr:cNvPr>
          <xdr:cNvCxnSpPr/>
        </xdr:nvCxnSpPr>
        <xdr:spPr>
          <a:xfrm flipV="1">
            <a:off x="1181100" y="2247900"/>
            <a:ext cx="2270760" cy="2286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2AD9857D-92EC-4BC4-B6A1-180520EAF26F}"/>
              </a:ext>
            </a:extLst>
          </xdr:cNvPr>
          <xdr:cNvCxnSpPr/>
        </xdr:nvCxnSpPr>
        <xdr:spPr>
          <a:xfrm flipV="1">
            <a:off x="1097280" y="3314700"/>
            <a:ext cx="2324100"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18</xdr:col>
      <xdr:colOff>480059</xdr:colOff>
      <xdr:row>19</xdr:row>
      <xdr:rowOff>152399</xdr:rowOff>
    </xdr:from>
    <xdr:to>
      <xdr:col>26</xdr:col>
      <xdr:colOff>167640</xdr:colOff>
      <xdr:row>30</xdr:row>
      <xdr:rowOff>15240</xdr:rowOff>
    </xdr:to>
    <xdr:grpSp>
      <xdr:nvGrpSpPr>
        <xdr:cNvPr id="82" name="Group 81">
          <a:extLst>
            <a:ext uri="{FF2B5EF4-FFF2-40B4-BE49-F238E27FC236}">
              <a16:creationId xmlns:a16="http://schemas.microsoft.com/office/drawing/2014/main" id="{E4ABED3B-BF32-4D41-B2B2-00CF8837781F}"/>
            </a:ext>
          </a:extLst>
        </xdr:cNvPr>
        <xdr:cNvGrpSpPr/>
      </xdr:nvGrpSpPr>
      <xdr:grpSpPr>
        <a:xfrm>
          <a:off x="11452859" y="3691466"/>
          <a:ext cx="4564381" cy="1911774"/>
          <a:chOff x="10717534" y="1907994"/>
          <a:chExt cx="2747671" cy="1591937"/>
        </a:xfrm>
        <a:effectLst>
          <a:outerShdw blurRad="50800" dist="38100" dir="8100000" algn="tr" rotWithShape="0">
            <a:prstClr val="black">
              <a:alpha val="40000"/>
            </a:prstClr>
          </a:outerShdw>
        </a:effectLst>
      </xdr:grpSpPr>
      <xdr:sp macro="" textlink="">
        <xdr:nvSpPr>
          <xdr:cNvPr id="83" name="Rectangle 82">
            <a:extLst>
              <a:ext uri="{FF2B5EF4-FFF2-40B4-BE49-F238E27FC236}">
                <a16:creationId xmlns:a16="http://schemas.microsoft.com/office/drawing/2014/main" id="{3B296018-5511-A468-5373-0753D1963E81}"/>
              </a:ext>
            </a:extLst>
          </xdr:cNvPr>
          <xdr:cNvSpPr/>
        </xdr:nvSpPr>
        <xdr:spPr>
          <a:xfrm>
            <a:off x="10717534" y="1907994"/>
            <a:ext cx="2334871" cy="15919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TextBox 83">
            <a:extLst>
              <a:ext uri="{FF2B5EF4-FFF2-40B4-BE49-F238E27FC236}">
                <a16:creationId xmlns:a16="http://schemas.microsoft.com/office/drawing/2014/main" id="{D5CDDA3E-7400-525B-01BE-405519D6DE87}"/>
              </a:ext>
            </a:extLst>
          </xdr:cNvPr>
          <xdr:cNvSpPr txBox="1"/>
        </xdr:nvSpPr>
        <xdr:spPr>
          <a:xfrm>
            <a:off x="10847600" y="1929220"/>
            <a:ext cx="17416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n>
                  <a:noFill/>
                </a:ln>
                <a:latin typeface="Arial" panose="020B0604020202020204" pitchFamily="34" charset="0"/>
                <a:cs typeface="Arial" panose="020B0604020202020204" pitchFamily="34" charset="0"/>
              </a:rPr>
              <a:t>Freight expenses</a:t>
            </a:r>
            <a:endParaRPr lang="en-IN" sz="1200">
              <a:ln>
                <a:noFill/>
              </a:ln>
              <a:latin typeface="Arial" panose="020B0604020202020204" pitchFamily="34" charset="0"/>
              <a:cs typeface="Arial" panose="020B0604020202020204" pitchFamily="34" charset="0"/>
            </a:endParaRPr>
          </a:p>
        </xdr:txBody>
      </xdr:sp>
      <xdr:sp macro="" textlink="#REF!">
        <xdr:nvSpPr>
          <xdr:cNvPr id="85" name="TextBox 84">
            <a:extLst>
              <a:ext uri="{FF2B5EF4-FFF2-40B4-BE49-F238E27FC236}">
                <a16:creationId xmlns:a16="http://schemas.microsoft.com/office/drawing/2014/main" id="{1BF106B9-06C2-6B8D-4AF6-5A3E9160505C}"/>
              </a:ext>
            </a:extLst>
          </xdr:cNvPr>
          <xdr:cNvSpPr txBox="1"/>
        </xdr:nvSpPr>
        <xdr:spPr>
          <a:xfrm>
            <a:off x="10899775" y="2226945"/>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Fundings</a:t>
            </a:r>
          </a:p>
        </xdr:txBody>
      </xdr:sp>
      <xdr:sp macro="" textlink="Pivottables!AA6">
        <xdr:nvSpPr>
          <xdr:cNvPr id="86" name="TextBox 85">
            <a:extLst>
              <a:ext uri="{FF2B5EF4-FFF2-40B4-BE49-F238E27FC236}">
                <a16:creationId xmlns:a16="http://schemas.microsoft.com/office/drawing/2014/main" id="{3AE16A9E-BCFB-24A8-2D4A-90C75988218A}"/>
              </a:ext>
            </a:extLst>
          </xdr:cNvPr>
          <xdr:cNvSpPr txBox="1"/>
        </xdr:nvSpPr>
        <xdr:spPr>
          <a:xfrm>
            <a:off x="12356808" y="2258124"/>
            <a:ext cx="10924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9602CB-A1EF-4A33-ADC7-44940BDED128}" type="TxLink">
              <a:rPr lang="en-US" sz="1100" b="1" i="0" u="none" strike="noStrike">
                <a:ln>
                  <a:noFill/>
                </a:ln>
                <a:solidFill>
                  <a:srgbClr val="000000"/>
                </a:solidFill>
                <a:latin typeface="Arial"/>
                <a:ea typeface="+mn-ea"/>
                <a:cs typeface="Arial"/>
              </a:rPr>
              <a:pPr marL="0" indent="0"/>
              <a:t>$1,196</a:t>
            </a:fld>
            <a:endParaRPr lang="en-IN" sz="105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REF!">
        <xdr:nvSpPr>
          <xdr:cNvPr id="87" name="TextBox 86">
            <a:extLst>
              <a:ext uri="{FF2B5EF4-FFF2-40B4-BE49-F238E27FC236}">
                <a16:creationId xmlns:a16="http://schemas.microsoft.com/office/drawing/2014/main" id="{FEA61EAB-C9FA-9246-C2CC-0054D51FBEC1}"/>
              </a:ext>
            </a:extLst>
          </xdr:cNvPr>
          <xdr:cNvSpPr txBox="1"/>
        </xdr:nvSpPr>
        <xdr:spPr>
          <a:xfrm>
            <a:off x="10899775" y="2510661"/>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Warehouse</a:t>
            </a:r>
          </a:p>
        </xdr:txBody>
      </xdr:sp>
      <xdr:sp macro="" textlink="Pivottables!AB6">
        <xdr:nvSpPr>
          <xdr:cNvPr id="88" name="TextBox 87">
            <a:extLst>
              <a:ext uri="{FF2B5EF4-FFF2-40B4-BE49-F238E27FC236}">
                <a16:creationId xmlns:a16="http://schemas.microsoft.com/office/drawing/2014/main" id="{A1EBA312-530B-475B-9266-B130AE4FD53F}"/>
              </a:ext>
            </a:extLst>
          </xdr:cNvPr>
          <xdr:cNvSpPr txBox="1"/>
        </xdr:nvSpPr>
        <xdr:spPr>
          <a:xfrm>
            <a:off x="12368655" y="2525089"/>
            <a:ext cx="109485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B3AF1A-836C-42DA-AB03-909AC99C7B83}" type="TxLink">
              <a:rPr lang="en-US" sz="1100" b="1" i="0" u="none" strike="noStrike">
                <a:ln>
                  <a:noFill/>
                </a:ln>
                <a:solidFill>
                  <a:srgbClr val="000000"/>
                </a:solidFill>
                <a:latin typeface="Arial"/>
                <a:ea typeface="+mn-ea"/>
                <a:cs typeface="Arial"/>
              </a:rPr>
              <a:pPr marL="0" indent="0"/>
              <a:t>$7,785</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89" name="TextBox 88">
            <a:extLst>
              <a:ext uri="{FF2B5EF4-FFF2-40B4-BE49-F238E27FC236}">
                <a16:creationId xmlns:a16="http://schemas.microsoft.com/office/drawing/2014/main" id="{CE9E091E-1158-E29C-4300-CB597451A501}"/>
              </a:ext>
            </a:extLst>
          </xdr:cNvPr>
          <xdr:cNvSpPr txBox="1"/>
        </xdr:nvSpPr>
        <xdr:spPr>
          <a:xfrm>
            <a:off x="10904796" y="2834864"/>
            <a:ext cx="194792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Tolls</a:t>
            </a:r>
          </a:p>
        </xdr:txBody>
      </xdr:sp>
      <xdr:sp macro="" textlink="Pivottables!AC6">
        <xdr:nvSpPr>
          <xdr:cNvPr id="90" name="TextBox 89">
            <a:extLst>
              <a:ext uri="{FF2B5EF4-FFF2-40B4-BE49-F238E27FC236}">
                <a16:creationId xmlns:a16="http://schemas.microsoft.com/office/drawing/2014/main" id="{0DCE574E-713A-23A0-9487-72095A4F0231}"/>
              </a:ext>
            </a:extLst>
          </xdr:cNvPr>
          <xdr:cNvSpPr txBox="1"/>
        </xdr:nvSpPr>
        <xdr:spPr>
          <a:xfrm>
            <a:off x="12370094" y="2820214"/>
            <a:ext cx="100318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864AF9-A3A4-4F09-A0FE-3216D3E2590E}" type="TxLink">
              <a:rPr lang="en-US" sz="1100" b="1" i="0" u="none" strike="noStrike">
                <a:ln>
                  <a:noFill/>
                </a:ln>
                <a:solidFill>
                  <a:srgbClr val="000000"/>
                </a:solidFill>
                <a:latin typeface="Arial"/>
                <a:ea typeface="+mn-ea"/>
                <a:cs typeface="Arial"/>
              </a:rPr>
              <a:pPr marL="0" indent="0"/>
              <a:t>$7,372</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sp macro="" textlink="#REF!">
        <xdr:nvSpPr>
          <xdr:cNvPr id="91" name="TextBox 90">
            <a:extLst>
              <a:ext uri="{FF2B5EF4-FFF2-40B4-BE49-F238E27FC236}">
                <a16:creationId xmlns:a16="http://schemas.microsoft.com/office/drawing/2014/main" id="{11A43FBF-22C5-9532-D023-FD8A73E0B588}"/>
              </a:ext>
            </a:extLst>
          </xdr:cNvPr>
          <xdr:cNvSpPr txBox="1"/>
        </xdr:nvSpPr>
        <xdr:spPr>
          <a:xfrm>
            <a:off x="10924307" y="3111769"/>
            <a:ext cx="157162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Repairs</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&amp; Cost</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D6">
        <xdr:nvSpPr>
          <xdr:cNvPr id="92" name="TextBox 91">
            <a:extLst>
              <a:ext uri="{FF2B5EF4-FFF2-40B4-BE49-F238E27FC236}">
                <a16:creationId xmlns:a16="http://schemas.microsoft.com/office/drawing/2014/main" id="{8C664F2B-FAB5-A51E-9F5A-5E14A9A5CD93}"/>
              </a:ext>
            </a:extLst>
          </xdr:cNvPr>
          <xdr:cNvSpPr txBox="1"/>
        </xdr:nvSpPr>
        <xdr:spPr>
          <a:xfrm>
            <a:off x="12382083" y="3110865"/>
            <a:ext cx="108312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F156AB-DEFA-4830-A2A6-02277CD48474}" type="TxLink">
              <a:rPr lang="en-US" sz="1100" b="1" i="0" u="none" strike="noStrike">
                <a:ln>
                  <a:noFill/>
                </a:ln>
                <a:solidFill>
                  <a:srgbClr val="000000"/>
                </a:solidFill>
                <a:latin typeface="Arial"/>
                <a:ea typeface="+mn-ea"/>
                <a:cs typeface="Arial"/>
              </a:rPr>
              <a:pPr marL="0" indent="0"/>
              <a:t>$2,215</a:t>
            </a:fld>
            <a:endParaRPr lang="en-IN" sz="1000" b="1" i="0" u="none" strike="noStrike">
              <a:ln>
                <a:noFill/>
              </a:ln>
              <a:solidFill>
                <a:schemeClr val="tx1">
                  <a:lumMod val="65000"/>
                  <a:lumOff val="35000"/>
                </a:schemeClr>
              </a:solidFill>
              <a:latin typeface="Aptos Narrow"/>
              <a:ea typeface="+mn-ea"/>
              <a:cs typeface="Arial" panose="020B0604020202020204" pitchFamily="34" charset="0"/>
            </a:endParaRPr>
          </a:p>
        </xdr:txBody>
      </xdr:sp>
    </xdr:grpSp>
    <xdr:clientData/>
  </xdr:twoCellAnchor>
  <xdr:twoCellAnchor>
    <xdr:from>
      <xdr:col>5</xdr:col>
      <xdr:colOff>121920</xdr:colOff>
      <xdr:row>17</xdr:row>
      <xdr:rowOff>137160</xdr:rowOff>
    </xdr:from>
    <xdr:to>
      <xdr:col>18</xdr:col>
      <xdr:colOff>365760</xdr:colOff>
      <xdr:row>25</xdr:row>
      <xdr:rowOff>91440</xdr:rowOff>
    </xdr:to>
    <xdr:sp macro="" textlink="">
      <xdr:nvSpPr>
        <xdr:cNvPr id="113" name="Rectangle 112">
          <a:extLst>
            <a:ext uri="{FF2B5EF4-FFF2-40B4-BE49-F238E27FC236}">
              <a16:creationId xmlns:a16="http://schemas.microsoft.com/office/drawing/2014/main" id="{373B3B90-6563-4A47-B313-1AAFD66248D6}"/>
            </a:ext>
          </a:extLst>
        </xdr:cNvPr>
        <xdr:cNvSpPr/>
      </xdr:nvSpPr>
      <xdr:spPr>
        <a:xfrm>
          <a:off x="3169920" y="3246120"/>
          <a:ext cx="8168640" cy="14173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541020</xdr:colOff>
      <xdr:row>8</xdr:row>
      <xdr:rowOff>137160</xdr:rowOff>
    </xdr:from>
    <xdr:to>
      <xdr:col>18</xdr:col>
      <xdr:colOff>320040</xdr:colOff>
      <xdr:row>17</xdr:row>
      <xdr:rowOff>30480</xdr:rowOff>
    </xdr:to>
    <xdr:sp macro="" textlink="">
      <xdr:nvSpPr>
        <xdr:cNvPr id="34" name="Rectangle 33">
          <a:extLst>
            <a:ext uri="{FF2B5EF4-FFF2-40B4-BE49-F238E27FC236}">
              <a16:creationId xmlns:a16="http://schemas.microsoft.com/office/drawing/2014/main" id="{6A430581-1C90-46F8-A504-BACBB9FD04A1}"/>
            </a:ext>
          </a:extLst>
        </xdr:cNvPr>
        <xdr:cNvSpPr/>
      </xdr:nvSpPr>
      <xdr:spPr>
        <a:xfrm>
          <a:off x="6637020" y="1600200"/>
          <a:ext cx="4655820" cy="153924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358141</xdr:colOff>
      <xdr:row>11</xdr:row>
      <xdr:rowOff>7621</xdr:rowOff>
    </xdr:from>
    <xdr:to>
      <xdr:col>17</xdr:col>
      <xdr:colOff>579120</xdr:colOff>
      <xdr:row>12</xdr:row>
      <xdr:rowOff>53341</xdr:rowOff>
    </xdr:to>
    <xdr:sp macro="" textlink="#REF!">
      <xdr:nvSpPr>
        <xdr:cNvPr id="61" name="TextBox 60">
          <a:extLst>
            <a:ext uri="{FF2B5EF4-FFF2-40B4-BE49-F238E27FC236}">
              <a16:creationId xmlns:a16="http://schemas.microsoft.com/office/drawing/2014/main" id="{9B53AE27-A2CD-469F-9F6F-3F60FF8205A1}"/>
            </a:ext>
          </a:extLst>
        </xdr:cNvPr>
        <xdr:cNvSpPr txBox="1"/>
      </xdr:nvSpPr>
      <xdr:spPr>
        <a:xfrm>
          <a:off x="10111741" y="2019301"/>
          <a:ext cx="83057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Balance</a:t>
          </a:r>
        </a:p>
      </xdr:txBody>
    </xdr:sp>
    <xdr:clientData/>
  </xdr:twoCellAnchor>
  <xdr:twoCellAnchor>
    <xdr:from>
      <xdr:col>19</xdr:col>
      <xdr:colOff>22860</xdr:colOff>
      <xdr:row>12</xdr:row>
      <xdr:rowOff>91440</xdr:rowOff>
    </xdr:from>
    <xdr:to>
      <xdr:col>24</xdr:col>
      <xdr:colOff>449580</xdr:colOff>
      <xdr:row>16</xdr:row>
      <xdr:rowOff>76200</xdr:rowOff>
    </xdr:to>
    <xdr:grpSp>
      <xdr:nvGrpSpPr>
        <xdr:cNvPr id="132" name="Group 131">
          <a:extLst>
            <a:ext uri="{FF2B5EF4-FFF2-40B4-BE49-F238E27FC236}">
              <a16:creationId xmlns:a16="http://schemas.microsoft.com/office/drawing/2014/main" id="{A1E517C6-5D84-AAF5-82ED-D645261F1512}"/>
            </a:ext>
          </a:extLst>
        </xdr:cNvPr>
        <xdr:cNvGrpSpPr/>
      </xdr:nvGrpSpPr>
      <xdr:grpSpPr>
        <a:xfrm>
          <a:off x="11605260" y="2326640"/>
          <a:ext cx="3474720" cy="729827"/>
          <a:chOff x="11727180" y="2263140"/>
          <a:chExt cx="1973580" cy="716280"/>
        </a:xfrm>
      </xdr:grpSpPr>
      <xdr:cxnSp macro="">
        <xdr:nvCxnSpPr>
          <xdr:cNvPr id="128" name="Straight Connector 127">
            <a:extLst>
              <a:ext uri="{FF2B5EF4-FFF2-40B4-BE49-F238E27FC236}">
                <a16:creationId xmlns:a16="http://schemas.microsoft.com/office/drawing/2014/main" id="{8068C233-6903-4496-88C6-79F48EA38CF9}"/>
              </a:ext>
            </a:extLst>
          </xdr:cNvPr>
          <xdr:cNvCxnSpPr/>
        </xdr:nvCxnSpPr>
        <xdr:spPr>
          <a:xfrm>
            <a:off x="11727180" y="226314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130" name="Straight Connector 129">
            <a:extLst>
              <a:ext uri="{FF2B5EF4-FFF2-40B4-BE49-F238E27FC236}">
                <a16:creationId xmlns:a16="http://schemas.microsoft.com/office/drawing/2014/main" id="{4D13C4AD-660A-4EB4-9844-07E5F175963B}"/>
              </a:ext>
            </a:extLst>
          </xdr:cNvPr>
          <xdr:cNvCxnSpPr/>
        </xdr:nvCxnSpPr>
        <xdr:spPr>
          <a:xfrm>
            <a:off x="11734800" y="259842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D1D7B39D-D07D-40FD-A0AD-C34E2FF21ABD}"/>
              </a:ext>
            </a:extLst>
          </xdr:cNvPr>
          <xdr:cNvCxnSpPr/>
        </xdr:nvCxnSpPr>
        <xdr:spPr>
          <a:xfrm>
            <a:off x="11734800" y="297180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15</xdr:col>
      <xdr:colOff>297180</xdr:colOff>
      <xdr:row>17</xdr:row>
      <xdr:rowOff>150321</xdr:rowOff>
    </xdr:from>
    <xdr:to>
      <xdr:col>19</xdr:col>
      <xdr:colOff>129540</xdr:colOff>
      <xdr:row>18</xdr:row>
      <xdr:rowOff>167640</xdr:rowOff>
    </xdr:to>
    <xdr:sp macro="" textlink="">
      <xdr:nvSpPr>
        <xdr:cNvPr id="140" name="TextBox 139">
          <a:extLst>
            <a:ext uri="{FF2B5EF4-FFF2-40B4-BE49-F238E27FC236}">
              <a16:creationId xmlns:a16="http://schemas.microsoft.com/office/drawing/2014/main" id="{7D6D897A-C031-43A9-8A26-F0A950709941}"/>
            </a:ext>
          </a:extLst>
        </xdr:cNvPr>
        <xdr:cNvSpPr txBox="1"/>
      </xdr:nvSpPr>
      <xdr:spPr>
        <a:xfrm>
          <a:off x="9441180" y="3259281"/>
          <a:ext cx="2270760" cy="20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ln>
                <a:noFill/>
              </a:ln>
              <a:latin typeface="Arial" panose="020B0604020202020204" pitchFamily="34" charset="0"/>
              <a:cs typeface="Arial" panose="020B0604020202020204" pitchFamily="34" charset="0"/>
            </a:rPr>
            <a:t>Shipment Cost Settlemnent</a:t>
          </a:r>
          <a:endParaRPr lang="en-IN" sz="1000" b="1">
            <a:ln>
              <a:noFill/>
            </a:ln>
            <a:latin typeface="Arial" panose="020B0604020202020204" pitchFamily="34" charset="0"/>
            <a:cs typeface="Arial" panose="020B0604020202020204" pitchFamily="34" charset="0"/>
          </a:endParaRPr>
        </a:p>
      </xdr:txBody>
    </xdr:sp>
    <xdr:clientData/>
  </xdr:twoCellAnchor>
  <xdr:twoCellAnchor>
    <xdr:from>
      <xdr:col>5</xdr:col>
      <xdr:colOff>403860</xdr:colOff>
      <xdr:row>5</xdr:row>
      <xdr:rowOff>30480</xdr:rowOff>
    </xdr:from>
    <xdr:to>
      <xdr:col>18</xdr:col>
      <xdr:colOff>196596</xdr:colOff>
      <xdr:row>8</xdr:row>
      <xdr:rowOff>3048</xdr:rowOff>
    </xdr:to>
    <xdr:sp macro="" textlink="">
      <xdr:nvSpPr>
        <xdr:cNvPr id="142" name="Rectangle 141">
          <a:extLst>
            <a:ext uri="{FF2B5EF4-FFF2-40B4-BE49-F238E27FC236}">
              <a16:creationId xmlns:a16="http://schemas.microsoft.com/office/drawing/2014/main" id="{41F943C5-4B6F-4297-BE56-106226490F38}"/>
            </a:ext>
          </a:extLst>
        </xdr:cNvPr>
        <xdr:cNvSpPr/>
      </xdr:nvSpPr>
      <xdr:spPr>
        <a:xfrm>
          <a:off x="3451860" y="944880"/>
          <a:ext cx="7717536" cy="521208"/>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75000"/>
              </a:schemeClr>
            </a:solidFill>
          </a:endParaRPr>
        </a:p>
      </xdr:txBody>
    </xdr:sp>
    <xdr:clientData/>
  </xdr:twoCellAnchor>
  <xdr:twoCellAnchor>
    <xdr:from>
      <xdr:col>0</xdr:col>
      <xdr:colOff>541020</xdr:colOff>
      <xdr:row>17</xdr:row>
      <xdr:rowOff>45720</xdr:rowOff>
    </xdr:from>
    <xdr:to>
      <xdr:col>3</xdr:col>
      <xdr:colOff>268605</xdr:colOff>
      <xdr:row>18</xdr:row>
      <xdr:rowOff>114300</xdr:rowOff>
    </xdr:to>
    <xdr:sp macro="" textlink="">
      <xdr:nvSpPr>
        <xdr:cNvPr id="143" name="TextBox 142">
          <a:extLst>
            <a:ext uri="{FF2B5EF4-FFF2-40B4-BE49-F238E27FC236}">
              <a16:creationId xmlns:a16="http://schemas.microsoft.com/office/drawing/2014/main" id="{AAFF09AD-5CE8-490E-B8FC-497089198C47}"/>
            </a:ext>
          </a:extLst>
        </xdr:cNvPr>
        <xdr:cNvSpPr txBox="1"/>
      </xdr:nvSpPr>
      <xdr:spPr>
        <a:xfrm>
          <a:off x="541020" y="3154680"/>
          <a:ext cx="1556385"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tx1">
                  <a:lumMod val="85000"/>
                  <a:lumOff val="15000"/>
                </a:schemeClr>
              </a:solidFill>
              <a:latin typeface="Arial" panose="020B0604020202020204" pitchFamily="34" charset="0"/>
              <a:cs typeface="Arial" panose="020B0604020202020204" pitchFamily="34" charset="0"/>
            </a:rPr>
            <a:t>Driver</a:t>
          </a:r>
          <a:r>
            <a:rPr lang="en-IN" sz="1200" baseline="0">
              <a:ln>
                <a:noFill/>
              </a:ln>
              <a:solidFill>
                <a:schemeClr val="tx1">
                  <a:lumMod val="85000"/>
                  <a:lumOff val="15000"/>
                </a:schemeClr>
              </a:solidFill>
              <a:latin typeface="Arial" panose="020B0604020202020204" pitchFamily="34" charset="0"/>
              <a:cs typeface="Arial" panose="020B0604020202020204" pitchFamily="34" charset="0"/>
            </a:rPr>
            <a:t> Payroll</a:t>
          </a:r>
          <a:endParaRPr lang="en-IN" sz="1200">
            <a:ln>
              <a:noFill/>
            </a:ln>
            <a:solidFill>
              <a:schemeClr val="tx1">
                <a:lumMod val="85000"/>
                <a:lumOff val="15000"/>
              </a:schemeClr>
            </a:solidFill>
            <a:latin typeface="Arial" panose="020B0604020202020204" pitchFamily="34" charset="0"/>
            <a:cs typeface="Arial" panose="020B0604020202020204" pitchFamily="34" charset="0"/>
          </a:endParaRPr>
        </a:p>
      </xdr:txBody>
    </xdr:sp>
    <xdr:clientData/>
  </xdr:twoCellAnchor>
  <xdr:twoCellAnchor>
    <xdr:from>
      <xdr:col>3</xdr:col>
      <xdr:colOff>22860</xdr:colOff>
      <xdr:row>17</xdr:row>
      <xdr:rowOff>45721</xdr:rowOff>
    </xdr:from>
    <xdr:to>
      <xdr:col>4</xdr:col>
      <xdr:colOff>373380</xdr:colOff>
      <xdr:row>19</xdr:row>
      <xdr:rowOff>7621</xdr:rowOff>
    </xdr:to>
    <xdr:sp macro="" textlink="Pivottables!AP3">
      <xdr:nvSpPr>
        <xdr:cNvPr id="144" name="Rectangle: Rounded Corners 143">
          <a:extLst>
            <a:ext uri="{FF2B5EF4-FFF2-40B4-BE49-F238E27FC236}">
              <a16:creationId xmlns:a16="http://schemas.microsoft.com/office/drawing/2014/main" id="{D50D9F3B-21E0-48F8-AE59-638DA9532CC7}"/>
            </a:ext>
          </a:extLst>
        </xdr:cNvPr>
        <xdr:cNvSpPr/>
      </xdr:nvSpPr>
      <xdr:spPr>
        <a:xfrm>
          <a:off x="1851660" y="3154681"/>
          <a:ext cx="960120" cy="327660"/>
        </a:xfrm>
        <a:prstGeom prst="roundRect">
          <a:avLst/>
        </a:prstGeom>
        <a:solidFill>
          <a:srgbClr val="CBC3E3">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400">
            <a:solidFill>
              <a:schemeClr val="accent6"/>
            </a:solidFill>
          </a:endParaRPr>
        </a:p>
      </xdr:txBody>
    </xdr:sp>
    <xdr:clientData/>
  </xdr:twoCellAnchor>
  <xdr:twoCellAnchor>
    <xdr:from>
      <xdr:col>0</xdr:col>
      <xdr:colOff>563880</xdr:colOff>
      <xdr:row>20</xdr:row>
      <xdr:rowOff>45793</xdr:rowOff>
    </xdr:from>
    <xdr:to>
      <xdr:col>2</xdr:col>
      <xdr:colOff>365760</xdr:colOff>
      <xdr:row>22</xdr:row>
      <xdr:rowOff>100191</xdr:rowOff>
    </xdr:to>
    <xdr:grpSp>
      <xdr:nvGrpSpPr>
        <xdr:cNvPr id="147" name="Group 146">
          <a:extLst>
            <a:ext uri="{FF2B5EF4-FFF2-40B4-BE49-F238E27FC236}">
              <a16:creationId xmlns:a16="http://schemas.microsoft.com/office/drawing/2014/main" id="{89A21C27-5D98-86DB-D7F4-D55CD8C95FE3}"/>
            </a:ext>
          </a:extLst>
        </xdr:cNvPr>
        <xdr:cNvGrpSpPr/>
      </xdr:nvGrpSpPr>
      <xdr:grpSpPr>
        <a:xfrm>
          <a:off x="563880" y="3771126"/>
          <a:ext cx="1021080" cy="426932"/>
          <a:chOff x="563880" y="3703393"/>
          <a:chExt cx="1021080" cy="420158"/>
        </a:xfrm>
      </xdr:grpSpPr>
      <xdr:sp macro="" textlink="#REF!">
        <xdr:nvSpPr>
          <xdr:cNvPr id="145" name="TextBox 144">
            <a:extLst>
              <a:ext uri="{FF2B5EF4-FFF2-40B4-BE49-F238E27FC236}">
                <a16:creationId xmlns:a16="http://schemas.microsoft.com/office/drawing/2014/main" id="{B40B3568-4B12-472E-AA80-2C8E8A4C91B7}"/>
              </a:ext>
            </a:extLst>
          </xdr:cNvPr>
          <xdr:cNvSpPr txBox="1"/>
        </xdr:nvSpPr>
        <xdr:spPr>
          <a:xfrm>
            <a:off x="563880" y="3825313"/>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Odometer</a:t>
            </a:r>
          </a:p>
        </xdr:txBody>
      </xdr:sp>
      <xdr:sp macro="" textlink="Pivottables!AM6">
        <xdr:nvSpPr>
          <xdr:cNvPr id="146" name="TextBox 145">
            <a:extLst>
              <a:ext uri="{FF2B5EF4-FFF2-40B4-BE49-F238E27FC236}">
                <a16:creationId xmlns:a16="http://schemas.microsoft.com/office/drawing/2014/main" id="{13DAC9A5-33C6-4499-AA72-4533F48EE704}"/>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F149E2-CE55-4A1E-BB4B-2AB91E1407B6}" type="TxLink">
              <a:rPr lang="en-US" sz="1000" b="1" i="0" u="none" strike="noStrike">
                <a:ln>
                  <a:noFill/>
                </a:ln>
                <a:solidFill>
                  <a:srgbClr val="000000"/>
                </a:solidFill>
                <a:latin typeface="Arial"/>
                <a:ea typeface="+mn-ea"/>
                <a:cs typeface="Arial"/>
              </a:rPr>
              <a:pPr marL="0" indent="0"/>
              <a:t>18147</a:t>
            </a:fld>
            <a:endParaRPr lang="en-IN" sz="9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91440</xdr:colOff>
      <xdr:row>20</xdr:row>
      <xdr:rowOff>76273</xdr:rowOff>
    </xdr:from>
    <xdr:to>
      <xdr:col>4</xdr:col>
      <xdr:colOff>502920</xdr:colOff>
      <xdr:row>22</xdr:row>
      <xdr:rowOff>130671</xdr:rowOff>
    </xdr:to>
    <xdr:grpSp>
      <xdr:nvGrpSpPr>
        <xdr:cNvPr id="148" name="Group 147">
          <a:extLst>
            <a:ext uri="{FF2B5EF4-FFF2-40B4-BE49-F238E27FC236}">
              <a16:creationId xmlns:a16="http://schemas.microsoft.com/office/drawing/2014/main" id="{52016EF8-E2CF-4780-BB5D-F31084D718F3}"/>
            </a:ext>
          </a:extLst>
        </xdr:cNvPr>
        <xdr:cNvGrpSpPr/>
      </xdr:nvGrpSpPr>
      <xdr:grpSpPr>
        <a:xfrm>
          <a:off x="1920240" y="3801606"/>
          <a:ext cx="1021080" cy="426932"/>
          <a:chOff x="563880" y="3703393"/>
          <a:chExt cx="1021080" cy="420158"/>
        </a:xfrm>
      </xdr:grpSpPr>
      <xdr:sp macro="" textlink="#REF!">
        <xdr:nvSpPr>
          <xdr:cNvPr id="149" name="TextBox 148">
            <a:extLst>
              <a:ext uri="{FF2B5EF4-FFF2-40B4-BE49-F238E27FC236}">
                <a16:creationId xmlns:a16="http://schemas.microsoft.com/office/drawing/2014/main" id="{DD40AD75-F6F9-BAFA-B2D3-158420AAF62E}"/>
              </a:ext>
            </a:extLst>
          </xdr:cNvPr>
          <xdr:cNvSpPr txBox="1"/>
        </xdr:nvSpPr>
        <xdr:spPr>
          <a:xfrm>
            <a:off x="563880" y="3825313"/>
            <a:ext cx="94488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Extra</a:t>
            </a:r>
            <a:r>
              <a:rPr lang="en-IN" sz="10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Stops</a:t>
            </a:r>
            <a:endPar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P6">
        <xdr:nvSpPr>
          <xdr:cNvPr id="150" name="TextBox 149">
            <a:extLst>
              <a:ext uri="{FF2B5EF4-FFF2-40B4-BE49-F238E27FC236}">
                <a16:creationId xmlns:a16="http://schemas.microsoft.com/office/drawing/2014/main" id="{53BDBFCF-12A4-246D-8BA2-1B406C5FD17C}"/>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A6B7E4-427E-4582-BDFE-4B7B29D96666}" type="TxLink">
              <a:rPr lang="en-US" sz="1000" b="1" i="0" u="none" strike="noStrike">
                <a:ln>
                  <a:noFill/>
                </a:ln>
                <a:solidFill>
                  <a:srgbClr val="000000"/>
                </a:solidFill>
                <a:latin typeface="Arial"/>
                <a:ea typeface="+mn-ea"/>
                <a:cs typeface="Arial"/>
              </a:rPr>
              <a:pPr marL="0" indent="0"/>
              <a:t>$6,100</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525780</xdr:colOff>
      <xdr:row>23</xdr:row>
      <xdr:rowOff>73</xdr:rowOff>
    </xdr:from>
    <xdr:to>
      <xdr:col>2</xdr:col>
      <xdr:colOff>388620</xdr:colOff>
      <xdr:row>25</xdr:row>
      <xdr:rowOff>54471</xdr:rowOff>
    </xdr:to>
    <xdr:grpSp>
      <xdr:nvGrpSpPr>
        <xdr:cNvPr id="151" name="Group 150">
          <a:extLst>
            <a:ext uri="{FF2B5EF4-FFF2-40B4-BE49-F238E27FC236}">
              <a16:creationId xmlns:a16="http://schemas.microsoft.com/office/drawing/2014/main" id="{E6A8325E-2829-426E-BC7F-B1273D3900F1}"/>
            </a:ext>
          </a:extLst>
        </xdr:cNvPr>
        <xdr:cNvGrpSpPr/>
      </xdr:nvGrpSpPr>
      <xdr:grpSpPr>
        <a:xfrm>
          <a:off x="525780" y="4284206"/>
          <a:ext cx="1082040" cy="426932"/>
          <a:chOff x="502920" y="3703393"/>
          <a:chExt cx="1082040" cy="420158"/>
        </a:xfrm>
      </xdr:grpSpPr>
      <xdr:sp macro="" textlink="#REF!">
        <xdr:nvSpPr>
          <xdr:cNvPr id="152" name="TextBox 151">
            <a:extLst>
              <a:ext uri="{FF2B5EF4-FFF2-40B4-BE49-F238E27FC236}">
                <a16:creationId xmlns:a16="http://schemas.microsoft.com/office/drawing/2014/main" id="{40C26A55-9E04-B51A-2329-A0F0749DA4C2}"/>
              </a:ext>
            </a:extLst>
          </xdr:cNvPr>
          <xdr:cNvSpPr txBox="1"/>
        </xdr:nvSpPr>
        <xdr:spPr>
          <a:xfrm>
            <a:off x="502920" y="3825313"/>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Miles</a:t>
            </a:r>
          </a:p>
        </xdr:txBody>
      </xdr:sp>
      <xdr:sp macro="" textlink="Pivottables!AN6">
        <xdr:nvSpPr>
          <xdr:cNvPr id="153" name="TextBox 152">
            <a:extLst>
              <a:ext uri="{FF2B5EF4-FFF2-40B4-BE49-F238E27FC236}">
                <a16:creationId xmlns:a16="http://schemas.microsoft.com/office/drawing/2014/main" id="{5ECCABE7-126B-7678-FD33-1BD180E4B383}"/>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AA70A1-169A-4F26-8CF7-8394F913FB79}" type="TxLink">
              <a:rPr lang="en-US" sz="1000" b="1" i="0" u="none" strike="noStrike">
                <a:ln>
                  <a:noFill/>
                </a:ln>
                <a:solidFill>
                  <a:srgbClr val="000000"/>
                </a:solidFill>
                <a:latin typeface="Arial"/>
                <a:ea typeface="+mn-ea"/>
                <a:cs typeface="Arial"/>
              </a:rPr>
              <a:pPr marL="0" indent="0"/>
              <a:t>21353</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83820</xdr:colOff>
      <xdr:row>23</xdr:row>
      <xdr:rowOff>22933</xdr:rowOff>
    </xdr:from>
    <xdr:to>
      <xdr:col>4</xdr:col>
      <xdr:colOff>495300</xdr:colOff>
      <xdr:row>25</xdr:row>
      <xdr:rowOff>77331</xdr:rowOff>
    </xdr:to>
    <xdr:grpSp>
      <xdr:nvGrpSpPr>
        <xdr:cNvPr id="154" name="Group 153">
          <a:extLst>
            <a:ext uri="{FF2B5EF4-FFF2-40B4-BE49-F238E27FC236}">
              <a16:creationId xmlns:a16="http://schemas.microsoft.com/office/drawing/2014/main" id="{28AEB5F8-0289-403E-81AA-BB2CA565A4BA}"/>
            </a:ext>
          </a:extLst>
        </xdr:cNvPr>
        <xdr:cNvGrpSpPr/>
      </xdr:nvGrpSpPr>
      <xdr:grpSpPr>
        <a:xfrm>
          <a:off x="1912620" y="4307066"/>
          <a:ext cx="1021080" cy="426932"/>
          <a:chOff x="563880" y="3703393"/>
          <a:chExt cx="1021080" cy="420158"/>
        </a:xfrm>
      </xdr:grpSpPr>
      <xdr:sp macro="" textlink="#REF!">
        <xdr:nvSpPr>
          <xdr:cNvPr id="155" name="TextBox 154">
            <a:extLst>
              <a:ext uri="{FF2B5EF4-FFF2-40B4-BE49-F238E27FC236}">
                <a16:creationId xmlns:a16="http://schemas.microsoft.com/office/drawing/2014/main" id="{4963EB39-16D0-E60C-1E2F-961FAC3CC499}"/>
              </a:ext>
            </a:extLst>
          </xdr:cNvPr>
          <xdr:cNvSpPr txBox="1"/>
        </xdr:nvSpPr>
        <xdr:spPr>
          <a:xfrm>
            <a:off x="563880" y="3825313"/>
            <a:ext cx="87630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Extra</a:t>
            </a:r>
            <a:r>
              <a:rPr lang="en-IN" sz="10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Pays</a:t>
            </a:r>
            <a:endParaRPr lang="en-IN" sz="10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Q6">
        <xdr:nvSpPr>
          <xdr:cNvPr id="156" name="TextBox 155">
            <a:extLst>
              <a:ext uri="{FF2B5EF4-FFF2-40B4-BE49-F238E27FC236}">
                <a16:creationId xmlns:a16="http://schemas.microsoft.com/office/drawing/2014/main" id="{345B8935-1869-253C-ED8D-666C9D798A39}"/>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858E3D-D60E-4A64-A7B1-DB3D9A376E6B}" type="TxLink">
              <a:rPr lang="en-US" sz="1000" b="1" i="0" u="none" strike="noStrike">
                <a:ln>
                  <a:noFill/>
                </a:ln>
                <a:solidFill>
                  <a:srgbClr val="000000"/>
                </a:solidFill>
                <a:latin typeface="Arial"/>
                <a:ea typeface="+mn-ea"/>
                <a:cs typeface="Arial"/>
              </a:rPr>
              <a:pPr marL="0" indent="0"/>
              <a:t>$1,546</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533400</xdr:colOff>
      <xdr:row>26</xdr:row>
      <xdr:rowOff>15313</xdr:rowOff>
    </xdr:from>
    <xdr:to>
      <xdr:col>2</xdr:col>
      <xdr:colOff>525780</xdr:colOff>
      <xdr:row>28</xdr:row>
      <xdr:rowOff>69711</xdr:rowOff>
    </xdr:to>
    <xdr:grpSp>
      <xdr:nvGrpSpPr>
        <xdr:cNvPr id="157" name="Group 156">
          <a:extLst>
            <a:ext uri="{FF2B5EF4-FFF2-40B4-BE49-F238E27FC236}">
              <a16:creationId xmlns:a16="http://schemas.microsoft.com/office/drawing/2014/main" id="{4B962C4B-F41B-436E-94A3-2E67006919F1}"/>
            </a:ext>
          </a:extLst>
        </xdr:cNvPr>
        <xdr:cNvGrpSpPr/>
      </xdr:nvGrpSpPr>
      <xdr:grpSpPr>
        <a:xfrm>
          <a:off x="533400" y="4858246"/>
          <a:ext cx="1211580" cy="426932"/>
          <a:chOff x="563880" y="3703393"/>
          <a:chExt cx="1211580" cy="420158"/>
        </a:xfrm>
      </xdr:grpSpPr>
      <xdr:sp macro="" textlink="#REF!">
        <xdr:nvSpPr>
          <xdr:cNvPr id="158" name="TextBox 157">
            <a:extLst>
              <a:ext uri="{FF2B5EF4-FFF2-40B4-BE49-F238E27FC236}">
                <a16:creationId xmlns:a16="http://schemas.microsoft.com/office/drawing/2014/main" id="{33188DBD-60B6-FC15-87CD-49D6B369C251}"/>
              </a:ext>
            </a:extLst>
          </xdr:cNvPr>
          <xdr:cNvSpPr txBox="1"/>
        </xdr:nvSpPr>
        <xdr:spPr>
          <a:xfrm>
            <a:off x="563880" y="3825313"/>
            <a:ext cx="121158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Rates</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Per Miles</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O6">
        <xdr:nvSpPr>
          <xdr:cNvPr id="159" name="TextBox 158">
            <a:extLst>
              <a:ext uri="{FF2B5EF4-FFF2-40B4-BE49-F238E27FC236}">
                <a16:creationId xmlns:a16="http://schemas.microsoft.com/office/drawing/2014/main" id="{FDECBE4D-4B08-C50E-DF0E-61D9CC070342}"/>
              </a:ext>
            </a:extLst>
          </xdr:cNvPr>
          <xdr:cNvSpPr txBox="1"/>
        </xdr:nvSpPr>
        <xdr:spPr>
          <a:xfrm>
            <a:off x="708660" y="370339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244241-62B0-4098-A82A-6ED3B0D1B134}" type="TxLink">
              <a:rPr lang="en-US" sz="1050" b="1" i="0" u="none" strike="noStrike">
                <a:ln>
                  <a:noFill/>
                </a:ln>
                <a:solidFill>
                  <a:srgbClr val="000000"/>
                </a:solidFill>
                <a:latin typeface="Arial"/>
                <a:ea typeface="+mn-ea"/>
                <a:cs typeface="Arial"/>
              </a:rPr>
              <a:pPr marL="0" indent="0"/>
              <a:t>$14,944</a:t>
            </a:fld>
            <a:endParaRPr lang="en-IN" sz="7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2</xdr:col>
      <xdr:colOff>487680</xdr:colOff>
      <xdr:row>26</xdr:row>
      <xdr:rowOff>30553</xdr:rowOff>
    </xdr:from>
    <xdr:to>
      <xdr:col>4</xdr:col>
      <xdr:colOff>579120</xdr:colOff>
      <xdr:row>28</xdr:row>
      <xdr:rowOff>115431</xdr:rowOff>
    </xdr:to>
    <xdr:grpSp>
      <xdr:nvGrpSpPr>
        <xdr:cNvPr id="160" name="Group 159">
          <a:extLst>
            <a:ext uri="{FF2B5EF4-FFF2-40B4-BE49-F238E27FC236}">
              <a16:creationId xmlns:a16="http://schemas.microsoft.com/office/drawing/2014/main" id="{6D0C36EB-68AA-412C-B638-F92681C02CBD}"/>
            </a:ext>
          </a:extLst>
        </xdr:cNvPr>
        <xdr:cNvGrpSpPr/>
      </xdr:nvGrpSpPr>
      <xdr:grpSpPr>
        <a:xfrm>
          <a:off x="1706880" y="4873486"/>
          <a:ext cx="1310640" cy="457412"/>
          <a:chOff x="640080" y="3695773"/>
          <a:chExt cx="1310640" cy="450638"/>
        </a:xfrm>
      </xdr:grpSpPr>
      <xdr:sp macro="" textlink="#REF!">
        <xdr:nvSpPr>
          <xdr:cNvPr id="161" name="TextBox 160">
            <a:extLst>
              <a:ext uri="{FF2B5EF4-FFF2-40B4-BE49-F238E27FC236}">
                <a16:creationId xmlns:a16="http://schemas.microsoft.com/office/drawing/2014/main" id="{2F929B4B-6910-572D-1104-4387DE61944F}"/>
              </a:ext>
            </a:extLst>
          </xdr:cNvPr>
          <xdr:cNvSpPr txBox="1"/>
        </xdr:nvSpPr>
        <xdr:spPr>
          <a:xfrm>
            <a:off x="640080" y="3848173"/>
            <a:ext cx="1310640"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Cost</a:t>
            </a:r>
            <a:r>
              <a:rPr lang="en-IN" sz="1100" b="0" i="0" u="none" strike="noStrike" baseline="0">
                <a:ln>
                  <a:noFill/>
                </a:ln>
                <a:solidFill>
                  <a:schemeClr val="tx1">
                    <a:lumMod val="75000"/>
                    <a:lumOff val="25000"/>
                  </a:schemeClr>
                </a:solidFill>
                <a:latin typeface="Arial" panose="020B0604020202020204" pitchFamily="34" charset="0"/>
                <a:ea typeface="+mn-ea"/>
                <a:cs typeface="Arial" panose="020B0604020202020204" pitchFamily="34" charset="0"/>
              </a:rPr>
              <a:t> Driver Paid</a:t>
            </a:r>
            <a:endPar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sp macro="" textlink="Pivottables!AR6">
        <xdr:nvSpPr>
          <xdr:cNvPr id="162" name="TextBox 161">
            <a:extLst>
              <a:ext uri="{FF2B5EF4-FFF2-40B4-BE49-F238E27FC236}">
                <a16:creationId xmlns:a16="http://schemas.microsoft.com/office/drawing/2014/main" id="{0AFCB6A7-1300-F1B7-4A20-128C84EC8B5D}"/>
              </a:ext>
            </a:extLst>
          </xdr:cNvPr>
          <xdr:cNvSpPr txBox="1"/>
        </xdr:nvSpPr>
        <xdr:spPr>
          <a:xfrm>
            <a:off x="929640" y="3695773"/>
            <a:ext cx="876300" cy="20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835512-8B1D-4D55-B6A5-7C1B0D17A048}" type="TxLink">
              <a:rPr lang="en-US" sz="1000" b="1" i="0" u="none" strike="noStrike">
                <a:ln>
                  <a:noFill/>
                </a:ln>
                <a:solidFill>
                  <a:srgbClr val="000000"/>
                </a:solidFill>
                <a:latin typeface="Arial"/>
                <a:ea typeface="+mn-ea"/>
                <a:cs typeface="Arial"/>
              </a:rPr>
              <a:pPr marL="0" indent="0"/>
              <a:t>$3,498</a:t>
            </a:fld>
            <a:endParaRPr lang="en-IN" sz="6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grpSp>
    <xdr:clientData/>
  </xdr:twoCellAnchor>
  <xdr:twoCellAnchor editAs="oneCell">
    <xdr:from>
      <xdr:col>5</xdr:col>
      <xdr:colOff>396240</xdr:colOff>
      <xdr:row>5</xdr:row>
      <xdr:rowOff>15240</xdr:rowOff>
    </xdr:from>
    <xdr:to>
      <xdr:col>18</xdr:col>
      <xdr:colOff>190500</xdr:colOff>
      <xdr:row>8</xdr:row>
      <xdr:rowOff>0</xdr:rowOff>
    </xdr:to>
    <mc:AlternateContent xmlns:mc="http://schemas.openxmlformats.org/markup-compatibility/2006">
      <mc:Choice xmlns:a14="http://schemas.microsoft.com/office/drawing/2010/main" Requires="a14">
        <xdr:graphicFrame macro="">
          <xdr:nvGraphicFramePr>
            <xdr:cNvPr id="164" name="Month">
              <a:extLst>
                <a:ext uri="{FF2B5EF4-FFF2-40B4-BE49-F238E27FC236}">
                  <a16:creationId xmlns:a16="http://schemas.microsoft.com/office/drawing/2014/main" id="{F0BDC578-C268-43A1-BD4B-379D6A9573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444240" y="946573"/>
              <a:ext cx="7719060" cy="54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17</xdr:row>
      <xdr:rowOff>76200</xdr:rowOff>
    </xdr:from>
    <xdr:to>
      <xdr:col>4</xdr:col>
      <xdr:colOff>320040</xdr:colOff>
      <xdr:row>18</xdr:row>
      <xdr:rowOff>114300</xdr:rowOff>
    </xdr:to>
    <xdr:sp macro="" textlink="Pivottables!AP3">
      <xdr:nvSpPr>
        <xdr:cNvPr id="165" name="TextBox 164">
          <a:extLst>
            <a:ext uri="{FF2B5EF4-FFF2-40B4-BE49-F238E27FC236}">
              <a16:creationId xmlns:a16="http://schemas.microsoft.com/office/drawing/2014/main" id="{DA1444FA-F01E-A2C6-3CCE-BF7ED4C0DA46}"/>
            </a:ext>
          </a:extLst>
        </xdr:cNvPr>
        <xdr:cNvSpPr txBox="1"/>
      </xdr:nvSpPr>
      <xdr:spPr>
        <a:xfrm>
          <a:off x="1988820" y="3185160"/>
          <a:ext cx="7696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A4B2CB-5D1E-4345-8ED6-768D15627891}" type="TxLink">
            <a:rPr lang="en-US" sz="1200" b="1" i="0" u="none" strike="noStrike">
              <a:solidFill>
                <a:srgbClr val="7030A0"/>
              </a:solidFill>
              <a:latin typeface="Arial"/>
              <a:cs typeface="Arial"/>
            </a:rPr>
            <a:pPr/>
            <a:t>$1,704</a:t>
          </a:fld>
          <a:endParaRPr lang="en-IN" sz="1100">
            <a:solidFill>
              <a:srgbClr val="7030A0"/>
            </a:solidFill>
          </a:endParaRPr>
        </a:p>
      </xdr:txBody>
    </xdr:sp>
    <xdr:clientData/>
  </xdr:twoCellAnchor>
  <xdr:twoCellAnchor>
    <xdr:from>
      <xdr:col>0</xdr:col>
      <xdr:colOff>525780</xdr:colOff>
      <xdr:row>29</xdr:row>
      <xdr:rowOff>0</xdr:rowOff>
    </xdr:from>
    <xdr:to>
      <xdr:col>4</xdr:col>
      <xdr:colOff>411480</xdr:colOff>
      <xdr:row>29</xdr:row>
      <xdr:rowOff>15240</xdr:rowOff>
    </xdr:to>
    <xdr:cxnSp macro="">
      <xdr:nvCxnSpPr>
        <xdr:cNvPr id="6" name="Straight Connector 5">
          <a:extLst>
            <a:ext uri="{FF2B5EF4-FFF2-40B4-BE49-F238E27FC236}">
              <a16:creationId xmlns:a16="http://schemas.microsoft.com/office/drawing/2014/main" id="{5141A869-D321-4146-AA9D-5C9F6B336817}"/>
            </a:ext>
          </a:extLst>
        </xdr:cNvPr>
        <xdr:cNvCxnSpPr/>
      </xdr:nvCxnSpPr>
      <xdr:spPr>
        <a:xfrm flipV="1">
          <a:off x="525780" y="5303520"/>
          <a:ext cx="2324100"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548640</xdr:colOff>
      <xdr:row>8</xdr:row>
      <xdr:rowOff>144780</xdr:rowOff>
    </xdr:from>
    <xdr:to>
      <xdr:col>18</xdr:col>
      <xdr:colOff>297180</xdr:colOff>
      <xdr:row>17</xdr:row>
      <xdr:rowOff>38100</xdr:rowOff>
    </xdr:to>
    <xdr:graphicFrame macro="">
      <xdr:nvGraphicFramePr>
        <xdr:cNvPr id="7" name="Chart 6">
          <a:extLst>
            <a:ext uri="{FF2B5EF4-FFF2-40B4-BE49-F238E27FC236}">
              <a16:creationId xmlns:a16="http://schemas.microsoft.com/office/drawing/2014/main" id="{A1DACF02-F182-4B43-8411-3ABA992B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518160</xdr:colOff>
      <xdr:row>29</xdr:row>
      <xdr:rowOff>68580</xdr:rowOff>
    </xdr:from>
    <xdr:to>
      <xdr:col>4</xdr:col>
      <xdr:colOff>480060</xdr:colOff>
      <xdr:row>40</xdr:row>
      <xdr:rowOff>160020</xdr:rowOff>
    </xdr:to>
    <xdr:sp macro="" textlink="">
      <xdr:nvSpPr>
        <xdr:cNvPr id="8" name="Rectangle 7">
          <a:extLst>
            <a:ext uri="{FF2B5EF4-FFF2-40B4-BE49-F238E27FC236}">
              <a16:creationId xmlns:a16="http://schemas.microsoft.com/office/drawing/2014/main" id="{1A99ABFF-2DD1-45CB-B4DC-1B24F611D94E}"/>
            </a:ext>
          </a:extLst>
        </xdr:cNvPr>
        <xdr:cNvSpPr/>
      </xdr:nvSpPr>
      <xdr:spPr>
        <a:xfrm>
          <a:off x="518160" y="5372100"/>
          <a:ext cx="2400300" cy="21031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487680</xdr:colOff>
      <xdr:row>30</xdr:row>
      <xdr:rowOff>167640</xdr:rowOff>
    </xdr:from>
    <xdr:to>
      <xdr:col>25</xdr:col>
      <xdr:colOff>68580</xdr:colOff>
      <xdr:row>40</xdr:row>
      <xdr:rowOff>137160</xdr:rowOff>
    </xdr:to>
    <xdr:sp macro="" textlink="">
      <xdr:nvSpPr>
        <xdr:cNvPr id="9" name="Rectangle 8">
          <a:extLst>
            <a:ext uri="{FF2B5EF4-FFF2-40B4-BE49-F238E27FC236}">
              <a16:creationId xmlns:a16="http://schemas.microsoft.com/office/drawing/2014/main" id="{F57E9EB3-DF53-4CFD-BAFD-3881CAFB828E}"/>
            </a:ext>
          </a:extLst>
        </xdr:cNvPr>
        <xdr:cNvSpPr/>
      </xdr:nvSpPr>
      <xdr:spPr>
        <a:xfrm>
          <a:off x="11460480" y="5654040"/>
          <a:ext cx="3848100" cy="179832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502920</xdr:colOff>
      <xdr:row>25</xdr:row>
      <xdr:rowOff>167640</xdr:rowOff>
    </xdr:from>
    <xdr:to>
      <xdr:col>18</xdr:col>
      <xdr:colOff>350520</xdr:colOff>
      <xdr:row>41</xdr:row>
      <xdr:rowOff>0</xdr:rowOff>
    </xdr:to>
    <xdr:sp macro="" textlink="">
      <xdr:nvSpPr>
        <xdr:cNvPr id="16" name="Rectangle 15">
          <a:extLst>
            <a:ext uri="{FF2B5EF4-FFF2-40B4-BE49-F238E27FC236}">
              <a16:creationId xmlns:a16="http://schemas.microsoft.com/office/drawing/2014/main" id="{B2472155-6A0E-4B26-A094-81ECD3C53D31}"/>
            </a:ext>
          </a:extLst>
        </xdr:cNvPr>
        <xdr:cNvSpPr/>
      </xdr:nvSpPr>
      <xdr:spPr>
        <a:xfrm>
          <a:off x="6584938" y="4711677"/>
          <a:ext cx="4713215" cy="274054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129540</xdr:colOff>
      <xdr:row>26</xdr:row>
      <xdr:rowOff>7620</xdr:rowOff>
    </xdr:from>
    <xdr:to>
      <xdr:col>10</xdr:col>
      <xdr:colOff>358140</xdr:colOff>
      <xdr:row>40</xdr:row>
      <xdr:rowOff>167640</xdr:rowOff>
    </xdr:to>
    <xdr:sp macro="" textlink="">
      <xdr:nvSpPr>
        <xdr:cNvPr id="17" name="Rectangle 16">
          <a:extLst>
            <a:ext uri="{FF2B5EF4-FFF2-40B4-BE49-F238E27FC236}">
              <a16:creationId xmlns:a16="http://schemas.microsoft.com/office/drawing/2014/main" id="{BE0BD667-FC97-452F-90FF-F7E98148FDAD}"/>
            </a:ext>
          </a:extLst>
        </xdr:cNvPr>
        <xdr:cNvSpPr/>
      </xdr:nvSpPr>
      <xdr:spPr>
        <a:xfrm>
          <a:off x="3177540" y="4762500"/>
          <a:ext cx="3276600" cy="272034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586740</xdr:colOff>
      <xdr:row>29</xdr:row>
      <xdr:rowOff>68580</xdr:rowOff>
    </xdr:from>
    <xdr:to>
      <xdr:col>4</xdr:col>
      <xdr:colOff>413940</xdr:colOff>
      <xdr:row>40</xdr:row>
      <xdr:rowOff>108900</xdr:rowOff>
    </xdr:to>
    <mc:AlternateContent xmlns:mc="http://schemas.openxmlformats.org/markup-compatibility/2006" xmlns:a14="http://schemas.microsoft.com/office/drawing/2010/main">
      <mc:Choice Requires="a14">
        <xdr:graphicFrame macro="">
          <xdr:nvGraphicFramePr>
            <xdr:cNvPr id="19" name="Driver Name">
              <a:extLst>
                <a:ext uri="{FF2B5EF4-FFF2-40B4-BE49-F238E27FC236}">
                  <a16:creationId xmlns:a16="http://schemas.microsoft.com/office/drawing/2014/main" id="{6B86920A-BE1C-46F4-B4F7-4DE6C91285D9}"/>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196340" y="5372100"/>
              <a:ext cx="1656000"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502920</xdr:colOff>
      <xdr:row>41</xdr:row>
      <xdr:rowOff>68580</xdr:rowOff>
    </xdr:from>
    <xdr:to>
      <xdr:col>4</xdr:col>
      <xdr:colOff>479196</xdr:colOff>
      <xdr:row>41</xdr:row>
      <xdr:rowOff>78557</xdr:rowOff>
    </xdr:to>
    <xdr:cxnSp macro="">
      <xdr:nvCxnSpPr>
        <xdr:cNvPr id="20" name="Straight Connector 19">
          <a:extLst>
            <a:ext uri="{FF2B5EF4-FFF2-40B4-BE49-F238E27FC236}">
              <a16:creationId xmlns:a16="http://schemas.microsoft.com/office/drawing/2014/main" id="{F764C54E-4F52-4C5A-AA59-33FFA5B08F7F}"/>
            </a:ext>
          </a:extLst>
        </xdr:cNvPr>
        <xdr:cNvCxnSpPr/>
      </xdr:nvCxnSpPr>
      <xdr:spPr>
        <a:xfrm>
          <a:off x="502920" y="7476477"/>
          <a:ext cx="2427245" cy="9977"/>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70468</xdr:colOff>
      <xdr:row>30</xdr:row>
      <xdr:rowOff>31737</xdr:rowOff>
    </xdr:from>
    <xdr:to>
      <xdr:col>1</xdr:col>
      <xdr:colOff>474328</xdr:colOff>
      <xdr:row>32</xdr:row>
      <xdr:rowOff>6989</xdr:rowOff>
    </xdr:to>
    <xdr:sp macro="" textlink="">
      <xdr:nvSpPr>
        <xdr:cNvPr id="33" name="Rectangle: Rounded Corners 32">
          <a:extLst>
            <a:ext uri="{FF2B5EF4-FFF2-40B4-BE49-F238E27FC236}">
              <a16:creationId xmlns:a16="http://schemas.microsoft.com/office/drawing/2014/main" id="{E1625EAD-0CD4-0AC3-1441-5C1F8BD4C25F}"/>
            </a:ext>
          </a:extLst>
        </xdr:cNvPr>
        <xdr:cNvSpPr/>
      </xdr:nvSpPr>
      <xdr:spPr>
        <a:xfrm>
          <a:off x="678670" y="5484581"/>
          <a:ext cx="403860" cy="338775"/>
        </a:xfrm>
        <a:prstGeom prst="roundRect">
          <a:avLst/>
        </a:prstGeom>
        <a:solidFill>
          <a:schemeClr val="bg2"/>
        </a:solidFill>
        <a:ln w="19050">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137160</xdr:colOff>
      <xdr:row>23</xdr:row>
      <xdr:rowOff>45720</xdr:rowOff>
    </xdr:from>
    <xdr:to>
      <xdr:col>24</xdr:col>
      <xdr:colOff>563880</xdr:colOff>
      <xdr:row>27</xdr:row>
      <xdr:rowOff>30480</xdr:rowOff>
    </xdr:to>
    <xdr:grpSp>
      <xdr:nvGrpSpPr>
        <xdr:cNvPr id="45" name="Group 44">
          <a:extLst>
            <a:ext uri="{FF2B5EF4-FFF2-40B4-BE49-F238E27FC236}">
              <a16:creationId xmlns:a16="http://schemas.microsoft.com/office/drawing/2014/main" id="{EE5E6247-B449-4C4D-8C72-525D08493979}"/>
            </a:ext>
          </a:extLst>
        </xdr:cNvPr>
        <xdr:cNvGrpSpPr/>
      </xdr:nvGrpSpPr>
      <xdr:grpSpPr>
        <a:xfrm>
          <a:off x="11719560" y="4329853"/>
          <a:ext cx="3474720" cy="729827"/>
          <a:chOff x="11727180" y="2263140"/>
          <a:chExt cx="1973580" cy="716280"/>
        </a:xfrm>
      </xdr:grpSpPr>
      <xdr:cxnSp macro="">
        <xdr:nvCxnSpPr>
          <xdr:cNvPr id="57" name="Straight Connector 56">
            <a:extLst>
              <a:ext uri="{FF2B5EF4-FFF2-40B4-BE49-F238E27FC236}">
                <a16:creationId xmlns:a16="http://schemas.microsoft.com/office/drawing/2014/main" id="{7B719093-F8A0-3821-6604-74FE1860FD69}"/>
              </a:ext>
            </a:extLst>
          </xdr:cNvPr>
          <xdr:cNvCxnSpPr/>
        </xdr:nvCxnSpPr>
        <xdr:spPr>
          <a:xfrm>
            <a:off x="11727180" y="226314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7D5482A9-AD8C-625A-DEAD-CEF598301506}"/>
              </a:ext>
            </a:extLst>
          </xdr:cNvPr>
          <xdr:cNvCxnSpPr/>
        </xdr:nvCxnSpPr>
        <xdr:spPr>
          <a:xfrm>
            <a:off x="11734800" y="259842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A0F618E5-7A15-E23E-A6C3-735E5CD78C5A}"/>
              </a:ext>
            </a:extLst>
          </xdr:cNvPr>
          <xdr:cNvCxnSpPr/>
        </xdr:nvCxnSpPr>
        <xdr:spPr>
          <a:xfrm>
            <a:off x="11734800" y="2971800"/>
            <a:ext cx="1965960" cy="762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xdr:col>
      <xdr:colOff>167779</xdr:colOff>
      <xdr:row>30</xdr:row>
      <xdr:rowOff>54826</xdr:rowOff>
    </xdr:from>
    <xdr:to>
      <xdr:col>1</xdr:col>
      <xdr:colOff>399402</xdr:colOff>
      <xdr:row>31</xdr:row>
      <xdr:rowOff>145410</xdr:rowOff>
    </xdr:to>
    <xdr:pic>
      <xdr:nvPicPr>
        <xdr:cNvPr id="66" name="Picture 65">
          <a:extLst>
            <a:ext uri="{FF2B5EF4-FFF2-40B4-BE49-F238E27FC236}">
              <a16:creationId xmlns:a16="http://schemas.microsoft.com/office/drawing/2014/main" id="{A92F10E8-FA48-F1C2-7F7D-A9B5C9D201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5981" y="5507670"/>
          <a:ext cx="231623" cy="272346"/>
        </a:xfrm>
        <a:prstGeom prst="rect">
          <a:avLst/>
        </a:prstGeom>
      </xdr:spPr>
    </xdr:pic>
    <xdr:clientData/>
  </xdr:twoCellAnchor>
  <xdr:twoCellAnchor>
    <xdr:from>
      <xdr:col>1</xdr:col>
      <xdr:colOff>76061</xdr:colOff>
      <xdr:row>32</xdr:row>
      <xdr:rowOff>107238</xdr:rowOff>
    </xdr:from>
    <xdr:to>
      <xdr:col>1</xdr:col>
      <xdr:colOff>479921</xdr:colOff>
      <xdr:row>34</xdr:row>
      <xdr:rowOff>82490</xdr:rowOff>
    </xdr:to>
    <xdr:sp macro="" textlink="">
      <xdr:nvSpPr>
        <xdr:cNvPr id="67" name="Rectangle: Rounded Corners 66">
          <a:extLst>
            <a:ext uri="{FF2B5EF4-FFF2-40B4-BE49-F238E27FC236}">
              <a16:creationId xmlns:a16="http://schemas.microsoft.com/office/drawing/2014/main" id="{489B74F6-1D01-4118-BC00-86B7B2C99CDF}"/>
            </a:ext>
          </a:extLst>
        </xdr:cNvPr>
        <xdr:cNvSpPr/>
      </xdr:nvSpPr>
      <xdr:spPr>
        <a:xfrm>
          <a:off x="684263" y="5923605"/>
          <a:ext cx="403860" cy="338775"/>
        </a:xfrm>
        <a:prstGeom prst="roundRect">
          <a:avLst/>
        </a:prstGeom>
        <a:solidFill>
          <a:schemeClr val="bg2"/>
        </a:solidFill>
        <a:ln w="19050">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67672</xdr:colOff>
      <xdr:row>35</xdr:row>
      <xdr:rowOff>35932</xdr:rowOff>
    </xdr:from>
    <xdr:to>
      <xdr:col>1</xdr:col>
      <xdr:colOff>471532</xdr:colOff>
      <xdr:row>37</xdr:row>
      <xdr:rowOff>11184</xdr:rowOff>
    </xdr:to>
    <xdr:sp macro="" textlink="">
      <xdr:nvSpPr>
        <xdr:cNvPr id="68" name="Rectangle: Rounded Corners 67">
          <a:extLst>
            <a:ext uri="{FF2B5EF4-FFF2-40B4-BE49-F238E27FC236}">
              <a16:creationId xmlns:a16="http://schemas.microsoft.com/office/drawing/2014/main" id="{9C1260BB-1B23-44FA-B1E6-406513E920C9}"/>
            </a:ext>
          </a:extLst>
        </xdr:cNvPr>
        <xdr:cNvSpPr/>
      </xdr:nvSpPr>
      <xdr:spPr>
        <a:xfrm>
          <a:off x="675874" y="6397583"/>
          <a:ext cx="403860" cy="338775"/>
        </a:xfrm>
        <a:prstGeom prst="roundRect">
          <a:avLst/>
        </a:prstGeom>
        <a:solidFill>
          <a:schemeClr val="bg2"/>
        </a:solidFill>
        <a:ln w="19050">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73264</xdr:colOff>
      <xdr:row>37</xdr:row>
      <xdr:rowOff>118424</xdr:rowOff>
    </xdr:from>
    <xdr:to>
      <xdr:col>1</xdr:col>
      <xdr:colOff>477124</xdr:colOff>
      <xdr:row>39</xdr:row>
      <xdr:rowOff>93676</xdr:rowOff>
    </xdr:to>
    <xdr:sp macro="" textlink="">
      <xdr:nvSpPr>
        <xdr:cNvPr id="69" name="Rectangle: Rounded Corners 68">
          <a:extLst>
            <a:ext uri="{FF2B5EF4-FFF2-40B4-BE49-F238E27FC236}">
              <a16:creationId xmlns:a16="http://schemas.microsoft.com/office/drawing/2014/main" id="{9E452E74-7C4E-425A-BC97-B487E254B3B0}"/>
            </a:ext>
          </a:extLst>
        </xdr:cNvPr>
        <xdr:cNvSpPr/>
      </xdr:nvSpPr>
      <xdr:spPr>
        <a:xfrm>
          <a:off x="681466" y="6843598"/>
          <a:ext cx="403860" cy="338775"/>
        </a:xfrm>
        <a:prstGeom prst="roundRect">
          <a:avLst/>
        </a:prstGeom>
        <a:solidFill>
          <a:schemeClr val="bg2"/>
        </a:solidFill>
        <a:ln w="19050">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177794</xdr:colOff>
      <xdr:row>32</xdr:row>
      <xdr:rowOff>132826</xdr:rowOff>
    </xdr:from>
    <xdr:to>
      <xdr:col>1</xdr:col>
      <xdr:colOff>391487</xdr:colOff>
      <xdr:row>34</xdr:row>
      <xdr:rowOff>41944</xdr:rowOff>
    </xdr:to>
    <xdr:pic>
      <xdr:nvPicPr>
        <xdr:cNvPr id="72" name="Picture 71">
          <a:extLst>
            <a:ext uri="{FF2B5EF4-FFF2-40B4-BE49-F238E27FC236}">
              <a16:creationId xmlns:a16="http://schemas.microsoft.com/office/drawing/2014/main" id="{D0906333-D23C-EED0-0EBB-A09789F1D5E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 r="4969" b="14502"/>
        <a:stretch/>
      </xdr:blipFill>
      <xdr:spPr>
        <a:xfrm>
          <a:off x="785996" y="5949193"/>
          <a:ext cx="213693" cy="272641"/>
        </a:xfrm>
        <a:prstGeom prst="rect">
          <a:avLst/>
        </a:prstGeom>
      </xdr:spPr>
    </xdr:pic>
    <xdr:clientData/>
  </xdr:twoCellAnchor>
  <xdr:twoCellAnchor editAs="oneCell">
    <xdr:from>
      <xdr:col>1</xdr:col>
      <xdr:colOff>174770</xdr:colOff>
      <xdr:row>35</xdr:row>
      <xdr:rowOff>57821</xdr:rowOff>
    </xdr:from>
    <xdr:to>
      <xdr:col>1</xdr:col>
      <xdr:colOff>377504</xdr:colOff>
      <xdr:row>36</xdr:row>
      <xdr:rowOff>146807</xdr:rowOff>
    </xdr:to>
    <xdr:pic>
      <xdr:nvPicPr>
        <xdr:cNvPr id="74" name="Picture 73">
          <a:extLst>
            <a:ext uri="{FF2B5EF4-FFF2-40B4-BE49-F238E27FC236}">
              <a16:creationId xmlns:a16="http://schemas.microsoft.com/office/drawing/2014/main" id="{56A84AA2-2D39-5DF3-9190-6EFF4F18C7F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8542" t="5760" r="8715" b="10689"/>
        <a:stretch/>
      </xdr:blipFill>
      <xdr:spPr>
        <a:xfrm>
          <a:off x="782972" y="6419472"/>
          <a:ext cx="202734" cy="270748"/>
        </a:xfrm>
        <a:prstGeom prst="rect">
          <a:avLst/>
        </a:prstGeom>
      </xdr:spPr>
    </xdr:pic>
    <xdr:clientData/>
  </xdr:twoCellAnchor>
  <xdr:twoCellAnchor editAs="oneCell">
    <xdr:from>
      <xdr:col>1</xdr:col>
      <xdr:colOff>174771</xdr:colOff>
      <xdr:row>37</xdr:row>
      <xdr:rowOff>123941</xdr:rowOff>
    </xdr:from>
    <xdr:to>
      <xdr:col>1</xdr:col>
      <xdr:colOff>384495</xdr:colOff>
      <xdr:row>39</xdr:row>
      <xdr:rowOff>27963</xdr:rowOff>
    </xdr:to>
    <xdr:pic>
      <xdr:nvPicPr>
        <xdr:cNvPr id="76" name="Picture 75">
          <a:extLst>
            <a:ext uri="{FF2B5EF4-FFF2-40B4-BE49-F238E27FC236}">
              <a16:creationId xmlns:a16="http://schemas.microsoft.com/office/drawing/2014/main" id="{EBDD10DA-5EC0-70F9-CFD6-416B9DF25F43}"/>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5995" r="6095" b="3665"/>
        <a:stretch/>
      </xdr:blipFill>
      <xdr:spPr>
        <a:xfrm>
          <a:off x="782973" y="6849115"/>
          <a:ext cx="209724" cy="267545"/>
        </a:xfrm>
        <a:prstGeom prst="rect">
          <a:avLst/>
        </a:prstGeom>
      </xdr:spPr>
    </xdr:pic>
    <xdr:clientData/>
  </xdr:twoCellAnchor>
  <xdr:twoCellAnchor>
    <xdr:from>
      <xdr:col>19</xdr:col>
      <xdr:colOff>7619</xdr:colOff>
      <xdr:row>31</xdr:row>
      <xdr:rowOff>91441</xdr:rowOff>
    </xdr:from>
    <xdr:to>
      <xdr:col>24</xdr:col>
      <xdr:colOff>299252</xdr:colOff>
      <xdr:row>32</xdr:row>
      <xdr:rowOff>179381</xdr:rowOff>
    </xdr:to>
    <xdr:sp macro="" textlink="">
      <xdr:nvSpPr>
        <xdr:cNvPr id="5" name="TextBox 4">
          <a:extLst>
            <a:ext uri="{FF2B5EF4-FFF2-40B4-BE49-F238E27FC236}">
              <a16:creationId xmlns:a16="http://schemas.microsoft.com/office/drawing/2014/main" id="{1EEF8551-7B74-4BCB-A8E9-AC732AC9D302}"/>
            </a:ext>
          </a:extLst>
        </xdr:cNvPr>
        <xdr:cNvSpPr txBox="1"/>
      </xdr:nvSpPr>
      <xdr:spPr>
        <a:xfrm>
          <a:off x="11590019" y="5760721"/>
          <a:ext cx="21204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n>
                <a:noFill/>
              </a:ln>
              <a:latin typeface="Arial" panose="020B0604020202020204" pitchFamily="34" charset="0"/>
              <a:cs typeface="Arial" panose="020B0604020202020204" pitchFamily="34" charset="0"/>
            </a:rPr>
            <a:t>Load</a:t>
          </a:r>
          <a:endParaRPr lang="en-IN" sz="1200">
            <a:ln>
              <a:noFill/>
            </a:ln>
            <a:latin typeface="Arial" panose="020B0604020202020204" pitchFamily="34" charset="0"/>
            <a:cs typeface="Arial" panose="020B0604020202020204" pitchFamily="34" charset="0"/>
          </a:endParaRPr>
        </a:p>
      </xdr:txBody>
    </xdr:sp>
    <xdr:clientData/>
  </xdr:twoCellAnchor>
  <xdr:twoCellAnchor>
    <xdr:from>
      <xdr:col>19</xdr:col>
      <xdr:colOff>10820</xdr:colOff>
      <xdr:row>34</xdr:row>
      <xdr:rowOff>68581</xdr:rowOff>
    </xdr:from>
    <xdr:to>
      <xdr:col>20</xdr:col>
      <xdr:colOff>215054</xdr:colOff>
      <xdr:row>35</xdr:row>
      <xdr:rowOff>156521</xdr:rowOff>
    </xdr:to>
    <xdr:sp macro="" textlink="#REF!">
      <xdr:nvSpPr>
        <xdr:cNvPr id="55" name="TextBox 54">
          <a:extLst>
            <a:ext uri="{FF2B5EF4-FFF2-40B4-BE49-F238E27FC236}">
              <a16:creationId xmlns:a16="http://schemas.microsoft.com/office/drawing/2014/main" id="{2C97C9A1-F60F-45F6-B8E3-A0AE519EE7B1}"/>
            </a:ext>
          </a:extLst>
        </xdr:cNvPr>
        <xdr:cNvSpPr txBox="1"/>
      </xdr:nvSpPr>
      <xdr:spPr>
        <a:xfrm>
          <a:off x="11593220" y="6401648"/>
          <a:ext cx="813834" cy="27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Iron</a:t>
          </a:r>
        </a:p>
      </xdr:txBody>
    </xdr:sp>
    <xdr:clientData/>
  </xdr:twoCellAnchor>
  <xdr:twoCellAnchor>
    <xdr:from>
      <xdr:col>20</xdr:col>
      <xdr:colOff>434266</xdr:colOff>
      <xdr:row>34</xdr:row>
      <xdr:rowOff>117400</xdr:rowOff>
    </xdr:from>
    <xdr:to>
      <xdr:col>21</xdr:col>
      <xdr:colOff>373380</xdr:colOff>
      <xdr:row>36</xdr:row>
      <xdr:rowOff>22460</xdr:rowOff>
    </xdr:to>
    <xdr:sp macro="" textlink="Pivottables!BC7">
      <xdr:nvSpPr>
        <xdr:cNvPr id="63" name="TextBox 62">
          <a:extLst>
            <a:ext uri="{FF2B5EF4-FFF2-40B4-BE49-F238E27FC236}">
              <a16:creationId xmlns:a16="http://schemas.microsoft.com/office/drawing/2014/main" id="{BCF7A033-F486-461A-A831-0C783CF9D49E}"/>
            </a:ext>
          </a:extLst>
        </xdr:cNvPr>
        <xdr:cNvSpPr txBox="1"/>
      </xdr:nvSpPr>
      <xdr:spPr>
        <a:xfrm>
          <a:off x="12626266" y="6335320"/>
          <a:ext cx="548714"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947E78-B149-4ADC-8EC0-9A17306EB268}" type="TxLink">
            <a:rPr lang="en-US" sz="1100" b="1" i="0" u="none" strike="noStrike">
              <a:ln>
                <a:noFill/>
              </a:ln>
              <a:solidFill>
                <a:srgbClr val="000000"/>
              </a:solidFill>
              <a:latin typeface="Arial"/>
              <a:ea typeface="+mn-ea"/>
              <a:cs typeface="Arial"/>
            </a:rPr>
            <a:t>235.8</a:t>
          </a:fld>
          <a:endParaRPr lang="en-IN" sz="10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18</xdr:col>
      <xdr:colOff>603487</xdr:colOff>
      <xdr:row>36</xdr:row>
      <xdr:rowOff>23620</xdr:rowOff>
    </xdr:from>
    <xdr:to>
      <xdr:col>19</xdr:col>
      <xdr:colOff>571501</xdr:colOff>
      <xdr:row>37</xdr:row>
      <xdr:rowOff>111560</xdr:rowOff>
    </xdr:to>
    <xdr:sp macro="" textlink="#REF!">
      <xdr:nvSpPr>
        <xdr:cNvPr id="64" name="TextBox 63">
          <a:extLst>
            <a:ext uri="{FF2B5EF4-FFF2-40B4-BE49-F238E27FC236}">
              <a16:creationId xmlns:a16="http://schemas.microsoft.com/office/drawing/2014/main" id="{4F216BF1-5DAB-47EE-9CE8-C2DE0F42EB0D}"/>
            </a:ext>
          </a:extLst>
        </xdr:cNvPr>
        <xdr:cNvSpPr txBox="1"/>
      </xdr:nvSpPr>
      <xdr:spPr>
        <a:xfrm>
          <a:off x="11576287" y="6607300"/>
          <a:ext cx="577614"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Sand</a:t>
          </a:r>
        </a:p>
      </xdr:txBody>
    </xdr:sp>
    <xdr:clientData/>
  </xdr:twoCellAnchor>
  <xdr:twoCellAnchor>
    <xdr:from>
      <xdr:col>20</xdr:col>
      <xdr:colOff>463930</xdr:colOff>
      <xdr:row>36</xdr:row>
      <xdr:rowOff>69640</xdr:rowOff>
    </xdr:from>
    <xdr:to>
      <xdr:col>21</xdr:col>
      <xdr:colOff>419100</xdr:colOff>
      <xdr:row>37</xdr:row>
      <xdr:rowOff>157580</xdr:rowOff>
    </xdr:to>
    <xdr:sp macro="" textlink="Pivottables!BD7">
      <xdr:nvSpPr>
        <xdr:cNvPr id="65" name="TextBox 64">
          <a:extLst>
            <a:ext uri="{FF2B5EF4-FFF2-40B4-BE49-F238E27FC236}">
              <a16:creationId xmlns:a16="http://schemas.microsoft.com/office/drawing/2014/main" id="{8208DEEC-535A-4FE4-9421-71953A1A686E}"/>
            </a:ext>
          </a:extLst>
        </xdr:cNvPr>
        <xdr:cNvSpPr txBox="1"/>
      </xdr:nvSpPr>
      <xdr:spPr>
        <a:xfrm>
          <a:off x="12655930" y="6653320"/>
          <a:ext cx="564770"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11F8B7-1D38-473F-916D-627C983809A3}" type="TxLink">
            <a:rPr lang="en-US" sz="1100" b="1" i="0" u="none" strike="noStrike">
              <a:ln>
                <a:noFill/>
              </a:ln>
              <a:solidFill>
                <a:srgbClr val="000000"/>
              </a:solidFill>
              <a:latin typeface="Arial"/>
              <a:ea typeface="+mn-ea"/>
              <a:cs typeface="Arial"/>
            </a:rPr>
            <a:t>283.9</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18</xdr:col>
      <xdr:colOff>594359</xdr:colOff>
      <xdr:row>38</xdr:row>
      <xdr:rowOff>7023</xdr:rowOff>
    </xdr:from>
    <xdr:to>
      <xdr:col>20</xdr:col>
      <xdr:colOff>83820</xdr:colOff>
      <xdr:row>39</xdr:row>
      <xdr:rowOff>94963</xdr:rowOff>
    </xdr:to>
    <xdr:sp macro="" textlink="#REF!">
      <xdr:nvSpPr>
        <xdr:cNvPr id="71" name="TextBox 70">
          <a:extLst>
            <a:ext uri="{FF2B5EF4-FFF2-40B4-BE49-F238E27FC236}">
              <a16:creationId xmlns:a16="http://schemas.microsoft.com/office/drawing/2014/main" id="{B29BBD0B-D3CE-42FD-AA0D-C1F3B361FD02}"/>
            </a:ext>
          </a:extLst>
        </xdr:cNvPr>
        <xdr:cNvSpPr txBox="1"/>
      </xdr:nvSpPr>
      <xdr:spPr>
        <a:xfrm>
          <a:off x="11567159" y="6956463"/>
          <a:ext cx="708661"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Wood</a:t>
          </a:r>
        </a:p>
      </xdr:txBody>
    </xdr:sp>
    <xdr:clientData/>
  </xdr:twoCellAnchor>
  <xdr:twoCellAnchor>
    <xdr:from>
      <xdr:col>20</xdr:col>
      <xdr:colOff>458063</xdr:colOff>
      <xdr:row>38</xdr:row>
      <xdr:rowOff>36965</xdr:rowOff>
    </xdr:from>
    <xdr:to>
      <xdr:col>21</xdr:col>
      <xdr:colOff>426721</xdr:colOff>
      <xdr:row>39</xdr:row>
      <xdr:rowOff>124905</xdr:rowOff>
    </xdr:to>
    <xdr:sp macro="" textlink="Pivottables!BE7">
      <xdr:nvSpPr>
        <xdr:cNvPr id="73" name="TextBox 72">
          <a:extLst>
            <a:ext uri="{FF2B5EF4-FFF2-40B4-BE49-F238E27FC236}">
              <a16:creationId xmlns:a16="http://schemas.microsoft.com/office/drawing/2014/main" id="{C183B793-B0C3-4ACC-9A0D-F26E1D052102}"/>
            </a:ext>
          </a:extLst>
        </xdr:cNvPr>
        <xdr:cNvSpPr txBox="1"/>
      </xdr:nvSpPr>
      <xdr:spPr>
        <a:xfrm>
          <a:off x="12650063" y="6986405"/>
          <a:ext cx="578258"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9A8C5C-66DD-4F39-B296-855CDE310658}" type="TxLink">
            <a:rPr lang="en-US" sz="1100" b="1" i="0" u="none" strike="noStrike">
              <a:ln>
                <a:noFill/>
              </a:ln>
              <a:solidFill>
                <a:srgbClr val="000000"/>
              </a:solidFill>
              <a:latin typeface="Arial"/>
              <a:ea typeface="+mn-ea"/>
              <a:cs typeface="Arial"/>
            </a:rPr>
            <a:t>528.1</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23</xdr:col>
      <xdr:colOff>408866</xdr:colOff>
      <xdr:row>34</xdr:row>
      <xdr:rowOff>140260</xdr:rowOff>
    </xdr:from>
    <xdr:to>
      <xdr:col>24</xdr:col>
      <xdr:colOff>165100</xdr:colOff>
      <xdr:row>36</xdr:row>
      <xdr:rowOff>45320</xdr:rowOff>
    </xdr:to>
    <xdr:sp macro="" textlink="Pivottables!BC8">
      <xdr:nvSpPr>
        <xdr:cNvPr id="75" name="TextBox 74">
          <a:extLst>
            <a:ext uri="{FF2B5EF4-FFF2-40B4-BE49-F238E27FC236}">
              <a16:creationId xmlns:a16="http://schemas.microsoft.com/office/drawing/2014/main" id="{71F633E2-66D9-45DD-8BB8-3364A95CB1FF}"/>
            </a:ext>
          </a:extLst>
        </xdr:cNvPr>
        <xdr:cNvSpPr txBox="1"/>
      </xdr:nvSpPr>
      <xdr:spPr>
        <a:xfrm>
          <a:off x="14429666" y="6473327"/>
          <a:ext cx="365834" cy="27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C32CE3-0CE0-42C8-B7E8-3A594F84A98C}" type="TxLink">
            <a:rPr lang="en-US" sz="1100" b="1" i="0" u="none" strike="noStrike">
              <a:ln>
                <a:noFill/>
              </a:ln>
              <a:solidFill>
                <a:srgbClr val="000000"/>
              </a:solidFill>
              <a:latin typeface="Arial"/>
              <a:ea typeface="+mn-ea"/>
              <a:cs typeface="Arial"/>
            </a:rPr>
            <a:t>13</a:t>
          </a:fld>
          <a:endParaRPr lang="en-IN" sz="1000" b="1" i="0" u="none" strike="noStrike">
            <a:ln>
              <a:noFill/>
            </a:ln>
            <a:solidFill>
              <a:schemeClr val="tx1">
                <a:lumMod val="65000"/>
                <a:lumOff val="35000"/>
              </a:schemeClr>
            </a:solidFill>
            <a:latin typeface="Arial" panose="020B0604020202020204" pitchFamily="34" charset="0"/>
            <a:ea typeface="+mn-ea"/>
            <a:cs typeface="Arial" panose="020B0604020202020204" pitchFamily="34" charset="0"/>
          </a:endParaRPr>
        </a:p>
      </xdr:txBody>
    </xdr:sp>
    <xdr:clientData/>
  </xdr:twoCellAnchor>
  <xdr:twoCellAnchor>
    <xdr:from>
      <xdr:col>23</xdr:col>
      <xdr:colOff>406356</xdr:colOff>
      <xdr:row>36</xdr:row>
      <xdr:rowOff>45087</xdr:rowOff>
    </xdr:from>
    <xdr:to>
      <xdr:col>24</xdr:col>
      <xdr:colOff>384386</xdr:colOff>
      <xdr:row>37</xdr:row>
      <xdr:rowOff>133027</xdr:rowOff>
    </xdr:to>
    <xdr:sp macro="" textlink="Pivottables!BD8">
      <xdr:nvSpPr>
        <xdr:cNvPr id="77" name="TextBox 76">
          <a:extLst>
            <a:ext uri="{FF2B5EF4-FFF2-40B4-BE49-F238E27FC236}">
              <a16:creationId xmlns:a16="http://schemas.microsoft.com/office/drawing/2014/main" id="{0E6A79F7-B8FB-4B84-ADC4-A3B2F5AC3D3A}"/>
            </a:ext>
          </a:extLst>
        </xdr:cNvPr>
        <xdr:cNvSpPr txBox="1"/>
      </xdr:nvSpPr>
      <xdr:spPr>
        <a:xfrm>
          <a:off x="14427156" y="6750687"/>
          <a:ext cx="587630"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2665AD-A943-4A1B-975A-A7199087AE08}" type="TxLink">
            <a:rPr lang="en-US" sz="1100" b="1" i="0" u="none" strike="noStrike">
              <a:ln>
                <a:noFill/>
              </a:ln>
              <a:solidFill>
                <a:srgbClr val="000000"/>
              </a:solidFill>
              <a:latin typeface="Arial"/>
              <a:ea typeface="+mn-ea"/>
              <a:cs typeface="Arial"/>
            </a:rPr>
            <a:t>17</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23</xdr:col>
      <xdr:colOff>441130</xdr:colOff>
      <xdr:row>37</xdr:row>
      <xdr:rowOff>180898</xdr:rowOff>
    </xdr:from>
    <xdr:to>
      <xdr:col>24</xdr:col>
      <xdr:colOff>364068</xdr:colOff>
      <xdr:row>39</xdr:row>
      <xdr:rowOff>82572</xdr:rowOff>
    </xdr:to>
    <xdr:sp macro="" textlink="Pivottables!BE8">
      <xdr:nvSpPr>
        <xdr:cNvPr id="78" name="TextBox 77">
          <a:extLst>
            <a:ext uri="{FF2B5EF4-FFF2-40B4-BE49-F238E27FC236}">
              <a16:creationId xmlns:a16="http://schemas.microsoft.com/office/drawing/2014/main" id="{212DB01F-08F1-4282-8E84-8F48297CD157}"/>
            </a:ext>
          </a:extLst>
        </xdr:cNvPr>
        <xdr:cNvSpPr txBox="1"/>
      </xdr:nvSpPr>
      <xdr:spPr>
        <a:xfrm>
          <a:off x="14461930" y="7072765"/>
          <a:ext cx="532538"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DD54AB-E2B1-4DBB-B5E5-2EBAA27A0B2B}" type="TxLink">
            <a:rPr lang="en-US" sz="1100" b="1" i="0" u="none" strike="noStrike">
              <a:ln>
                <a:noFill/>
              </a:ln>
              <a:solidFill>
                <a:srgbClr val="000000"/>
              </a:solidFill>
              <a:latin typeface="Arial"/>
              <a:ea typeface="+mn-ea"/>
              <a:cs typeface="Arial"/>
            </a:rPr>
            <a:t>31</a:t>
          </a:fld>
          <a:endParaRPr lang="en-IN" sz="900" b="1" i="0" u="none" strike="noStrike">
            <a:ln>
              <a:noFill/>
            </a:ln>
            <a:solidFill>
              <a:schemeClr val="tx1">
                <a:lumMod val="65000"/>
                <a:lumOff val="35000"/>
              </a:schemeClr>
            </a:solidFill>
            <a:latin typeface="Aptos Narrow"/>
            <a:ea typeface="+mn-ea"/>
            <a:cs typeface="Arial" panose="020B0604020202020204" pitchFamily="34" charset="0"/>
          </a:endParaRPr>
        </a:p>
      </xdr:txBody>
    </xdr:sp>
    <xdr:clientData/>
  </xdr:twoCellAnchor>
  <xdr:twoCellAnchor>
    <xdr:from>
      <xdr:col>21</xdr:col>
      <xdr:colOff>184387</xdr:colOff>
      <xdr:row>34</xdr:row>
      <xdr:rowOff>114301</xdr:rowOff>
    </xdr:from>
    <xdr:to>
      <xdr:col>21</xdr:col>
      <xdr:colOff>579120</xdr:colOff>
      <xdr:row>36</xdr:row>
      <xdr:rowOff>19361</xdr:rowOff>
    </xdr:to>
    <xdr:sp macro="" textlink="#REF!">
      <xdr:nvSpPr>
        <xdr:cNvPr id="96" name="TextBox 95">
          <a:hlinkClick xmlns:r="http://schemas.openxmlformats.org/officeDocument/2006/relationships" r:id="rId7" tooltip="FREIGHT TON (FRT means Cargo weight in Metric Tonne)"/>
          <a:extLst>
            <a:ext uri="{FF2B5EF4-FFF2-40B4-BE49-F238E27FC236}">
              <a16:creationId xmlns:a16="http://schemas.microsoft.com/office/drawing/2014/main" id="{EA6F7F2E-2145-454A-8E59-AF8D35FBFBF9}"/>
            </a:ext>
          </a:extLst>
        </xdr:cNvPr>
        <xdr:cNvSpPr txBox="1"/>
      </xdr:nvSpPr>
      <xdr:spPr>
        <a:xfrm>
          <a:off x="12985987" y="633222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21</xdr:col>
      <xdr:colOff>222487</xdr:colOff>
      <xdr:row>36</xdr:row>
      <xdr:rowOff>83821</xdr:rowOff>
    </xdr:from>
    <xdr:to>
      <xdr:col>24</xdr:col>
      <xdr:colOff>7620</xdr:colOff>
      <xdr:row>37</xdr:row>
      <xdr:rowOff>171761</xdr:rowOff>
    </xdr:to>
    <xdr:sp macro="" textlink="#REF!">
      <xdr:nvSpPr>
        <xdr:cNvPr id="97" name="TextBox 96">
          <a:extLst>
            <a:ext uri="{FF2B5EF4-FFF2-40B4-BE49-F238E27FC236}">
              <a16:creationId xmlns:a16="http://schemas.microsoft.com/office/drawing/2014/main" id="{7673F3D9-883D-4DB6-8658-22F3D49C2673}"/>
            </a:ext>
          </a:extLst>
        </xdr:cNvPr>
        <xdr:cNvSpPr txBox="1"/>
      </xdr:nvSpPr>
      <xdr:spPr>
        <a:xfrm>
          <a:off x="13024087" y="666750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21</xdr:col>
      <xdr:colOff>207247</xdr:colOff>
      <xdr:row>38</xdr:row>
      <xdr:rowOff>53341</xdr:rowOff>
    </xdr:from>
    <xdr:to>
      <xdr:col>21</xdr:col>
      <xdr:colOff>601980</xdr:colOff>
      <xdr:row>39</xdr:row>
      <xdr:rowOff>141281</xdr:rowOff>
    </xdr:to>
    <xdr:sp macro="" textlink="#REF!">
      <xdr:nvSpPr>
        <xdr:cNvPr id="98" name="TextBox 97">
          <a:extLst>
            <a:ext uri="{FF2B5EF4-FFF2-40B4-BE49-F238E27FC236}">
              <a16:creationId xmlns:a16="http://schemas.microsoft.com/office/drawing/2014/main" id="{113BF696-B306-43D1-A655-EA3423B7B033}"/>
            </a:ext>
          </a:extLst>
        </xdr:cNvPr>
        <xdr:cNvSpPr txBox="1"/>
      </xdr:nvSpPr>
      <xdr:spPr>
        <a:xfrm>
          <a:off x="13008847" y="7002781"/>
          <a:ext cx="394733" cy="27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Frt.</a:t>
          </a:r>
        </a:p>
      </xdr:txBody>
    </xdr:sp>
    <xdr:clientData/>
  </xdr:twoCellAnchor>
  <xdr:twoCellAnchor>
    <xdr:from>
      <xdr:col>18</xdr:col>
      <xdr:colOff>472911</xdr:colOff>
      <xdr:row>41</xdr:row>
      <xdr:rowOff>61903</xdr:rowOff>
    </xdr:from>
    <xdr:to>
      <xdr:col>25</xdr:col>
      <xdr:colOff>244311</xdr:colOff>
      <xdr:row>41</xdr:row>
      <xdr:rowOff>77143</xdr:rowOff>
    </xdr:to>
    <xdr:cxnSp macro="">
      <xdr:nvCxnSpPr>
        <xdr:cNvPr id="99" name="Straight Connector 98">
          <a:extLst>
            <a:ext uri="{FF2B5EF4-FFF2-40B4-BE49-F238E27FC236}">
              <a16:creationId xmlns:a16="http://schemas.microsoft.com/office/drawing/2014/main" id="{C1D5E227-1897-4B22-8AF4-46FD4E1E628E}"/>
            </a:ext>
          </a:extLst>
        </xdr:cNvPr>
        <xdr:cNvCxnSpPr/>
      </xdr:nvCxnSpPr>
      <xdr:spPr>
        <a:xfrm flipV="1">
          <a:off x="11502272" y="7469800"/>
          <a:ext cx="2835111" cy="15240"/>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604335</xdr:colOff>
      <xdr:row>34</xdr:row>
      <xdr:rowOff>169334</xdr:rowOff>
    </xdr:from>
    <xdr:to>
      <xdr:col>24</xdr:col>
      <xdr:colOff>389468</xdr:colOff>
      <xdr:row>36</xdr:row>
      <xdr:rowOff>74394</xdr:rowOff>
    </xdr:to>
    <xdr:sp macro="" textlink="#REF!">
      <xdr:nvSpPr>
        <xdr:cNvPr id="101" name="TextBox 100">
          <a:extLst>
            <a:ext uri="{FF2B5EF4-FFF2-40B4-BE49-F238E27FC236}">
              <a16:creationId xmlns:a16="http://schemas.microsoft.com/office/drawing/2014/main" id="{C8608714-F2D6-48AA-88E5-DF0EC0B12E9E}"/>
            </a:ext>
          </a:extLst>
        </xdr:cNvPr>
        <xdr:cNvSpPr txBox="1"/>
      </xdr:nvSpPr>
      <xdr:spPr>
        <a:xfrm>
          <a:off x="14625135" y="6502401"/>
          <a:ext cx="394733" cy="27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24</xdr:col>
      <xdr:colOff>26908</xdr:colOff>
      <xdr:row>36</xdr:row>
      <xdr:rowOff>58421</xdr:rowOff>
    </xdr:from>
    <xdr:to>
      <xdr:col>24</xdr:col>
      <xdr:colOff>421641</xdr:colOff>
      <xdr:row>37</xdr:row>
      <xdr:rowOff>146361</xdr:rowOff>
    </xdr:to>
    <xdr:sp macro="" textlink="#REF!">
      <xdr:nvSpPr>
        <xdr:cNvPr id="102" name="TextBox 101">
          <a:extLst>
            <a:ext uri="{FF2B5EF4-FFF2-40B4-BE49-F238E27FC236}">
              <a16:creationId xmlns:a16="http://schemas.microsoft.com/office/drawing/2014/main" id="{934D66BA-97A1-443A-AF01-80231C7AF89B}"/>
            </a:ext>
          </a:extLst>
        </xdr:cNvPr>
        <xdr:cNvSpPr txBox="1"/>
      </xdr:nvSpPr>
      <xdr:spPr>
        <a:xfrm>
          <a:off x="14657308" y="6764021"/>
          <a:ext cx="394733"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24</xdr:col>
      <xdr:colOff>49767</xdr:colOff>
      <xdr:row>38</xdr:row>
      <xdr:rowOff>27941</xdr:rowOff>
    </xdr:from>
    <xdr:to>
      <xdr:col>24</xdr:col>
      <xdr:colOff>444500</xdr:colOff>
      <xdr:row>39</xdr:row>
      <xdr:rowOff>115881</xdr:rowOff>
    </xdr:to>
    <xdr:sp macro="" textlink="#REF!">
      <xdr:nvSpPr>
        <xdr:cNvPr id="103" name="TextBox 102">
          <a:extLst>
            <a:ext uri="{FF2B5EF4-FFF2-40B4-BE49-F238E27FC236}">
              <a16:creationId xmlns:a16="http://schemas.microsoft.com/office/drawing/2014/main" id="{2DE5F9ED-AAC7-4EEC-B0DA-A4F16C0C0BBB}"/>
            </a:ext>
          </a:extLst>
        </xdr:cNvPr>
        <xdr:cNvSpPr txBox="1"/>
      </xdr:nvSpPr>
      <xdr:spPr>
        <a:xfrm>
          <a:off x="14680167" y="7106074"/>
          <a:ext cx="394733"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Qty.</a:t>
          </a:r>
        </a:p>
      </xdr:txBody>
    </xdr:sp>
    <xdr:clientData/>
  </xdr:twoCellAnchor>
  <xdr:twoCellAnchor>
    <xdr:from>
      <xdr:col>19</xdr:col>
      <xdr:colOff>45720</xdr:colOff>
      <xdr:row>37</xdr:row>
      <xdr:rowOff>137160</xdr:rowOff>
    </xdr:from>
    <xdr:to>
      <xdr:col>24</xdr:col>
      <xdr:colOff>304800</xdr:colOff>
      <xdr:row>37</xdr:row>
      <xdr:rowOff>143933</xdr:rowOff>
    </xdr:to>
    <xdr:cxnSp macro="">
      <xdr:nvCxnSpPr>
        <xdr:cNvPr id="106" name="Straight Connector 105">
          <a:extLst>
            <a:ext uri="{FF2B5EF4-FFF2-40B4-BE49-F238E27FC236}">
              <a16:creationId xmlns:a16="http://schemas.microsoft.com/office/drawing/2014/main" id="{833EE65C-6617-4E3F-B6CA-9AA06D1D7E95}"/>
            </a:ext>
          </a:extLst>
        </xdr:cNvPr>
        <xdr:cNvCxnSpPr/>
      </xdr:nvCxnSpPr>
      <xdr:spPr>
        <a:xfrm>
          <a:off x="11628120" y="7029027"/>
          <a:ext cx="3307080" cy="6773"/>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60960</xdr:colOff>
      <xdr:row>35</xdr:row>
      <xdr:rowOff>167640</xdr:rowOff>
    </xdr:from>
    <xdr:to>
      <xdr:col>24</xdr:col>
      <xdr:colOff>296333</xdr:colOff>
      <xdr:row>36</xdr:row>
      <xdr:rowOff>8467</xdr:rowOff>
    </xdr:to>
    <xdr:cxnSp macro="">
      <xdr:nvCxnSpPr>
        <xdr:cNvPr id="108" name="Straight Connector 107">
          <a:extLst>
            <a:ext uri="{FF2B5EF4-FFF2-40B4-BE49-F238E27FC236}">
              <a16:creationId xmlns:a16="http://schemas.microsoft.com/office/drawing/2014/main" id="{5573522C-1425-48F5-9154-50AA956A4E6A}"/>
            </a:ext>
          </a:extLst>
        </xdr:cNvPr>
        <xdr:cNvCxnSpPr/>
      </xdr:nvCxnSpPr>
      <xdr:spPr>
        <a:xfrm>
          <a:off x="11643360" y="6686973"/>
          <a:ext cx="3283373" cy="27094"/>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573150</xdr:colOff>
      <xdr:row>32</xdr:row>
      <xdr:rowOff>175496</xdr:rowOff>
    </xdr:from>
    <xdr:to>
      <xdr:col>20</xdr:col>
      <xdr:colOff>184530</xdr:colOff>
      <xdr:row>34</xdr:row>
      <xdr:rowOff>76436</xdr:rowOff>
    </xdr:to>
    <xdr:sp macro="" textlink="Pivottables!BF7">
      <xdr:nvSpPr>
        <xdr:cNvPr id="109" name="TextBox 108">
          <a:extLst>
            <a:ext uri="{FF2B5EF4-FFF2-40B4-BE49-F238E27FC236}">
              <a16:creationId xmlns:a16="http://schemas.microsoft.com/office/drawing/2014/main" id="{F6D183B0-820B-E587-1D36-D9F2BED55624}"/>
            </a:ext>
          </a:extLst>
        </xdr:cNvPr>
        <xdr:cNvSpPr txBox="1"/>
      </xdr:nvSpPr>
      <xdr:spPr>
        <a:xfrm>
          <a:off x="11545950" y="6027656"/>
          <a:ext cx="830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A4F655-DFE0-40F9-B0D5-81E354915E2E}" type="TxLink">
            <a:rPr lang="en-US" sz="1200" b="1" i="0" u="none" strike="noStrike">
              <a:solidFill>
                <a:srgbClr val="3849AB"/>
              </a:solidFill>
              <a:latin typeface="Arial"/>
              <a:cs typeface="Arial"/>
            </a:rPr>
            <a:t>1,047.8</a:t>
          </a:fld>
          <a:endParaRPr lang="en-IN" sz="1100">
            <a:solidFill>
              <a:srgbClr val="3849AB"/>
            </a:solidFill>
          </a:endParaRPr>
        </a:p>
      </xdr:txBody>
    </xdr:sp>
    <xdr:clientData/>
  </xdr:twoCellAnchor>
  <xdr:twoCellAnchor>
    <xdr:from>
      <xdr:col>20</xdr:col>
      <xdr:colOff>339521</xdr:colOff>
      <xdr:row>33</xdr:row>
      <xdr:rowOff>15947</xdr:rowOff>
    </xdr:from>
    <xdr:to>
      <xdr:col>21</xdr:col>
      <xdr:colOff>118541</xdr:colOff>
      <xdr:row>34</xdr:row>
      <xdr:rowOff>99767</xdr:rowOff>
    </xdr:to>
    <xdr:sp macro="" textlink="Pivottables!BF8">
      <xdr:nvSpPr>
        <xdr:cNvPr id="111" name="TextBox 110">
          <a:extLst>
            <a:ext uri="{FF2B5EF4-FFF2-40B4-BE49-F238E27FC236}">
              <a16:creationId xmlns:a16="http://schemas.microsoft.com/office/drawing/2014/main" id="{14DDA9A1-4216-4B45-ADAD-C1F24FB87B15}"/>
            </a:ext>
          </a:extLst>
        </xdr:cNvPr>
        <xdr:cNvSpPr txBox="1"/>
      </xdr:nvSpPr>
      <xdr:spPr>
        <a:xfrm>
          <a:off x="12531521" y="6050987"/>
          <a:ext cx="3886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1F7C1D-75E2-48A7-921A-D99D826F59DD}" type="TxLink">
            <a:rPr lang="en-US" sz="1000" b="0" i="0" u="none" strike="noStrike">
              <a:solidFill>
                <a:srgbClr val="3849AB"/>
              </a:solidFill>
              <a:latin typeface="Arial"/>
              <a:cs typeface="Arial"/>
            </a:rPr>
            <a:t>61</a:t>
          </a:fld>
          <a:endParaRPr lang="en-IN" sz="900" b="0">
            <a:solidFill>
              <a:srgbClr val="3849AB"/>
            </a:solidFill>
          </a:endParaRPr>
        </a:p>
      </xdr:txBody>
    </xdr:sp>
    <xdr:clientData/>
  </xdr:twoCellAnchor>
  <xdr:twoCellAnchor>
    <xdr:from>
      <xdr:col>19</xdr:col>
      <xdr:colOff>484302</xdr:colOff>
      <xdr:row>33</xdr:row>
      <xdr:rowOff>7620</xdr:rowOff>
    </xdr:from>
    <xdr:to>
      <xdr:col>20</xdr:col>
      <xdr:colOff>545262</xdr:colOff>
      <xdr:row>34</xdr:row>
      <xdr:rowOff>22860</xdr:rowOff>
    </xdr:to>
    <xdr:sp macro="" textlink="">
      <xdr:nvSpPr>
        <xdr:cNvPr id="116" name="TextBox 115">
          <a:extLst>
            <a:ext uri="{FF2B5EF4-FFF2-40B4-BE49-F238E27FC236}">
              <a16:creationId xmlns:a16="http://schemas.microsoft.com/office/drawing/2014/main" id="{BA2A21B6-A4A8-75D7-480B-E0CBF962C36B}"/>
            </a:ext>
          </a:extLst>
        </xdr:cNvPr>
        <xdr:cNvSpPr txBox="1"/>
      </xdr:nvSpPr>
      <xdr:spPr>
        <a:xfrm>
          <a:off x="12066702" y="6042660"/>
          <a:ext cx="6705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849AB"/>
              </a:solidFill>
            </a:rPr>
            <a:t>Tonne  /</a:t>
          </a:r>
        </a:p>
      </xdr:txBody>
    </xdr:sp>
    <xdr:clientData/>
  </xdr:twoCellAnchor>
  <xdr:twoCellAnchor>
    <xdr:from>
      <xdr:col>20</xdr:col>
      <xdr:colOff>537170</xdr:colOff>
      <xdr:row>33</xdr:row>
      <xdr:rowOff>15711</xdr:rowOff>
    </xdr:from>
    <xdr:to>
      <xdr:col>21</xdr:col>
      <xdr:colOff>594988</xdr:colOff>
      <xdr:row>34</xdr:row>
      <xdr:rowOff>30951</xdr:rowOff>
    </xdr:to>
    <xdr:sp macro="" textlink="">
      <xdr:nvSpPr>
        <xdr:cNvPr id="117" name="TextBox 116">
          <a:extLst>
            <a:ext uri="{FF2B5EF4-FFF2-40B4-BE49-F238E27FC236}">
              <a16:creationId xmlns:a16="http://schemas.microsoft.com/office/drawing/2014/main" id="{E11A68A5-64AF-4D82-9F0B-22E74E5847A3}"/>
            </a:ext>
          </a:extLst>
        </xdr:cNvPr>
        <xdr:cNvSpPr txBox="1"/>
      </xdr:nvSpPr>
      <xdr:spPr>
        <a:xfrm>
          <a:off x="12729170" y="6050751"/>
          <a:ext cx="667418"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rgbClr val="3849AB"/>
              </a:solidFill>
            </a:rPr>
            <a:t>Qty.</a:t>
          </a:r>
        </a:p>
      </xdr:txBody>
    </xdr:sp>
    <xdr:clientData/>
  </xdr:twoCellAnchor>
  <xdr:twoCellAnchor>
    <xdr:from>
      <xdr:col>10</xdr:col>
      <xdr:colOff>510540</xdr:colOff>
      <xdr:row>25</xdr:row>
      <xdr:rowOff>137160</xdr:rowOff>
    </xdr:from>
    <xdr:to>
      <xdr:col>18</xdr:col>
      <xdr:colOff>327660</xdr:colOff>
      <xdr:row>40</xdr:row>
      <xdr:rowOff>137160</xdr:rowOff>
    </xdr:to>
    <xdr:graphicFrame macro="">
      <xdr:nvGraphicFramePr>
        <xdr:cNvPr id="118" name="Chart 117">
          <a:extLst>
            <a:ext uri="{FF2B5EF4-FFF2-40B4-BE49-F238E27FC236}">
              <a16:creationId xmlns:a16="http://schemas.microsoft.com/office/drawing/2014/main" id="{67DBC268-A527-4E03-B9AA-1DB8E5A7A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85470</xdr:colOff>
      <xdr:row>41</xdr:row>
      <xdr:rowOff>68816</xdr:rowOff>
    </xdr:from>
    <xdr:to>
      <xdr:col>10</xdr:col>
      <xdr:colOff>322082</xdr:colOff>
      <xdr:row>41</xdr:row>
      <xdr:rowOff>78557</xdr:rowOff>
    </xdr:to>
    <xdr:cxnSp macro="">
      <xdr:nvCxnSpPr>
        <xdr:cNvPr id="119" name="Straight Connector 118">
          <a:extLst>
            <a:ext uri="{FF2B5EF4-FFF2-40B4-BE49-F238E27FC236}">
              <a16:creationId xmlns:a16="http://schemas.microsoft.com/office/drawing/2014/main" id="{9BD8E97F-895D-462D-B102-5CBDA56C5C9F}"/>
            </a:ext>
          </a:extLst>
        </xdr:cNvPr>
        <xdr:cNvCxnSpPr/>
      </xdr:nvCxnSpPr>
      <xdr:spPr>
        <a:xfrm>
          <a:off x="3149181" y="7476713"/>
          <a:ext cx="3300324" cy="9741"/>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492550</xdr:colOff>
      <xdr:row>41</xdr:row>
      <xdr:rowOff>68580</xdr:rowOff>
    </xdr:from>
    <xdr:to>
      <xdr:col>18</xdr:col>
      <xdr:colOff>377072</xdr:colOff>
      <xdr:row>41</xdr:row>
      <xdr:rowOff>86412</xdr:rowOff>
    </xdr:to>
    <xdr:cxnSp macro="">
      <xdr:nvCxnSpPr>
        <xdr:cNvPr id="121" name="Straight Connector 120">
          <a:extLst>
            <a:ext uri="{FF2B5EF4-FFF2-40B4-BE49-F238E27FC236}">
              <a16:creationId xmlns:a16="http://schemas.microsoft.com/office/drawing/2014/main" id="{16B7C0C5-A9B0-4C0F-A4C5-AD9562A53814}"/>
            </a:ext>
          </a:extLst>
        </xdr:cNvPr>
        <xdr:cNvCxnSpPr/>
      </xdr:nvCxnSpPr>
      <xdr:spPr>
        <a:xfrm>
          <a:off x="6619973" y="7476477"/>
          <a:ext cx="4786460" cy="17832"/>
        </a:xfrm>
        <a:prstGeom prst="line">
          <a:avLst/>
        </a:prstGeom>
        <a:ln>
          <a:solidFill>
            <a:schemeClr val="tx1">
              <a:lumMod val="50000"/>
              <a:lumOff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106680</xdr:colOff>
      <xdr:row>17</xdr:row>
      <xdr:rowOff>150321</xdr:rowOff>
    </xdr:from>
    <xdr:to>
      <xdr:col>8</xdr:col>
      <xdr:colOff>114300</xdr:colOff>
      <xdr:row>19</xdr:row>
      <xdr:rowOff>15240</xdr:rowOff>
    </xdr:to>
    <xdr:sp macro="" textlink="">
      <xdr:nvSpPr>
        <xdr:cNvPr id="124" name="TextBox 123">
          <a:hlinkClick xmlns:r="http://schemas.openxmlformats.org/officeDocument/2006/relationships" r:id="rId7" tooltip="Executive Shipping Services"/>
          <a:extLst>
            <a:ext uri="{FF2B5EF4-FFF2-40B4-BE49-F238E27FC236}">
              <a16:creationId xmlns:a16="http://schemas.microsoft.com/office/drawing/2014/main" id="{246DA072-DD7F-4758-87AD-2FEA4C502A47}"/>
            </a:ext>
          </a:extLst>
        </xdr:cNvPr>
        <xdr:cNvSpPr txBox="1"/>
      </xdr:nvSpPr>
      <xdr:spPr>
        <a:xfrm>
          <a:off x="3154680" y="3259281"/>
          <a:ext cx="1836420" cy="2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65000"/>
                  <a:lumOff val="35000"/>
                </a:schemeClr>
              </a:solidFill>
              <a:latin typeface="Arial" panose="020B0604020202020204" pitchFamily="34" charset="0"/>
              <a:cs typeface="Arial" panose="020B0604020202020204" pitchFamily="34" charset="0"/>
            </a:rPr>
            <a:t>ESS</a:t>
          </a:r>
          <a:r>
            <a:rPr lang="en-IN" sz="1000" baseline="0">
              <a:ln>
                <a:noFill/>
              </a:ln>
              <a:solidFill>
                <a:schemeClr val="tx1">
                  <a:lumMod val="65000"/>
                  <a:lumOff val="35000"/>
                </a:schemeClr>
              </a:solidFill>
              <a:latin typeface="Arial" panose="020B0604020202020204" pitchFamily="34" charset="0"/>
              <a:cs typeface="Arial" panose="020B0604020202020204" pitchFamily="34" charset="0"/>
            </a:rPr>
            <a:t> Shipment Request</a:t>
          </a:r>
          <a:endParaRPr lang="en-IN" sz="1000">
            <a:ln>
              <a:noFill/>
            </a:ln>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6</xdr:col>
      <xdr:colOff>190500</xdr:colOff>
      <xdr:row>23</xdr:row>
      <xdr:rowOff>15241</xdr:rowOff>
    </xdr:from>
    <xdr:to>
      <xdr:col>10</xdr:col>
      <xdr:colOff>403860</xdr:colOff>
      <xdr:row>24</xdr:row>
      <xdr:rowOff>144781</xdr:rowOff>
    </xdr:to>
    <xdr:sp macro="" textlink="">
      <xdr:nvSpPr>
        <xdr:cNvPr id="126" name="Rectangle: Rounded Corners 125">
          <a:extLst>
            <a:ext uri="{FF2B5EF4-FFF2-40B4-BE49-F238E27FC236}">
              <a16:creationId xmlns:a16="http://schemas.microsoft.com/office/drawing/2014/main" id="{8E9EE4C1-C4AD-404A-87A4-303232A162FE}"/>
            </a:ext>
          </a:extLst>
        </xdr:cNvPr>
        <xdr:cNvSpPr/>
      </xdr:nvSpPr>
      <xdr:spPr>
        <a:xfrm>
          <a:off x="3848100" y="4221481"/>
          <a:ext cx="265176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tx1">
                  <a:lumMod val="75000"/>
                  <a:lumOff val="25000"/>
                </a:schemeClr>
              </a:solidFill>
            </a:rPr>
            <a:t>                 Shipment</a:t>
          </a:r>
          <a:r>
            <a:rPr lang="en-IN" sz="1200" baseline="0">
              <a:solidFill>
                <a:schemeClr val="tx1">
                  <a:lumMod val="75000"/>
                  <a:lumOff val="25000"/>
                </a:schemeClr>
              </a:solidFill>
            </a:rPr>
            <a:t> cost sub-items</a:t>
          </a:r>
          <a:endParaRPr lang="en-IN" sz="1200">
            <a:solidFill>
              <a:schemeClr val="tx1">
                <a:lumMod val="75000"/>
                <a:lumOff val="25000"/>
              </a:schemeClr>
            </a:solidFill>
          </a:endParaRPr>
        </a:p>
      </xdr:txBody>
    </xdr:sp>
    <xdr:clientData/>
  </xdr:twoCellAnchor>
  <xdr:twoCellAnchor>
    <xdr:from>
      <xdr:col>11</xdr:col>
      <xdr:colOff>106680</xdr:colOff>
      <xdr:row>23</xdr:row>
      <xdr:rowOff>7621</xdr:rowOff>
    </xdr:from>
    <xdr:to>
      <xdr:col>13</xdr:col>
      <xdr:colOff>342900</xdr:colOff>
      <xdr:row>24</xdr:row>
      <xdr:rowOff>137161</xdr:rowOff>
    </xdr:to>
    <xdr:sp macro="" textlink="">
      <xdr:nvSpPr>
        <xdr:cNvPr id="127" name="Rectangle: Rounded Corners 126">
          <a:extLst>
            <a:ext uri="{FF2B5EF4-FFF2-40B4-BE49-F238E27FC236}">
              <a16:creationId xmlns:a16="http://schemas.microsoft.com/office/drawing/2014/main" id="{B80964BE-FE1A-439E-BD98-ABEFCDD320A2}"/>
            </a:ext>
          </a:extLst>
        </xdr:cNvPr>
        <xdr:cNvSpPr/>
      </xdr:nvSpPr>
      <xdr:spPr>
        <a:xfrm>
          <a:off x="6812280" y="4213861"/>
          <a:ext cx="145542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ERE</a:t>
          </a:r>
          <a:r>
            <a:rPr lang="en-IN" sz="1200" baseline="0">
              <a:solidFill>
                <a:schemeClr val="tx1">
                  <a:lumMod val="75000"/>
                  <a:lumOff val="25000"/>
                </a:schemeClr>
              </a:solidFill>
            </a:rPr>
            <a:t> Stage</a:t>
          </a:r>
          <a:endParaRPr lang="en-IN" sz="1400">
            <a:solidFill>
              <a:schemeClr val="tx1">
                <a:lumMod val="75000"/>
                <a:lumOff val="25000"/>
              </a:schemeClr>
            </a:solidFill>
          </a:endParaRPr>
        </a:p>
      </xdr:txBody>
    </xdr:sp>
    <xdr:clientData/>
  </xdr:twoCellAnchor>
  <xdr:twoCellAnchor>
    <xdr:from>
      <xdr:col>14</xdr:col>
      <xdr:colOff>76200</xdr:colOff>
      <xdr:row>23</xdr:row>
      <xdr:rowOff>7621</xdr:rowOff>
    </xdr:from>
    <xdr:to>
      <xdr:col>16</xdr:col>
      <xdr:colOff>518160</xdr:colOff>
      <xdr:row>24</xdr:row>
      <xdr:rowOff>137161</xdr:rowOff>
    </xdr:to>
    <xdr:sp macro="" textlink="">
      <xdr:nvSpPr>
        <xdr:cNvPr id="129" name="Rectangle: Rounded Corners 128">
          <a:extLst>
            <a:ext uri="{FF2B5EF4-FFF2-40B4-BE49-F238E27FC236}">
              <a16:creationId xmlns:a16="http://schemas.microsoft.com/office/drawing/2014/main" id="{E0A07F31-B371-4B2B-98F9-57481790E08F}"/>
            </a:ext>
          </a:extLst>
        </xdr:cNvPr>
        <xdr:cNvSpPr/>
      </xdr:nvSpPr>
      <xdr:spPr>
        <a:xfrm>
          <a:off x="8610600" y="4213861"/>
          <a:ext cx="1661160" cy="312420"/>
        </a:xfrm>
        <a:prstGeom prst="roundRect">
          <a:avLst/>
        </a:prstGeom>
        <a:solidFill>
          <a:schemeClr val="tx1">
            <a:lumMod val="65000"/>
            <a:lumOff val="35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Basic</a:t>
          </a:r>
          <a:r>
            <a:rPr lang="en-IN" sz="1200" baseline="0">
              <a:solidFill>
                <a:schemeClr val="tx1">
                  <a:lumMod val="75000"/>
                  <a:lumOff val="25000"/>
                </a:schemeClr>
              </a:solidFill>
            </a:rPr>
            <a:t> freight</a:t>
          </a:r>
          <a:endParaRPr lang="en-IN" sz="1400">
            <a:solidFill>
              <a:schemeClr val="tx1">
                <a:lumMod val="75000"/>
                <a:lumOff val="25000"/>
              </a:schemeClr>
            </a:solidFill>
          </a:endParaRPr>
        </a:p>
      </xdr:txBody>
    </xdr:sp>
    <xdr:clientData/>
  </xdr:twoCellAnchor>
  <xdr:twoCellAnchor>
    <xdr:from>
      <xdr:col>15</xdr:col>
      <xdr:colOff>434340</xdr:colOff>
      <xdr:row>19</xdr:row>
      <xdr:rowOff>160020</xdr:rowOff>
    </xdr:from>
    <xdr:to>
      <xdr:col>18</xdr:col>
      <xdr:colOff>242979</xdr:colOff>
      <xdr:row>21</xdr:row>
      <xdr:rowOff>132011</xdr:rowOff>
    </xdr:to>
    <xdr:sp macro="" textlink="">
      <xdr:nvSpPr>
        <xdr:cNvPr id="133" name="Rectangle: Rounded Corners 132">
          <a:extLst>
            <a:ext uri="{FF2B5EF4-FFF2-40B4-BE49-F238E27FC236}">
              <a16:creationId xmlns:a16="http://schemas.microsoft.com/office/drawing/2014/main" id="{67B47FCD-CEE3-4E4E-822C-ED1EB074315E}"/>
            </a:ext>
          </a:extLst>
        </xdr:cNvPr>
        <xdr:cNvSpPr/>
      </xdr:nvSpPr>
      <xdr:spPr>
        <a:xfrm>
          <a:off x="9578340" y="3634740"/>
          <a:ext cx="1637439" cy="337751"/>
        </a:xfrm>
        <a:prstGeom prst="roundRect">
          <a:avLst/>
        </a:prstGeom>
        <a:solidFill>
          <a:schemeClr val="tx1">
            <a:lumMod val="65000"/>
            <a:lumOff val="35000"/>
            <a:alpha val="1764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Final</a:t>
          </a:r>
          <a:r>
            <a:rPr lang="en-IN" sz="1200" baseline="0">
              <a:solidFill>
                <a:schemeClr val="tx1">
                  <a:lumMod val="75000"/>
                  <a:lumOff val="25000"/>
                </a:schemeClr>
              </a:solidFill>
            </a:rPr>
            <a:t> Amount</a:t>
          </a:r>
          <a:endParaRPr lang="en-IN" sz="1400">
            <a:solidFill>
              <a:schemeClr val="tx1">
                <a:lumMod val="75000"/>
                <a:lumOff val="25000"/>
              </a:schemeClr>
            </a:solidFill>
          </a:endParaRPr>
        </a:p>
      </xdr:txBody>
    </xdr:sp>
    <xdr:clientData/>
  </xdr:twoCellAnchor>
  <xdr:twoCellAnchor>
    <xdr:from>
      <xdr:col>5</xdr:col>
      <xdr:colOff>190500</xdr:colOff>
      <xdr:row>19</xdr:row>
      <xdr:rowOff>144781</xdr:rowOff>
    </xdr:from>
    <xdr:to>
      <xdr:col>8</xdr:col>
      <xdr:colOff>413700</xdr:colOff>
      <xdr:row>21</xdr:row>
      <xdr:rowOff>103021</xdr:rowOff>
    </xdr:to>
    <xdr:sp macro="" textlink="">
      <xdr:nvSpPr>
        <xdr:cNvPr id="134" name="Rectangle: Rounded Corners 133">
          <a:extLst>
            <a:ext uri="{FF2B5EF4-FFF2-40B4-BE49-F238E27FC236}">
              <a16:creationId xmlns:a16="http://schemas.microsoft.com/office/drawing/2014/main" id="{F04C9EFF-ACD5-4D1E-999F-F391643765DF}"/>
            </a:ext>
          </a:extLst>
        </xdr:cNvPr>
        <xdr:cNvSpPr/>
      </xdr:nvSpPr>
      <xdr:spPr>
        <a:xfrm>
          <a:off x="3238500" y="3619501"/>
          <a:ext cx="2052000" cy="324000"/>
        </a:xfrm>
        <a:prstGeom prst="roundRect">
          <a:avLst/>
        </a:prstGeom>
        <a:solidFill>
          <a:schemeClr val="bg2">
            <a:lumMod val="50000"/>
            <a:alpha val="12941"/>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lumMod val="75000"/>
                  <a:lumOff val="25000"/>
                </a:schemeClr>
              </a:solidFill>
            </a:rPr>
            <a:t>                   </a:t>
          </a:r>
          <a:r>
            <a:rPr lang="en-IN" sz="1200">
              <a:solidFill>
                <a:schemeClr val="tx1">
                  <a:lumMod val="75000"/>
                  <a:lumOff val="25000"/>
                </a:schemeClr>
              </a:solidFill>
            </a:rPr>
            <a:t>First</a:t>
          </a:r>
          <a:r>
            <a:rPr lang="en-IN" sz="1200" baseline="0">
              <a:solidFill>
                <a:schemeClr val="tx1">
                  <a:lumMod val="75000"/>
                  <a:lumOff val="25000"/>
                </a:schemeClr>
              </a:solidFill>
            </a:rPr>
            <a:t> condition type</a:t>
          </a:r>
          <a:endParaRPr lang="en-IN" sz="1400">
            <a:solidFill>
              <a:schemeClr val="tx1">
                <a:lumMod val="75000"/>
                <a:lumOff val="25000"/>
              </a:schemeClr>
            </a:solidFill>
          </a:endParaRPr>
        </a:p>
      </xdr:txBody>
    </xdr:sp>
    <xdr:clientData/>
  </xdr:twoCellAnchor>
  <xdr:twoCellAnchor>
    <xdr:from>
      <xdr:col>5</xdr:col>
      <xdr:colOff>312420</xdr:colOff>
      <xdr:row>20</xdr:row>
      <xdr:rowOff>15313</xdr:rowOff>
    </xdr:from>
    <xdr:to>
      <xdr:col>6</xdr:col>
      <xdr:colOff>579120</xdr:colOff>
      <xdr:row>21</xdr:row>
      <xdr:rowOff>45720</xdr:rowOff>
    </xdr:to>
    <xdr:sp macro="" textlink="Pivottables!BX27">
      <xdr:nvSpPr>
        <xdr:cNvPr id="135" name="TextBox 134">
          <a:extLst>
            <a:ext uri="{FF2B5EF4-FFF2-40B4-BE49-F238E27FC236}">
              <a16:creationId xmlns:a16="http://schemas.microsoft.com/office/drawing/2014/main" id="{90712605-4E06-47FD-9D86-D99E32453568}"/>
            </a:ext>
          </a:extLst>
        </xdr:cNvPr>
        <xdr:cNvSpPr txBox="1"/>
      </xdr:nvSpPr>
      <xdr:spPr>
        <a:xfrm>
          <a:off x="3360420" y="367291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D75C0A-676A-41E0-8E10-116723CF604D}" type="TxLink">
            <a:rPr lang="en-US" sz="1050" b="1" i="0" u="none" strike="noStrike">
              <a:ln>
                <a:noFill/>
              </a:ln>
              <a:solidFill>
                <a:srgbClr val="000000"/>
              </a:solidFill>
              <a:latin typeface="Aptos Narrow"/>
              <a:ea typeface="+mn-ea"/>
              <a:cs typeface="Arial" panose="020B0604020202020204" pitchFamily="34" charset="0"/>
            </a:rPr>
            <a:t>$46,671</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327660</xdr:colOff>
      <xdr:row>23</xdr:row>
      <xdr:rowOff>45793</xdr:rowOff>
    </xdr:from>
    <xdr:to>
      <xdr:col>7</xdr:col>
      <xdr:colOff>594360</xdr:colOff>
      <xdr:row>24</xdr:row>
      <xdr:rowOff>76200</xdr:rowOff>
    </xdr:to>
    <xdr:sp macro="" textlink="Pivottables!BY27">
      <xdr:nvSpPr>
        <xdr:cNvPr id="136" name="TextBox 135">
          <a:extLst>
            <a:ext uri="{FF2B5EF4-FFF2-40B4-BE49-F238E27FC236}">
              <a16:creationId xmlns:a16="http://schemas.microsoft.com/office/drawing/2014/main" id="{F16FE7B0-4374-4FA9-A3FA-A0EEF79A206D}"/>
            </a:ext>
          </a:extLst>
        </xdr:cNvPr>
        <xdr:cNvSpPr txBox="1"/>
      </xdr:nvSpPr>
      <xdr:spPr>
        <a:xfrm>
          <a:off x="3985260" y="425203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627CDD-2CC6-4701-8FD4-FDCB7A7AF422}" type="TxLink">
            <a:rPr lang="en-US" sz="1100" b="1" i="0" u="none" strike="noStrike">
              <a:ln>
                <a:noFill/>
              </a:ln>
              <a:solidFill>
                <a:srgbClr val="000000"/>
              </a:solidFill>
              <a:latin typeface="Aptos Narrow"/>
              <a:ea typeface="+mn-ea"/>
              <a:cs typeface="Arial" panose="020B0604020202020204" pitchFamily="34" charset="0"/>
            </a:rPr>
            <a:t>$71,811</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182880</xdr:colOff>
      <xdr:row>23</xdr:row>
      <xdr:rowOff>53413</xdr:rowOff>
    </xdr:from>
    <xdr:to>
      <xdr:col>12</xdr:col>
      <xdr:colOff>449580</xdr:colOff>
      <xdr:row>24</xdr:row>
      <xdr:rowOff>83820</xdr:rowOff>
    </xdr:to>
    <xdr:sp macro="" textlink="Pivottables!BZ27">
      <xdr:nvSpPr>
        <xdr:cNvPr id="137" name="TextBox 136">
          <a:extLst>
            <a:ext uri="{FF2B5EF4-FFF2-40B4-BE49-F238E27FC236}">
              <a16:creationId xmlns:a16="http://schemas.microsoft.com/office/drawing/2014/main" id="{C2ADA572-FDC2-4B05-8030-8AF4F4BE8516}"/>
            </a:ext>
          </a:extLst>
        </xdr:cNvPr>
        <xdr:cNvSpPr txBox="1"/>
      </xdr:nvSpPr>
      <xdr:spPr>
        <a:xfrm>
          <a:off x="6888480" y="425965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76250D-4000-4BD6-9371-B13648A2C336}" type="TxLink">
            <a:rPr lang="en-US" sz="1100" b="1" i="0" u="none" strike="noStrike">
              <a:ln>
                <a:noFill/>
              </a:ln>
              <a:solidFill>
                <a:srgbClr val="000000"/>
              </a:solidFill>
              <a:latin typeface="Aptos Narrow"/>
              <a:ea typeface="+mn-ea"/>
              <a:cs typeface="Arial" panose="020B0604020202020204" pitchFamily="34" charset="0"/>
            </a:rPr>
            <a:t>$61,039</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76200</xdr:colOff>
      <xdr:row>23</xdr:row>
      <xdr:rowOff>61033</xdr:rowOff>
    </xdr:from>
    <xdr:to>
      <xdr:col>15</xdr:col>
      <xdr:colOff>342900</xdr:colOff>
      <xdr:row>24</xdr:row>
      <xdr:rowOff>91440</xdr:rowOff>
    </xdr:to>
    <xdr:sp macro="" textlink="Pivottables!CA27">
      <xdr:nvSpPr>
        <xdr:cNvPr id="141" name="TextBox 140">
          <a:extLst>
            <a:ext uri="{FF2B5EF4-FFF2-40B4-BE49-F238E27FC236}">
              <a16:creationId xmlns:a16="http://schemas.microsoft.com/office/drawing/2014/main" id="{9BE28545-D893-4987-B0A0-AC0071B0D41D}"/>
            </a:ext>
          </a:extLst>
        </xdr:cNvPr>
        <xdr:cNvSpPr txBox="1"/>
      </xdr:nvSpPr>
      <xdr:spPr>
        <a:xfrm>
          <a:off x="8610600" y="426727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411A44-45AD-498E-945B-B3B36A9C894A}" type="TxLink">
            <a:rPr lang="en-US" sz="1100" b="1" i="0" u="none" strike="noStrike">
              <a:ln>
                <a:noFill/>
              </a:ln>
              <a:solidFill>
                <a:srgbClr val="000000"/>
              </a:solidFill>
              <a:latin typeface="Aptos Narrow"/>
              <a:ea typeface="+mn-ea"/>
              <a:cs typeface="Arial" panose="020B0604020202020204" pitchFamily="34" charset="0"/>
            </a:rPr>
            <a:t>$89,770</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15</xdr:col>
      <xdr:colOff>434340</xdr:colOff>
      <xdr:row>20</xdr:row>
      <xdr:rowOff>30553</xdr:rowOff>
    </xdr:from>
    <xdr:to>
      <xdr:col>17</xdr:col>
      <xdr:colOff>91440</xdr:colOff>
      <xdr:row>21</xdr:row>
      <xdr:rowOff>60960</xdr:rowOff>
    </xdr:to>
    <xdr:sp macro="" textlink="Pivottables!CB27">
      <xdr:nvSpPr>
        <xdr:cNvPr id="163" name="TextBox 162">
          <a:extLst>
            <a:ext uri="{FF2B5EF4-FFF2-40B4-BE49-F238E27FC236}">
              <a16:creationId xmlns:a16="http://schemas.microsoft.com/office/drawing/2014/main" id="{8387B3C4-0F7E-4A85-B87A-B9B366012FDF}"/>
            </a:ext>
          </a:extLst>
        </xdr:cNvPr>
        <xdr:cNvSpPr txBox="1"/>
      </xdr:nvSpPr>
      <xdr:spPr>
        <a:xfrm>
          <a:off x="9578340" y="3688153"/>
          <a:ext cx="876300" cy="213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CE1FFF-6460-4F9E-B54A-6B793E681184}" type="TxLink">
            <a:rPr lang="en-US" sz="1100" b="1" i="0" u="none" strike="noStrike">
              <a:ln>
                <a:noFill/>
              </a:ln>
              <a:solidFill>
                <a:srgbClr val="000000"/>
              </a:solidFill>
              <a:latin typeface="Aptos Narrow"/>
              <a:ea typeface="+mn-ea"/>
              <a:cs typeface="Arial" panose="020B0604020202020204" pitchFamily="34" charset="0"/>
            </a:rPr>
            <a:t>$1,07,713</a:t>
          </a:fld>
          <a:endParaRPr lang="en-IN" sz="500" b="1"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220980</xdr:colOff>
      <xdr:row>19</xdr:row>
      <xdr:rowOff>173181</xdr:rowOff>
    </xdr:from>
    <xdr:to>
      <xdr:col>13</xdr:col>
      <xdr:colOff>487680</xdr:colOff>
      <xdr:row>21</xdr:row>
      <xdr:rowOff>99060</xdr:rowOff>
    </xdr:to>
    <xdr:sp macro="" textlink="">
      <xdr:nvSpPr>
        <xdr:cNvPr id="166" name="TextBox 165">
          <a:extLst>
            <a:ext uri="{FF2B5EF4-FFF2-40B4-BE49-F238E27FC236}">
              <a16:creationId xmlns:a16="http://schemas.microsoft.com/office/drawing/2014/main" id="{2689E020-E451-41E4-8BB5-3A5F475B408C}"/>
            </a:ext>
          </a:extLst>
        </xdr:cNvPr>
        <xdr:cNvSpPr txBox="1"/>
      </xdr:nvSpPr>
      <xdr:spPr>
        <a:xfrm>
          <a:off x="6926580" y="3647901"/>
          <a:ext cx="1485900" cy="291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n>
                <a:noFill/>
              </a:ln>
              <a:solidFill>
                <a:schemeClr val="tx1"/>
              </a:solidFill>
              <a:latin typeface="Arial" panose="020B0604020202020204" pitchFamily="34" charset="0"/>
              <a:cs typeface="Arial" panose="020B0604020202020204" pitchFamily="34" charset="0"/>
            </a:rPr>
            <a:t>Pricing</a:t>
          </a:r>
          <a:r>
            <a:rPr lang="en-IN" sz="1000" b="1" baseline="0">
              <a:ln>
                <a:noFill/>
              </a:ln>
              <a:solidFill>
                <a:schemeClr val="tx1"/>
              </a:solidFill>
              <a:latin typeface="Arial" panose="020B0604020202020204" pitchFamily="34" charset="0"/>
              <a:cs typeface="Arial" panose="020B0604020202020204" pitchFamily="34" charset="0"/>
            </a:rPr>
            <a:t> Procedure</a:t>
          </a:r>
          <a:endParaRPr lang="en-IN" sz="1000" b="1">
            <a:ln>
              <a:noFill/>
            </a:ln>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144780</xdr:colOff>
      <xdr:row>19</xdr:row>
      <xdr:rowOff>144780</xdr:rowOff>
    </xdr:from>
    <xdr:to>
      <xdr:col>11</xdr:col>
      <xdr:colOff>304800</xdr:colOff>
      <xdr:row>20</xdr:row>
      <xdr:rowOff>129540</xdr:rowOff>
    </xdr:to>
    <xdr:grpSp>
      <xdr:nvGrpSpPr>
        <xdr:cNvPr id="173" name="Group 172">
          <a:extLst>
            <a:ext uri="{FF2B5EF4-FFF2-40B4-BE49-F238E27FC236}">
              <a16:creationId xmlns:a16="http://schemas.microsoft.com/office/drawing/2014/main" id="{8B615A9D-E000-6B88-A56B-9C6D5407E4D1}"/>
            </a:ext>
          </a:extLst>
        </xdr:cNvPr>
        <xdr:cNvGrpSpPr/>
      </xdr:nvGrpSpPr>
      <xdr:grpSpPr>
        <a:xfrm>
          <a:off x="6850380" y="3683847"/>
          <a:ext cx="160020" cy="171026"/>
          <a:chOff x="6995160" y="3299460"/>
          <a:chExt cx="449580" cy="449580"/>
        </a:xfrm>
      </xdr:grpSpPr>
      <xdr:cxnSp macro="">
        <xdr:nvCxnSpPr>
          <xdr:cNvPr id="169" name="Straight Connector 168">
            <a:extLst>
              <a:ext uri="{FF2B5EF4-FFF2-40B4-BE49-F238E27FC236}">
                <a16:creationId xmlns:a16="http://schemas.microsoft.com/office/drawing/2014/main" id="{D2DA3CEC-8CA2-4DC9-3D5E-B07C8985C96D}"/>
              </a:ext>
            </a:extLst>
          </xdr:cNvPr>
          <xdr:cNvCxnSpPr/>
        </xdr:nvCxnSpPr>
        <xdr:spPr>
          <a:xfrm rot="5400000" flipV="1">
            <a:off x="6789420" y="3520440"/>
            <a:ext cx="449580" cy="7620"/>
          </a:xfrm>
          <a:prstGeom prst="line">
            <a:avLst/>
          </a:prstGeom>
          <a:ln>
            <a:solidFill>
              <a:schemeClr val="bg2">
                <a:lumMod val="75000"/>
              </a:schemeClr>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xnSp macro="">
        <xdr:nvCxnSpPr>
          <xdr:cNvPr id="172" name="Straight Connector 171">
            <a:extLst>
              <a:ext uri="{FF2B5EF4-FFF2-40B4-BE49-F238E27FC236}">
                <a16:creationId xmlns:a16="http://schemas.microsoft.com/office/drawing/2014/main" id="{39BBA752-8AB0-4E5E-9A16-AB52C56FFACE}"/>
              </a:ext>
            </a:extLst>
          </xdr:cNvPr>
          <xdr:cNvCxnSpPr/>
        </xdr:nvCxnSpPr>
        <xdr:spPr>
          <a:xfrm rot="10800000" flipV="1">
            <a:off x="6995160" y="3307080"/>
            <a:ext cx="449580" cy="7620"/>
          </a:xfrm>
          <a:prstGeom prst="line">
            <a:avLst/>
          </a:prstGeom>
          <a:ln>
            <a:solidFill>
              <a:schemeClr val="bg2">
                <a:lumMod val="75000"/>
              </a:schemeClr>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13</xdr:col>
      <xdr:colOff>144780</xdr:colOff>
      <xdr:row>20</xdr:row>
      <xdr:rowOff>114300</xdr:rowOff>
    </xdr:from>
    <xdr:to>
      <xdr:col>13</xdr:col>
      <xdr:colOff>304800</xdr:colOff>
      <xdr:row>21</xdr:row>
      <xdr:rowOff>99060</xdr:rowOff>
    </xdr:to>
    <xdr:grpSp>
      <xdr:nvGrpSpPr>
        <xdr:cNvPr id="175" name="Group 174">
          <a:extLst>
            <a:ext uri="{FF2B5EF4-FFF2-40B4-BE49-F238E27FC236}">
              <a16:creationId xmlns:a16="http://schemas.microsoft.com/office/drawing/2014/main" id="{B1D93DD8-1187-434A-AD7C-CB24631EA276}"/>
            </a:ext>
          </a:extLst>
        </xdr:cNvPr>
        <xdr:cNvGrpSpPr/>
      </xdr:nvGrpSpPr>
      <xdr:grpSpPr>
        <a:xfrm rot="10800000">
          <a:off x="8069580" y="3839633"/>
          <a:ext cx="160020" cy="171027"/>
          <a:chOff x="6995160" y="3299460"/>
          <a:chExt cx="449580" cy="449580"/>
        </a:xfrm>
      </xdr:grpSpPr>
      <xdr:cxnSp macro="">
        <xdr:nvCxnSpPr>
          <xdr:cNvPr id="176" name="Straight Connector 175">
            <a:extLst>
              <a:ext uri="{FF2B5EF4-FFF2-40B4-BE49-F238E27FC236}">
                <a16:creationId xmlns:a16="http://schemas.microsoft.com/office/drawing/2014/main" id="{BAB7D6E1-B24F-EC29-784D-A6D54B97A9C7}"/>
              </a:ext>
            </a:extLst>
          </xdr:cNvPr>
          <xdr:cNvCxnSpPr/>
        </xdr:nvCxnSpPr>
        <xdr:spPr>
          <a:xfrm rot="5400000" flipV="1">
            <a:off x="6789420" y="3520440"/>
            <a:ext cx="449580" cy="762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xnSp macro="">
        <xdr:nvCxnSpPr>
          <xdr:cNvPr id="177" name="Straight Connector 176">
            <a:extLst>
              <a:ext uri="{FF2B5EF4-FFF2-40B4-BE49-F238E27FC236}">
                <a16:creationId xmlns:a16="http://schemas.microsoft.com/office/drawing/2014/main" id="{6B15AEDD-64CE-05FE-E42D-0E1D2A5BA520}"/>
              </a:ext>
            </a:extLst>
          </xdr:cNvPr>
          <xdr:cNvCxnSpPr/>
        </xdr:nvCxnSpPr>
        <xdr:spPr>
          <a:xfrm rot="10800000" flipV="1">
            <a:off x="6995160" y="3307080"/>
            <a:ext cx="449580" cy="762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525780</xdr:colOff>
      <xdr:row>18</xdr:row>
      <xdr:rowOff>152400</xdr:rowOff>
    </xdr:from>
    <xdr:to>
      <xdr:col>5</xdr:col>
      <xdr:colOff>533400</xdr:colOff>
      <xdr:row>19</xdr:row>
      <xdr:rowOff>149520</xdr:rowOff>
    </xdr:to>
    <xdr:cxnSp macro="">
      <xdr:nvCxnSpPr>
        <xdr:cNvPr id="179" name="Straight Connector 178">
          <a:extLst>
            <a:ext uri="{FF2B5EF4-FFF2-40B4-BE49-F238E27FC236}">
              <a16:creationId xmlns:a16="http://schemas.microsoft.com/office/drawing/2014/main" id="{C6965AAC-5AB8-D2C9-67FF-2C8D0748D92B}"/>
            </a:ext>
          </a:extLst>
        </xdr:cNvPr>
        <xdr:cNvCxnSpPr/>
      </xdr:nvCxnSpPr>
      <xdr:spPr>
        <a:xfrm flipH="1">
          <a:off x="3573780" y="3444240"/>
          <a:ext cx="7620" cy="180000"/>
        </a:xfrm>
        <a:prstGeom prst="line">
          <a:avLst/>
        </a:prstGeom>
        <a:ln>
          <a:solidFill>
            <a:srgbClr val="3849AB"/>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533403</xdr:colOff>
      <xdr:row>21</xdr:row>
      <xdr:rowOff>99063</xdr:rowOff>
    </xdr:from>
    <xdr:to>
      <xdr:col>6</xdr:col>
      <xdr:colOff>182881</xdr:colOff>
      <xdr:row>24</xdr:row>
      <xdr:rowOff>3811</xdr:rowOff>
    </xdr:to>
    <xdr:cxnSp macro="">
      <xdr:nvCxnSpPr>
        <xdr:cNvPr id="189" name="Connector: Curved 188">
          <a:extLst>
            <a:ext uri="{FF2B5EF4-FFF2-40B4-BE49-F238E27FC236}">
              <a16:creationId xmlns:a16="http://schemas.microsoft.com/office/drawing/2014/main" id="{3C138E57-5F87-3E26-0DD0-9DACC28ABC7E}"/>
            </a:ext>
          </a:extLst>
        </xdr:cNvPr>
        <xdr:cNvCxnSpPr/>
      </xdr:nvCxnSpPr>
      <xdr:spPr>
        <a:xfrm rot="16200000" flipH="1">
          <a:off x="3484248" y="4036698"/>
          <a:ext cx="453388" cy="259078"/>
        </a:xfrm>
        <a:prstGeom prst="curvedConnector3">
          <a:avLst>
            <a:gd name="adj1" fmla="val 97059"/>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403860</xdr:colOff>
      <xdr:row>23</xdr:row>
      <xdr:rowOff>163831</xdr:rowOff>
    </xdr:from>
    <xdr:to>
      <xdr:col>11</xdr:col>
      <xdr:colOff>106680</xdr:colOff>
      <xdr:row>23</xdr:row>
      <xdr:rowOff>171451</xdr:rowOff>
    </xdr:to>
    <xdr:cxnSp macro="">
      <xdr:nvCxnSpPr>
        <xdr:cNvPr id="199" name="Straight Arrow Connector 198">
          <a:extLst>
            <a:ext uri="{FF2B5EF4-FFF2-40B4-BE49-F238E27FC236}">
              <a16:creationId xmlns:a16="http://schemas.microsoft.com/office/drawing/2014/main" id="{F76388EB-B509-D1A8-04FC-7BB31CD2E97C}"/>
            </a:ext>
          </a:extLst>
        </xdr:cNvPr>
        <xdr:cNvCxnSpPr>
          <a:stCxn id="126" idx="3"/>
          <a:endCxn id="127" idx="1"/>
        </xdr:cNvCxnSpPr>
      </xdr:nvCxnSpPr>
      <xdr:spPr>
        <a:xfrm flipV="1">
          <a:off x="6499860" y="4370071"/>
          <a:ext cx="312420" cy="7620"/>
        </a:xfrm>
        <a:prstGeom prst="straightConnector1">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342900</xdr:colOff>
      <xdr:row>23</xdr:row>
      <xdr:rowOff>163831</xdr:rowOff>
    </xdr:from>
    <xdr:to>
      <xdr:col>14</xdr:col>
      <xdr:colOff>76200</xdr:colOff>
      <xdr:row>23</xdr:row>
      <xdr:rowOff>163831</xdr:rowOff>
    </xdr:to>
    <xdr:cxnSp macro="">
      <xdr:nvCxnSpPr>
        <xdr:cNvPr id="201" name="Straight Arrow Connector 200">
          <a:extLst>
            <a:ext uri="{FF2B5EF4-FFF2-40B4-BE49-F238E27FC236}">
              <a16:creationId xmlns:a16="http://schemas.microsoft.com/office/drawing/2014/main" id="{F9205C1E-CD87-4DC9-8DC9-35FF37A90053}"/>
            </a:ext>
          </a:extLst>
        </xdr:cNvPr>
        <xdr:cNvCxnSpPr>
          <a:stCxn id="127" idx="3"/>
          <a:endCxn id="129" idx="1"/>
        </xdr:cNvCxnSpPr>
      </xdr:nvCxnSpPr>
      <xdr:spPr>
        <a:xfrm>
          <a:off x="8267700" y="4370071"/>
          <a:ext cx="342900" cy="0"/>
        </a:xfrm>
        <a:prstGeom prst="straightConnector1">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520068</xdr:colOff>
      <xdr:row>21</xdr:row>
      <xdr:rowOff>114300</xdr:rowOff>
    </xdr:from>
    <xdr:to>
      <xdr:col>17</xdr:col>
      <xdr:colOff>388620</xdr:colOff>
      <xdr:row>23</xdr:row>
      <xdr:rowOff>150496</xdr:rowOff>
    </xdr:to>
    <xdr:cxnSp macro="">
      <xdr:nvCxnSpPr>
        <xdr:cNvPr id="212" name="Connector: Curved 211">
          <a:extLst>
            <a:ext uri="{FF2B5EF4-FFF2-40B4-BE49-F238E27FC236}">
              <a16:creationId xmlns:a16="http://schemas.microsoft.com/office/drawing/2014/main" id="{87491ED3-C34B-4B13-88C5-4E50186F1F06}"/>
            </a:ext>
          </a:extLst>
        </xdr:cNvPr>
        <xdr:cNvCxnSpPr/>
      </xdr:nvCxnSpPr>
      <xdr:spPr>
        <a:xfrm flipV="1">
          <a:off x="10273668" y="3954780"/>
          <a:ext cx="478152" cy="401956"/>
        </a:xfrm>
        <a:prstGeom prst="curvedConnector3">
          <a:avLst>
            <a:gd name="adj1" fmla="val 104184"/>
          </a:avLst>
        </a:prstGeom>
        <a:ln>
          <a:solidFill>
            <a:srgbClr val="3849AB"/>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423420</xdr:colOff>
      <xdr:row>28</xdr:row>
      <xdr:rowOff>148315</xdr:rowOff>
    </xdr:from>
    <xdr:to>
      <xdr:col>9</xdr:col>
      <xdr:colOff>532379</xdr:colOff>
      <xdr:row>40</xdr:row>
      <xdr:rowOff>33623</xdr:rowOff>
    </xdr:to>
    <mc:AlternateContent xmlns:mc="http://schemas.openxmlformats.org/markup-compatibility/2006">
      <mc:Choice xmlns:cx4="http://schemas.microsoft.com/office/drawing/2016/5/10/chartex" Requires="cx4">
        <xdr:graphicFrame macro="">
          <xdr:nvGraphicFramePr>
            <xdr:cNvPr id="216" name="Chart 215">
              <a:extLst>
                <a:ext uri="{FF2B5EF4-FFF2-40B4-BE49-F238E27FC236}">
                  <a16:creationId xmlns:a16="http://schemas.microsoft.com/office/drawing/2014/main" id="{22DB503D-B495-45DA-A528-8DD6B46948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471420" y="5268955"/>
              <a:ext cx="2547359" cy="20798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118464</xdr:colOff>
      <xdr:row>26</xdr:row>
      <xdr:rowOff>54120</xdr:rowOff>
    </xdr:from>
    <xdr:to>
      <xdr:col>7</xdr:col>
      <xdr:colOff>209903</xdr:colOff>
      <xdr:row>27</xdr:row>
      <xdr:rowOff>168767</xdr:rowOff>
    </xdr:to>
    <xdr:sp macro="" textlink="#REF!">
      <xdr:nvSpPr>
        <xdr:cNvPr id="217" name="TextBox 216">
          <a:extLst>
            <a:ext uri="{FF2B5EF4-FFF2-40B4-BE49-F238E27FC236}">
              <a16:creationId xmlns:a16="http://schemas.microsoft.com/office/drawing/2014/main" id="{22DBC074-0851-40A7-80FC-FA7CD94D1055}"/>
            </a:ext>
          </a:extLst>
        </xdr:cNvPr>
        <xdr:cNvSpPr txBox="1"/>
      </xdr:nvSpPr>
      <xdr:spPr>
        <a:xfrm>
          <a:off x="3182175" y="4751811"/>
          <a:ext cx="1316924" cy="295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ln>
                <a:noFill/>
              </a:ln>
              <a:solidFill>
                <a:schemeClr val="tx1">
                  <a:lumMod val="75000"/>
                  <a:lumOff val="25000"/>
                </a:schemeClr>
              </a:solidFill>
              <a:latin typeface="Arial" panose="020B0604020202020204" pitchFamily="34" charset="0"/>
              <a:ea typeface="+mn-ea"/>
              <a:cs typeface="Arial" panose="020B0604020202020204" pitchFamily="34" charset="0"/>
            </a:rPr>
            <a:t>Destination</a:t>
          </a:r>
        </a:p>
      </xdr:txBody>
    </xdr:sp>
    <xdr:clientData/>
  </xdr:twoCellAnchor>
  <xdr:twoCellAnchor>
    <xdr:from>
      <xdr:col>5</xdr:col>
      <xdr:colOff>214461</xdr:colOff>
      <xdr:row>27</xdr:row>
      <xdr:rowOff>96704</xdr:rowOff>
    </xdr:from>
    <xdr:to>
      <xdr:col>6</xdr:col>
      <xdr:colOff>438582</xdr:colOff>
      <xdr:row>28</xdr:row>
      <xdr:rowOff>180523</xdr:rowOff>
    </xdr:to>
    <xdr:sp macro="" textlink="Pivottables!CJ10">
      <xdr:nvSpPr>
        <xdr:cNvPr id="218" name="TextBox 217">
          <a:extLst>
            <a:ext uri="{FF2B5EF4-FFF2-40B4-BE49-F238E27FC236}">
              <a16:creationId xmlns:a16="http://schemas.microsoft.com/office/drawing/2014/main" id="{AC9C3C9C-8D1D-47B9-897C-8111C34407B6}"/>
            </a:ext>
          </a:extLst>
        </xdr:cNvPr>
        <xdr:cNvSpPr txBox="1"/>
      </xdr:nvSpPr>
      <xdr:spPr>
        <a:xfrm>
          <a:off x="3278172" y="4975075"/>
          <a:ext cx="836864" cy="26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9FE71-B544-40BA-B3E0-9CAB9C821262}" type="TxLink">
            <a:rPr lang="en-US" sz="1100" b="1" i="0" u="none" strike="noStrike">
              <a:solidFill>
                <a:srgbClr val="3849AB"/>
              </a:solidFill>
              <a:latin typeface="Aptos Narrow"/>
            </a:rPr>
            <a:t>61</a:t>
          </a:fld>
          <a:endParaRPr lang="en-IN" sz="1100">
            <a:solidFill>
              <a:srgbClr val="3849AB"/>
            </a:solidFill>
          </a:endParaRPr>
        </a:p>
      </xdr:txBody>
    </xdr:sp>
    <xdr:clientData/>
  </xdr:twoCellAnchor>
  <xdr:twoCellAnchor>
    <xdr:from>
      <xdr:col>20</xdr:col>
      <xdr:colOff>361361</xdr:colOff>
      <xdr:row>42</xdr:row>
      <xdr:rowOff>23567</xdr:rowOff>
    </xdr:from>
    <xdr:to>
      <xdr:col>27</xdr:col>
      <xdr:colOff>424206</xdr:colOff>
      <xdr:row>50</xdr:row>
      <xdr:rowOff>102123</xdr:rowOff>
    </xdr:to>
    <xdr:sp macro="" textlink="">
      <xdr:nvSpPr>
        <xdr:cNvPr id="222" name="Rectangle 221">
          <a:extLst>
            <a:ext uri="{FF2B5EF4-FFF2-40B4-BE49-F238E27FC236}">
              <a16:creationId xmlns:a16="http://schemas.microsoft.com/office/drawing/2014/main" id="{A1BAC345-BF49-8E4D-001E-EBEB15F095C4}"/>
            </a:ext>
          </a:extLst>
        </xdr:cNvPr>
        <xdr:cNvSpPr/>
      </xdr:nvSpPr>
      <xdr:spPr>
        <a:xfrm>
          <a:off x="12616206" y="7612144"/>
          <a:ext cx="3126557" cy="1524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24</xdr:col>
      <xdr:colOff>335280</xdr:colOff>
      <xdr:row>0</xdr:row>
      <xdr:rowOff>0</xdr:rowOff>
    </xdr:from>
    <xdr:to>
      <xdr:col>25</xdr:col>
      <xdr:colOff>579120</xdr:colOff>
      <xdr:row>4</xdr:row>
      <xdr:rowOff>84864</xdr:rowOff>
    </xdr:to>
    <xdr:pic>
      <xdr:nvPicPr>
        <xdr:cNvPr id="233" name="Picture 232">
          <a:extLst>
            <a:ext uri="{FF2B5EF4-FFF2-40B4-BE49-F238E27FC236}">
              <a16:creationId xmlns:a16="http://schemas.microsoft.com/office/drawing/2014/main" id="{4D21EB2E-EDEA-B802-E63C-061C6966C8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746480" y="0"/>
          <a:ext cx="853440" cy="816384"/>
        </a:xfrm>
        <a:prstGeom prst="rect">
          <a:avLst/>
        </a:prstGeom>
        <a:ln>
          <a:noFill/>
        </a:ln>
      </xdr:spPr>
    </xdr:pic>
    <xdr:clientData/>
  </xdr:twoCellAnchor>
  <xdr:twoCellAnchor>
    <xdr:from>
      <xdr:col>5</xdr:col>
      <xdr:colOff>384615</xdr:colOff>
      <xdr:row>27</xdr:row>
      <xdr:rowOff>95996</xdr:rowOff>
    </xdr:from>
    <xdr:to>
      <xdr:col>7</xdr:col>
      <xdr:colOff>117836</xdr:colOff>
      <xdr:row>28</xdr:row>
      <xdr:rowOff>125690</xdr:rowOff>
    </xdr:to>
    <xdr:sp macro="" textlink="">
      <xdr:nvSpPr>
        <xdr:cNvPr id="225" name="TextBox 224">
          <a:extLst>
            <a:ext uri="{FF2B5EF4-FFF2-40B4-BE49-F238E27FC236}">
              <a16:creationId xmlns:a16="http://schemas.microsoft.com/office/drawing/2014/main" id="{E7841493-9AE2-47B7-8BA2-C9C9EBEDF368}"/>
            </a:ext>
          </a:extLst>
        </xdr:cNvPr>
        <xdr:cNvSpPr txBox="1"/>
      </xdr:nvSpPr>
      <xdr:spPr>
        <a:xfrm>
          <a:off x="3448326" y="4974367"/>
          <a:ext cx="958706" cy="21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849AB"/>
              </a:solidFill>
            </a:rPr>
            <a:t>Destination</a:t>
          </a:r>
        </a:p>
      </xdr:txBody>
    </xdr:sp>
    <xdr:clientData/>
  </xdr:twoCellAnchor>
  <xdr:twoCellAnchor editAs="oneCell">
    <xdr:from>
      <xdr:col>0</xdr:col>
      <xdr:colOff>137160</xdr:colOff>
      <xdr:row>0</xdr:row>
      <xdr:rowOff>0</xdr:rowOff>
    </xdr:from>
    <xdr:to>
      <xdr:col>1</xdr:col>
      <xdr:colOff>476250</xdr:colOff>
      <xdr:row>4</xdr:row>
      <xdr:rowOff>42190</xdr:rowOff>
    </xdr:to>
    <xdr:pic>
      <xdr:nvPicPr>
        <xdr:cNvPr id="236" name="Picture 235">
          <a:extLst>
            <a:ext uri="{FF2B5EF4-FFF2-40B4-BE49-F238E27FC236}">
              <a16:creationId xmlns:a16="http://schemas.microsoft.com/office/drawing/2014/main" id="{AE298619-6C4A-EF70-E506-457C11C9912B}"/>
            </a:ext>
          </a:extLst>
        </xdr:cNvPr>
        <xdr:cNvPicPr>
          <a:picLocks noChangeAspect="1"/>
        </xdr:cNvPicPr>
      </xdr:nvPicPr>
      <xdr:blipFill>
        <a:blip xmlns:r="http://schemas.openxmlformats.org/officeDocument/2006/relationships" r:embed="rId11" cstate="print">
          <a:biLevel thresh="75000"/>
          <a:extLst>
            <a:ext uri="{28A0092B-C50C-407E-A947-70E740481C1C}">
              <a14:useLocalDpi xmlns:a14="http://schemas.microsoft.com/office/drawing/2010/main" val="0"/>
            </a:ext>
          </a:extLst>
        </a:blip>
        <a:stretch>
          <a:fillRect/>
        </a:stretch>
      </xdr:blipFill>
      <xdr:spPr>
        <a:xfrm>
          <a:off x="137160" y="0"/>
          <a:ext cx="948690" cy="773710"/>
        </a:xfrm>
        <a:prstGeom prst="rect">
          <a:avLst/>
        </a:prstGeom>
      </xdr:spPr>
    </xdr:pic>
    <xdr:clientData/>
  </xdr:twoCellAnchor>
  <xdr:twoCellAnchor editAs="oneCell">
    <xdr:from>
      <xdr:col>7</xdr:col>
      <xdr:colOff>274320</xdr:colOff>
      <xdr:row>0</xdr:row>
      <xdr:rowOff>142426</xdr:rowOff>
    </xdr:from>
    <xdr:to>
      <xdr:col>8</xdr:col>
      <xdr:colOff>405765</xdr:colOff>
      <xdr:row>3</xdr:row>
      <xdr:rowOff>101579</xdr:rowOff>
    </xdr:to>
    <xdr:pic>
      <xdr:nvPicPr>
        <xdr:cNvPr id="238" name="Picture 237">
          <a:extLst>
            <a:ext uri="{FF2B5EF4-FFF2-40B4-BE49-F238E27FC236}">
              <a16:creationId xmlns:a16="http://schemas.microsoft.com/office/drawing/2014/main" id="{6C5AA7C0-7D91-9485-723B-4C9E419C68C4}"/>
            </a:ext>
          </a:extLst>
        </xdr:cNvPr>
        <xdr:cNvPicPr>
          <a:picLocks noChangeAspect="1"/>
        </xdr:cNvPicPr>
      </xdr:nvPicPr>
      <xdr:blipFill rotWithShape="1">
        <a:blip xmlns:r="http://schemas.openxmlformats.org/officeDocument/2006/relationships" r:embed="rId12" cstate="print">
          <a:duotone>
            <a:prstClr val="black"/>
            <a:schemeClr val="accent4">
              <a:tint val="45000"/>
              <a:satMod val="400000"/>
            </a:schemeClr>
          </a:duotone>
          <a:extLst>
            <a:ext uri="{28A0092B-C50C-407E-A947-70E740481C1C}">
              <a14:useLocalDpi xmlns:a14="http://schemas.microsoft.com/office/drawing/2010/main" val="0"/>
            </a:ext>
          </a:extLst>
        </a:blip>
        <a:srcRect b="36493"/>
        <a:stretch/>
      </xdr:blipFill>
      <xdr:spPr>
        <a:xfrm>
          <a:off x="4541520" y="142426"/>
          <a:ext cx="741045" cy="507793"/>
        </a:xfrm>
        <a:prstGeom prst="rect">
          <a:avLst/>
        </a:prstGeom>
      </xdr:spPr>
    </xdr:pic>
    <xdr:clientData/>
  </xdr:twoCellAnchor>
  <xdr:twoCellAnchor editAs="oneCell">
    <xdr:from>
      <xdr:col>14</xdr:col>
      <xdr:colOff>472440</xdr:colOff>
      <xdr:row>0</xdr:row>
      <xdr:rowOff>127186</xdr:rowOff>
    </xdr:from>
    <xdr:to>
      <xdr:col>15</xdr:col>
      <xdr:colOff>603885</xdr:colOff>
      <xdr:row>3</xdr:row>
      <xdr:rowOff>86339</xdr:rowOff>
    </xdr:to>
    <xdr:pic>
      <xdr:nvPicPr>
        <xdr:cNvPr id="239" name="Picture 238">
          <a:extLst>
            <a:ext uri="{FF2B5EF4-FFF2-40B4-BE49-F238E27FC236}">
              <a16:creationId xmlns:a16="http://schemas.microsoft.com/office/drawing/2014/main" id="{CA298AEE-EC76-4310-8467-4A4A150EE765}"/>
            </a:ext>
          </a:extLst>
        </xdr:cNvPr>
        <xdr:cNvPicPr>
          <a:picLocks noChangeAspect="1"/>
        </xdr:cNvPicPr>
      </xdr:nvPicPr>
      <xdr:blipFill rotWithShape="1">
        <a:blip xmlns:r="http://schemas.openxmlformats.org/officeDocument/2006/relationships" r:embed="rId12" cstate="print">
          <a:duotone>
            <a:prstClr val="black"/>
            <a:schemeClr val="accent4">
              <a:tint val="45000"/>
              <a:satMod val="400000"/>
            </a:schemeClr>
          </a:duotone>
          <a:extLst>
            <a:ext uri="{28A0092B-C50C-407E-A947-70E740481C1C}">
              <a14:useLocalDpi xmlns:a14="http://schemas.microsoft.com/office/drawing/2010/main" val="0"/>
            </a:ext>
          </a:extLst>
        </a:blip>
        <a:srcRect b="36493"/>
        <a:stretch/>
      </xdr:blipFill>
      <xdr:spPr>
        <a:xfrm>
          <a:off x="9006840" y="127186"/>
          <a:ext cx="741045" cy="507793"/>
        </a:xfrm>
        <a:prstGeom prst="rect">
          <a:avLst/>
        </a:prstGeom>
      </xdr:spPr>
    </xdr:pic>
    <xdr:clientData/>
  </xdr:twoCellAnchor>
  <xdr:twoCellAnchor editAs="oneCell">
    <xdr:from>
      <xdr:col>19</xdr:col>
      <xdr:colOff>397934</xdr:colOff>
      <xdr:row>3</xdr:row>
      <xdr:rowOff>162865</xdr:rowOff>
    </xdr:from>
    <xdr:to>
      <xdr:col>24</xdr:col>
      <xdr:colOff>324274</xdr:colOff>
      <xdr:row>8</xdr:row>
      <xdr:rowOff>87018</xdr:rowOff>
    </xdr:to>
    <xdr:pic>
      <xdr:nvPicPr>
        <xdr:cNvPr id="241" name="Picture 240">
          <a:extLst>
            <a:ext uri="{FF2B5EF4-FFF2-40B4-BE49-F238E27FC236}">
              <a16:creationId xmlns:a16="http://schemas.microsoft.com/office/drawing/2014/main" id="{C9C18F91-2582-C3F1-2E77-C17207D310E1}"/>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2707"/>
        <a:stretch/>
      </xdr:blipFill>
      <xdr:spPr>
        <a:xfrm>
          <a:off x="11980334" y="721665"/>
          <a:ext cx="2974340" cy="855486"/>
        </a:xfrm>
        <a:prstGeom prst="rect">
          <a:avLst/>
        </a:prstGeom>
      </xdr:spPr>
    </xdr:pic>
    <xdr:clientData/>
  </xdr:twoCellAnchor>
  <xdr:twoCellAnchor>
    <xdr:from>
      <xdr:col>24</xdr:col>
      <xdr:colOff>550334</xdr:colOff>
      <xdr:row>1</xdr:row>
      <xdr:rowOff>59267</xdr:rowOff>
    </xdr:from>
    <xdr:to>
      <xdr:col>25</xdr:col>
      <xdr:colOff>342053</xdr:colOff>
      <xdr:row>3</xdr:row>
      <xdr:rowOff>109221</xdr:rowOff>
    </xdr:to>
    <xdr:grpSp>
      <xdr:nvGrpSpPr>
        <xdr:cNvPr id="253" name="Group 252">
          <a:hlinkClick xmlns:r="http://schemas.openxmlformats.org/officeDocument/2006/relationships" r:id="rId14" tooltip="Datatable"/>
          <a:extLst>
            <a:ext uri="{FF2B5EF4-FFF2-40B4-BE49-F238E27FC236}">
              <a16:creationId xmlns:a16="http://schemas.microsoft.com/office/drawing/2014/main" id="{795A06E9-D2D7-4EA5-992C-F7EF7825D74E}"/>
            </a:ext>
          </a:extLst>
        </xdr:cNvPr>
        <xdr:cNvGrpSpPr/>
      </xdr:nvGrpSpPr>
      <xdr:grpSpPr>
        <a:xfrm>
          <a:off x="15180734" y="245534"/>
          <a:ext cx="401319" cy="422487"/>
          <a:chOff x="21014267" y="1390980"/>
          <a:chExt cx="553720" cy="563974"/>
        </a:xfrm>
      </xdr:grpSpPr>
      <xdr:sp macro="" textlink="">
        <xdr:nvSpPr>
          <xdr:cNvPr id="246" name="Rectangle: Rounded Corners 245">
            <a:extLst>
              <a:ext uri="{FF2B5EF4-FFF2-40B4-BE49-F238E27FC236}">
                <a16:creationId xmlns:a16="http://schemas.microsoft.com/office/drawing/2014/main" id="{04619293-16A9-4D45-214B-ABEEB8D16E03}"/>
              </a:ext>
            </a:extLst>
          </xdr:cNvPr>
          <xdr:cNvSpPr/>
        </xdr:nvSpPr>
        <xdr:spPr>
          <a:xfrm>
            <a:off x="21049310" y="1481395"/>
            <a:ext cx="505241" cy="4574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48" name="Graphic 247" descr="Single gear outline">
            <a:extLst>
              <a:ext uri="{FF2B5EF4-FFF2-40B4-BE49-F238E27FC236}">
                <a16:creationId xmlns:a16="http://schemas.microsoft.com/office/drawing/2014/main" id="{C4063376-7A67-1D3F-F32F-97FFC60C05C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1014267" y="1390980"/>
            <a:ext cx="553720" cy="563974"/>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HAR" refreshedDate="45460.605329513892" createdVersion="8" refreshedVersion="8" minRefreshableVersion="3" recordCount="61" xr:uid="{F33BE60B-D89F-4D9C-9886-7A68222D8265}">
  <cacheSource type="worksheet">
    <worksheetSource ref="A4:AV65" sheet="Datatable"/>
  </cacheSource>
  <cacheFields count="49">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29"/>
    </cacheField>
    <cacheField name="Load" numFmtId="0">
      <sharedItems count="3">
        <s v="Wood"/>
        <s v="Sand"/>
        <s v="Iron"/>
      </sharedItems>
    </cacheField>
    <cacheField name="Tonnage" numFmtId="0">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Alberta"/>
        <s v="Yukon"/>
        <s v="Nova Scotia"/>
        <s v="Nunavut." u="1"/>
      </sharedItems>
    </cacheField>
    <cacheField name="Rate1" numFmtId="0">
      <sharedItems/>
    </cacheField>
    <cacheField name="Rate" numFmtId="164">
      <sharedItems containsSemiMixedTypes="0" containsString="0" containsNumber="1" containsInteger="1" minValue="3456" maxValue="8765"/>
    </cacheField>
    <cacheField name="Truck" numFmtId="0">
      <sharedItems/>
    </cacheField>
    <cacheField name="Insurance1" numFmtId="0">
      <sharedItems/>
    </cacheField>
    <cacheField name="Insurance" numFmtId="0">
      <sharedItems containsMixedTypes="1" containsNumber="1" containsInteger="1" minValue="132" maxValue="132"/>
    </cacheField>
    <cacheField name="Fuel1" numFmtId="0">
      <sharedItems/>
    </cacheField>
    <cacheField name="Fuel" numFmtId="164">
      <sharedItems containsSemiMixedTypes="0" containsString="0" containsNumber="1" containsInteger="1" minValue="245" maxValue="453"/>
    </cacheField>
    <cacheField name="Diesel Exhaust Fluid1" numFmtId="0">
      <sharedItems/>
    </cacheField>
    <cacheField name="Diesel Exhaust Fluid" numFmtId="164">
      <sharedItems containsSemiMixedTypes="0" containsString="0" containsNumber="1" containsInteger="1" minValue="50" maxValue="74"/>
    </cacheField>
    <cacheField name="Advance1" numFmtId="0">
      <sharedItems/>
    </cacheField>
    <cacheField name="Advance" numFmtId="164">
      <sharedItems containsSemiMixedTypes="0" containsString="0" containsNumber="1" containsInteger="1" minValue="250" maxValue="250"/>
    </cacheField>
    <cacheField name="Warehouse1" numFmtId="0">
      <sharedItems/>
    </cacheField>
    <cacheField name="Warehouse" numFmtId="164">
      <sharedItems containsSemiMixedTypes="0" containsString="0" containsNumber="1" containsInteger="1" minValue="120" maxValue="134"/>
    </cacheField>
    <cacheField name="Repairs1" numFmtId="0">
      <sharedItems containsBlank="1"/>
    </cacheField>
    <cacheField name="Repairs" numFmtId="164">
      <sharedItems containsSemiMixedTypes="0" containsString="0" containsNumber="1" containsInteger="1" minValue="0" maxValue="65"/>
    </cacheField>
    <cacheField name="Tolls1" numFmtId="0">
      <sharedItems/>
    </cacheField>
    <cacheField name="Tolls" numFmtId="164">
      <sharedItems containsSemiMixedTypes="0" containsString="0" containsNumber="1" containsInteger="1" minValue="51" maxValue="134"/>
    </cacheField>
    <cacheField name="Fundings1" numFmtId="0">
      <sharedItems/>
    </cacheField>
    <cacheField name="Fundings" numFmtId="164">
      <sharedItems containsSemiMixedTypes="0" containsString="0" containsNumber="1" containsInteger="1" minValue="6" maxValue="66"/>
    </cacheField>
    <cacheField name="Driver Name" numFmtId="0">
      <sharedItems count="4">
        <s v="Alessandro Smith"/>
        <s v="Beauregard Mike"/>
        <s v="Jean Bartholomew"/>
        <s v="Jaison Augustine"/>
      </sharedItems>
    </cacheField>
    <cacheField name="Odometer" numFmtId="0">
      <sharedItems containsSemiMixedTypes="0" containsString="0" containsNumber="1" containsInteger="1" minValue="295" maxValue="333"/>
    </cacheField>
    <cacheField name="Miles" numFmtId="0">
      <sharedItems containsSemiMixedTypes="0" containsString="0" containsNumber="1" containsInteger="1" minValue="234" maxValue="399"/>
    </cacheField>
    <cacheField name="Rate Per Miles1" numFmtId="0">
      <sharedItems/>
    </cacheField>
    <cacheField name="Rate Per Miles" numFmtId="164">
      <sharedItems containsSemiMixedTypes="0" containsString="0" containsNumber="1" containsInteger="1" minValue="164" maxValue="279"/>
    </cacheField>
    <cacheField name="Extra Stops1" numFmtId="0">
      <sharedItems/>
    </cacheField>
    <cacheField name="Extra Stops" numFmtId="164">
      <sharedItems containsSemiMixedTypes="0" containsString="0" containsNumber="1" containsInteger="1" minValue="100" maxValue="100"/>
    </cacheField>
    <cacheField name="Extra Pay1" numFmtId="0">
      <sharedItems/>
    </cacheField>
    <cacheField name="Extra Pay" numFmtId="164">
      <sharedItems containsSemiMixedTypes="0" containsString="0" containsNumber="1" containsInteger="1" minValue="22" maxValue="29"/>
    </cacheField>
    <cacheField name="Costs Driver Paid1" numFmtId="0">
      <sharedItems/>
    </cacheField>
    <cacheField name="Costs Driver Paid" numFmtId="164">
      <sharedItems containsSemiMixedTypes="0" containsString="0" containsNumber="1" containsInteger="1" minValue="54" maxValue="61"/>
    </cacheField>
    <cacheField name="Total Expenses1" numFmtId="0">
      <sharedItems containsMixedTypes="1" containsNumber="1" containsInteger="1" minValue="54" maxValue="54"/>
    </cacheField>
    <cacheField name="Total Expenses" numFmtId="164">
      <sharedItems containsSemiMixedTypes="0" containsString="0" containsNumber="1" containsInteger="1" minValue="54" maxValue="1623"/>
    </cacheField>
    <cacheField name="First condition type1" numFmtId="0">
      <sharedItems/>
    </cacheField>
    <cacheField name="First condition type" numFmtId="164">
      <sharedItems containsSemiMixedTypes="0" containsString="0" containsNumber="1" containsInteger="1" minValue="449" maxValue="1139"/>
    </cacheField>
    <cacheField name="Shipment cost          sub-items1" numFmtId="0">
      <sharedItems/>
    </cacheField>
    <cacheField name="Shipment cost          sub-items" numFmtId="164">
      <sharedItems containsSemiMixedTypes="0" containsString="0" containsNumber="1" containsInteger="1" minValue="691" maxValue="1753"/>
    </cacheField>
    <cacheField name="ERE Stage1" numFmtId="0">
      <sharedItems/>
    </cacheField>
    <cacheField name="ERE Stage" numFmtId="164">
      <sharedItems containsSemiMixedTypes="0" containsString="0" containsNumber="1" containsInteger="1" minValue="588" maxValue="1490"/>
    </cacheField>
    <cacheField name="Basic freight1" numFmtId="0">
      <sharedItems/>
    </cacheField>
    <cacheField name="Basic freight" numFmtId="164">
      <sharedItems containsSemiMixedTypes="0" containsString="0" containsNumber="1" containsInteger="1" minValue="864" maxValue="2191"/>
    </cacheField>
    <cacheField name="Final Amount1" numFmtId="0">
      <sharedItems/>
    </cacheField>
    <cacheField name="Final Amount" numFmtId="164">
      <sharedItems containsSemiMixedTypes="0" containsString="0" containsNumber="1" containsInteger="1" minValue="1037" maxValue="2630"/>
    </cacheField>
    <cacheField name="Balance" numFmtId="0" formula="Rate-'Total Expenses'" databaseField="0"/>
  </cacheFields>
  <extLst>
    <ext xmlns:x14="http://schemas.microsoft.com/office/spreadsheetml/2009/9/main" uri="{725AE2AE-9491-48be-B2B4-4EB974FC3084}">
      <x14:pivotCacheDefinition pivotCacheId="221399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s v="$5,556"/>
    <n v="5556"/>
    <s v="Freightliner Sprinter"/>
    <s v="$132"/>
    <n v="132"/>
    <s v="$400"/>
    <n v="400"/>
    <s v="$50"/>
    <n v="50"/>
    <s v="$250"/>
    <n v="250"/>
    <s v="$120"/>
    <n v="120"/>
    <s v="$65"/>
    <n v="65"/>
    <s v="$134"/>
    <n v="134"/>
    <s v="$6"/>
    <n v="6"/>
    <x v="0"/>
    <n v="295"/>
    <n v="343"/>
    <s v="$240"/>
    <n v="240"/>
    <s v="$100"/>
    <n v="100"/>
    <s v="$22"/>
    <n v="22"/>
    <s v="$54"/>
    <n v="54"/>
    <n v="54"/>
    <n v="54"/>
    <s v="$722"/>
    <n v="722"/>
    <s v="$1,111"/>
    <n v="1111"/>
    <s v="$945"/>
    <n v="945"/>
    <s v="$1,389"/>
    <n v="1389"/>
    <s v="$1,667"/>
    <n v="1667"/>
  </r>
  <r>
    <x v="0"/>
    <n v="3"/>
    <x v="0"/>
    <n v="21.3"/>
    <x v="0"/>
    <x v="1"/>
    <s v="$5,556"/>
    <n v="5556"/>
    <s v="Freightliner Sprinter"/>
    <s v="$132"/>
    <n v="132"/>
    <s v="$400"/>
    <n v="400"/>
    <s v="$50"/>
    <n v="50"/>
    <s v="$250"/>
    <n v="250"/>
    <s v="$120"/>
    <n v="120"/>
    <s v="$65"/>
    <n v="65"/>
    <s v="$134"/>
    <n v="134"/>
    <s v="$6"/>
    <n v="6"/>
    <x v="1"/>
    <n v="295"/>
    <n v="343"/>
    <s v="$240"/>
    <n v="240"/>
    <s v="$100"/>
    <n v="100"/>
    <s v="$22"/>
    <n v="22"/>
    <s v="$54"/>
    <n v="54"/>
    <s v="$1,573"/>
    <n v="1573"/>
    <s v="$722"/>
    <n v="722"/>
    <s v="$1,111"/>
    <n v="1111"/>
    <s v="$945"/>
    <n v="945"/>
    <s v="$1,389"/>
    <n v="1389"/>
    <s v="$1,667"/>
    <n v="1667"/>
  </r>
  <r>
    <x v="0"/>
    <n v="13"/>
    <x v="0"/>
    <n v="22"/>
    <x v="0"/>
    <x v="2"/>
    <s v="$5,556"/>
    <n v="5556"/>
    <s v="Freightliner Sprinter"/>
    <s v="$132"/>
    <n v="132"/>
    <s v="$400"/>
    <n v="400"/>
    <s v="$50"/>
    <n v="50"/>
    <s v="$250"/>
    <n v="250"/>
    <s v="$120"/>
    <n v="120"/>
    <s v="$65"/>
    <n v="65"/>
    <s v="$134"/>
    <n v="134"/>
    <s v="$6"/>
    <n v="6"/>
    <x v="2"/>
    <n v="295"/>
    <n v="343"/>
    <s v="$240"/>
    <n v="240"/>
    <s v="$100"/>
    <n v="100"/>
    <s v="$22"/>
    <n v="22"/>
    <s v="$54"/>
    <n v="54"/>
    <s v="$1,573"/>
    <n v="1573"/>
    <s v="$722"/>
    <n v="722"/>
    <s v="$1,111"/>
    <n v="1111"/>
    <s v="$945"/>
    <n v="945"/>
    <s v="$1,389"/>
    <n v="1389"/>
    <s v="$1,667"/>
    <n v="1667"/>
  </r>
  <r>
    <x v="1"/>
    <n v="4"/>
    <x v="1"/>
    <n v="14.5"/>
    <x v="0"/>
    <x v="1"/>
    <s v="$4,567"/>
    <n v="4567"/>
    <s v="Freightliner Sprinter"/>
    <s v="$132"/>
    <s v="$132"/>
    <s v="$333"/>
    <n v="333"/>
    <s v="$51"/>
    <n v="51"/>
    <s v="$250"/>
    <n v="250"/>
    <s v="$134"/>
    <n v="134"/>
    <s v="$65"/>
    <n v="65"/>
    <s v="$134"/>
    <n v="134"/>
    <s v="$6"/>
    <n v="6"/>
    <x v="0"/>
    <n v="295"/>
    <n v="354"/>
    <s v="$248"/>
    <n v="248"/>
    <s v="$100"/>
    <n v="100"/>
    <s v="$23"/>
    <n v="23"/>
    <s v="$55"/>
    <n v="55"/>
    <s v="$1,531"/>
    <n v="1531"/>
    <s v="$594"/>
    <n v="594"/>
    <s v="$913"/>
    <n v="913"/>
    <s v="$776"/>
    <n v="776"/>
    <s v="$1,142"/>
    <n v="1142"/>
    <s v="$1,370"/>
    <n v="1370"/>
  </r>
  <r>
    <x v="1"/>
    <n v="5"/>
    <x v="1"/>
    <n v="18"/>
    <x v="0"/>
    <x v="2"/>
    <s v="$4,567"/>
    <n v="4567"/>
    <s v="Freightliner Sprinter"/>
    <s v="$132"/>
    <n v="132"/>
    <s v="$333"/>
    <n v="333"/>
    <s v="$52"/>
    <n v="52"/>
    <s v="$250"/>
    <n v="250"/>
    <s v="$134"/>
    <n v="134"/>
    <s v="$65"/>
    <n v="65"/>
    <s v="$134"/>
    <n v="134"/>
    <s v="$6"/>
    <n v="6"/>
    <x v="1"/>
    <n v="295"/>
    <n v="354"/>
    <s v="$248"/>
    <n v="248"/>
    <s v="$100"/>
    <n v="100"/>
    <s v="$23"/>
    <n v="23"/>
    <s v="$55"/>
    <n v="55"/>
    <s v="$1,532"/>
    <n v="1532"/>
    <s v="$594"/>
    <n v="594"/>
    <s v="$913"/>
    <n v="913"/>
    <s v="$776"/>
    <n v="776"/>
    <s v="$1,142"/>
    <n v="1142"/>
    <s v="$1,370"/>
    <n v="1370"/>
  </r>
  <r>
    <x v="1"/>
    <n v="6"/>
    <x v="1"/>
    <n v="19"/>
    <x v="0"/>
    <x v="3"/>
    <s v="$4,567"/>
    <n v="4567"/>
    <s v="Freightliner Sprinter"/>
    <s v="$132"/>
    <n v="132"/>
    <s v="$333"/>
    <n v="333"/>
    <s v="$53"/>
    <n v="53"/>
    <s v="$250"/>
    <n v="250"/>
    <s v="$134"/>
    <n v="134"/>
    <s v="$65"/>
    <n v="65"/>
    <s v="$134"/>
    <n v="134"/>
    <s v="$6"/>
    <n v="6"/>
    <x v="2"/>
    <n v="295"/>
    <n v="354"/>
    <s v="$248"/>
    <n v="248"/>
    <s v="$100"/>
    <n v="100"/>
    <s v="$23"/>
    <n v="23"/>
    <s v="$55"/>
    <n v="55"/>
    <s v="$1,533"/>
    <n v="1533"/>
    <s v="$594"/>
    <n v="594"/>
    <s v="$913"/>
    <n v="913"/>
    <s v="$776"/>
    <n v="776"/>
    <s v="$1,142"/>
    <n v="1142"/>
    <s v="$1,370"/>
    <n v="1370"/>
  </r>
  <r>
    <x v="1"/>
    <n v="14"/>
    <x v="1"/>
    <n v="20"/>
    <x v="0"/>
    <x v="0"/>
    <s v="$4,567"/>
    <n v="4567"/>
    <s v="Freightliner Sprinter"/>
    <s v="$132"/>
    <n v="132"/>
    <s v="$333"/>
    <n v="333"/>
    <s v="$54"/>
    <n v="54"/>
    <s v="$250"/>
    <n v="250"/>
    <s v="$134"/>
    <n v="134"/>
    <s v="$65"/>
    <n v="65"/>
    <s v="$134"/>
    <n v="134"/>
    <s v="$6"/>
    <n v="6"/>
    <x v="3"/>
    <n v="295"/>
    <n v="354"/>
    <s v="$248"/>
    <n v="248"/>
    <s v="$100"/>
    <n v="100"/>
    <s v="$23"/>
    <n v="23"/>
    <s v="$55"/>
    <n v="55"/>
    <s v="$1,534"/>
    <n v="1534"/>
    <s v="$594"/>
    <n v="594"/>
    <s v="$913"/>
    <n v="913"/>
    <s v="$776"/>
    <n v="776"/>
    <s v="$1,142"/>
    <n v="1142"/>
    <s v="$1,370"/>
    <n v="1370"/>
  </r>
  <r>
    <x v="2"/>
    <n v="2"/>
    <x v="2"/>
    <n v="21"/>
    <x v="0"/>
    <x v="2"/>
    <s v="$3,458"/>
    <n v="3458"/>
    <s v="Freightliner Sprinter"/>
    <s v="$132"/>
    <n v="132"/>
    <s v="$453"/>
    <n v="453"/>
    <s v="$55"/>
    <n v="55"/>
    <s v="$250"/>
    <n v="250"/>
    <s v="$121"/>
    <n v="121"/>
    <s v="$32"/>
    <n v="32"/>
    <s v="$56"/>
    <n v="56"/>
    <s v="$56"/>
    <n v="56"/>
    <x v="0"/>
    <n v="295"/>
    <n v="333"/>
    <s v="$233"/>
    <n v="233"/>
    <s v="$100"/>
    <n v="100"/>
    <s v="$24"/>
    <n v="24"/>
    <s v="$56"/>
    <n v="56"/>
    <s v="$1,568"/>
    <n v="1568"/>
    <s v="$450"/>
    <n v="450"/>
    <s v="$692"/>
    <n v="692"/>
    <s v="$588"/>
    <n v="588"/>
    <s v="$865"/>
    <n v="865"/>
    <s v="$1,037"/>
    <n v="1037"/>
  </r>
  <r>
    <x v="2"/>
    <n v="3"/>
    <x v="2"/>
    <n v="22"/>
    <x v="1"/>
    <x v="1"/>
    <s v="$3,458"/>
    <n v="3458"/>
    <s v="Freightliner Sprinter"/>
    <s v="$132"/>
    <n v="132"/>
    <s v="$453"/>
    <n v="453"/>
    <s v="$56"/>
    <n v="56"/>
    <s v="$250"/>
    <n v="250"/>
    <s v="$121"/>
    <n v="121"/>
    <s v="$32"/>
    <n v="32"/>
    <s v="$56"/>
    <n v="56"/>
    <s v="$56"/>
    <n v="56"/>
    <x v="1"/>
    <n v="295"/>
    <n v="333"/>
    <s v="$233"/>
    <n v="233"/>
    <s v="$100"/>
    <n v="100"/>
    <s v="$24"/>
    <n v="24"/>
    <s v="$56"/>
    <n v="56"/>
    <s v="$1,569"/>
    <n v="1569"/>
    <s v="$450"/>
    <n v="450"/>
    <s v="$692"/>
    <n v="692"/>
    <s v="$588"/>
    <n v="588"/>
    <s v="$865"/>
    <n v="865"/>
    <s v="$1,037"/>
    <n v="1037"/>
  </r>
  <r>
    <x v="2"/>
    <n v="7"/>
    <x v="1"/>
    <n v="22.7"/>
    <x v="1"/>
    <x v="2"/>
    <s v="$3,458"/>
    <n v="3458"/>
    <s v="Freightliner Sprinter"/>
    <s v="$132"/>
    <n v="132"/>
    <s v="$453"/>
    <n v="453"/>
    <s v="$57"/>
    <n v="57"/>
    <s v="$250"/>
    <n v="250"/>
    <s v="$121"/>
    <n v="121"/>
    <s v="$32"/>
    <n v="32"/>
    <s v="$56"/>
    <n v="56"/>
    <s v="$56"/>
    <n v="56"/>
    <x v="3"/>
    <n v="295"/>
    <n v="333"/>
    <s v="$233"/>
    <n v="233"/>
    <s v="$100"/>
    <n v="100"/>
    <s v="$24"/>
    <n v="24"/>
    <s v="$56"/>
    <n v="56"/>
    <s v="$1,570"/>
    <n v="1570"/>
    <s v="$450"/>
    <n v="450"/>
    <s v="$692"/>
    <n v="692"/>
    <s v="$588"/>
    <n v="588"/>
    <s v="$865"/>
    <n v="865"/>
    <s v="$1,037"/>
    <n v="1037"/>
  </r>
  <r>
    <x v="2"/>
    <n v="8"/>
    <x v="2"/>
    <n v="12"/>
    <x v="0"/>
    <x v="3"/>
    <s v="$3,458"/>
    <n v="3458"/>
    <s v="Freightliner Sprinter"/>
    <s v="$132"/>
    <n v="132"/>
    <s v="$453"/>
    <n v="453"/>
    <s v="$58"/>
    <n v="58"/>
    <s v="$250"/>
    <n v="250"/>
    <s v="$121"/>
    <n v="121"/>
    <s v="$32"/>
    <n v="32"/>
    <s v="$56"/>
    <n v="56"/>
    <s v="$56"/>
    <n v="56"/>
    <x v="3"/>
    <n v="295"/>
    <n v="333"/>
    <s v="$233"/>
    <n v="233"/>
    <s v="$100"/>
    <n v="100"/>
    <s v="$24"/>
    <n v="24"/>
    <s v="$56"/>
    <n v="56"/>
    <s v="$1,571"/>
    <n v="1571"/>
    <s v="$450"/>
    <n v="450"/>
    <s v="$692"/>
    <n v="692"/>
    <s v="$588"/>
    <n v="588"/>
    <s v="$865"/>
    <n v="865"/>
    <s v="$1,037"/>
    <n v="1037"/>
  </r>
  <r>
    <x v="2"/>
    <n v="9"/>
    <x v="0"/>
    <n v="13"/>
    <x v="1"/>
    <x v="4"/>
    <s v="$3,458"/>
    <n v="3458"/>
    <s v="Freightliner Sprinter"/>
    <s v="$132"/>
    <n v="132"/>
    <s v="$453"/>
    <n v="453"/>
    <s v="$59"/>
    <n v="59"/>
    <s v="$250"/>
    <n v="250"/>
    <s v="$121"/>
    <n v="121"/>
    <m/>
    <n v="0"/>
    <s v="$56"/>
    <n v="56"/>
    <s v="$56"/>
    <n v="56"/>
    <x v="0"/>
    <n v="295"/>
    <n v="333"/>
    <s v="$233"/>
    <n v="233"/>
    <s v="$100"/>
    <n v="100"/>
    <s v="$24"/>
    <n v="24"/>
    <s v="$56"/>
    <n v="56"/>
    <s v="$1,540"/>
    <n v="1540"/>
    <s v="$450"/>
    <n v="450"/>
    <s v="$692"/>
    <n v="692"/>
    <s v="$588"/>
    <n v="588"/>
    <s v="$865"/>
    <n v="865"/>
    <s v="$1,037"/>
    <n v="1037"/>
  </r>
  <r>
    <x v="3"/>
    <n v="12"/>
    <x v="0"/>
    <n v="16"/>
    <x v="0"/>
    <x v="5"/>
    <s v="$6,433"/>
    <n v="6433"/>
    <s v="Chevrolet Express"/>
    <s v="$132"/>
    <n v="132"/>
    <s v="$399"/>
    <n v="399"/>
    <s v="$72"/>
    <n v="72"/>
    <s v="$250"/>
    <n v="250"/>
    <s v="$134"/>
    <n v="134"/>
    <m/>
    <n v="0"/>
    <s v="$134"/>
    <n v="134"/>
    <s v="$6"/>
    <n v="6"/>
    <x v="1"/>
    <n v="295"/>
    <n v="343"/>
    <s v="$240"/>
    <n v="240"/>
    <s v="$100"/>
    <n v="100"/>
    <s v="$25"/>
    <n v="25"/>
    <s v="$57"/>
    <n v="57"/>
    <s v="$1,549"/>
    <n v="1549"/>
    <s v="$836"/>
    <n v="836"/>
    <s v="$1,287"/>
    <n v="1287"/>
    <s v="$1,094"/>
    <n v="1094"/>
    <s v="$1,608"/>
    <n v="1608"/>
    <s v="$1,930"/>
    <n v="1930"/>
  </r>
  <r>
    <x v="3"/>
    <n v="16"/>
    <x v="1"/>
    <n v="17"/>
    <x v="1"/>
    <x v="6"/>
    <s v="$6,433"/>
    <n v="6433"/>
    <s v="Chevrolet Express"/>
    <s v="$132"/>
    <n v="132"/>
    <s v="$399"/>
    <n v="399"/>
    <s v="$73"/>
    <n v="73"/>
    <s v="$250"/>
    <n v="250"/>
    <s v="$134"/>
    <n v="134"/>
    <s v="$65"/>
    <n v="65"/>
    <s v="$134"/>
    <n v="134"/>
    <s v="$6"/>
    <n v="6"/>
    <x v="2"/>
    <n v="295"/>
    <n v="343"/>
    <s v="$240"/>
    <n v="240"/>
    <s v="$100"/>
    <n v="100"/>
    <s v="$25"/>
    <n v="25"/>
    <s v="$57"/>
    <n v="57"/>
    <s v="$1,615"/>
    <n v="1615"/>
    <s v="$836"/>
    <n v="836"/>
    <s v="$1,287"/>
    <n v="1287"/>
    <s v="$1,094"/>
    <n v="1094"/>
    <s v="$1,608"/>
    <n v="1608"/>
    <s v="$1,930"/>
    <n v="1930"/>
  </r>
  <r>
    <x v="3"/>
    <n v="22"/>
    <x v="0"/>
    <n v="18"/>
    <x v="1"/>
    <x v="2"/>
    <s v="$6,433"/>
    <n v="6433"/>
    <s v="Chevrolet Express"/>
    <s v="$132"/>
    <n v="132"/>
    <s v="$399"/>
    <n v="399"/>
    <s v="$74"/>
    <n v="74"/>
    <s v="$250"/>
    <n v="250"/>
    <s v="$134"/>
    <n v="134"/>
    <s v="$65"/>
    <n v="65"/>
    <s v="$134"/>
    <n v="134"/>
    <s v="$6"/>
    <n v="6"/>
    <x v="3"/>
    <n v="295"/>
    <n v="343"/>
    <s v="$240"/>
    <n v="240"/>
    <s v="$100"/>
    <n v="100"/>
    <s v="$25"/>
    <n v="25"/>
    <s v="$57"/>
    <n v="57"/>
    <s v="$1,616"/>
    <n v="1616"/>
    <s v="$836"/>
    <n v="836"/>
    <s v="$1,287"/>
    <n v="1287"/>
    <s v="$1,094"/>
    <n v="1094"/>
    <s v="$1,608"/>
    <n v="1608"/>
    <s v="$1,930"/>
    <n v="1930"/>
  </r>
  <r>
    <x v="4"/>
    <n v="5"/>
    <x v="1"/>
    <n v="11"/>
    <x v="0"/>
    <x v="0"/>
    <s v="$8,765"/>
    <n v="8765"/>
    <s v="Chevrolet Express"/>
    <s v="$132"/>
    <n v="132"/>
    <s v="$387"/>
    <n v="387"/>
    <s v="$50"/>
    <n v="50"/>
    <s v="$250"/>
    <n v="250"/>
    <s v="$128"/>
    <n v="128"/>
    <s v="$34"/>
    <n v="34"/>
    <s v="$128"/>
    <n v="128"/>
    <s v="$46"/>
    <n v="46"/>
    <x v="0"/>
    <n v="333"/>
    <n v="343"/>
    <s v="$240"/>
    <n v="240"/>
    <s v="$100"/>
    <n v="100"/>
    <s v="$26"/>
    <n v="26"/>
    <s v="$58"/>
    <n v="58"/>
    <s v="$1,579"/>
    <n v="1579"/>
    <s v="$1,139"/>
    <n v="1139"/>
    <s v="$1,753"/>
    <n v="1753"/>
    <s v="$1,490"/>
    <n v="1490"/>
    <s v="$2,191"/>
    <n v="2191"/>
    <s v="$2,630"/>
    <n v="2630"/>
  </r>
  <r>
    <x v="4"/>
    <n v="13"/>
    <x v="1"/>
    <n v="21"/>
    <x v="0"/>
    <x v="6"/>
    <s v="$8,765"/>
    <n v="8765"/>
    <s v="Chevrolet Express"/>
    <s v="$132"/>
    <n v="132"/>
    <s v="$387"/>
    <n v="387"/>
    <s v="$50"/>
    <n v="50"/>
    <s v="$250"/>
    <n v="250"/>
    <s v="$128"/>
    <n v="128"/>
    <s v="$34"/>
    <n v="34"/>
    <s v="$128"/>
    <n v="128"/>
    <s v="$46"/>
    <n v="46"/>
    <x v="1"/>
    <n v="333"/>
    <n v="343"/>
    <s v="$240"/>
    <n v="240"/>
    <s v="$100"/>
    <n v="100"/>
    <s v="$26"/>
    <n v="26"/>
    <s v="$58"/>
    <n v="58"/>
    <s v="$1,579"/>
    <n v="1579"/>
    <s v="$1,139"/>
    <n v="1139"/>
    <s v="$1,753"/>
    <n v="1753"/>
    <s v="$1,490"/>
    <n v="1490"/>
    <s v="$2,191"/>
    <n v="2191"/>
    <s v="$2,630"/>
    <n v="2630"/>
  </r>
  <r>
    <x v="4"/>
    <n v="14"/>
    <x v="1"/>
    <n v="22"/>
    <x v="0"/>
    <x v="3"/>
    <s v="$8,765"/>
    <n v="8765"/>
    <s v="Chevrolet Express"/>
    <s v="$132"/>
    <n v="132"/>
    <s v="$387"/>
    <n v="387"/>
    <s v="$50"/>
    <n v="50"/>
    <s v="$250"/>
    <n v="250"/>
    <s v="$128"/>
    <n v="128"/>
    <s v="$34"/>
    <n v="34"/>
    <s v="$128"/>
    <n v="128"/>
    <s v="$46"/>
    <n v="46"/>
    <x v="2"/>
    <n v="333"/>
    <n v="343"/>
    <s v="$240"/>
    <n v="240"/>
    <s v="$100"/>
    <n v="100"/>
    <s v="$26"/>
    <n v="26"/>
    <s v="$58"/>
    <n v="58"/>
    <s v="$1,579"/>
    <n v="1579"/>
    <s v="$1,139"/>
    <n v="1139"/>
    <s v="$1,753"/>
    <n v="1753"/>
    <s v="$1,490"/>
    <n v="1490"/>
    <s v="$2,191"/>
    <n v="2191"/>
    <s v="$2,630"/>
    <n v="2630"/>
  </r>
  <r>
    <x v="4"/>
    <n v="15"/>
    <x v="2"/>
    <n v="23"/>
    <x v="1"/>
    <x v="0"/>
    <s v="$8,765"/>
    <n v="8765"/>
    <s v="Chevrolet Express"/>
    <s v="$132"/>
    <n v="132"/>
    <s v="$387"/>
    <n v="387"/>
    <s v="$50"/>
    <n v="50"/>
    <s v="$250"/>
    <n v="250"/>
    <s v="$128"/>
    <n v="128"/>
    <s v="$34"/>
    <n v="34"/>
    <s v="$128"/>
    <n v="128"/>
    <s v="$46"/>
    <n v="46"/>
    <x v="3"/>
    <n v="333"/>
    <n v="343"/>
    <s v="$240"/>
    <n v="240"/>
    <s v="$100"/>
    <n v="100"/>
    <s v="$26"/>
    <n v="26"/>
    <s v="$58"/>
    <n v="58"/>
    <s v="$1,579"/>
    <n v="1579"/>
    <s v="$1,139"/>
    <n v="1139"/>
    <s v="$1,753"/>
    <n v="1753"/>
    <s v="$1,490"/>
    <n v="1490"/>
    <s v="$2,191"/>
    <n v="2191"/>
    <s v="$2,630"/>
    <n v="2630"/>
  </r>
  <r>
    <x v="5"/>
    <n v="17"/>
    <x v="2"/>
    <n v="12.9"/>
    <x v="0"/>
    <x v="2"/>
    <s v="$5,432"/>
    <n v="5432"/>
    <s v="Chevrolet Express"/>
    <s v="$132"/>
    <n v="132"/>
    <s v="$245"/>
    <n v="245"/>
    <s v="$50"/>
    <n v="50"/>
    <s v="$250"/>
    <n v="250"/>
    <s v="$120"/>
    <n v="120"/>
    <m/>
    <n v="0"/>
    <s v="$120"/>
    <n v="120"/>
    <s v="$66"/>
    <n v="66"/>
    <x v="0"/>
    <n v="295"/>
    <n v="343"/>
    <s v="$240"/>
    <n v="240"/>
    <s v="$100"/>
    <n v="100"/>
    <s v="$27"/>
    <n v="27"/>
    <s v="$59"/>
    <n v="59"/>
    <s v="$1,409"/>
    <n v="1409"/>
    <s v="$706"/>
    <n v="706"/>
    <s v="$1,086"/>
    <n v="1086"/>
    <s v="$923"/>
    <n v="923"/>
    <s v="$1,358"/>
    <n v="1358"/>
    <s v="$1,630"/>
    <n v="1630"/>
  </r>
  <r>
    <x v="5"/>
    <n v="18"/>
    <x v="2"/>
    <n v="12.9"/>
    <x v="0"/>
    <x v="3"/>
    <s v="$5,432"/>
    <n v="5432"/>
    <s v="Chevrolet Express"/>
    <s v="$132"/>
    <n v="132"/>
    <s v="$245"/>
    <n v="245"/>
    <s v="$50"/>
    <n v="50"/>
    <s v="$250"/>
    <n v="250"/>
    <s v="$120"/>
    <n v="120"/>
    <m/>
    <n v="0"/>
    <s v="$120"/>
    <n v="120"/>
    <s v="$66"/>
    <n v="66"/>
    <x v="1"/>
    <n v="295"/>
    <n v="343"/>
    <s v="$240"/>
    <n v="240"/>
    <s v="$100"/>
    <n v="100"/>
    <s v="$27"/>
    <n v="27"/>
    <s v="$59"/>
    <n v="59"/>
    <s v="$1,409"/>
    <n v="1409"/>
    <s v="$706"/>
    <n v="706"/>
    <s v="$1,086"/>
    <n v="1086"/>
    <s v="$923"/>
    <n v="923"/>
    <s v="$1,358"/>
    <n v="1358"/>
    <s v="$1,630"/>
    <n v="1630"/>
  </r>
  <r>
    <x v="5"/>
    <n v="18"/>
    <x v="2"/>
    <n v="21"/>
    <x v="0"/>
    <x v="6"/>
    <s v="$5,432"/>
    <n v="5432"/>
    <s v="Chevrolet Express"/>
    <s v="$132"/>
    <n v="132"/>
    <s v="$245"/>
    <n v="245"/>
    <s v="$50"/>
    <n v="50"/>
    <s v="$250"/>
    <n v="250"/>
    <s v="$120"/>
    <n v="120"/>
    <m/>
    <n v="0"/>
    <s v="$120"/>
    <n v="120"/>
    <s v="$66"/>
    <n v="66"/>
    <x v="2"/>
    <n v="295"/>
    <n v="343"/>
    <s v="$240"/>
    <n v="240"/>
    <s v="$100"/>
    <n v="100"/>
    <s v="$27"/>
    <n v="27"/>
    <s v="$59"/>
    <n v="59"/>
    <s v="$1,409"/>
    <n v="1409"/>
    <s v="$706"/>
    <n v="706"/>
    <s v="$1,086"/>
    <n v="1086"/>
    <s v="$923"/>
    <n v="923"/>
    <s v="$1,358"/>
    <n v="1358"/>
    <s v="$1,630"/>
    <n v="1630"/>
  </r>
  <r>
    <x v="5"/>
    <n v="24"/>
    <x v="2"/>
    <n v="22"/>
    <x v="1"/>
    <x v="6"/>
    <s v="$5,432"/>
    <n v="5432"/>
    <s v="Chevrolet Express"/>
    <s v="$132"/>
    <n v="132"/>
    <s v="$245"/>
    <n v="245"/>
    <s v="$50"/>
    <n v="50"/>
    <s v="$250"/>
    <n v="250"/>
    <s v="$120"/>
    <n v="120"/>
    <m/>
    <n v="0"/>
    <s v="$120"/>
    <n v="120"/>
    <s v="$66"/>
    <n v="66"/>
    <x v="3"/>
    <n v="295"/>
    <n v="343"/>
    <s v="$240"/>
    <n v="240"/>
    <s v="$100"/>
    <n v="100"/>
    <s v="$27"/>
    <n v="27"/>
    <s v="$59"/>
    <n v="59"/>
    <s v="$1,409"/>
    <n v="1409"/>
    <s v="$706"/>
    <n v="706"/>
    <s v="$1,086"/>
    <n v="1086"/>
    <s v="$923"/>
    <n v="923"/>
    <s v="$1,358"/>
    <n v="1358"/>
    <s v="$1,630"/>
    <n v="1630"/>
  </r>
  <r>
    <x v="6"/>
    <n v="7"/>
    <x v="0"/>
    <n v="23"/>
    <x v="1"/>
    <x v="1"/>
    <s v="$6,778"/>
    <n v="6778"/>
    <s v="RAM ProMaster"/>
    <s v="$132"/>
    <n v="132"/>
    <s v="$400"/>
    <n v="400"/>
    <s v="$50"/>
    <n v="50"/>
    <s v="$250"/>
    <n v="250"/>
    <s v="$134"/>
    <n v="134"/>
    <m/>
    <n v="0"/>
    <s v="$134"/>
    <n v="134"/>
    <s v="$6"/>
    <n v="6"/>
    <x v="0"/>
    <n v="295"/>
    <n v="377"/>
    <s v="$264"/>
    <n v="264"/>
    <s v="$100"/>
    <n v="100"/>
    <s v="$28"/>
    <n v="28"/>
    <s v="$60"/>
    <n v="60"/>
    <s v="$1,558"/>
    <n v="1558"/>
    <s v="$881"/>
    <n v="881"/>
    <s v="$1,356"/>
    <n v="1356"/>
    <s v="$1,152"/>
    <n v="1152"/>
    <s v="$1,695"/>
    <n v="1695"/>
    <s v="$2,033"/>
    <n v="2033"/>
  </r>
  <r>
    <x v="6"/>
    <n v="19"/>
    <x v="0"/>
    <n v="12"/>
    <x v="1"/>
    <x v="2"/>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19"/>
    <x v="0"/>
    <n v="13"/>
    <x v="0"/>
    <x v="3"/>
    <s v="$6,778"/>
    <n v="6778"/>
    <s v="RAM ProMaster"/>
    <s v="$132"/>
    <n v="132"/>
    <s v="$400"/>
    <n v="400"/>
    <s v="$50"/>
    <n v="50"/>
    <s v="$250"/>
    <n v="250"/>
    <s v="$134"/>
    <n v="134"/>
    <s v="$65"/>
    <n v="65"/>
    <s v="$134"/>
    <n v="134"/>
    <s v="$6"/>
    <n v="6"/>
    <x v="2"/>
    <n v="295"/>
    <n v="377"/>
    <s v="$264"/>
    <n v="264"/>
    <s v="$100"/>
    <n v="100"/>
    <s v="$28"/>
    <n v="28"/>
    <s v="$60"/>
    <n v="60"/>
    <s v="$1,623"/>
    <n v="1623"/>
    <s v="$881"/>
    <n v="881"/>
    <s v="$1,356"/>
    <n v="1356"/>
    <s v="$1,152"/>
    <n v="1152"/>
    <s v="$1,695"/>
    <n v="1695"/>
    <s v="$2,033"/>
    <n v="2033"/>
  </r>
  <r>
    <x v="6"/>
    <n v="20"/>
    <x v="0"/>
    <n v="14"/>
    <x v="0"/>
    <x v="0"/>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6"/>
    <n v="21"/>
    <x v="0"/>
    <n v="15"/>
    <x v="0"/>
    <x v="4"/>
    <s v="$6,778"/>
    <n v="6778"/>
    <s v="RAM ProMaster"/>
    <s v="$132"/>
    <n v="132"/>
    <s v="$400"/>
    <n v="400"/>
    <s v="$50"/>
    <n v="50"/>
    <s v="$250"/>
    <n v="250"/>
    <s v="$134"/>
    <n v="134"/>
    <s v="$65"/>
    <n v="65"/>
    <s v="$134"/>
    <n v="134"/>
    <s v="$6"/>
    <n v="6"/>
    <x v="0"/>
    <n v="295"/>
    <n v="377"/>
    <s v="$264"/>
    <n v="264"/>
    <s v="$100"/>
    <n v="100"/>
    <s v="$28"/>
    <n v="28"/>
    <s v="$60"/>
    <n v="60"/>
    <s v="$1,623"/>
    <n v="1623"/>
    <s v="$881"/>
    <n v="881"/>
    <s v="$1,356"/>
    <n v="1356"/>
    <s v="$1,152"/>
    <n v="1152"/>
    <s v="$1,695"/>
    <n v="1695"/>
    <s v="$2,033"/>
    <n v="2033"/>
  </r>
  <r>
    <x v="6"/>
    <n v="25"/>
    <x v="0"/>
    <n v="16"/>
    <x v="0"/>
    <x v="0"/>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7"/>
    <x v="0"/>
    <n v="23"/>
    <x v="1"/>
    <x v="1"/>
    <s v="$6,778"/>
    <n v="6778"/>
    <s v="RAM ProMaster"/>
    <s v="$132"/>
    <n v="132"/>
    <s v="$400"/>
    <n v="400"/>
    <s v="$50"/>
    <n v="50"/>
    <s v="$250"/>
    <n v="250"/>
    <s v="$134"/>
    <n v="134"/>
    <m/>
    <n v="0"/>
    <s v="$134"/>
    <n v="134"/>
    <s v="$6"/>
    <n v="6"/>
    <x v="2"/>
    <n v="295"/>
    <n v="377"/>
    <s v="$264"/>
    <n v="264"/>
    <s v="$100"/>
    <n v="100"/>
    <s v="$28"/>
    <n v="28"/>
    <s v="$60"/>
    <n v="60"/>
    <s v="$1,558"/>
    <n v="1558"/>
    <s v="$881"/>
    <n v="881"/>
    <s v="$1,356"/>
    <n v="1356"/>
    <s v="$1,152"/>
    <n v="1152"/>
    <s v="$1,695"/>
    <n v="1695"/>
    <s v="$2,033"/>
    <n v="2033"/>
  </r>
  <r>
    <x v="6"/>
    <n v="19"/>
    <x v="0"/>
    <n v="12"/>
    <x v="1"/>
    <x v="2"/>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6"/>
    <n v="19"/>
    <x v="0"/>
    <n v="13"/>
    <x v="0"/>
    <x v="3"/>
    <s v="$6,778"/>
    <n v="6778"/>
    <s v="RAM ProMaster"/>
    <s v="$132"/>
    <n v="132"/>
    <s v="$400"/>
    <n v="400"/>
    <s v="$50"/>
    <n v="50"/>
    <s v="$250"/>
    <n v="250"/>
    <s v="$134"/>
    <n v="134"/>
    <s v="$65"/>
    <n v="65"/>
    <s v="$134"/>
    <n v="134"/>
    <s v="$6"/>
    <n v="6"/>
    <x v="0"/>
    <n v="295"/>
    <n v="377"/>
    <s v="$264"/>
    <n v="264"/>
    <s v="$100"/>
    <n v="100"/>
    <s v="$28"/>
    <n v="28"/>
    <s v="$60"/>
    <n v="60"/>
    <s v="$1,623"/>
    <n v="1623"/>
    <s v="$881"/>
    <n v="881"/>
    <s v="$1,356"/>
    <n v="1356"/>
    <s v="$1,152"/>
    <n v="1152"/>
    <s v="$1,695"/>
    <n v="1695"/>
    <s v="$2,033"/>
    <n v="2033"/>
  </r>
  <r>
    <x v="6"/>
    <n v="20"/>
    <x v="0"/>
    <n v="14"/>
    <x v="0"/>
    <x v="0"/>
    <s v="$6,778"/>
    <n v="6778"/>
    <s v="RAM ProMaster"/>
    <s v="$132"/>
    <n v="132"/>
    <s v="$400"/>
    <n v="400"/>
    <s v="$50"/>
    <n v="50"/>
    <s v="$250"/>
    <n v="250"/>
    <s v="$134"/>
    <n v="134"/>
    <s v="$65"/>
    <n v="65"/>
    <s v="$134"/>
    <n v="134"/>
    <s v="$6"/>
    <n v="6"/>
    <x v="1"/>
    <n v="295"/>
    <n v="377"/>
    <s v="$264"/>
    <n v="264"/>
    <s v="$100"/>
    <n v="100"/>
    <s v="$28"/>
    <n v="28"/>
    <s v="$60"/>
    <n v="60"/>
    <s v="$1,623"/>
    <n v="1623"/>
    <s v="$881"/>
    <n v="881"/>
    <s v="$1,356"/>
    <n v="1356"/>
    <s v="$1,152"/>
    <n v="1152"/>
    <s v="$1,695"/>
    <n v="1695"/>
    <s v="$2,033"/>
    <n v="2033"/>
  </r>
  <r>
    <x v="6"/>
    <n v="21"/>
    <x v="0"/>
    <n v="15"/>
    <x v="0"/>
    <x v="4"/>
    <s v="$6,778"/>
    <n v="6778"/>
    <s v="RAM ProMaster"/>
    <s v="$132"/>
    <n v="132"/>
    <s v="$400"/>
    <n v="400"/>
    <s v="$50"/>
    <n v="50"/>
    <s v="$250"/>
    <n v="250"/>
    <s v="$134"/>
    <n v="134"/>
    <s v="$65"/>
    <n v="65"/>
    <s v="$134"/>
    <n v="134"/>
    <s v="$6"/>
    <n v="6"/>
    <x v="2"/>
    <n v="295"/>
    <n v="377"/>
    <s v="$264"/>
    <n v="264"/>
    <s v="$100"/>
    <n v="100"/>
    <s v="$28"/>
    <n v="28"/>
    <s v="$60"/>
    <n v="60"/>
    <s v="$1,623"/>
    <n v="1623"/>
    <s v="$881"/>
    <n v="881"/>
    <s v="$1,356"/>
    <n v="1356"/>
    <s v="$1,152"/>
    <n v="1152"/>
    <s v="$1,695"/>
    <n v="1695"/>
    <s v="$2,033"/>
    <n v="2033"/>
  </r>
  <r>
    <x v="6"/>
    <n v="25"/>
    <x v="0"/>
    <n v="16"/>
    <x v="0"/>
    <x v="0"/>
    <s v="$6,778"/>
    <n v="6778"/>
    <s v="RAM ProMaster"/>
    <s v="$132"/>
    <n v="132"/>
    <s v="$400"/>
    <n v="400"/>
    <s v="$50"/>
    <n v="50"/>
    <s v="$250"/>
    <n v="250"/>
    <s v="$134"/>
    <n v="134"/>
    <s v="$65"/>
    <n v="65"/>
    <s v="$134"/>
    <n v="134"/>
    <s v="$6"/>
    <n v="6"/>
    <x v="3"/>
    <n v="295"/>
    <n v="377"/>
    <s v="$264"/>
    <n v="264"/>
    <s v="$100"/>
    <n v="100"/>
    <s v="$28"/>
    <n v="28"/>
    <s v="$60"/>
    <n v="60"/>
    <s v="$1,623"/>
    <n v="1623"/>
    <s v="$881"/>
    <n v="881"/>
    <s v="$1,356"/>
    <n v="1356"/>
    <s v="$1,152"/>
    <n v="1152"/>
    <s v="$1,695"/>
    <n v="1695"/>
    <s v="$2,033"/>
    <n v="2033"/>
  </r>
  <r>
    <x v="7"/>
    <n v="8"/>
    <x v="1"/>
    <n v="17"/>
    <x v="0"/>
    <x v="6"/>
    <s v="$6,543"/>
    <n v="6543"/>
    <s v="RAM ProMaster"/>
    <s v="$132"/>
    <n v="132"/>
    <s v="$400"/>
    <n v="400"/>
    <s v="$50"/>
    <n v="50"/>
    <s v="$250"/>
    <n v="250"/>
    <s v="$121"/>
    <n v="121"/>
    <m/>
    <n v="0"/>
    <s v="$51"/>
    <n v="51"/>
    <s v="$51"/>
    <n v="51"/>
    <x v="0"/>
    <n v="295"/>
    <n v="389"/>
    <s v="$272"/>
    <n v="272"/>
    <s v="$100"/>
    <n v="100"/>
    <s v="$29"/>
    <n v="29"/>
    <s v="$61"/>
    <n v="61"/>
    <s v="$1,517"/>
    <n v="1517"/>
    <s v="$851"/>
    <n v="851"/>
    <s v="$1,309"/>
    <n v="1309"/>
    <s v="$1,112"/>
    <n v="1112"/>
    <s v="$1,636"/>
    <n v="1636"/>
    <s v="$1,963"/>
    <n v="1963"/>
  </r>
  <r>
    <x v="7"/>
    <n v="20"/>
    <x v="1"/>
    <n v="18"/>
    <x v="0"/>
    <x v="4"/>
    <s v="$6,543"/>
    <n v="6543"/>
    <s v="RAM ProMaster"/>
    <s v="$132"/>
    <n v="132"/>
    <s v="$400"/>
    <n v="400"/>
    <s v="$50"/>
    <n v="50"/>
    <s v="$250"/>
    <n v="250"/>
    <s v="$121"/>
    <n v="121"/>
    <m/>
    <n v="0"/>
    <s v="$51"/>
    <n v="51"/>
    <s v="$51"/>
    <n v="51"/>
    <x v="1"/>
    <n v="295"/>
    <n v="389"/>
    <s v="$272"/>
    <n v="272"/>
    <s v="$100"/>
    <n v="100"/>
    <s v="$29"/>
    <n v="29"/>
    <s v="$61"/>
    <n v="61"/>
    <s v="$1,517"/>
    <n v="1517"/>
    <s v="$851"/>
    <n v="851"/>
    <s v="$1,309"/>
    <n v="1309"/>
    <s v="$1,112"/>
    <n v="1112"/>
    <s v="$1,636"/>
    <n v="1636"/>
    <s v="$1,963"/>
    <n v="1963"/>
  </r>
  <r>
    <x v="7"/>
    <n v="22"/>
    <x v="1"/>
    <n v="12.9"/>
    <x v="0"/>
    <x v="1"/>
    <s v="$6,543"/>
    <n v="6543"/>
    <s v="RAM ProMaster"/>
    <s v="$132"/>
    <n v="132"/>
    <s v="$400"/>
    <n v="400"/>
    <s v="$50"/>
    <n v="50"/>
    <s v="$250"/>
    <n v="250"/>
    <s v="$121"/>
    <n v="121"/>
    <s v="$33"/>
    <n v="33"/>
    <s v="$51"/>
    <n v="51"/>
    <s v="$51"/>
    <n v="51"/>
    <x v="2"/>
    <n v="295"/>
    <n v="389"/>
    <s v="$272"/>
    <n v="272"/>
    <s v="$100"/>
    <n v="100"/>
    <s v="$29"/>
    <n v="29"/>
    <s v="$61"/>
    <n v="61"/>
    <s v="$1,550"/>
    <n v="1550"/>
    <s v="$851"/>
    <n v="851"/>
    <s v="$1,309"/>
    <n v="1309"/>
    <s v="$1,112"/>
    <n v="1112"/>
    <s v="$1,636"/>
    <n v="1636"/>
    <s v="$1,963"/>
    <n v="1963"/>
  </r>
  <r>
    <x v="7"/>
    <n v="23"/>
    <x v="1"/>
    <n v="12.9"/>
    <x v="0"/>
    <x v="2"/>
    <s v="$6,543"/>
    <n v="6543"/>
    <s v="RAM ProMaster"/>
    <s v="$132"/>
    <n v="132"/>
    <s v="$400"/>
    <n v="400"/>
    <s v="$50"/>
    <n v="50"/>
    <s v="$250"/>
    <n v="250"/>
    <s v="$121"/>
    <n v="121"/>
    <s v="$33"/>
    <n v="33"/>
    <s v="$51"/>
    <n v="51"/>
    <s v="$51"/>
    <n v="51"/>
    <x v="3"/>
    <n v="295"/>
    <n v="389"/>
    <s v="$272"/>
    <n v="272"/>
    <s v="$100"/>
    <n v="100"/>
    <s v="$29"/>
    <n v="29"/>
    <s v="$61"/>
    <n v="61"/>
    <s v="$1,550"/>
    <n v="1550"/>
    <s v="$851"/>
    <n v="851"/>
    <s v="$1,309"/>
    <n v="1309"/>
    <s v="$1,112"/>
    <n v="1112"/>
    <s v="$1,636"/>
    <n v="1636"/>
    <s v="$1,963"/>
    <n v="1963"/>
  </r>
  <r>
    <x v="8"/>
    <n v="25"/>
    <x v="0"/>
    <n v="12.9"/>
    <x v="0"/>
    <x v="2"/>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6"/>
    <x v="0"/>
    <n v="18"/>
    <x v="0"/>
    <x v="3"/>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7"/>
    <x v="0"/>
    <n v="19"/>
    <x v="0"/>
    <x v="0"/>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8"/>
    <n v="27"/>
    <x v="0"/>
    <n v="20"/>
    <x v="0"/>
    <x v="0"/>
    <s v="$8,633"/>
    <n v="8633"/>
    <s v="RAM ProMaster"/>
    <s v="$132"/>
    <n v="132"/>
    <s v="$400"/>
    <n v="400"/>
    <s v="$50"/>
    <n v="50"/>
    <s v="$250"/>
    <n v="250"/>
    <s v="$134"/>
    <n v="134"/>
    <m/>
    <n v="0"/>
    <s v="$134"/>
    <n v="134"/>
    <s v="$6"/>
    <n v="6"/>
    <x v="2"/>
    <n v="295"/>
    <n v="234"/>
    <s v="$164"/>
    <n v="164"/>
    <s v="$100"/>
    <n v="100"/>
    <s v="$23"/>
    <n v="23"/>
    <s v="$55"/>
    <n v="55"/>
    <s v="$1,448"/>
    <n v="1448"/>
    <s v="$1,122"/>
    <n v="1122"/>
    <s v="$1,727"/>
    <n v="1727"/>
    <s v="$1,468"/>
    <n v="1468"/>
    <s v="$2,158"/>
    <n v="2158"/>
    <s v="$2,590"/>
    <n v="2590"/>
  </r>
  <r>
    <x v="9"/>
    <n v="1"/>
    <x v="0"/>
    <n v="21"/>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2"/>
    <x v="0"/>
    <n v="22"/>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10"/>
    <x v="0"/>
    <n v="23"/>
    <x v="0"/>
    <x v="0"/>
    <s v="$6,433"/>
    <n v="6433"/>
    <s v="Chevrolet Express"/>
    <s v="$132"/>
    <n v="132"/>
    <s v="$399"/>
    <n v="399"/>
    <s v="$50"/>
    <n v="50"/>
    <s v="$250"/>
    <n v="250"/>
    <s v="$134"/>
    <n v="134"/>
    <m/>
    <n v="0"/>
    <s v="$134"/>
    <n v="134"/>
    <s v="$6"/>
    <n v="6"/>
    <x v="1"/>
    <n v="295"/>
    <n v="343"/>
    <s v="$240"/>
    <n v="240"/>
    <s v="$100"/>
    <n v="100"/>
    <s v="$25"/>
    <n v="25"/>
    <s v="$57"/>
    <n v="57"/>
    <s v="$1,527"/>
    <n v="1527"/>
    <s v="$836"/>
    <n v="836"/>
    <s v="$1,287"/>
    <n v="1287"/>
    <s v="$1,094"/>
    <n v="1094"/>
    <s v="$1,608"/>
    <n v="1608"/>
    <s v="$1,930"/>
    <n v="1930"/>
  </r>
  <r>
    <x v="9"/>
    <n v="10"/>
    <x v="1"/>
    <n v="12.9"/>
    <x v="0"/>
    <x v="0"/>
    <s v="$3,456"/>
    <n v="3456"/>
    <s v="Nissan NV2500"/>
    <s v="$132"/>
    <n v="132"/>
    <s v="$400"/>
    <n v="400"/>
    <s v="$50"/>
    <n v="50"/>
    <s v="$250"/>
    <n v="250"/>
    <s v="$128"/>
    <n v="128"/>
    <s v="$65"/>
    <n v="65"/>
    <s v="$134"/>
    <n v="134"/>
    <s v="$6"/>
    <n v="6"/>
    <x v="3"/>
    <n v="295"/>
    <n v="343"/>
    <s v="$240"/>
    <n v="240"/>
    <s v="$100"/>
    <n v="100"/>
    <s v="$24"/>
    <n v="24"/>
    <s v="$56"/>
    <n v="56"/>
    <s v="$1,585"/>
    <n v="1585"/>
    <s v="$449"/>
    <n v="449"/>
    <s v="$691"/>
    <n v="691"/>
    <s v="$588"/>
    <n v="588"/>
    <s v="$864"/>
    <n v="864"/>
    <s v="$1,037"/>
    <n v="1037"/>
  </r>
  <r>
    <x v="9"/>
    <n v="11"/>
    <x v="0"/>
    <n v="13"/>
    <x v="0"/>
    <x v="0"/>
    <s v="$6,433"/>
    <n v="6433"/>
    <s v="Chevrolet Express"/>
    <s v="$132"/>
    <n v="132"/>
    <s v="$399"/>
    <n v="399"/>
    <s v="$50"/>
    <n v="50"/>
    <s v="$250"/>
    <n v="250"/>
    <s v="$134"/>
    <n v="134"/>
    <m/>
    <n v="0"/>
    <s v="$134"/>
    <n v="134"/>
    <s v="$6"/>
    <n v="6"/>
    <x v="1"/>
    <n v="295"/>
    <n v="343"/>
    <s v="$240"/>
    <n v="240"/>
    <s v="$100"/>
    <n v="100"/>
    <s v="$25"/>
    <n v="25"/>
    <s v="$57"/>
    <n v="57"/>
    <s v="$1,527"/>
    <n v="1527"/>
    <s v="$836"/>
    <n v="836"/>
    <s v="$1,287"/>
    <n v="1287"/>
    <s v="$1,094"/>
    <n v="1094"/>
    <s v="$1,608"/>
    <n v="1608"/>
    <s v="$1,930"/>
    <n v="1930"/>
  </r>
  <r>
    <x v="9"/>
    <n v="28"/>
    <x v="1"/>
    <n v="14"/>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28"/>
    <x v="1"/>
    <n v="15"/>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29"/>
    <x v="1"/>
    <n v="16"/>
    <x v="0"/>
    <x v="0"/>
    <s v="$3,456"/>
    <n v="3456"/>
    <s v="Nissan NV2500"/>
    <s v="$132"/>
    <n v="132"/>
    <s v="$400"/>
    <n v="400"/>
    <s v="$50"/>
    <n v="50"/>
    <s v="$250"/>
    <n v="250"/>
    <s v="$128"/>
    <n v="128"/>
    <m/>
    <n v="0"/>
    <s v="$134"/>
    <n v="134"/>
    <s v="$6"/>
    <n v="6"/>
    <x v="3"/>
    <n v="295"/>
    <n v="343"/>
    <s v="$240"/>
    <n v="240"/>
    <s v="$100"/>
    <n v="100"/>
    <s v="$24"/>
    <n v="24"/>
    <s v="$56"/>
    <n v="56"/>
    <s v="$1,520"/>
    <n v="1520"/>
    <s v="$449"/>
    <n v="449"/>
    <s v="$691"/>
    <n v="691"/>
    <s v="$588"/>
    <n v="588"/>
    <s v="$864"/>
    <n v="864"/>
    <s v="$1,037"/>
    <n v="1037"/>
  </r>
  <r>
    <x v="9"/>
    <n v="1"/>
    <x v="0"/>
    <n v="21"/>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9"/>
    <n v="2"/>
    <x v="0"/>
    <n v="22"/>
    <x v="0"/>
    <x v="0"/>
    <s v="$5,556"/>
    <n v="5556"/>
    <s v="Freightliner Sprinter"/>
    <s v="$132"/>
    <n v="132"/>
    <s v="$400"/>
    <n v="400"/>
    <s v="$50"/>
    <n v="50"/>
    <s v="$250"/>
    <n v="250"/>
    <s v="$120"/>
    <n v="120"/>
    <s v="$65"/>
    <n v="65"/>
    <s v="$134"/>
    <n v="134"/>
    <s v="$6"/>
    <n v="6"/>
    <x v="0"/>
    <n v="295"/>
    <n v="343"/>
    <s v="$240"/>
    <n v="240"/>
    <s v="$100"/>
    <n v="100"/>
    <s v="$22"/>
    <n v="22"/>
    <s v="$54"/>
    <n v="54"/>
    <s v="$1,573"/>
    <n v="1573"/>
    <s v="$722"/>
    <n v="722"/>
    <s v="$1,111"/>
    <n v="1111"/>
    <s v="$945"/>
    <n v="945"/>
    <s v="$1,389"/>
    <n v="1389"/>
    <s v="$1,667"/>
    <n v="1667"/>
  </r>
  <r>
    <x v="10"/>
    <n v="29"/>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11"/>
    <x v="2"/>
    <n v="17"/>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3"/>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3"/>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0"/>
    <n v="29"/>
    <x v="2"/>
    <n v="18"/>
    <x v="0"/>
    <x v="0"/>
    <s v="$4,782"/>
    <n v="4782"/>
    <s v="Nissan NV2500"/>
    <s v="$132"/>
    <n v="132"/>
    <s v="$400"/>
    <n v="400"/>
    <s v="$50"/>
    <n v="50"/>
    <s v="$250"/>
    <n v="250"/>
    <s v="$120"/>
    <n v="120"/>
    <s v="$65"/>
    <n v="65"/>
    <s v="$134"/>
    <n v="134"/>
    <s v="$6"/>
    <n v="6"/>
    <x v="3"/>
    <n v="295"/>
    <n v="399"/>
    <s v="$279"/>
    <n v="279"/>
    <s v="$100"/>
    <n v="100"/>
    <s v="$25"/>
    <n v="25"/>
    <s v="$57"/>
    <n v="57"/>
    <s v="$1,618"/>
    <n v="1618"/>
    <s v="$622"/>
    <n v="622"/>
    <s v="$956"/>
    <n v="956"/>
    <s v="$813"/>
    <n v="813"/>
    <s v="$1,196"/>
    <n v="1196"/>
    <s v="$1,435"/>
    <n v="1435"/>
  </r>
  <r>
    <x v="11"/>
    <n v="12"/>
    <x v="0"/>
    <n v="12.9"/>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r>
    <x v="11"/>
    <n v="24"/>
    <x v="0"/>
    <n v="18"/>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r>
    <x v="11"/>
    <n v="25"/>
    <x v="0"/>
    <n v="18"/>
    <x v="0"/>
    <x v="0"/>
    <s v="$5,287"/>
    <n v="5287"/>
    <s v="Nissan NV2500"/>
    <s v="$132"/>
    <n v="132"/>
    <s v="$400"/>
    <n v="400"/>
    <s v="$50"/>
    <n v="50"/>
    <s v="$250"/>
    <n v="250"/>
    <s v="$134"/>
    <n v="134"/>
    <m/>
    <n v="0"/>
    <s v="$134"/>
    <n v="134"/>
    <s v="$6"/>
    <n v="6"/>
    <x v="3"/>
    <n v="295"/>
    <n v="343"/>
    <s v="$240"/>
    <n v="240"/>
    <s v="$100"/>
    <n v="100"/>
    <s v="$26"/>
    <n v="26"/>
    <s v="$58"/>
    <n v="58"/>
    <s v="$1,530"/>
    <n v="1530"/>
    <s v="$687"/>
    <n v="687"/>
    <s v="$1,057"/>
    <n v="1057"/>
    <s v="$899"/>
    <n v="899"/>
    <s v="$1,322"/>
    <n v="1322"/>
    <s v="$1,586"/>
    <n v="15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69771-4DC9-437E-AEE0-F7DF27C2A525}" name="PivotTable1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G9:CH17" firstHeaderRow="1" firstDataRow="1" firstDataCol="1"/>
  <pivotFields count="49">
    <pivotField showAll="0">
      <items count="13">
        <item x="0"/>
        <item x="1"/>
        <item x="2"/>
        <item x="3"/>
        <item x="4"/>
        <item x="5"/>
        <item x="6"/>
        <item x="7"/>
        <item x="8"/>
        <item x="9"/>
        <item x="10"/>
        <item x="11"/>
        <item t="default"/>
      </items>
    </pivotField>
    <pivotField showAll="0"/>
    <pivotField showAll="0"/>
    <pivotField showAll="0"/>
    <pivotField showAll="0"/>
    <pivotField axis="axisRow" dataField="1" showAll="0">
      <items count="9">
        <item x="4"/>
        <item x="1"/>
        <item x="2"/>
        <item x="3"/>
        <item x="6"/>
        <item x="0"/>
        <item m="1" x="7"/>
        <item x="5"/>
        <item t="default"/>
      </items>
    </pivotField>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5"/>
  </rowFields>
  <rowItems count="8">
    <i>
      <x/>
    </i>
    <i>
      <x v="1"/>
    </i>
    <i>
      <x v="2"/>
    </i>
    <i>
      <x v="3"/>
    </i>
    <i>
      <x v="4"/>
    </i>
    <i>
      <x v="5"/>
    </i>
    <i>
      <x v="7"/>
    </i>
    <i t="grand">
      <x/>
    </i>
  </rowItems>
  <colItems count="1">
    <i/>
  </colItems>
  <dataFields count="1">
    <dataField name="Count of Destin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EF05C9-7F9A-4A37-A620-FFB89D80B182}"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D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Items count="1">
    <i/>
  </rowItems>
  <colFields count="1">
    <field x="-2"/>
  </colFields>
  <colItems count="3">
    <i>
      <x/>
    </i>
    <i i="1">
      <x v="1"/>
    </i>
    <i i="2">
      <x v="2"/>
    </i>
  </colItems>
  <dataFields count="3">
    <dataField name="Sum of Rate" fld="7" baseField="0" baseItem="0"/>
    <dataField name="Sum of Total Expenses" fld="37" baseField="0" baseItem="0"/>
    <dataField name="Sum of Balance" fld="48" baseField="0" baseItem="0" numFmtId="164"/>
  </dataFields>
  <formats count="11">
    <format dxfId="356">
      <pivotArea dataOnly="0" labelOnly="1" outline="0" fieldPosition="0">
        <references count="1">
          <reference field="4294967294" count="3">
            <x v="0"/>
            <x v="1"/>
            <x v="2"/>
          </reference>
        </references>
      </pivotArea>
    </format>
    <format dxfId="357">
      <pivotArea dataOnly="0" labelOnly="1" outline="0" fieldPosition="0">
        <references count="1">
          <reference field="4294967294" count="3">
            <x v="0"/>
            <x v="1"/>
            <x v="2"/>
          </reference>
        </references>
      </pivotArea>
    </format>
    <format dxfId="358">
      <pivotArea outline="0" collapsedLevelsAreSubtotals="1" fieldPosition="0"/>
    </format>
    <format dxfId="359">
      <pivotArea outline="0" collapsedLevelsAreSubtotals="1" fieldPosition="0"/>
    </format>
    <format dxfId="360">
      <pivotArea outline="0" collapsedLevelsAreSubtotals="1" fieldPosition="0"/>
    </format>
    <format dxfId="361">
      <pivotArea dataOnly="0" labelOnly="1" outline="0" fieldPosition="0">
        <references count="1">
          <reference field="4294967294" count="3">
            <x v="0"/>
            <x v="1"/>
            <x v="2"/>
          </reference>
        </references>
      </pivotArea>
    </format>
    <format dxfId="362">
      <pivotArea dataOnly="0" labelOnly="1" outline="0" fieldPosition="0">
        <references count="1">
          <reference field="4294967294" count="3">
            <x v="0"/>
            <x v="1"/>
            <x v="2"/>
          </reference>
        </references>
      </pivotArea>
    </format>
    <format dxfId="363">
      <pivotArea dataOnly="0" labelOnly="1" outline="0" fieldPosition="0">
        <references count="1">
          <reference field="4294967294" count="3">
            <x v="0"/>
            <x v="1"/>
            <x v="2"/>
          </reference>
        </references>
      </pivotArea>
    </format>
    <format dxfId="364">
      <pivotArea dataOnly="0" labelOnly="1" outline="0" fieldPosition="0">
        <references count="1">
          <reference field="4294967294" count="3">
            <x v="0"/>
            <x v="1"/>
            <x v="2"/>
          </reference>
        </references>
      </pivotArea>
    </format>
    <format dxfId="365">
      <pivotArea outline="0" collapsedLevelsAreSubtotals="1" fieldPosition="0"/>
    </format>
    <format dxfId="3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F667F3-95AD-440D-B486-FA825EC4DD47}"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9:AD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Fundings" fld="24" baseField="0" baseItem="1"/>
    <dataField name="Sum of Warehouse" fld="18" baseField="0" baseItem="0"/>
    <dataField name="Sum of Tolls" fld="22" baseField="0" baseItem="0"/>
    <dataField name="Sum of Repairs" fld="20" baseField="0" baseItem="0"/>
  </dataFields>
  <formats count="5">
    <format dxfId="336">
      <pivotArea outline="0" collapsedLevelsAreSubtotals="1" fieldPosition="0"/>
    </format>
    <format dxfId="337">
      <pivotArea outline="0" collapsedLevelsAreSubtotals="1" fieldPosition="0"/>
    </format>
    <format dxfId="338">
      <pivotArea outline="0" collapsedLevelsAreSubtotals="1" fieldPosition="0"/>
    </format>
    <format dxfId="339">
      <pivotArea outline="0" collapsedLevelsAreSubtotals="1" fieldPosition="0"/>
    </format>
    <format dxfId="3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9C4D19-46A0-45B3-99F2-692A06FC54BE}"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9:N12" firstHeaderRow="1" firstDataRow="1" firstDataCol="1"/>
  <pivotFields count="49">
    <pivotField showAll="0">
      <items count="13">
        <item x="0"/>
        <item x="1"/>
        <item x="2"/>
        <item x="3"/>
        <item x="4"/>
        <item x="5"/>
        <item x="6"/>
        <item x="7"/>
        <item x="8"/>
        <item x="9"/>
        <item x="10"/>
        <item x="11"/>
        <item t="default"/>
      </items>
    </pivotField>
    <pivotField showAll="0"/>
    <pivotField showAll="0"/>
    <pivotField showAll="0"/>
    <pivotField axis="axisRow" dataField="1" showAll="0">
      <items count="3">
        <item x="1"/>
        <item x="0"/>
        <item t="default"/>
      </items>
    </pivotField>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5">
    <format dxfId="351">
      <pivotArea outline="0" collapsedLevelsAreSubtotals="1" fieldPosition="0"/>
    </format>
    <format dxfId="352">
      <pivotArea outline="0" collapsedLevelsAreSubtotals="1" fieldPosition="0"/>
    </format>
    <format dxfId="353">
      <pivotArea outline="0" collapsedLevelsAreSubtotals="1" fieldPosition="0"/>
    </format>
    <format dxfId="354">
      <pivotArea outline="0" collapsedLevelsAreSubtotals="1" fieldPosition="0"/>
    </format>
    <format dxfId="3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FBD615-C2F8-436D-B659-7AAA08C547AA}"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9:I22" firstHeaderRow="1"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48" baseField="0" baseItem="0" numFmtId="164"/>
  </dataFields>
  <formats count="11">
    <format dxfId="320">
      <pivotArea dataOnly="0" labelOnly="1" outline="0" fieldPosition="0">
        <references count="1">
          <reference field="4294967294" count="1">
            <x v="0"/>
          </reference>
        </references>
      </pivotArea>
    </format>
    <format dxfId="321">
      <pivotArea dataOnly="0" labelOnly="1" outline="0" fieldPosition="0">
        <references count="1">
          <reference field="4294967294" count="1">
            <x v="0"/>
          </reference>
        </references>
      </pivotArea>
    </format>
    <format dxfId="322">
      <pivotArea outline="0" collapsedLevelsAreSubtotals="1" fieldPosition="0"/>
    </format>
    <format dxfId="323">
      <pivotArea outline="0" collapsedLevelsAreSubtotals="1" fieldPosition="0"/>
    </format>
    <format dxfId="324">
      <pivotArea outline="0" collapsedLevelsAreSubtotals="1" fieldPosition="0"/>
    </format>
    <format dxfId="325">
      <pivotArea dataOnly="0" labelOnly="1" outline="0" fieldPosition="0">
        <references count="1">
          <reference field="4294967294" count="1">
            <x v="0"/>
          </reference>
        </references>
      </pivotArea>
    </format>
    <format dxfId="326">
      <pivotArea dataOnly="0" labelOnly="1" outline="0" fieldPosition="0">
        <references count="1">
          <reference field="4294967294" count="1">
            <x v="0"/>
          </reference>
        </references>
      </pivotArea>
    </format>
    <format dxfId="327">
      <pivotArea dataOnly="0" labelOnly="1" outline="0" fieldPosition="0">
        <references count="1">
          <reference field="4294967294" count="1">
            <x v="0"/>
          </reference>
        </references>
      </pivotArea>
    </format>
    <format dxfId="328">
      <pivotArea dataOnly="0" labelOnly="1" outline="0" fieldPosition="0">
        <references count="1">
          <reference field="4294967294" count="1">
            <x v="0"/>
          </reference>
        </references>
      </pivotArea>
    </format>
    <format dxfId="329">
      <pivotArea outline="0" collapsedLevelsAreSubtotals="1" fieldPosition="0"/>
    </format>
    <format dxfId="3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E1248-7E1C-4E1F-87EF-C16554A441F0}" name="PivotTable1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W9:CB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pivotField dataField="1"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First condition type" fld="39" baseField="0" baseItem="0"/>
    <dataField name="Sum of Shipment cost          sub-items" fld="41" baseField="0" baseItem="0"/>
    <dataField name="Sum of ERE Stage" fld="43" baseField="0" baseItem="0"/>
    <dataField name="Sum of Basic freight" fld="45" baseField="0" baseItem="0"/>
    <dataField name="Sum of Final Amount" fld="47" baseField="0" baseItem="0"/>
  </dataFields>
  <formats count="5">
    <format dxfId="310">
      <pivotArea outline="0" collapsedLevelsAreSubtotals="1" fieldPosition="0"/>
    </format>
    <format dxfId="311">
      <pivotArea outline="0" collapsedLevelsAreSubtotals="1" fieldPosition="0"/>
    </format>
    <format dxfId="312">
      <pivotArea outline="0" collapsedLevelsAreSubtotals="1" fieldPosition="0"/>
    </format>
    <format dxfId="313">
      <pivotArea outline="0" collapsedLevelsAreSubtotals="1" fieldPosition="0"/>
    </format>
    <format dxfId="3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794D6-B392-49BC-B482-A0B9F07E768C}" name="PivotTable1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K9:BM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7" baseField="0" baseItem="0"/>
    <dataField name="Sum of Total Expenses" fld="37" baseField="0" baseItem="0"/>
  </dataFields>
  <formats count="5">
    <format dxfId="315">
      <pivotArea outline="0" collapsedLevelsAreSubtotals="1" fieldPosition="0"/>
    </format>
    <format dxfId="316">
      <pivotArea outline="0" collapsedLevelsAreSubtotals="1" fieldPosition="0"/>
    </format>
    <format dxfId="317">
      <pivotArea outline="0" collapsedLevelsAreSubtotals="1" fieldPosition="0"/>
    </format>
    <format dxfId="318">
      <pivotArea outline="0" collapsedLevelsAreSubtotals="1" fieldPosition="0"/>
    </format>
    <format dxfId="3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3A7619-A330-4E90-A59B-CE2C0DFD7E77}"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9:BE13" firstHeaderRow="0" firstDataRow="1" firstDataCol="1"/>
  <pivotFields count="49">
    <pivotField showAll="0">
      <items count="13">
        <item x="0"/>
        <item x="1"/>
        <item x="2"/>
        <item x="3"/>
        <item x="4"/>
        <item x="5"/>
        <item x="6"/>
        <item x="7"/>
        <item x="8"/>
        <item x="9"/>
        <item x="10"/>
        <item x="11"/>
        <item t="default"/>
      </items>
    </pivotField>
    <pivotField showAll="0"/>
    <pivotField axis="axisRow" dataField="1" showAll="0">
      <items count="4">
        <item x="2"/>
        <item x="1"/>
        <item x="0"/>
        <item t="default"/>
      </items>
    </pivotField>
    <pivotField dataField="1"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Sum of Tonnage" fld="3" baseField="0" baseItem="0"/>
    <dataField name="Count of Loa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6F76BE-6D42-45B9-A994-DA2889DA2719}"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L9:AR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dataField="1" showAll="0"/>
    <pivotField dataField="1" showAll="0"/>
    <pivotField showAll="0"/>
    <pivotField dataField="1" numFmtId="164" showAll="0"/>
    <pivotField showAll="0"/>
    <pivotField dataField="1" numFmtId="164" showAll="0"/>
    <pivotField showAll="0"/>
    <pivotField dataField="1"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Sum of Odometer" fld="26" baseField="0" baseItem="0"/>
    <dataField name="Sum of Miles" fld="27" baseField="0" baseItem="0"/>
    <dataField name="Sum of Rate Per Miles" fld="29" baseField="0" baseItem="0"/>
    <dataField name="Sum of Extra Stops" fld="31" baseField="0" baseItem="0"/>
    <dataField name="Sum of Extra Pay" fld="33" baseField="0" baseItem="0"/>
    <dataField name="Sum of Costs Driver Paid" fld="35" baseField="0" baseItem="0"/>
  </dataFields>
  <formats count="5">
    <format dxfId="367">
      <pivotArea outline="0" collapsedLevelsAreSubtotals="1" fieldPosition="0"/>
    </format>
    <format dxfId="368">
      <pivotArea outline="0" collapsedLevelsAreSubtotals="1" fieldPosition="0"/>
    </format>
    <format dxfId="369">
      <pivotArea outline="0" collapsedLevelsAreSubtotals="1" fieldPosition="0"/>
    </format>
    <format dxfId="370">
      <pivotArea outline="0" collapsedLevelsAreSubtotals="1" fieldPosition="0"/>
    </format>
    <format dxfId="3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998760-CA5F-48B1-8550-8E99B48693B5}"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Z9:AZ14" firstHeaderRow="1" firstDataRow="1" firstDataCol="1"/>
  <pivotFields count="49">
    <pivotField showAll="0"/>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axis="axisRow"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25"/>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380818-F828-4B3B-99BB-C05CD3DEF77E}"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V9:AW22" firstHeaderRow="1"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48" baseField="0" baseItem="0" numFmtId="164"/>
  </dataFields>
  <formats count="11">
    <format dxfId="388">
      <pivotArea dataOnly="0" labelOnly="1" outline="0" fieldPosition="0">
        <references count="1">
          <reference field="4294967294" count="1">
            <x v="0"/>
          </reference>
        </references>
      </pivotArea>
    </format>
    <format dxfId="389">
      <pivotArea dataOnly="0" labelOnly="1" outline="0" fieldPosition="0">
        <references count="1">
          <reference field="4294967294" count="1">
            <x v="0"/>
          </reference>
        </references>
      </pivotArea>
    </format>
    <format dxfId="390">
      <pivotArea outline="0" collapsedLevelsAreSubtotals="1" fieldPosition="0"/>
    </format>
    <format dxfId="391">
      <pivotArea outline="0" collapsedLevelsAreSubtotals="1" fieldPosition="0"/>
    </format>
    <format dxfId="392">
      <pivotArea outline="0" collapsedLevelsAreSubtotals="1" fieldPosition="0"/>
    </format>
    <format dxfId="393">
      <pivotArea dataOnly="0" labelOnly="1" outline="0" fieldPosition="0">
        <references count="1">
          <reference field="4294967294" count="1">
            <x v="0"/>
          </reference>
        </references>
      </pivotArea>
    </format>
    <format dxfId="394">
      <pivotArea dataOnly="0" labelOnly="1" outline="0" fieldPosition="0">
        <references count="1">
          <reference field="4294967294" count="1">
            <x v="0"/>
          </reference>
        </references>
      </pivotArea>
    </format>
    <format dxfId="395">
      <pivotArea dataOnly="0" labelOnly="1" outline="0" fieldPosition="0">
        <references count="1">
          <reference field="4294967294" count="1">
            <x v="0"/>
          </reference>
        </references>
      </pivotArea>
    </format>
    <format dxfId="396">
      <pivotArea dataOnly="0" labelOnly="1" outline="0" fieldPosition="0">
        <references count="1">
          <reference field="4294967294" count="1">
            <x v="0"/>
          </reference>
        </references>
      </pivotArea>
    </format>
    <format dxfId="397">
      <pivotArea outline="0" collapsedLevelsAreSubtotals="1" fieldPosition="0"/>
    </format>
    <format dxfId="398">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5946B8-C659-4DA5-BF7E-BC5F622AA18D}"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G9:AI22" firstHeaderRow="0" firstDataRow="1" firstDataCol="1"/>
  <pivotFields count="4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7" baseField="0" baseItem="0"/>
    <dataField name="Sum of Total Expenses" fld="37" baseField="0" baseItem="0"/>
  </dataFields>
  <formats count="5">
    <format dxfId="331">
      <pivotArea outline="0" collapsedLevelsAreSubtotals="1" fieldPosition="0"/>
    </format>
    <format dxfId="332">
      <pivotArea outline="0" collapsedLevelsAreSubtotals="1" fieldPosition="0"/>
    </format>
    <format dxfId="333">
      <pivotArea outline="0" collapsedLevelsAreSubtotals="1" fieldPosition="0"/>
    </format>
    <format dxfId="334">
      <pivotArea outline="0" collapsedLevelsAreSubtotals="1" fieldPosition="0"/>
    </format>
    <format dxfId="3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707CA2-AC71-4733-848A-30EDEED1E78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9:U10" firstHeaderRow="0" firstDataRow="1" firstDataCol="0"/>
  <pivotFields count="49">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64" showAll="0"/>
    <pivotField showAll="0"/>
    <pivotField showAll="0"/>
    <pivotField dataField="1" showAll="0"/>
    <pivotField showAll="0"/>
    <pivotField dataField="1" numFmtId="164" showAll="0"/>
    <pivotField showAll="0"/>
    <pivotField dataField="1" numFmtId="164" showAll="0"/>
    <pivotField showAll="0"/>
    <pivotField dataField="1" numFmtId="164" showAll="0"/>
    <pivotField showAll="0"/>
    <pivotField numFmtId="164" showAll="0"/>
    <pivotField showAll="0"/>
    <pivotField numFmtId="164" showAll="0"/>
    <pivotField showAll="0"/>
    <pivotField numFmtId="164" showAll="0"/>
    <pivotField showAll="0"/>
    <pivotField numFmtId="164" showAll="0"/>
    <pivotField showAll="0">
      <items count="5">
        <item x="0"/>
        <item x="1"/>
        <item x="3"/>
        <item x="2"/>
        <item t="default"/>
      </items>
    </pivotField>
    <pivotField showAll="0"/>
    <pivotField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ragToRow="0" dragToCol="0" dragToPage="0" showAll="0" defaultSubtotal="0"/>
  </pivotFields>
  <rowItems count="1">
    <i/>
  </rowItems>
  <colFields count="1">
    <field x="-2"/>
  </colFields>
  <colItems count="4">
    <i>
      <x/>
    </i>
    <i i="1">
      <x v="1"/>
    </i>
    <i i="2">
      <x v="2"/>
    </i>
    <i i="3">
      <x v="3"/>
    </i>
  </colItems>
  <dataFields count="4">
    <dataField name="Sum of Insurance" fld="10" baseField="0" baseItem="3"/>
    <dataField name="Sum of Fuel" fld="12" baseField="0" baseItem="0"/>
    <dataField name="Sum of Diesel Exhaust Fluid" fld="14" baseField="0" baseItem="0"/>
    <dataField name="Sum of Advance" fld="16" baseField="0" baseItem="0"/>
  </dataFields>
  <formats count="10">
    <format dxfId="341">
      <pivotArea outline="0" collapsedLevelsAreSubtotals="1" fieldPosition="0"/>
    </format>
    <format dxfId="342">
      <pivotArea outline="0" collapsedLevelsAreSubtotals="1" fieldPosition="0"/>
    </format>
    <format dxfId="343">
      <pivotArea outline="0" collapsedLevelsAreSubtotals="1" fieldPosition="0"/>
    </format>
    <format dxfId="344">
      <pivotArea outline="0" collapsedLevelsAreSubtotals="1" fieldPosition="0"/>
    </format>
    <format dxfId="345">
      <pivotArea outline="0" collapsedLevelsAreSubtotals="1" fieldPosition="0"/>
    </format>
    <format dxfId="346">
      <pivotArea dataOnly="0" labelOnly="1" outline="0" fieldPosition="0">
        <references count="1">
          <reference field="4294967294" count="4">
            <x v="0"/>
            <x v="1"/>
            <x v="2"/>
            <x v="3"/>
          </reference>
        </references>
      </pivotArea>
    </format>
    <format dxfId="347">
      <pivotArea dataOnly="0" labelOnly="1" outline="0" fieldPosition="0">
        <references count="1">
          <reference field="4294967294" count="4">
            <x v="0"/>
            <x v="1"/>
            <x v="2"/>
            <x v="3"/>
          </reference>
        </references>
      </pivotArea>
    </format>
    <format dxfId="348">
      <pivotArea dataOnly="0" labelOnly="1" outline="0" fieldPosition="0">
        <references count="1">
          <reference field="4294967294" count="4">
            <x v="0"/>
            <x v="1"/>
            <x v="2"/>
            <x v="3"/>
          </reference>
        </references>
      </pivotArea>
    </format>
    <format dxfId="349">
      <pivotArea dataOnly="0" labelOnly="1" outline="0" fieldPosition="0">
        <references count="1">
          <reference field="4294967294" count="1">
            <x v="2"/>
          </reference>
        </references>
      </pivotArea>
    </format>
    <format dxfId="350">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2DE4EC-95CF-4CFD-9AF2-7AD3B8107081}" sourceName="Month">
  <pivotTables>
    <pivotTable tabId="3" name="PivotTable7"/>
    <pivotTable tabId="3" name="PivotTable1"/>
    <pivotTable tabId="3" name="PivotTable3"/>
    <pivotTable tabId="3" name="PivotTable4"/>
    <pivotTable tabId="3" name="PivotTable5"/>
    <pivotTable tabId="3" name="PivotTable6"/>
    <pivotTable tabId="3" name="PivotTable2"/>
    <pivotTable tabId="3" name="PivotTable9"/>
    <pivotTable tabId="3" name="PivotTable14"/>
    <pivotTable tabId="3" name="PivotTable16"/>
    <pivotTable tabId="3" name="PivotTable17"/>
  </pivotTables>
  <data>
    <tabular pivotCacheId="221399556">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4E4C1ECA-63EB-40C3-9436-C13775B08892}" sourceName="Driver Name">
  <pivotTables>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
    <pivotTable tabId="3" name="PivotTable3"/>
    <pivotTable tabId="3" name="PivotTable16"/>
    <pivotTable tabId="3" name="PivotTable17"/>
  </pivotTables>
  <data>
    <tabular pivotCacheId="221399556">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FB01BF4-3908-4F5F-82D3-ECBE89584420}" cache="Slicer_Month" columnCount="12" showCaption="0" style="SlicerStyleDark2 2" rowHeight="365760"/>
  <slicer name="Driver Name" xr10:uid="{421F5641-FB3B-4C67-80AC-F564D671EC43}" cache="Slicer_Driver_Name" caption="Driver Name" showCaption="0" style="SlicerStyleDark2 2 2"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B1B9-EFE6-48D3-88D7-08897F4EF7FE}">
  <sheetPr codeName="Sheet1">
    <tabColor theme="3" tint="0.749992370372631"/>
  </sheetPr>
  <dimension ref="A2:AV65"/>
  <sheetViews>
    <sheetView zoomScale="80" zoomScaleNormal="80" workbookViewId="0"/>
  </sheetViews>
  <sheetFormatPr defaultRowHeight="14.4" x14ac:dyDescent="0.3"/>
  <cols>
    <col min="4" max="4" width="11.109375" customWidth="1"/>
    <col min="5" max="5" width="17.44140625" customWidth="1"/>
    <col min="6" max="6" width="12.5546875" customWidth="1"/>
    <col min="7" max="7" width="10.21875" hidden="1" customWidth="1"/>
    <col min="9" max="9" width="20.33203125" bestFit="1" customWidth="1"/>
    <col min="10" max="10" width="0" hidden="1" customWidth="1"/>
    <col min="11" max="11" width="10.5546875" bestFit="1" customWidth="1"/>
    <col min="12" max="12" width="0" hidden="1" customWidth="1"/>
    <col min="14" max="14" width="0" hidden="1" customWidth="1"/>
    <col min="15" max="15" width="14.6640625" customWidth="1"/>
    <col min="16" max="16" width="8.88671875" hidden="1" customWidth="1"/>
    <col min="17" max="17" width="9.5546875" bestFit="1" customWidth="1"/>
    <col min="18" max="18" width="0" hidden="1" customWidth="1"/>
    <col min="19" max="19" width="12" bestFit="1" customWidth="1"/>
    <col min="20" max="20" width="3.33203125" hidden="1" customWidth="1"/>
    <col min="21" max="21" width="8.44140625" bestFit="1" customWidth="1"/>
    <col min="22" max="22" width="0" hidden="1" customWidth="1"/>
    <col min="24" max="24" width="0" hidden="1" customWidth="1"/>
    <col min="25" max="25" width="10" bestFit="1" customWidth="1"/>
    <col min="26" max="26" width="19.33203125" bestFit="1" customWidth="1"/>
    <col min="27" max="27" width="11.44140625" customWidth="1"/>
    <col min="29" max="29" width="0" hidden="1" customWidth="1"/>
    <col min="30" max="30" width="14.6640625" customWidth="1"/>
    <col min="31" max="31" width="0" hidden="1" customWidth="1"/>
    <col min="32" max="32" width="13.5546875" customWidth="1"/>
    <col min="33" max="33" width="0" hidden="1" customWidth="1"/>
    <col min="34" max="34" width="10.33203125" bestFit="1" customWidth="1"/>
    <col min="35" max="35" width="0" hidden="1" customWidth="1"/>
    <col min="36" max="36" width="14.21875" customWidth="1"/>
    <col min="37" max="37" width="0" hidden="1" customWidth="1"/>
    <col min="38" max="38" width="14.109375" customWidth="1"/>
    <col min="39" max="39" width="0" hidden="1" customWidth="1"/>
    <col min="40" max="40" width="14.77734375" customWidth="1"/>
    <col min="41" max="41" width="0" hidden="1" customWidth="1"/>
    <col min="42" max="42" width="12.33203125" customWidth="1"/>
    <col min="43" max="43" width="0" hidden="1" customWidth="1"/>
    <col min="44" max="44" width="11.21875" bestFit="1" customWidth="1"/>
    <col min="45" max="45" width="0" hidden="1" customWidth="1"/>
    <col min="46" max="46" width="13.33203125" bestFit="1" customWidth="1"/>
    <col min="47" max="47" width="0" hidden="1" customWidth="1"/>
    <col min="48" max="48" width="14" bestFit="1" customWidth="1"/>
  </cols>
  <sheetData>
    <row r="2" spans="1:48" ht="15" thickBot="1" x14ac:dyDescent="0.35"/>
    <row r="3" spans="1:48" x14ac:dyDescent="0.3">
      <c r="A3" s="21"/>
      <c r="B3" s="14"/>
      <c r="C3" s="14"/>
      <c r="D3" s="14"/>
      <c r="E3" s="14"/>
      <c r="F3" s="14"/>
      <c r="G3" s="14"/>
      <c r="H3" s="15"/>
      <c r="I3" s="12"/>
      <c r="J3" s="11"/>
      <c r="K3" s="22" t="s">
        <v>229</v>
      </c>
      <c r="L3" s="11"/>
      <c r="M3" s="11"/>
      <c r="N3" s="11"/>
      <c r="O3" s="11"/>
      <c r="P3" s="11"/>
      <c r="Q3" s="13"/>
      <c r="S3" s="14"/>
      <c r="T3" s="14"/>
      <c r="U3" s="22" t="s">
        <v>230</v>
      </c>
      <c r="V3" s="14"/>
      <c r="W3" s="14"/>
      <c r="X3" s="14"/>
      <c r="Y3" s="15"/>
      <c r="Z3" s="21"/>
      <c r="AA3" s="14"/>
      <c r="AB3" s="14"/>
      <c r="AC3" s="14"/>
      <c r="AD3" s="22" t="s">
        <v>231</v>
      </c>
      <c r="AE3" s="14"/>
      <c r="AF3" s="14"/>
      <c r="AG3" s="14"/>
      <c r="AH3" s="14"/>
      <c r="AI3" s="14"/>
      <c r="AJ3" s="15"/>
      <c r="AL3" s="21"/>
      <c r="AM3" s="14"/>
      <c r="AN3" s="14"/>
      <c r="AO3" s="14"/>
      <c r="AP3" s="22" t="s">
        <v>232</v>
      </c>
      <c r="AQ3" s="14"/>
      <c r="AR3" s="14"/>
      <c r="AS3" s="14"/>
      <c r="AT3" s="14"/>
      <c r="AU3" s="14"/>
      <c r="AV3" s="15"/>
    </row>
    <row r="4" spans="1:48" ht="69" x14ac:dyDescent="0.3">
      <c r="A4" s="17" t="s">
        <v>0</v>
      </c>
      <c r="B4" s="17" t="s">
        <v>1</v>
      </c>
      <c r="C4" s="17" t="s">
        <v>2</v>
      </c>
      <c r="D4" s="17" t="s">
        <v>3</v>
      </c>
      <c r="E4" s="17" t="s">
        <v>4</v>
      </c>
      <c r="F4" s="17" t="s">
        <v>5</v>
      </c>
      <c r="G4" s="17" t="s">
        <v>30</v>
      </c>
      <c r="H4" s="17" t="s">
        <v>218</v>
      </c>
      <c r="I4" s="18" t="s">
        <v>31</v>
      </c>
      <c r="J4" s="18" t="s">
        <v>32</v>
      </c>
      <c r="K4" s="18" t="s">
        <v>219</v>
      </c>
      <c r="L4" s="18" t="s">
        <v>33</v>
      </c>
      <c r="M4" s="18" t="s">
        <v>220</v>
      </c>
      <c r="N4" s="18" t="s">
        <v>34</v>
      </c>
      <c r="O4" s="18" t="s">
        <v>221</v>
      </c>
      <c r="P4" s="18" t="s">
        <v>35</v>
      </c>
      <c r="Q4" s="18" t="s">
        <v>222</v>
      </c>
      <c r="R4" s="18" t="s">
        <v>36</v>
      </c>
      <c r="S4" s="18" t="s">
        <v>223</v>
      </c>
      <c r="T4" s="18" t="s">
        <v>37</v>
      </c>
      <c r="U4" s="18" t="s">
        <v>224</v>
      </c>
      <c r="V4" s="18" t="s">
        <v>38</v>
      </c>
      <c r="W4" s="18" t="s">
        <v>225</v>
      </c>
      <c r="X4" s="18" t="s">
        <v>40</v>
      </c>
      <c r="Y4" s="18" t="s">
        <v>41</v>
      </c>
      <c r="Z4" s="18" t="s">
        <v>42</v>
      </c>
      <c r="AA4" s="18" t="s">
        <v>43</v>
      </c>
      <c r="AB4" s="18" t="s">
        <v>44</v>
      </c>
      <c r="AC4" s="18" t="s">
        <v>45</v>
      </c>
      <c r="AD4" s="18" t="s">
        <v>46</v>
      </c>
      <c r="AE4" s="18" t="s">
        <v>47</v>
      </c>
      <c r="AF4" s="18" t="s">
        <v>48</v>
      </c>
      <c r="AG4" s="18" t="s">
        <v>49</v>
      </c>
      <c r="AH4" s="18" t="s">
        <v>50</v>
      </c>
      <c r="AI4" s="18" t="s">
        <v>51</v>
      </c>
      <c r="AJ4" s="18" t="s">
        <v>52</v>
      </c>
      <c r="AK4" s="1" t="s">
        <v>53</v>
      </c>
      <c r="AL4" s="19" t="s">
        <v>54</v>
      </c>
      <c r="AM4" s="1" t="s">
        <v>55</v>
      </c>
      <c r="AN4" s="20" t="s">
        <v>56</v>
      </c>
      <c r="AO4" s="20" t="s">
        <v>57</v>
      </c>
      <c r="AP4" s="20" t="s">
        <v>58</v>
      </c>
      <c r="AQ4" s="20" t="s">
        <v>59</v>
      </c>
      <c r="AR4" s="20" t="s">
        <v>60</v>
      </c>
      <c r="AS4" s="20" t="s">
        <v>61</v>
      </c>
      <c r="AT4" s="20" t="s">
        <v>62</v>
      </c>
      <c r="AU4" s="20" t="s">
        <v>63</v>
      </c>
      <c r="AV4" s="20" t="s">
        <v>64</v>
      </c>
    </row>
    <row r="5" spans="1:48" ht="45" x14ac:dyDescent="0.3">
      <c r="A5" s="2" t="s">
        <v>6</v>
      </c>
      <c r="B5" s="2">
        <v>1</v>
      </c>
      <c r="C5" s="2" t="s">
        <v>7</v>
      </c>
      <c r="D5" s="2">
        <v>11</v>
      </c>
      <c r="E5" s="2" t="s">
        <v>8</v>
      </c>
      <c r="F5" s="2" t="s">
        <v>14</v>
      </c>
      <c r="G5" s="4" t="s">
        <v>65</v>
      </c>
      <c r="H5" s="3">
        <f t="shared" ref="H5:H36" si="0">_xlfn.NUMBERVALUE(CLEAN(SUBSTITUTE(G5,"$"," ")))</f>
        <v>5556</v>
      </c>
      <c r="I5" s="5" t="s">
        <v>66</v>
      </c>
      <c r="J5" s="2" t="s">
        <v>67</v>
      </c>
      <c r="K5" s="6">
        <f>_xlfn.NUMBERVALUE(CLEAN(SUBSTITUTE(J5,"$"," ")))</f>
        <v>132</v>
      </c>
      <c r="L5" s="2" t="s">
        <v>68</v>
      </c>
      <c r="M5" s="6">
        <f>_xlfn.NUMBERVALUE(CLEAN(SUBSTITUTE(L5,"$"," ")))</f>
        <v>400</v>
      </c>
      <c r="N5" s="2" t="s">
        <v>69</v>
      </c>
      <c r="O5" s="6">
        <f>_xlfn.NUMBERVALUE(CLEAN(SUBSTITUTE(N5,"$"," ")))</f>
        <v>50</v>
      </c>
      <c r="P5" s="2" t="s">
        <v>70</v>
      </c>
      <c r="Q5" s="6">
        <f>_xlfn.NUMBERVALUE(CLEAN(SUBSTITUTE(P5,"$"," ")))</f>
        <v>250</v>
      </c>
      <c r="R5" s="2" t="s">
        <v>71</v>
      </c>
      <c r="S5" s="6">
        <f>_xlfn.NUMBERVALUE(CLEAN(SUBSTITUTE(R5,"$"," ")))</f>
        <v>120</v>
      </c>
      <c r="T5" s="2" t="s">
        <v>72</v>
      </c>
      <c r="U5" s="6">
        <f>_xlfn.NUMBERVALUE(CLEAN(SUBSTITUTE(T5,"$"," ")))</f>
        <v>65</v>
      </c>
      <c r="V5" s="2" t="s">
        <v>73</v>
      </c>
      <c r="W5" s="6">
        <f>_xlfn.NUMBERVALUE(CLEAN(SUBSTITUTE(V5,"$"," ")))</f>
        <v>134</v>
      </c>
      <c r="X5" s="2" t="s">
        <v>74</v>
      </c>
      <c r="Y5" s="6">
        <f>_xlfn.NUMBERVALUE(CLEAN(SUBSTITUTE(X5,"$"," ")))</f>
        <v>6</v>
      </c>
      <c r="Z5" s="5" t="s">
        <v>75</v>
      </c>
      <c r="AA5" s="2">
        <v>295</v>
      </c>
      <c r="AB5" s="2">
        <v>343</v>
      </c>
      <c r="AC5" s="2" t="s">
        <v>76</v>
      </c>
      <c r="AD5" s="6">
        <f t="shared" ref="AD5:AD36" si="1">_xlfn.NUMBERVALUE(CLEAN(SUBSTITUTE(AC5,"$"," ")))</f>
        <v>240</v>
      </c>
      <c r="AE5" s="2" t="s">
        <v>77</v>
      </c>
      <c r="AF5" s="6">
        <f>_xlfn.NUMBERVALUE(CLEAN(SUBSTITUTE(AE5,"$"," ")))</f>
        <v>100</v>
      </c>
      <c r="AG5" s="2" t="s">
        <v>78</v>
      </c>
      <c r="AH5" s="6">
        <f>_xlfn.NUMBERVALUE(CLEAN(SUBSTITUTE(AG5,"$"," ")))</f>
        <v>22</v>
      </c>
      <c r="AI5" s="2" t="s">
        <v>79</v>
      </c>
      <c r="AJ5" s="6">
        <f>_xlfn.NUMBERVALUE(CLEAN(SUBSTITUTE(AI5,"$"," ")))</f>
        <v>54</v>
      </c>
      <c r="AK5" s="6">
        <f>_xlfn.NUMBERVALUE(CLEAN(SUBSTITUTE(AJ5,"$"," ")))</f>
        <v>54</v>
      </c>
      <c r="AL5" s="3">
        <f>_xlfn.NUMBERVALUE(CLEAN(SUBSTITUTE(AK5,"$"," ")))</f>
        <v>54</v>
      </c>
      <c r="AM5" s="2" t="s">
        <v>80</v>
      </c>
      <c r="AN5" s="6">
        <f>_xlfn.NUMBERVALUE(CLEAN(SUBSTITUTE(AM5,"$"," ")))</f>
        <v>722</v>
      </c>
      <c r="AO5" s="2" t="s">
        <v>81</v>
      </c>
      <c r="AP5" s="6">
        <f>_xlfn.NUMBERVALUE(CLEAN(SUBSTITUTE(AO5,"$"," ")))</f>
        <v>1111</v>
      </c>
      <c r="AQ5" s="2" t="s">
        <v>82</v>
      </c>
      <c r="AR5" s="6">
        <f>_xlfn.NUMBERVALUE(CLEAN(SUBSTITUTE(AQ5,"$"," ")))</f>
        <v>945</v>
      </c>
      <c r="AS5" s="2" t="s">
        <v>83</v>
      </c>
      <c r="AT5" s="6">
        <f>_xlfn.NUMBERVALUE(CLEAN(SUBSTITUTE(AS5,"$"," ")))</f>
        <v>1389</v>
      </c>
      <c r="AU5" s="2" t="s">
        <v>84</v>
      </c>
      <c r="AV5" s="6">
        <f>_xlfn.NUMBERVALUE(CLEAN(SUBSTITUTE(AU5,"$"," ")))</f>
        <v>1667</v>
      </c>
    </row>
    <row r="6" spans="1:48" ht="45" x14ac:dyDescent="0.3">
      <c r="A6" s="2" t="s">
        <v>6</v>
      </c>
      <c r="B6" s="2">
        <v>3</v>
      </c>
      <c r="C6" s="2" t="s">
        <v>7</v>
      </c>
      <c r="D6" s="2">
        <v>21.3</v>
      </c>
      <c r="E6" s="2" t="s">
        <v>8</v>
      </c>
      <c r="F6" s="2" t="s">
        <v>9</v>
      </c>
      <c r="G6" s="7" t="s">
        <v>65</v>
      </c>
      <c r="H6" s="3">
        <f t="shared" si="0"/>
        <v>5556</v>
      </c>
      <c r="I6" s="5" t="s">
        <v>66</v>
      </c>
      <c r="J6" s="2" t="s">
        <v>67</v>
      </c>
      <c r="K6" s="6">
        <f t="shared" ref="K6:K65" si="2">_xlfn.NUMBERVALUE(CLEAN(SUBSTITUTE(J6,"$"," ")))</f>
        <v>132</v>
      </c>
      <c r="L6" s="2" t="s">
        <v>68</v>
      </c>
      <c r="M6" s="6">
        <f t="shared" ref="M6:M65" si="3">_xlfn.NUMBERVALUE(CLEAN(SUBSTITUTE(L6,"$"," ")))</f>
        <v>400</v>
      </c>
      <c r="N6" s="2" t="s">
        <v>69</v>
      </c>
      <c r="O6" s="6">
        <f t="shared" ref="O6:O65" si="4">_xlfn.NUMBERVALUE(CLEAN(SUBSTITUTE(N6,"$"," ")))</f>
        <v>50</v>
      </c>
      <c r="P6" s="2" t="s">
        <v>70</v>
      </c>
      <c r="Q6" s="6">
        <f t="shared" ref="Q6:Q65" si="5">_xlfn.NUMBERVALUE(CLEAN(SUBSTITUTE(P6,"$"," ")))</f>
        <v>250</v>
      </c>
      <c r="R6" s="2" t="s">
        <v>71</v>
      </c>
      <c r="S6" s="6">
        <f t="shared" ref="S6:S65" si="6">_xlfn.NUMBERVALUE(CLEAN(SUBSTITUTE(R6,"$"," ")))</f>
        <v>120</v>
      </c>
      <c r="T6" s="2" t="s">
        <v>72</v>
      </c>
      <c r="U6" s="6">
        <f t="shared" ref="U6:U65" si="7">_xlfn.NUMBERVALUE(CLEAN(SUBSTITUTE(T6,"$"," ")))</f>
        <v>65</v>
      </c>
      <c r="V6" s="2" t="s">
        <v>73</v>
      </c>
      <c r="W6" s="6">
        <f t="shared" ref="W6:W65" si="8">_xlfn.NUMBERVALUE(CLEAN(SUBSTITUTE(V6,"$"," ")))</f>
        <v>134</v>
      </c>
      <c r="X6" s="2" t="s">
        <v>74</v>
      </c>
      <c r="Y6" s="6">
        <f t="shared" ref="Y6:Y65" si="9">_xlfn.NUMBERVALUE(CLEAN(SUBSTITUTE(X6,"$"," ")))</f>
        <v>6</v>
      </c>
      <c r="Z6" s="5" t="s">
        <v>85</v>
      </c>
      <c r="AA6" s="2">
        <v>295</v>
      </c>
      <c r="AB6" s="2">
        <v>343</v>
      </c>
      <c r="AC6" s="2" t="s">
        <v>76</v>
      </c>
      <c r="AD6" s="6">
        <f t="shared" si="1"/>
        <v>240</v>
      </c>
      <c r="AE6" s="2" t="s">
        <v>77</v>
      </c>
      <c r="AF6" s="6">
        <f t="shared" ref="AF6:AF65" si="10">_xlfn.NUMBERVALUE(CLEAN(SUBSTITUTE(AE6,"$"," ")))</f>
        <v>100</v>
      </c>
      <c r="AG6" s="2" t="s">
        <v>78</v>
      </c>
      <c r="AH6" s="6">
        <f t="shared" ref="AH6:AH65" si="11">_xlfn.NUMBERVALUE(CLEAN(SUBSTITUTE(AG6,"$"," ")))</f>
        <v>22</v>
      </c>
      <c r="AI6" s="2" t="s">
        <v>79</v>
      </c>
      <c r="AJ6" s="6">
        <f t="shared" ref="AJ6:AJ65" si="12">_xlfn.NUMBERVALUE(CLEAN(SUBSTITUTE(AI6,"$"," ")))</f>
        <v>54</v>
      </c>
      <c r="AK6" s="7" t="s">
        <v>86</v>
      </c>
      <c r="AL6" s="3">
        <f t="shared" ref="AL6:AL65" si="13">_xlfn.NUMBERVALUE(CLEAN(SUBSTITUTE(AK6,"$"," ")))</f>
        <v>1573</v>
      </c>
      <c r="AM6" s="2" t="s">
        <v>80</v>
      </c>
      <c r="AN6" s="6">
        <f t="shared" ref="AN6:AN65" si="14">_xlfn.NUMBERVALUE(CLEAN(SUBSTITUTE(AM6,"$"," ")))</f>
        <v>722</v>
      </c>
      <c r="AO6" s="2" t="s">
        <v>81</v>
      </c>
      <c r="AP6" s="6">
        <f t="shared" ref="AP6:AP65" si="15">_xlfn.NUMBERVALUE(CLEAN(SUBSTITUTE(AO6,"$"," ")))</f>
        <v>1111</v>
      </c>
      <c r="AQ6" s="2" t="s">
        <v>82</v>
      </c>
      <c r="AR6" s="6">
        <f t="shared" ref="AR6:AR65" si="16">_xlfn.NUMBERVALUE(CLEAN(SUBSTITUTE(AQ6,"$"," ")))</f>
        <v>945</v>
      </c>
      <c r="AS6" s="2" t="s">
        <v>83</v>
      </c>
      <c r="AT6" s="6">
        <f t="shared" ref="AT6:AT65" si="17">_xlfn.NUMBERVALUE(CLEAN(SUBSTITUTE(AS6,"$"," ")))</f>
        <v>1389</v>
      </c>
      <c r="AU6" s="2" t="s">
        <v>84</v>
      </c>
      <c r="AV6" s="6">
        <f t="shared" ref="AV6:AV65" si="18">_xlfn.NUMBERVALUE(CLEAN(SUBSTITUTE(AU6,"$"," ")))</f>
        <v>1667</v>
      </c>
    </row>
    <row r="7" spans="1:48" ht="60" x14ac:dyDescent="0.3">
      <c r="A7" s="2" t="s">
        <v>6</v>
      </c>
      <c r="B7" s="2">
        <v>13</v>
      </c>
      <c r="C7" s="2" t="s">
        <v>7</v>
      </c>
      <c r="D7" s="2">
        <v>22</v>
      </c>
      <c r="E7" s="2" t="s">
        <v>8</v>
      </c>
      <c r="F7" s="2" t="s">
        <v>10</v>
      </c>
      <c r="G7" s="7" t="s">
        <v>65</v>
      </c>
      <c r="H7" s="3">
        <f t="shared" si="0"/>
        <v>5556</v>
      </c>
      <c r="I7" s="5" t="s">
        <v>66</v>
      </c>
      <c r="J7" s="2" t="s">
        <v>67</v>
      </c>
      <c r="K7" s="6">
        <f t="shared" si="2"/>
        <v>132</v>
      </c>
      <c r="L7" s="2" t="s">
        <v>68</v>
      </c>
      <c r="M7" s="6">
        <f t="shared" si="3"/>
        <v>400</v>
      </c>
      <c r="N7" s="2" t="s">
        <v>69</v>
      </c>
      <c r="O7" s="6">
        <f t="shared" si="4"/>
        <v>50</v>
      </c>
      <c r="P7" s="2" t="s">
        <v>70</v>
      </c>
      <c r="Q7" s="6">
        <f t="shared" si="5"/>
        <v>250</v>
      </c>
      <c r="R7" s="2" t="s">
        <v>71</v>
      </c>
      <c r="S7" s="6">
        <f t="shared" si="6"/>
        <v>120</v>
      </c>
      <c r="T7" s="2" t="s">
        <v>72</v>
      </c>
      <c r="U7" s="6">
        <f t="shared" si="7"/>
        <v>65</v>
      </c>
      <c r="V7" s="2" t="s">
        <v>73</v>
      </c>
      <c r="W7" s="6">
        <f t="shared" si="8"/>
        <v>134</v>
      </c>
      <c r="X7" s="2" t="s">
        <v>74</v>
      </c>
      <c r="Y7" s="6">
        <f t="shared" si="9"/>
        <v>6</v>
      </c>
      <c r="Z7" s="5" t="s">
        <v>87</v>
      </c>
      <c r="AA7" s="2">
        <v>295</v>
      </c>
      <c r="AB7" s="2">
        <v>343</v>
      </c>
      <c r="AC7" s="2" t="s">
        <v>76</v>
      </c>
      <c r="AD7" s="6">
        <f t="shared" si="1"/>
        <v>240</v>
      </c>
      <c r="AE7" s="2" t="s">
        <v>77</v>
      </c>
      <c r="AF7" s="6">
        <f t="shared" si="10"/>
        <v>100</v>
      </c>
      <c r="AG7" s="2" t="s">
        <v>78</v>
      </c>
      <c r="AH7" s="6">
        <f t="shared" si="11"/>
        <v>22</v>
      </c>
      <c r="AI7" s="2" t="s">
        <v>79</v>
      </c>
      <c r="AJ7" s="6">
        <f t="shared" si="12"/>
        <v>54</v>
      </c>
      <c r="AK7" s="7" t="s">
        <v>86</v>
      </c>
      <c r="AL7" s="3">
        <f t="shared" si="13"/>
        <v>1573</v>
      </c>
      <c r="AM7" s="2" t="s">
        <v>80</v>
      </c>
      <c r="AN7" s="6">
        <f t="shared" si="14"/>
        <v>722</v>
      </c>
      <c r="AO7" s="2" t="s">
        <v>81</v>
      </c>
      <c r="AP7" s="6">
        <f t="shared" si="15"/>
        <v>1111</v>
      </c>
      <c r="AQ7" s="2" t="s">
        <v>82</v>
      </c>
      <c r="AR7" s="6">
        <f t="shared" si="16"/>
        <v>945</v>
      </c>
      <c r="AS7" s="2" t="s">
        <v>83</v>
      </c>
      <c r="AT7" s="6">
        <f t="shared" si="17"/>
        <v>1389</v>
      </c>
      <c r="AU7" s="2" t="s">
        <v>84</v>
      </c>
      <c r="AV7" s="6">
        <f t="shared" si="18"/>
        <v>1667</v>
      </c>
    </row>
    <row r="8" spans="1:48" ht="60" x14ac:dyDescent="0.3">
      <c r="A8" s="2" t="s">
        <v>11</v>
      </c>
      <c r="B8" s="2">
        <v>4</v>
      </c>
      <c r="C8" s="2" t="s">
        <v>12</v>
      </c>
      <c r="D8" s="2">
        <v>14.5</v>
      </c>
      <c r="E8" s="2" t="s">
        <v>8</v>
      </c>
      <c r="F8" s="2" t="s">
        <v>9</v>
      </c>
      <c r="G8" s="7" t="s">
        <v>88</v>
      </c>
      <c r="H8" s="3">
        <f t="shared" si="0"/>
        <v>4567</v>
      </c>
      <c r="I8" s="5" t="s">
        <v>66</v>
      </c>
      <c r="J8" s="2" t="s">
        <v>67</v>
      </c>
      <c r="K8" s="2" t="s">
        <v>67</v>
      </c>
      <c r="L8" s="2" t="s">
        <v>89</v>
      </c>
      <c r="M8" s="6">
        <f t="shared" si="3"/>
        <v>333</v>
      </c>
      <c r="N8" s="2" t="s">
        <v>90</v>
      </c>
      <c r="O8" s="6">
        <f t="shared" si="4"/>
        <v>51</v>
      </c>
      <c r="P8" s="2" t="s">
        <v>70</v>
      </c>
      <c r="Q8" s="6">
        <f t="shared" si="5"/>
        <v>250</v>
      </c>
      <c r="R8" s="2" t="s">
        <v>73</v>
      </c>
      <c r="S8" s="6">
        <f t="shared" si="6"/>
        <v>134</v>
      </c>
      <c r="T8" s="2" t="s">
        <v>72</v>
      </c>
      <c r="U8" s="6">
        <f t="shared" si="7"/>
        <v>65</v>
      </c>
      <c r="V8" s="2" t="s">
        <v>73</v>
      </c>
      <c r="W8" s="6">
        <f t="shared" si="8"/>
        <v>134</v>
      </c>
      <c r="X8" s="2" t="s">
        <v>74</v>
      </c>
      <c r="Y8" s="6">
        <f t="shared" si="9"/>
        <v>6</v>
      </c>
      <c r="Z8" s="5" t="s">
        <v>75</v>
      </c>
      <c r="AA8" s="2">
        <v>295</v>
      </c>
      <c r="AB8" s="2">
        <v>354</v>
      </c>
      <c r="AC8" s="2" t="s">
        <v>91</v>
      </c>
      <c r="AD8" s="6">
        <f t="shared" si="1"/>
        <v>248</v>
      </c>
      <c r="AE8" s="2" t="s">
        <v>77</v>
      </c>
      <c r="AF8" s="6">
        <f t="shared" si="10"/>
        <v>100</v>
      </c>
      <c r="AG8" s="2" t="s">
        <v>92</v>
      </c>
      <c r="AH8" s="6">
        <f t="shared" si="11"/>
        <v>23</v>
      </c>
      <c r="AI8" s="2" t="s">
        <v>93</v>
      </c>
      <c r="AJ8" s="6">
        <f t="shared" si="12"/>
        <v>55</v>
      </c>
      <c r="AK8" s="7" t="s">
        <v>94</v>
      </c>
      <c r="AL8" s="3">
        <f t="shared" si="13"/>
        <v>1531</v>
      </c>
      <c r="AM8" s="2" t="s">
        <v>95</v>
      </c>
      <c r="AN8" s="6">
        <f t="shared" si="14"/>
        <v>594</v>
      </c>
      <c r="AO8" s="2" t="s">
        <v>96</v>
      </c>
      <c r="AP8" s="6">
        <f t="shared" si="15"/>
        <v>913</v>
      </c>
      <c r="AQ8" s="2" t="s">
        <v>97</v>
      </c>
      <c r="AR8" s="6">
        <f t="shared" si="16"/>
        <v>776</v>
      </c>
      <c r="AS8" s="2" t="s">
        <v>98</v>
      </c>
      <c r="AT8" s="6">
        <f t="shared" si="17"/>
        <v>1142</v>
      </c>
      <c r="AU8" s="2" t="s">
        <v>99</v>
      </c>
      <c r="AV8" s="6">
        <f t="shared" si="18"/>
        <v>1370</v>
      </c>
    </row>
    <row r="9" spans="1:48" ht="60" x14ac:dyDescent="0.3">
      <c r="A9" s="2" t="s">
        <v>11</v>
      </c>
      <c r="B9" s="2">
        <v>5</v>
      </c>
      <c r="C9" s="2" t="s">
        <v>12</v>
      </c>
      <c r="D9" s="2">
        <v>18</v>
      </c>
      <c r="E9" s="2" t="s">
        <v>8</v>
      </c>
      <c r="F9" s="2" t="s">
        <v>10</v>
      </c>
      <c r="G9" s="7" t="s">
        <v>88</v>
      </c>
      <c r="H9" s="3">
        <f t="shared" si="0"/>
        <v>4567</v>
      </c>
      <c r="I9" s="5" t="s">
        <v>66</v>
      </c>
      <c r="J9" s="2" t="s">
        <v>67</v>
      </c>
      <c r="K9" s="6">
        <f t="shared" si="2"/>
        <v>132</v>
      </c>
      <c r="L9" s="2" t="s">
        <v>89</v>
      </c>
      <c r="M9" s="6">
        <f t="shared" si="3"/>
        <v>333</v>
      </c>
      <c r="N9" s="2" t="s">
        <v>100</v>
      </c>
      <c r="O9" s="6">
        <f t="shared" si="4"/>
        <v>52</v>
      </c>
      <c r="P9" s="2" t="s">
        <v>70</v>
      </c>
      <c r="Q9" s="6">
        <f t="shared" si="5"/>
        <v>250</v>
      </c>
      <c r="R9" s="2" t="s">
        <v>73</v>
      </c>
      <c r="S9" s="6">
        <f t="shared" si="6"/>
        <v>134</v>
      </c>
      <c r="T9" s="2" t="s">
        <v>72</v>
      </c>
      <c r="U9" s="6">
        <f t="shared" si="7"/>
        <v>65</v>
      </c>
      <c r="V9" s="2" t="s">
        <v>73</v>
      </c>
      <c r="W9" s="6">
        <f t="shared" si="8"/>
        <v>134</v>
      </c>
      <c r="X9" s="2" t="s">
        <v>74</v>
      </c>
      <c r="Y9" s="6">
        <f t="shared" si="9"/>
        <v>6</v>
      </c>
      <c r="Z9" s="5" t="s">
        <v>85</v>
      </c>
      <c r="AA9" s="2">
        <v>295</v>
      </c>
      <c r="AB9" s="2">
        <v>354</v>
      </c>
      <c r="AC9" s="2" t="s">
        <v>91</v>
      </c>
      <c r="AD9" s="6">
        <f t="shared" si="1"/>
        <v>248</v>
      </c>
      <c r="AE9" s="2" t="s">
        <v>77</v>
      </c>
      <c r="AF9" s="6">
        <f t="shared" si="10"/>
        <v>100</v>
      </c>
      <c r="AG9" s="2" t="s">
        <v>92</v>
      </c>
      <c r="AH9" s="6">
        <f t="shared" si="11"/>
        <v>23</v>
      </c>
      <c r="AI9" s="2" t="s">
        <v>93</v>
      </c>
      <c r="AJ9" s="6">
        <f t="shared" si="12"/>
        <v>55</v>
      </c>
      <c r="AK9" s="7" t="s">
        <v>101</v>
      </c>
      <c r="AL9" s="3">
        <f t="shared" si="13"/>
        <v>1532</v>
      </c>
      <c r="AM9" s="2" t="s">
        <v>95</v>
      </c>
      <c r="AN9" s="6">
        <f t="shared" si="14"/>
        <v>594</v>
      </c>
      <c r="AO9" s="2" t="s">
        <v>96</v>
      </c>
      <c r="AP9" s="6">
        <f t="shared" si="15"/>
        <v>913</v>
      </c>
      <c r="AQ9" s="2" t="s">
        <v>97</v>
      </c>
      <c r="AR9" s="6">
        <f t="shared" si="16"/>
        <v>776</v>
      </c>
      <c r="AS9" s="2" t="s">
        <v>98</v>
      </c>
      <c r="AT9" s="6">
        <f t="shared" si="17"/>
        <v>1142</v>
      </c>
      <c r="AU9" s="2" t="s">
        <v>99</v>
      </c>
      <c r="AV9" s="6">
        <f t="shared" si="18"/>
        <v>1370</v>
      </c>
    </row>
    <row r="10" spans="1:48" ht="60" x14ac:dyDescent="0.3">
      <c r="A10" s="2" t="s">
        <v>11</v>
      </c>
      <c r="B10" s="2">
        <v>6</v>
      </c>
      <c r="C10" s="2" t="s">
        <v>12</v>
      </c>
      <c r="D10" s="2">
        <v>19</v>
      </c>
      <c r="E10" s="2" t="s">
        <v>8</v>
      </c>
      <c r="F10" s="2" t="s">
        <v>13</v>
      </c>
      <c r="G10" s="7" t="s">
        <v>88</v>
      </c>
      <c r="H10" s="3">
        <f t="shared" si="0"/>
        <v>4567</v>
      </c>
      <c r="I10" s="5" t="s">
        <v>66</v>
      </c>
      <c r="J10" s="2" t="s">
        <v>67</v>
      </c>
      <c r="K10" s="6">
        <f t="shared" si="2"/>
        <v>132</v>
      </c>
      <c r="L10" s="2" t="s">
        <v>89</v>
      </c>
      <c r="M10" s="6">
        <f t="shared" si="3"/>
        <v>333</v>
      </c>
      <c r="N10" s="2" t="s">
        <v>102</v>
      </c>
      <c r="O10" s="6">
        <f t="shared" si="4"/>
        <v>53</v>
      </c>
      <c r="P10" s="2" t="s">
        <v>70</v>
      </c>
      <c r="Q10" s="6">
        <f t="shared" si="5"/>
        <v>250</v>
      </c>
      <c r="R10" s="2" t="s">
        <v>73</v>
      </c>
      <c r="S10" s="6">
        <f t="shared" si="6"/>
        <v>134</v>
      </c>
      <c r="T10" s="2" t="s">
        <v>72</v>
      </c>
      <c r="U10" s="6">
        <f t="shared" si="7"/>
        <v>65</v>
      </c>
      <c r="V10" s="2" t="s">
        <v>73</v>
      </c>
      <c r="W10" s="6">
        <f t="shared" si="8"/>
        <v>134</v>
      </c>
      <c r="X10" s="2" t="s">
        <v>74</v>
      </c>
      <c r="Y10" s="6">
        <f t="shared" si="9"/>
        <v>6</v>
      </c>
      <c r="Z10" s="5" t="s">
        <v>87</v>
      </c>
      <c r="AA10" s="2">
        <v>295</v>
      </c>
      <c r="AB10" s="2">
        <v>354</v>
      </c>
      <c r="AC10" s="2" t="s">
        <v>91</v>
      </c>
      <c r="AD10" s="6">
        <f t="shared" si="1"/>
        <v>248</v>
      </c>
      <c r="AE10" s="2" t="s">
        <v>77</v>
      </c>
      <c r="AF10" s="6">
        <f t="shared" si="10"/>
        <v>100</v>
      </c>
      <c r="AG10" s="2" t="s">
        <v>92</v>
      </c>
      <c r="AH10" s="6">
        <f t="shared" si="11"/>
        <v>23</v>
      </c>
      <c r="AI10" s="2" t="s">
        <v>93</v>
      </c>
      <c r="AJ10" s="6">
        <f t="shared" si="12"/>
        <v>55</v>
      </c>
      <c r="AK10" s="7" t="s">
        <v>103</v>
      </c>
      <c r="AL10" s="3">
        <f t="shared" si="13"/>
        <v>1533</v>
      </c>
      <c r="AM10" s="2" t="s">
        <v>95</v>
      </c>
      <c r="AN10" s="6">
        <f t="shared" si="14"/>
        <v>594</v>
      </c>
      <c r="AO10" s="2" t="s">
        <v>96</v>
      </c>
      <c r="AP10" s="6">
        <f t="shared" si="15"/>
        <v>913</v>
      </c>
      <c r="AQ10" s="2" t="s">
        <v>97</v>
      </c>
      <c r="AR10" s="6">
        <f t="shared" si="16"/>
        <v>776</v>
      </c>
      <c r="AS10" s="2" t="s">
        <v>98</v>
      </c>
      <c r="AT10" s="6">
        <f t="shared" si="17"/>
        <v>1142</v>
      </c>
      <c r="AU10" s="2" t="s">
        <v>99</v>
      </c>
      <c r="AV10" s="6">
        <f t="shared" si="18"/>
        <v>1370</v>
      </c>
    </row>
    <row r="11" spans="1:48" ht="60" x14ac:dyDescent="0.3">
      <c r="A11" s="2" t="s">
        <v>11</v>
      </c>
      <c r="B11" s="2">
        <v>14</v>
      </c>
      <c r="C11" s="2" t="s">
        <v>12</v>
      </c>
      <c r="D11" s="2">
        <v>20</v>
      </c>
      <c r="E11" s="2" t="s">
        <v>8</v>
      </c>
      <c r="F11" s="2" t="s">
        <v>14</v>
      </c>
      <c r="G11" s="7" t="s">
        <v>88</v>
      </c>
      <c r="H11" s="3">
        <f t="shared" si="0"/>
        <v>4567</v>
      </c>
      <c r="I11" s="5" t="s">
        <v>66</v>
      </c>
      <c r="J11" s="2" t="s">
        <v>67</v>
      </c>
      <c r="K11" s="6">
        <f t="shared" si="2"/>
        <v>132</v>
      </c>
      <c r="L11" s="2" t="s">
        <v>89</v>
      </c>
      <c r="M11" s="6">
        <f t="shared" si="3"/>
        <v>333</v>
      </c>
      <c r="N11" s="2" t="s">
        <v>79</v>
      </c>
      <c r="O11" s="6">
        <f t="shared" si="4"/>
        <v>54</v>
      </c>
      <c r="P11" s="2" t="s">
        <v>70</v>
      </c>
      <c r="Q11" s="6">
        <f t="shared" si="5"/>
        <v>250</v>
      </c>
      <c r="R11" s="2" t="s">
        <v>73</v>
      </c>
      <c r="S11" s="6">
        <f t="shared" si="6"/>
        <v>134</v>
      </c>
      <c r="T11" s="2" t="s">
        <v>72</v>
      </c>
      <c r="U11" s="6">
        <f t="shared" si="7"/>
        <v>65</v>
      </c>
      <c r="V11" s="2" t="s">
        <v>73</v>
      </c>
      <c r="W11" s="6">
        <f t="shared" si="8"/>
        <v>134</v>
      </c>
      <c r="X11" s="2" t="s">
        <v>74</v>
      </c>
      <c r="Y11" s="6">
        <f t="shared" si="9"/>
        <v>6</v>
      </c>
      <c r="Z11" s="5" t="s">
        <v>104</v>
      </c>
      <c r="AA11" s="2">
        <v>295</v>
      </c>
      <c r="AB11" s="2">
        <v>354</v>
      </c>
      <c r="AC11" s="2" t="s">
        <v>91</v>
      </c>
      <c r="AD11" s="6">
        <f t="shared" si="1"/>
        <v>248</v>
      </c>
      <c r="AE11" s="2" t="s">
        <v>77</v>
      </c>
      <c r="AF11" s="6">
        <f t="shared" si="10"/>
        <v>100</v>
      </c>
      <c r="AG11" s="2" t="s">
        <v>92</v>
      </c>
      <c r="AH11" s="6">
        <f t="shared" si="11"/>
        <v>23</v>
      </c>
      <c r="AI11" s="2" t="s">
        <v>93</v>
      </c>
      <c r="AJ11" s="6">
        <f t="shared" si="12"/>
        <v>55</v>
      </c>
      <c r="AK11" s="7" t="s">
        <v>105</v>
      </c>
      <c r="AL11" s="3">
        <f t="shared" si="13"/>
        <v>1534</v>
      </c>
      <c r="AM11" s="2" t="s">
        <v>95</v>
      </c>
      <c r="AN11" s="6">
        <f t="shared" si="14"/>
        <v>594</v>
      </c>
      <c r="AO11" s="2" t="s">
        <v>96</v>
      </c>
      <c r="AP11" s="6">
        <f t="shared" si="15"/>
        <v>913</v>
      </c>
      <c r="AQ11" s="2" t="s">
        <v>97</v>
      </c>
      <c r="AR11" s="6">
        <f t="shared" si="16"/>
        <v>776</v>
      </c>
      <c r="AS11" s="2" t="s">
        <v>98</v>
      </c>
      <c r="AT11" s="6">
        <f t="shared" si="17"/>
        <v>1142</v>
      </c>
      <c r="AU11" s="2" t="s">
        <v>99</v>
      </c>
      <c r="AV11" s="6">
        <f t="shared" si="18"/>
        <v>1370</v>
      </c>
    </row>
    <row r="12" spans="1:48" ht="60" x14ac:dyDescent="0.3">
      <c r="A12" s="2" t="s">
        <v>15</v>
      </c>
      <c r="B12" s="2">
        <v>2</v>
      </c>
      <c r="C12" s="2" t="s">
        <v>16</v>
      </c>
      <c r="D12" s="2">
        <v>21</v>
      </c>
      <c r="E12" s="2" t="s">
        <v>8</v>
      </c>
      <c r="F12" s="2" t="s">
        <v>10</v>
      </c>
      <c r="G12" s="7" t="s">
        <v>106</v>
      </c>
      <c r="H12" s="3">
        <f t="shared" si="0"/>
        <v>3458</v>
      </c>
      <c r="I12" s="5" t="s">
        <v>66</v>
      </c>
      <c r="J12" s="2" t="s">
        <v>67</v>
      </c>
      <c r="K12" s="6">
        <f t="shared" si="2"/>
        <v>132</v>
      </c>
      <c r="L12" s="2" t="s">
        <v>107</v>
      </c>
      <c r="M12" s="6">
        <f t="shared" si="3"/>
        <v>453</v>
      </c>
      <c r="N12" s="2" t="s">
        <v>93</v>
      </c>
      <c r="O12" s="6">
        <f t="shared" si="4"/>
        <v>55</v>
      </c>
      <c r="P12" s="2" t="s">
        <v>70</v>
      </c>
      <c r="Q12" s="6">
        <f t="shared" si="5"/>
        <v>250</v>
      </c>
      <c r="R12" s="2" t="s">
        <v>108</v>
      </c>
      <c r="S12" s="6">
        <f t="shared" si="6"/>
        <v>121</v>
      </c>
      <c r="T12" s="2" t="s">
        <v>109</v>
      </c>
      <c r="U12" s="6">
        <f t="shared" si="7"/>
        <v>32</v>
      </c>
      <c r="V12" s="2" t="s">
        <v>110</v>
      </c>
      <c r="W12" s="6">
        <f t="shared" si="8"/>
        <v>56</v>
      </c>
      <c r="X12" s="2" t="s">
        <v>110</v>
      </c>
      <c r="Y12" s="6">
        <f t="shared" si="9"/>
        <v>56</v>
      </c>
      <c r="Z12" s="5" t="s">
        <v>75</v>
      </c>
      <c r="AA12" s="2">
        <v>295</v>
      </c>
      <c r="AB12" s="2">
        <v>333</v>
      </c>
      <c r="AC12" s="2" t="s">
        <v>111</v>
      </c>
      <c r="AD12" s="6">
        <f t="shared" si="1"/>
        <v>233</v>
      </c>
      <c r="AE12" s="2" t="s">
        <v>77</v>
      </c>
      <c r="AF12" s="6">
        <f t="shared" si="10"/>
        <v>100</v>
      </c>
      <c r="AG12" s="2" t="s">
        <v>112</v>
      </c>
      <c r="AH12" s="6">
        <f t="shared" si="11"/>
        <v>24</v>
      </c>
      <c r="AI12" s="2" t="s">
        <v>110</v>
      </c>
      <c r="AJ12" s="6">
        <f t="shared" si="12"/>
        <v>56</v>
      </c>
      <c r="AK12" s="7" t="s">
        <v>113</v>
      </c>
      <c r="AL12" s="3">
        <f t="shared" si="13"/>
        <v>1568</v>
      </c>
      <c r="AM12" s="2" t="s">
        <v>114</v>
      </c>
      <c r="AN12" s="6">
        <f t="shared" si="14"/>
        <v>450</v>
      </c>
      <c r="AO12" s="2" t="s">
        <v>115</v>
      </c>
      <c r="AP12" s="6">
        <f t="shared" si="15"/>
        <v>692</v>
      </c>
      <c r="AQ12" s="2" t="s">
        <v>116</v>
      </c>
      <c r="AR12" s="6">
        <f t="shared" si="16"/>
        <v>588</v>
      </c>
      <c r="AS12" s="2" t="s">
        <v>117</v>
      </c>
      <c r="AT12" s="6">
        <f t="shared" si="17"/>
        <v>865</v>
      </c>
      <c r="AU12" s="2" t="s">
        <v>118</v>
      </c>
      <c r="AV12" s="6">
        <f t="shared" si="18"/>
        <v>1037</v>
      </c>
    </row>
    <row r="13" spans="1:48" ht="45" x14ac:dyDescent="0.3">
      <c r="A13" s="2" t="s">
        <v>15</v>
      </c>
      <c r="B13" s="2">
        <v>3</v>
      </c>
      <c r="C13" s="2" t="s">
        <v>16</v>
      </c>
      <c r="D13" s="2">
        <v>22</v>
      </c>
      <c r="E13" s="2" t="s">
        <v>17</v>
      </c>
      <c r="F13" s="2" t="s">
        <v>9</v>
      </c>
      <c r="G13" s="7" t="s">
        <v>106</v>
      </c>
      <c r="H13" s="3">
        <f t="shared" si="0"/>
        <v>3458</v>
      </c>
      <c r="I13" s="5" t="s">
        <v>66</v>
      </c>
      <c r="J13" s="2" t="s">
        <v>67</v>
      </c>
      <c r="K13" s="6">
        <f t="shared" si="2"/>
        <v>132</v>
      </c>
      <c r="L13" s="2" t="s">
        <v>107</v>
      </c>
      <c r="M13" s="6">
        <f t="shared" si="3"/>
        <v>453</v>
      </c>
      <c r="N13" s="2" t="s">
        <v>110</v>
      </c>
      <c r="O13" s="6">
        <f t="shared" si="4"/>
        <v>56</v>
      </c>
      <c r="P13" s="2" t="s">
        <v>70</v>
      </c>
      <c r="Q13" s="6">
        <f t="shared" si="5"/>
        <v>250</v>
      </c>
      <c r="R13" s="2" t="s">
        <v>108</v>
      </c>
      <c r="S13" s="6">
        <f t="shared" si="6"/>
        <v>121</v>
      </c>
      <c r="T13" s="2" t="s">
        <v>109</v>
      </c>
      <c r="U13" s="6">
        <f t="shared" si="7"/>
        <v>32</v>
      </c>
      <c r="V13" s="2" t="s">
        <v>110</v>
      </c>
      <c r="W13" s="6">
        <f t="shared" si="8"/>
        <v>56</v>
      </c>
      <c r="X13" s="2" t="s">
        <v>110</v>
      </c>
      <c r="Y13" s="6">
        <f t="shared" si="9"/>
        <v>56</v>
      </c>
      <c r="Z13" s="5" t="s">
        <v>85</v>
      </c>
      <c r="AA13" s="2">
        <v>295</v>
      </c>
      <c r="AB13" s="2">
        <v>333</v>
      </c>
      <c r="AC13" s="2" t="s">
        <v>111</v>
      </c>
      <c r="AD13" s="6">
        <f t="shared" si="1"/>
        <v>233</v>
      </c>
      <c r="AE13" s="2" t="s">
        <v>77</v>
      </c>
      <c r="AF13" s="6">
        <f t="shared" si="10"/>
        <v>100</v>
      </c>
      <c r="AG13" s="2" t="s">
        <v>112</v>
      </c>
      <c r="AH13" s="6">
        <f t="shared" si="11"/>
        <v>24</v>
      </c>
      <c r="AI13" s="2" t="s">
        <v>110</v>
      </c>
      <c r="AJ13" s="6">
        <f t="shared" si="12"/>
        <v>56</v>
      </c>
      <c r="AK13" s="7" t="s">
        <v>119</v>
      </c>
      <c r="AL13" s="3">
        <f t="shared" si="13"/>
        <v>1569</v>
      </c>
      <c r="AM13" s="2" t="s">
        <v>114</v>
      </c>
      <c r="AN13" s="6">
        <f t="shared" si="14"/>
        <v>450</v>
      </c>
      <c r="AO13" s="2" t="s">
        <v>115</v>
      </c>
      <c r="AP13" s="6">
        <f t="shared" si="15"/>
        <v>692</v>
      </c>
      <c r="AQ13" s="2" t="s">
        <v>116</v>
      </c>
      <c r="AR13" s="6">
        <f t="shared" si="16"/>
        <v>588</v>
      </c>
      <c r="AS13" s="2" t="s">
        <v>117</v>
      </c>
      <c r="AT13" s="6">
        <f t="shared" si="17"/>
        <v>865</v>
      </c>
      <c r="AU13" s="2" t="s">
        <v>118</v>
      </c>
      <c r="AV13" s="6">
        <f t="shared" si="18"/>
        <v>1037</v>
      </c>
    </row>
    <row r="14" spans="1:48" ht="45" x14ac:dyDescent="0.3">
      <c r="A14" s="2" t="s">
        <v>15</v>
      </c>
      <c r="B14" s="2">
        <v>7</v>
      </c>
      <c r="C14" s="2" t="s">
        <v>12</v>
      </c>
      <c r="D14" s="2">
        <v>22.7</v>
      </c>
      <c r="E14" s="2" t="s">
        <v>17</v>
      </c>
      <c r="F14" s="2" t="s">
        <v>10</v>
      </c>
      <c r="G14" s="7" t="s">
        <v>106</v>
      </c>
      <c r="H14" s="3">
        <f t="shared" si="0"/>
        <v>3458</v>
      </c>
      <c r="I14" s="5" t="s">
        <v>66</v>
      </c>
      <c r="J14" s="2" t="s">
        <v>67</v>
      </c>
      <c r="K14" s="6">
        <f t="shared" si="2"/>
        <v>132</v>
      </c>
      <c r="L14" s="2" t="s">
        <v>107</v>
      </c>
      <c r="M14" s="6">
        <f t="shared" si="3"/>
        <v>453</v>
      </c>
      <c r="N14" s="2" t="s">
        <v>120</v>
      </c>
      <c r="O14" s="6">
        <f t="shared" si="4"/>
        <v>57</v>
      </c>
      <c r="P14" s="2" t="s">
        <v>70</v>
      </c>
      <c r="Q14" s="6">
        <f t="shared" si="5"/>
        <v>250</v>
      </c>
      <c r="R14" s="2" t="s">
        <v>108</v>
      </c>
      <c r="S14" s="6">
        <f t="shared" si="6"/>
        <v>121</v>
      </c>
      <c r="T14" s="2" t="s">
        <v>109</v>
      </c>
      <c r="U14" s="6">
        <f t="shared" si="7"/>
        <v>32</v>
      </c>
      <c r="V14" s="2" t="s">
        <v>110</v>
      </c>
      <c r="W14" s="6">
        <f t="shared" si="8"/>
        <v>56</v>
      </c>
      <c r="X14" s="2" t="s">
        <v>110</v>
      </c>
      <c r="Y14" s="6">
        <f t="shared" si="9"/>
        <v>56</v>
      </c>
      <c r="Z14" s="5" t="s">
        <v>104</v>
      </c>
      <c r="AA14" s="2">
        <v>295</v>
      </c>
      <c r="AB14" s="2">
        <v>333</v>
      </c>
      <c r="AC14" s="2" t="s">
        <v>111</v>
      </c>
      <c r="AD14" s="6">
        <f t="shared" si="1"/>
        <v>233</v>
      </c>
      <c r="AE14" s="2" t="s">
        <v>77</v>
      </c>
      <c r="AF14" s="6">
        <f t="shared" si="10"/>
        <v>100</v>
      </c>
      <c r="AG14" s="2" t="s">
        <v>112</v>
      </c>
      <c r="AH14" s="6">
        <f t="shared" si="11"/>
        <v>24</v>
      </c>
      <c r="AI14" s="2" t="s">
        <v>110</v>
      </c>
      <c r="AJ14" s="6">
        <f t="shared" si="12"/>
        <v>56</v>
      </c>
      <c r="AK14" s="7" t="s">
        <v>121</v>
      </c>
      <c r="AL14" s="3">
        <f t="shared" si="13"/>
        <v>1570</v>
      </c>
      <c r="AM14" s="2" t="s">
        <v>114</v>
      </c>
      <c r="AN14" s="6">
        <f t="shared" si="14"/>
        <v>450</v>
      </c>
      <c r="AO14" s="2" t="s">
        <v>115</v>
      </c>
      <c r="AP14" s="6">
        <f t="shared" si="15"/>
        <v>692</v>
      </c>
      <c r="AQ14" s="2" t="s">
        <v>116</v>
      </c>
      <c r="AR14" s="6">
        <f t="shared" si="16"/>
        <v>588</v>
      </c>
      <c r="AS14" s="2" t="s">
        <v>117</v>
      </c>
      <c r="AT14" s="6">
        <f t="shared" si="17"/>
        <v>865</v>
      </c>
      <c r="AU14" s="2" t="s">
        <v>118</v>
      </c>
      <c r="AV14" s="6">
        <f t="shared" si="18"/>
        <v>1037</v>
      </c>
    </row>
    <row r="15" spans="1:48" ht="45" x14ac:dyDescent="0.3">
      <c r="A15" s="2" t="s">
        <v>15</v>
      </c>
      <c r="B15" s="2">
        <v>8</v>
      </c>
      <c r="C15" s="2" t="s">
        <v>16</v>
      </c>
      <c r="D15" s="2">
        <v>12</v>
      </c>
      <c r="E15" s="2" t="s">
        <v>8</v>
      </c>
      <c r="F15" s="2" t="s">
        <v>13</v>
      </c>
      <c r="G15" s="7" t="s">
        <v>106</v>
      </c>
      <c r="H15" s="3">
        <f t="shared" si="0"/>
        <v>3458</v>
      </c>
      <c r="I15" s="5" t="s">
        <v>66</v>
      </c>
      <c r="J15" s="2" t="s">
        <v>67</v>
      </c>
      <c r="K15" s="6">
        <f t="shared" si="2"/>
        <v>132</v>
      </c>
      <c r="L15" s="2" t="s">
        <v>107</v>
      </c>
      <c r="M15" s="6">
        <f t="shared" si="3"/>
        <v>453</v>
      </c>
      <c r="N15" s="2" t="s">
        <v>122</v>
      </c>
      <c r="O15" s="6">
        <f t="shared" si="4"/>
        <v>58</v>
      </c>
      <c r="P15" s="2" t="s">
        <v>70</v>
      </c>
      <c r="Q15" s="6">
        <f t="shared" si="5"/>
        <v>250</v>
      </c>
      <c r="R15" s="2" t="s">
        <v>108</v>
      </c>
      <c r="S15" s="6">
        <f t="shared" si="6"/>
        <v>121</v>
      </c>
      <c r="T15" s="2" t="s">
        <v>109</v>
      </c>
      <c r="U15" s="6">
        <f t="shared" si="7"/>
        <v>32</v>
      </c>
      <c r="V15" s="2" t="s">
        <v>110</v>
      </c>
      <c r="W15" s="6">
        <f t="shared" si="8"/>
        <v>56</v>
      </c>
      <c r="X15" s="2" t="s">
        <v>110</v>
      </c>
      <c r="Y15" s="6">
        <f t="shared" si="9"/>
        <v>56</v>
      </c>
      <c r="Z15" s="5" t="s">
        <v>104</v>
      </c>
      <c r="AA15" s="2">
        <v>295</v>
      </c>
      <c r="AB15" s="2">
        <v>333</v>
      </c>
      <c r="AC15" s="2" t="s">
        <v>111</v>
      </c>
      <c r="AD15" s="6">
        <f t="shared" si="1"/>
        <v>233</v>
      </c>
      <c r="AE15" s="2" t="s">
        <v>77</v>
      </c>
      <c r="AF15" s="6">
        <f t="shared" si="10"/>
        <v>100</v>
      </c>
      <c r="AG15" s="2" t="s">
        <v>112</v>
      </c>
      <c r="AH15" s="6">
        <f t="shared" si="11"/>
        <v>24</v>
      </c>
      <c r="AI15" s="2" t="s">
        <v>110</v>
      </c>
      <c r="AJ15" s="6">
        <f t="shared" si="12"/>
        <v>56</v>
      </c>
      <c r="AK15" s="7" t="s">
        <v>123</v>
      </c>
      <c r="AL15" s="3">
        <f t="shared" si="13"/>
        <v>1571</v>
      </c>
      <c r="AM15" s="2" t="s">
        <v>114</v>
      </c>
      <c r="AN15" s="6">
        <f t="shared" si="14"/>
        <v>450</v>
      </c>
      <c r="AO15" s="2" t="s">
        <v>115</v>
      </c>
      <c r="AP15" s="6">
        <f t="shared" si="15"/>
        <v>692</v>
      </c>
      <c r="AQ15" s="2" t="s">
        <v>116</v>
      </c>
      <c r="AR15" s="6">
        <f t="shared" si="16"/>
        <v>588</v>
      </c>
      <c r="AS15" s="2" t="s">
        <v>117</v>
      </c>
      <c r="AT15" s="6">
        <f t="shared" si="17"/>
        <v>865</v>
      </c>
      <c r="AU15" s="2" t="s">
        <v>118</v>
      </c>
      <c r="AV15" s="6">
        <f t="shared" si="18"/>
        <v>1037</v>
      </c>
    </row>
    <row r="16" spans="1:48" ht="30" x14ac:dyDescent="0.3">
      <c r="A16" s="2" t="s">
        <v>15</v>
      </c>
      <c r="B16" s="2">
        <v>9</v>
      </c>
      <c r="C16" s="2" t="s">
        <v>7</v>
      </c>
      <c r="D16" s="2">
        <v>13</v>
      </c>
      <c r="E16" s="2" t="s">
        <v>17</v>
      </c>
      <c r="F16" s="2" t="s">
        <v>18</v>
      </c>
      <c r="G16" s="7" t="s">
        <v>106</v>
      </c>
      <c r="H16" s="3">
        <f t="shared" si="0"/>
        <v>3458</v>
      </c>
      <c r="I16" s="5" t="s">
        <v>66</v>
      </c>
      <c r="J16" s="2" t="s">
        <v>67</v>
      </c>
      <c r="K16" s="6">
        <f t="shared" si="2"/>
        <v>132</v>
      </c>
      <c r="L16" s="2" t="s">
        <v>107</v>
      </c>
      <c r="M16" s="6">
        <f t="shared" si="3"/>
        <v>453</v>
      </c>
      <c r="N16" s="2" t="s">
        <v>124</v>
      </c>
      <c r="O16" s="6">
        <f t="shared" si="4"/>
        <v>59</v>
      </c>
      <c r="P16" s="2" t="s">
        <v>70</v>
      </c>
      <c r="Q16" s="6">
        <f t="shared" si="5"/>
        <v>250</v>
      </c>
      <c r="R16" s="2" t="s">
        <v>108</v>
      </c>
      <c r="S16" s="6">
        <f t="shared" si="6"/>
        <v>121</v>
      </c>
      <c r="T16" s="8"/>
      <c r="U16" s="6">
        <f t="shared" si="7"/>
        <v>0</v>
      </c>
      <c r="V16" s="2" t="s">
        <v>110</v>
      </c>
      <c r="W16" s="6">
        <f t="shared" si="8"/>
        <v>56</v>
      </c>
      <c r="X16" s="2" t="s">
        <v>110</v>
      </c>
      <c r="Y16" s="6">
        <f t="shared" si="9"/>
        <v>56</v>
      </c>
      <c r="Z16" s="5" t="s">
        <v>75</v>
      </c>
      <c r="AA16" s="2">
        <v>295</v>
      </c>
      <c r="AB16" s="2">
        <v>333</v>
      </c>
      <c r="AC16" s="2" t="s">
        <v>111</v>
      </c>
      <c r="AD16" s="6">
        <f t="shared" si="1"/>
        <v>233</v>
      </c>
      <c r="AE16" s="2" t="s">
        <v>77</v>
      </c>
      <c r="AF16" s="6">
        <f t="shared" si="10"/>
        <v>100</v>
      </c>
      <c r="AG16" s="2" t="s">
        <v>112</v>
      </c>
      <c r="AH16" s="6">
        <f t="shared" si="11"/>
        <v>24</v>
      </c>
      <c r="AI16" s="2" t="s">
        <v>110</v>
      </c>
      <c r="AJ16" s="6">
        <f t="shared" si="12"/>
        <v>56</v>
      </c>
      <c r="AK16" s="7" t="s">
        <v>125</v>
      </c>
      <c r="AL16" s="3">
        <f t="shared" si="13"/>
        <v>1540</v>
      </c>
      <c r="AM16" s="2" t="s">
        <v>114</v>
      </c>
      <c r="AN16" s="6">
        <f t="shared" si="14"/>
        <v>450</v>
      </c>
      <c r="AO16" s="2" t="s">
        <v>115</v>
      </c>
      <c r="AP16" s="6">
        <f t="shared" si="15"/>
        <v>692</v>
      </c>
      <c r="AQ16" s="2" t="s">
        <v>116</v>
      </c>
      <c r="AR16" s="6">
        <f t="shared" si="16"/>
        <v>588</v>
      </c>
      <c r="AS16" s="2" t="s">
        <v>117</v>
      </c>
      <c r="AT16" s="6">
        <f t="shared" si="17"/>
        <v>865</v>
      </c>
      <c r="AU16" s="2" t="s">
        <v>118</v>
      </c>
      <c r="AV16" s="6">
        <f t="shared" si="18"/>
        <v>1037</v>
      </c>
    </row>
    <row r="17" spans="1:48" ht="30" x14ac:dyDescent="0.3">
      <c r="A17" s="2" t="s">
        <v>19</v>
      </c>
      <c r="B17" s="2">
        <v>12</v>
      </c>
      <c r="C17" s="2" t="s">
        <v>7</v>
      </c>
      <c r="D17" s="2">
        <v>16</v>
      </c>
      <c r="E17" s="2" t="s">
        <v>8</v>
      </c>
      <c r="F17" s="2" t="s">
        <v>20</v>
      </c>
      <c r="G17" s="7" t="s">
        <v>126</v>
      </c>
      <c r="H17" s="3">
        <f t="shared" si="0"/>
        <v>6433</v>
      </c>
      <c r="I17" s="5" t="s">
        <v>127</v>
      </c>
      <c r="J17" s="2" t="s">
        <v>67</v>
      </c>
      <c r="K17" s="6">
        <f t="shared" si="2"/>
        <v>132</v>
      </c>
      <c r="L17" s="2" t="s">
        <v>128</v>
      </c>
      <c r="M17" s="6">
        <f t="shared" si="3"/>
        <v>399</v>
      </c>
      <c r="N17" s="2" t="s">
        <v>129</v>
      </c>
      <c r="O17" s="6">
        <f t="shared" si="4"/>
        <v>72</v>
      </c>
      <c r="P17" s="2" t="s">
        <v>70</v>
      </c>
      <c r="Q17" s="6">
        <f t="shared" si="5"/>
        <v>250</v>
      </c>
      <c r="R17" s="2" t="s">
        <v>73</v>
      </c>
      <c r="S17" s="6">
        <f t="shared" si="6"/>
        <v>134</v>
      </c>
      <c r="T17" s="8"/>
      <c r="U17" s="6">
        <f t="shared" si="7"/>
        <v>0</v>
      </c>
      <c r="V17" s="2" t="s">
        <v>73</v>
      </c>
      <c r="W17" s="6">
        <f t="shared" si="8"/>
        <v>134</v>
      </c>
      <c r="X17" s="2" t="s">
        <v>74</v>
      </c>
      <c r="Y17" s="6">
        <f t="shared" si="9"/>
        <v>6</v>
      </c>
      <c r="Z17" s="5" t="s">
        <v>85</v>
      </c>
      <c r="AA17" s="2">
        <v>295</v>
      </c>
      <c r="AB17" s="2">
        <v>343</v>
      </c>
      <c r="AC17" s="2" t="s">
        <v>76</v>
      </c>
      <c r="AD17" s="6">
        <f t="shared" si="1"/>
        <v>240</v>
      </c>
      <c r="AE17" s="2" t="s">
        <v>77</v>
      </c>
      <c r="AF17" s="6">
        <f t="shared" si="10"/>
        <v>100</v>
      </c>
      <c r="AG17" s="2" t="s">
        <v>130</v>
      </c>
      <c r="AH17" s="6">
        <f t="shared" si="11"/>
        <v>25</v>
      </c>
      <c r="AI17" s="2" t="s">
        <v>120</v>
      </c>
      <c r="AJ17" s="6">
        <f t="shared" si="12"/>
        <v>57</v>
      </c>
      <c r="AK17" s="7" t="s">
        <v>131</v>
      </c>
      <c r="AL17" s="3">
        <f t="shared" si="13"/>
        <v>1549</v>
      </c>
      <c r="AM17" s="2" t="s">
        <v>132</v>
      </c>
      <c r="AN17" s="6">
        <f t="shared" si="14"/>
        <v>836</v>
      </c>
      <c r="AO17" s="2" t="s">
        <v>133</v>
      </c>
      <c r="AP17" s="6">
        <f t="shared" si="15"/>
        <v>1287</v>
      </c>
      <c r="AQ17" s="2" t="s">
        <v>134</v>
      </c>
      <c r="AR17" s="6">
        <f t="shared" si="16"/>
        <v>1094</v>
      </c>
      <c r="AS17" s="2" t="s">
        <v>135</v>
      </c>
      <c r="AT17" s="6">
        <f t="shared" si="17"/>
        <v>1608</v>
      </c>
      <c r="AU17" s="2" t="s">
        <v>136</v>
      </c>
      <c r="AV17" s="6">
        <f t="shared" si="18"/>
        <v>1930</v>
      </c>
    </row>
    <row r="18" spans="1:48" ht="45" x14ac:dyDescent="0.3">
      <c r="A18" s="2" t="s">
        <v>19</v>
      </c>
      <c r="B18" s="2">
        <v>16</v>
      </c>
      <c r="C18" s="2" t="s">
        <v>12</v>
      </c>
      <c r="D18" s="2">
        <v>17</v>
      </c>
      <c r="E18" s="2" t="s">
        <v>17</v>
      </c>
      <c r="F18" s="2" t="s">
        <v>21</v>
      </c>
      <c r="G18" s="7" t="s">
        <v>126</v>
      </c>
      <c r="H18" s="3">
        <f t="shared" si="0"/>
        <v>6433</v>
      </c>
      <c r="I18" s="5" t="s">
        <v>127</v>
      </c>
      <c r="J18" s="2" t="s">
        <v>67</v>
      </c>
      <c r="K18" s="6">
        <f t="shared" si="2"/>
        <v>132</v>
      </c>
      <c r="L18" s="2" t="s">
        <v>128</v>
      </c>
      <c r="M18" s="6">
        <f t="shared" si="3"/>
        <v>399</v>
      </c>
      <c r="N18" s="2" t="s">
        <v>137</v>
      </c>
      <c r="O18" s="6">
        <f t="shared" si="4"/>
        <v>73</v>
      </c>
      <c r="P18" s="2" t="s">
        <v>70</v>
      </c>
      <c r="Q18" s="6">
        <f t="shared" si="5"/>
        <v>250</v>
      </c>
      <c r="R18" s="2" t="s">
        <v>73</v>
      </c>
      <c r="S18" s="6">
        <f t="shared" si="6"/>
        <v>134</v>
      </c>
      <c r="T18" s="2" t="s">
        <v>72</v>
      </c>
      <c r="U18" s="6">
        <f t="shared" si="7"/>
        <v>65</v>
      </c>
      <c r="V18" s="2" t="s">
        <v>73</v>
      </c>
      <c r="W18" s="6">
        <f t="shared" si="8"/>
        <v>134</v>
      </c>
      <c r="X18" s="2" t="s">
        <v>74</v>
      </c>
      <c r="Y18" s="6">
        <f t="shared" si="9"/>
        <v>6</v>
      </c>
      <c r="Z18" s="5" t="s">
        <v>87</v>
      </c>
      <c r="AA18" s="2">
        <v>295</v>
      </c>
      <c r="AB18" s="2">
        <v>343</v>
      </c>
      <c r="AC18" s="2" t="s">
        <v>76</v>
      </c>
      <c r="AD18" s="6">
        <f t="shared" si="1"/>
        <v>240</v>
      </c>
      <c r="AE18" s="2" t="s">
        <v>77</v>
      </c>
      <c r="AF18" s="6">
        <f t="shared" si="10"/>
        <v>100</v>
      </c>
      <c r="AG18" s="2" t="s">
        <v>130</v>
      </c>
      <c r="AH18" s="6">
        <f t="shared" si="11"/>
        <v>25</v>
      </c>
      <c r="AI18" s="2" t="s">
        <v>120</v>
      </c>
      <c r="AJ18" s="6">
        <f t="shared" si="12"/>
        <v>57</v>
      </c>
      <c r="AK18" s="7" t="s">
        <v>138</v>
      </c>
      <c r="AL18" s="3">
        <f t="shared" si="13"/>
        <v>1615</v>
      </c>
      <c r="AM18" s="2" t="s">
        <v>132</v>
      </c>
      <c r="AN18" s="6">
        <f t="shared" si="14"/>
        <v>836</v>
      </c>
      <c r="AO18" s="2" t="s">
        <v>133</v>
      </c>
      <c r="AP18" s="6">
        <f t="shared" si="15"/>
        <v>1287</v>
      </c>
      <c r="AQ18" s="2" t="s">
        <v>134</v>
      </c>
      <c r="AR18" s="6">
        <f t="shared" si="16"/>
        <v>1094</v>
      </c>
      <c r="AS18" s="2" t="s">
        <v>135</v>
      </c>
      <c r="AT18" s="6">
        <f t="shared" si="17"/>
        <v>1608</v>
      </c>
      <c r="AU18" s="2" t="s">
        <v>136</v>
      </c>
      <c r="AV18" s="6">
        <f t="shared" si="18"/>
        <v>1930</v>
      </c>
    </row>
    <row r="19" spans="1:48" ht="45" x14ac:dyDescent="0.3">
      <c r="A19" s="2" t="s">
        <v>19</v>
      </c>
      <c r="B19" s="2">
        <v>22</v>
      </c>
      <c r="C19" s="2" t="s">
        <v>7</v>
      </c>
      <c r="D19" s="2">
        <v>18</v>
      </c>
      <c r="E19" s="2" t="s">
        <v>17</v>
      </c>
      <c r="F19" s="2" t="s">
        <v>10</v>
      </c>
      <c r="G19" s="7" t="s">
        <v>126</v>
      </c>
      <c r="H19" s="3">
        <f t="shared" si="0"/>
        <v>6433</v>
      </c>
      <c r="I19" s="5" t="s">
        <v>127</v>
      </c>
      <c r="J19" s="2" t="s">
        <v>67</v>
      </c>
      <c r="K19" s="6">
        <f t="shared" si="2"/>
        <v>132</v>
      </c>
      <c r="L19" s="2" t="s">
        <v>128</v>
      </c>
      <c r="M19" s="6">
        <f t="shared" si="3"/>
        <v>399</v>
      </c>
      <c r="N19" s="2" t="s">
        <v>139</v>
      </c>
      <c r="O19" s="6">
        <f t="shared" si="4"/>
        <v>74</v>
      </c>
      <c r="P19" s="2" t="s">
        <v>70</v>
      </c>
      <c r="Q19" s="6">
        <f t="shared" si="5"/>
        <v>250</v>
      </c>
      <c r="R19" s="2" t="s">
        <v>73</v>
      </c>
      <c r="S19" s="6">
        <f t="shared" si="6"/>
        <v>134</v>
      </c>
      <c r="T19" s="2" t="s">
        <v>72</v>
      </c>
      <c r="U19" s="6">
        <f t="shared" si="7"/>
        <v>65</v>
      </c>
      <c r="V19" s="2" t="s">
        <v>73</v>
      </c>
      <c r="W19" s="6">
        <f t="shared" si="8"/>
        <v>134</v>
      </c>
      <c r="X19" s="2" t="s">
        <v>74</v>
      </c>
      <c r="Y19" s="6">
        <f t="shared" si="9"/>
        <v>6</v>
      </c>
      <c r="Z19" s="5" t="s">
        <v>104</v>
      </c>
      <c r="AA19" s="2">
        <v>295</v>
      </c>
      <c r="AB19" s="2">
        <v>343</v>
      </c>
      <c r="AC19" s="2" t="s">
        <v>76</v>
      </c>
      <c r="AD19" s="6">
        <f t="shared" si="1"/>
        <v>240</v>
      </c>
      <c r="AE19" s="2" t="s">
        <v>77</v>
      </c>
      <c r="AF19" s="6">
        <f t="shared" si="10"/>
        <v>100</v>
      </c>
      <c r="AG19" s="2" t="s">
        <v>130</v>
      </c>
      <c r="AH19" s="6">
        <f t="shared" si="11"/>
        <v>25</v>
      </c>
      <c r="AI19" s="2" t="s">
        <v>120</v>
      </c>
      <c r="AJ19" s="6">
        <f t="shared" si="12"/>
        <v>57</v>
      </c>
      <c r="AK19" s="7" t="s">
        <v>140</v>
      </c>
      <c r="AL19" s="3">
        <f t="shared" si="13"/>
        <v>1616</v>
      </c>
      <c r="AM19" s="2" t="s">
        <v>132</v>
      </c>
      <c r="AN19" s="6">
        <f t="shared" si="14"/>
        <v>836</v>
      </c>
      <c r="AO19" s="2" t="s">
        <v>133</v>
      </c>
      <c r="AP19" s="6">
        <f t="shared" si="15"/>
        <v>1287</v>
      </c>
      <c r="AQ19" s="2" t="s">
        <v>134</v>
      </c>
      <c r="AR19" s="6">
        <f t="shared" si="16"/>
        <v>1094</v>
      </c>
      <c r="AS19" s="2" t="s">
        <v>135</v>
      </c>
      <c r="AT19" s="6">
        <f t="shared" si="17"/>
        <v>1608</v>
      </c>
      <c r="AU19" s="2" t="s">
        <v>136</v>
      </c>
      <c r="AV19" s="6">
        <f t="shared" si="18"/>
        <v>1930</v>
      </c>
    </row>
    <row r="20" spans="1:48" ht="45" x14ac:dyDescent="0.3">
      <c r="A20" s="2" t="s">
        <v>22</v>
      </c>
      <c r="B20" s="2">
        <v>5</v>
      </c>
      <c r="C20" s="2" t="s">
        <v>12</v>
      </c>
      <c r="D20" s="2">
        <v>11</v>
      </c>
      <c r="E20" s="2" t="s">
        <v>8</v>
      </c>
      <c r="F20" s="2" t="s">
        <v>14</v>
      </c>
      <c r="G20" s="7" t="s">
        <v>141</v>
      </c>
      <c r="H20" s="3">
        <f t="shared" si="0"/>
        <v>8765</v>
      </c>
      <c r="I20" s="5" t="s">
        <v>127</v>
      </c>
      <c r="J20" s="2" t="s">
        <v>67</v>
      </c>
      <c r="K20" s="6">
        <f t="shared" si="2"/>
        <v>132</v>
      </c>
      <c r="L20" s="2" t="s">
        <v>142</v>
      </c>
      <c r="M20" s="6">
        <f t="shared" si="3"/>
        <v>387</v>
      </c>
      <c r="N20" s="2" t="s">
        <v>69</v>
      </c>
      <c r="O20" s="6">
        <f t="shared" si="4"/>
        <v>50</v>
      </c>
      <c r="P20" s="2" t="s">
        <v>70</v>
      </c>
      <c r="Q20" s="6">
        <f t="shared" si="5"/>
        <v>250</v>
      </c>
      <c r="R20" s="2" t="s">
        <v>143</v>
      </c>
      <c r="S20" s="6">
        <f t="shared" si="6"/>
        <v>128</v>
      </c>
      <c r="T20" s="2" t="s">
        <v>144</v>
      </c>
      <c r="U20" s="6">
        <f t="shared" si="7"/>
        <v>34</v>
      </c>
      <c r="V20" s="2" t="s">
        <v>143</v>
      </c>
      <c r="W20" s="6">
        <f t="shared" si="8"/>
        <v>128</v>
      </c>
      <c r="X20" s="2" t="s">
        <v>145</v>
      </c>
      <c r="Y20" s="6">
        <f t="shared" si="9"/>
        <v>46</v>
      </c>
      <c r="Z20" s="5" t="s">
        <v>75</v>
      </c>
      <c r="AA20" s="2">
        <v>333</v>
      </c>
      <c r="AB20" s="2">
        <v>343</v>
      </c>
      <c r="AC20" s="2" t="s">
        <v>76</v>
      </c>
      <c r="AD20" s="6">
        <f t="shared" si="1"/>
        <v>240</v>
      </c>
      <c r="AE20" s="2" t="s">
        <v>77</v>
      </c>
      <c r="AF20" s="6">
        <f t="shared" si="10"/>
        <v>100</v>
      </c>
      <c r="AG20" s="2" t="s">
        <v>146</v>
      </c>
      <c r="AH20" s="6">
        <f t="shared" si="11"/>
        <v>26</v>
      </c>
      <c r="AI20" s="2" t="s">
        <v>122</v>
      </c>
      <c r="AJ20" s="6">
        <f t="shared" si="12"/>
        <v>58</v>
      </c>
      <c r="AK20" s="7" t="s">
        <v>147</v>
      </c>
      <c r="AL20" s="3">
        <f t="shared" si="13"/>
        <v>1579</v>
      </c>
      <c r="AM20" s="2" t="s">
        <v>148</v>
      </c>
      <c r="AN20" s="6">
        <f t="shared" si="14"/>
        <v>1139</v>
      </c>
      <c r="AO20" s="2" t="s">
        <v>149</v>
      </c>
      <c r="AP20" s="6">
        <f t="shared" si="15"/>
        <v>1753</v>
      </c>
      <c r="AQ20" s="2" t="s">
        <v>150</v>
      </c>
      <c r="AR20" s="6">
        <f t="shared" si="16"/>
        <v>1490</v>
      </c>
      <c r="AS20" s="2" t="s">
        <v>151</v>
      </c>
      <c r="AT20" s="6">
        <f t="shared" si="17"/>
        <v>2191</v>
      </c>
      <c r="AU20" s="2" t="s">
        <v>152</v>
      </c>
      <c r="AV20" s="6">
        <f t="shared" si="18"/>
        <v>2630</v>
      </c>
    </row>
    <row r="21" spans="1:48" ht="45" x14ac:dyDescent="0.3">
      <c r="A21" s="2" t="s">
        <v>22</v>
      </c>
      <c r="B21" s="2">
        <v>13</v>
      </c>
      <c r="C21" s="2" t="s">
        <v>12</v>
      </c>
      <c r="D21" s="2">
        <v>21</v>
      </c>
      <c r="E21" s="2" t="s">
        <v>8</v>
      </c>
      <c r="F21" s="2" t="s">
        <v>21</v>
      </c>
      <c r="G21" s="7" t="s">
        <v>141</v>
      </c>
      <c r="H21" s="3">
        <f t="shared" si="0"/>
        <v>8765</v>
      </c>
      <c r="I21" s="5" t="s">
        <v>127</v>
      </c>
      <c r="J21" s="2" t="s">
        <v>67</v>
      </c>
      <c r="K21" s="6">
        <f t="shared" si="2"/>
        <v>132</v>
      </c>
      <c r="L21" s="2" t="s">
        <v>142</v>
      </c>
      <c r="M21" s="6">
        <f t="shared" si="3"/>
        <v>387</v>
      </c>
      <c r="N21" s="2" t="s">
        <v>69</v>
      </c>
      <c r="O21" s="6">
        <f t="shared" si="4"/>
        <v>50</v>
      </c>
      <c r="P21" s="2" t="s">
        <v>70</v>
      </c>
      <c r="Q21" s="6">
        <f t="shared" si="5"/>
        <v>250</v>
      </c>
      <c r="R21" s="2" t="s">
        <v>143</v>
      </c>
      <c r="S21" s="6">
        <f t="shared" si="6"/>
        <v>128</v>
      </c>
      <c r="T21" s="2" t="s">
        <v>144</v>
      </c>
      <c r="U21" s="6">
        <f t="shared" si="7"/>
        <v>34</v>
      </c>
      <c r="V21" s="2" t="s">
        <v>143</v>
      </c>
      <c r="W21" s="6">
        <f t="shared" si="8"/>
        <v>128</v>
      </c>
      <c r="X21" s="2" t="s">
        <v>145</v>
      </c>
      <c r="Y21" s="6">
        <f t="shared" si="9"/>
        <v>46</v>
      </c>
      <c r="Z21" s="5" t="s">
        <v>85</v>
      </c>
      <c r="AA21" s="2">
        <v>333</v>
      </c>
      <c r="AB21" s="2">
        <v>343</v>
      </c>
      <c r="AC21" s="2" t="s">
        <v>76</v>
      </c>
      <c r="AD21" s="6">
        <f t="shared" si="1"/>
        <v>240</v>
      </c>
      <c r="AE21" s="2" t="s">
        <v>77</v>
      </c>
      <c r="AF21" s="6">
        <f t="shared" si="10"/>
        <v>100</v>
      </c>
      <c r="AG21" s="2" t="s">
        <v>146</v>
      </c>
      <c r="AH21" s="6">
        <f t="shared" si="11"/>
        <v>26</v>
      </c>
      <c r="AI21" s="2" t="s">
        <v>122</v>
      </c>
      <c r="AJ21" s="6">
        <f t="shared" si="12"/>
        <v>58</v>
      </c>
      <c r="AK21" s="7" t="s">
        <v>147</v>
      </c>
      <c r="AL21" s="3">
        <f t="shared" si="13"/>
        <v>1579</v>
      </c>
      <c r="AM21" s="2" t="s">
        <v>148</v>
      </c>
      <c r="AN21" s="6">
        <f t="shared" si="14"/>
        <v>1139</v>
      </c>
      <c r="AO21" s="2" t="s">
        <v>149</v>
      </c>
      <c r="AP21" s="6">
        <f t="shared" si="15"/>
        <v>1753</v>
      </c>
      <c r="AQ21" s="2" t="s">
        <v>150</v>
      </c>
      <c r="AR21" s="6">
        <f t="shared" si="16"/>
        <v>1490</v>
      </c>
      <c r="AS21" s="2" t="s">
        <v>151</v>
      </c>
      <c r="AT21" s="6">
        <f t="shared" si="17"/>
        <v>2191</v>
      </c>
      <c r="AU21" s="2" t="s">
        <v>152</v>
      </c>
      <c r="AV21" s="6">
        <f t="shared" si="18"/>
        <v>2630</v>
      </c>
    </row>
    <row r="22" spans="1:48" ht="45" x14ac:dyDescent="0.3">
      <c r="A22" s="2" t="s">
        <v>22</v>
      </c>
      <c r="B22" s="2">
        <v>14</v>
      </c>
      <c r="C22" s="2" t="s">
        <v>12</v>
      </c>
      <c r="D22" s="2">
        <v>22</v>
      </c>
      <c r="E22" s="2" t="s">
        <v>8</v>
      </c>
      <c r="F22" s="2" t="s">
        <v>13</v>
      </c>
      <c r="G22" s="7" t="s">
        <v>141</v>
      </c>
      <c r="H22" s="3">
        <f t="shared" si="0"/>
        <v>8765</v>
      </c>
      <c r="I22" s="5" t="s">
        <v>127</v>
      </c>
      <c r="J22" s="2" t="s">
        <v>67</v>
      </c>
      <c r="K22" s="6">
        <f t="shared" si="2"/>
        <v>132</v>
      </c>
      <c r="L22" s="2" t="s">
        <v>142</v>
      </c>
      <c r="M22" s="6">
        <f t="shared" si="3"/>
        <v>387</v>
      </c>
      <c r="N22" s="2" t="s">
        <v>69</v>
      </c>
      <c r="O22" s="6">
        <f t="shared" si="4"/>
        <v>50</v>
      </c>
      <c r="P22" s="2" t="s">
        <v>70</v>
      </c>
      <c r="Q22" s="6">
        <f t="shared" si="5"/>
        <v>250</v>
      </c>
      <c r="R22" s="2" t="s">
        <v>143</v>
      </c>
      <c r="S22" s="6">
        <f t="shared" si="6"/>
        <v>128</v>
      </c>
      <c r="T22" s="2" t="s">
        <v>144</v>
      </c>
      <c r="U22" s="6">
        <f t="shared" si="7"/>
        <v>34</v>
      </c>
      <c r="V22" s="2" t="s">
        <v>143</v>
      </c>
      <c r="W22" s="6">
        <f t="shared" si="8"/>
        <v>128</v>
      </c>
      <c r="X22" s="2" t="s">
        <v>145</v>
      </c>
      <c r="Y22" s="6">
        <f t="shared" si="9"/>
        <v>46</v>
      </c>
      <c r="Z22" s="5" t="s">
        <v>87</v>
      </c>
      <c r="AA22" s="2">
        <v>333</v>
      </c>
      <c r="AB22" s="2">
        <v>343</v>
      </c>
      <c r="AC22" s="2" t="s">
        <v>76</v>
      </c>
      <c r="AD22" s="6">
        <f t="shared" si="1"/>
        <v>240</v>
      </c>
      <c r="AE22" s="2" t="s">
        <v>77</v>
      </c>
      <c r="AF22" s="6">
        <f t="shared" si="10"/>
        <v>100</v>
      </c>
      <c r="AG22" s="2" t="s">
        <v>146</v>
      </c>
      <c r="AH22" s="6">
        <f t="shared" si="11"/>
        <v>26</v>
      </c>
      <c r="AI22" s="2" t="s">
        <v>122</v>
      </c>
      <c r="AJ22" s="6">
        <f t="shared" si="12"/>
        <v>58</v>
      </c>
      <c r="AK22" s="7" t="s">
        <v>147</v>
      </c>
      <c r="AL22" s="3">
        <f t="shared" si="13"/>
        <v>1579</v>
      </c>
      <c r="AM22" s="2" t="s">
        <v>148</v>
      </c>
      <c r="AN22" s="6">
        <f t="shared" si="14"/>
        <v>1139</v>
      </c>
      <c r="AO22" s="2" t="s">
        <v>149</v>
      </c>
      <c r="AP22" s="6">
        <f t="shared" si="15"/>
        <v>1753</v>
      </c>
      <c r="AQ22" s="2" t="s">
        <v>150</v>
      </c>
      <c r="AR22" s="6">
        <f t="shared" si="16"/>
        <v>1490</v>
      </c>
      <c r="AS22" s="2" t="s">
        <v>151</v>
      </c>
      <c r="AT22" s="6">
        <f t="shared" si="17"/>
        <v>2191</v>
      </c>
      <c r="AU22" s="2" t="s">
        <v>152</v>
      </c>
      <c r="AV22" s="6">
        <f t="shared" si="18"/>
        <v>2630</v>
      </c>
    </row>
    <row r="23" spans="1:48" ht="45" x14ac:dyDescent="0.3">
      <c r="A23" s="2" t="s">
        <v>22</v>
      </c>
      <c r="B23" s="2">
        <v>15</v>
      </c>
      <c r="C23" s="2" t="s">
        <v>16</v>
      </c>
      <c r="D23" s="2">
        <v>23</v>
      </c>
      <c r="E23" s="2" t="s">
        <v>17</v>
      </c>
      <c r="F23" s="2" t="s">
        <v>14</v>
      </c>
      <c r="G23" s="7" t="s">
        <v>141</v>
      </c>
      <c r="H23" s="3">
        <f t="shared" si="0"/>
        <v>8765</v>
      </c>
      <c r="I23" s="5" t="s">
        <v>127</v>
      </c>
      <c r="J23" s="2" t="s">
        <v>67</v>
      </c>
      <c r="K23" s="6">
        <f t="shared" si="2"/>
        <v>132</v>
      </c>
      <c r="L23" s="2" t="s">
        <v>142</v>
      </c>
      <c r="M23" s="6">
        <f t="shared" si="3"/>
        <v>387</v>
      </c>
      <c r="N23" s="2" t="s">
        <v>69</v>
      </c>
      <c r="O23" s="6">
        <f t="shared" si="4"/>
        <v>50</v>
      </c>
      <c r="P23" s="2" t="s">
        <v>70</v>
      </c>
      <c r="Q23" s="6">
        <f t="shared" si="5"/>
        <v>250</v>
      </c>
      <c r="R23" s="2" t="s">
        <v>143</v>
      </c>
      <c r="S23" s="6">
        <f t="shared" si="6"/>
        <v>128</v>
      </c>
      <c r="T23" s="2" t="s">
        <v>144</v>
      </c>
      <c r="U23" s="6">
        <f t="shared" si="7"/>
        <v>34</v>
      </c>
      <c r="V23" s="2" t="s">
        <v>143</v>
      </c>
      <c r="W23" s="6">
        <f t="shared" si="8"/>
        <v>128</v>
      </c>
      <c r="X23" s="2" t="s">
        <v>145</v>
      </c>
      <c r="Y23" s="6">
        <f t="shared" si="9"/>
        <v>46</v>
      </c>
      <c r="Z23" s="5" t="s">
        <v>104</v>
      </c>
      <c r="AA23" s="2">
        <v>333</v>
      </c>
      <c r="AB23" s="2">
        <v>343</v>
      </c>
      <c r="AC23" s="2" t="s">
        <v>76</v>
      </c>
      <c r="AD23" s="6">
        <f t="shared" si="1"/>
        <v>240</v>
      </c>
      <c r="AE23" s="2" t="s">
        <v>77</v>
      </c>
      <c r="AF23" s="6">
        <f t="shared" si="10"/>
        <v>100</v>
      </c>
      <c r="AG23" s="2" t="s">
        <v>146</v>
      </c>
      <c r="AH23" s="6">
        <f t="shared" si="11"/>
        <v>26</v>
      </c>
      <c r="AI23" s="2" t="s">
        <v>122</v>
      </c>
      <c r="AJ23" s="6">
        <f t="shared" si="12"/>
        <v>58</v>
      </c>
      <c r="AK23" s="7" t="s">
        <v>147</v>
      </c>
      <c r="AL23" s="3">
        <f t="shared" si="13"/>
        <v>1579</v>
      </c>
      <c r="AM23" s="2" t="s">
        <v>148</v>
      </c>
      <c r="AN23" s="6">
        <f t="shared" si="14"/>
        <v>1139</v>
      </c>
      <c r="AO23" s="2" t="s">
        <v>149</v>
      </c>
      <c r="AP23" s="6">
        <f t="shared" si="15"/>
        <v>1753</v>
      </c>
      <c r="AQ23" s="2" t="s">
        <v>150</v>
      </c>
      <c r="AR23" s="6">
        <f t="shared" si="16"/>
        <v>1490</v>
      </c>
      <c r="AS23" s="2" t="s">
        <v>151</v>
      </c>
      <c r="AT23" s="6">
        <f t="shared" si="17"/>
        <v>2191</v>
      </c>
      <c r="AU23" s="2" t="s">
        <v>152</v>
      </c>
      <c r="AV23" s="6">
        <f t="shared" si="18"/>
        <v>2630</v>
      </c>
    </row>
    <row r="24" spans="1:48" ht="30" x14ac:dyDescent="0.3">
      <c r="A24" s="2" t="s">
        <v>23</v>
      </c>
      <c r="B24" s="2">
        <v>17</v>
      </c>
      <c r="C24" s="2" t="s">
        <v>16</v>
      </c>
      <c r="D24" s="2">
        <v>12.9</v>
      </c>
      <c r="E24" s="2" t="s">
        <v>8</v>
      </c>
      <c r="F24" s="2" t="s">
        <v>10</v>
      </c>
      <c r="G24" s="7" t="s">
        <v>153</v>
      </c>
      <c r="H24" s="3">
        <f t="shared" si="0"/>
        <v>5432</v>
      </c>
      <c r="I24" s="5" t="s">
        <v>127</v>
      </c>
      <c r="J24" s="2" t="s">
        <v>67</v>
      </c>
      <c r="K24" s="6">
        <f t="shared" si="2"/>
        <v>132</v>
      </c>
      <c r="L24" s="2" t="s">
        <v>154</v>
      </c>
      <c r="M24" s="6">
        <f t="shared" si="3"/>
        <v>245</v>
      </c>
      <c r="N24" s="2" t="s">
        <v>69</v>
      </c>
      <c r="O24" s="6">
        <f t="shared" si="4"/>
        <v>50</v>
      </c>
      <c r="P24" s="2" t="s">
        <v>70</v>
      </c>
      <c r="Q24" s="6">
        <f t="shared" si="5"/>
        <v>250</v>
      </c>
      <c r="R24" s="2" t="s">
        <v>71</v>
      </c>
      <c r="S24" s="6">
        <f t="shared" si="6"/>
        <v>120</v>
      </c>
      <c r="T24" s="8"/>
      <c r="U24" s="6">
        <f t="shared" si="7"/>
        <v>0</v>
      </c>
      <c r="V24" s="2" t="s">
        <v>71</v>
      </c>
      <c r="W24" s="6">
        <f t="shared" si="8"/>
        <v>120</v>
      </c>
      <c r="X24" s="2" t="s">
        <v>155</v>
      </c>
      <c r="Y24" s="6">
        <f t="shared" si="9"/>
        <v>66</v>
      </c>
      <c r="Z24" s="5" t="s">
        <v>75</v>
      </c>
      <c r="AA24" s="2">
        <v>295</v>
      </c>
      <c r="AB24" s="2">
        <v>343</v>
      </c>
      <c r="AC24" s="2" t="s">
        <v>76</v>
      </c>
      <c r="AD24" s="6">
        <f t="shared" si="1"/>
        <v>240</v>
      </c>
      <c r="AE24" s="2" t="s">
        <v>77</v>
      </c>
      <c r="AF24" s="6">
        <f t="shared" si="10"/>
        <v>100</v>
      </c>
      <c r="AG24" s="2" t="s">
        <v>156</v>
      </c>
      <c r="AH24" s="6">
        <f t="shared" si="11"/>
        <v>27</v>
      </c>
      <c r="AI24" s="2" t="s">
        <v>124</v>
      </c>
      <c r="AJ24" s="6">
        <f t="shared" si="12"/>
        <v>59</v>
      </c>
      <c r="AK24" s="7" t="s">
        <v>157</v>
      </c>
      <c r="AL24" s="3">
        <f t="shared" si="13"/>
        <v>1409</v>
      </c>
      <c r="AM24" s="2" t="s">
        <v>158</v>
      </c>
      <c r="AN24" s="6">
        <f t="shared" si="14"/>
        <v>706</v>
      </c>
      <c r="AO24" s="2" t="s">
        <v>159</v>
      </c>
      <c r="AP24" s="6">
        <f t="shared" si="15"/>
        <v>1086</v>
      </c>
      <c r="AQ24" s="2" t="s">
        <v>160</v>
      </c>
      <c r="AR24" s="6">
        <f t="shared" si="16"/>
        <v>923</v>
      </c>
      <c r="AS24" s="2" t="s">
        <v>161</v>
      </c>
      <c r="AT24" s="6">
        <f t="shared" si="17"/>
        <v>1358</v>
      </c>
      <c r="AU24" s="2" t="s">
        <v>162</v>
      </c>
      <c r="AV24" s="6">
        <f t="shared" si="18"/>
        <v>1630</v>
      </c>
    </row>
    <row r="25" spans="1:48" ht="30" x14ac:dyDescent="0.3">
      <c r="A25" s="2" t="s">
        <v>23</v>
      </c>
      <c r="B25" s="2">
        <v>18</v>
      </c>
      <c r="C25" s="2" t="s">
        <v>16</v>
      </c>
      <c r="D25" s="2">
        <v>12.9</v>
      </c>
      <c r="E25" s="2" t="s">
        <v>8</v>
      </c>
      <c r="F25" s="2" t="s">
        <v>13</v>
      </c>
      <c r="G25" s="7" t="s">
        <v>153</v>
      </c>
      <c r="H25" s="3">
        <f t="shared" si="0"/>
        <v>5432</v>
      </c>
      <c r="I25" s="5" t="s">
        <v>127</v>
      </c>
      <c r="J25" s="2" t="s">
        <v>67</v>
      </c>
      <c r="K25" s="6">
        <f t="shared" si="2"/>
        <v>132</v>
      </c>
      <c r="L25" s="2" t="s">
        <v>154</v>
      </c>
      <c r="M25" s="6">
        <f t="shared" si="3"/>
        <v>245</v>
      </c>
      <c r="N25" s="2" t="s">
        <v>69</v>
      </c>
      <c r="O25" s="6">
        <f t="shared" si="4"/>
        <v>50</v>
      </c>
      <c r="P25" s="2" t="s">
        <v>70</v>
      </c>
      <c r="Q25" s="6">
        <f t="shared" si="5"/>
        <v>250</v>
      </c>
      <c r="R25" s="2" t="s">
        <v>71</v>
      </c>
      <c r="S25" s="6">
        <f t="shared" si="6"/>
        <v>120</v>
      </c>
      <c r="T25" s="8"/>
      <c r="U25" s="6">
        <f t="shared" si="7"/>
        <v>0</v>
      </c>
      <c r="V25" s="2" t="s">
        <v>71</v>
      </c>
      <c r="W25" s="6">
        <f t="shared" si="8"/>
        <v>120</v>
      </c>
      <c r="X25" s="2" t="s">
        <v>155</v>
      </c>
      <c r="Y25" s="6">
        <f t="shared" si="9"/>
        <v>66</v>
      </c>
      <c r="Z25" s="5" t="s">
        <v>85</v>
      </c>
      <c r="AA25" s="2">
        <v>295</v>
      </c>
      <c r="AB25" s="2">
        <v>343</v>
      </c>
      <c r="AC25" s="2" t="s">
        <v>76</v>
      </c>
      <c r="AD25" s="6">
        <f t="shared" si="1"/>
        <v>240</v>
      </c>
      <c r="AE25" s="2" t="s">
        <v>77</v>
      </c>
      <c r="AF25" s="6">
        <f t="shared" si="10"/>
        <v>100</v>
      </c>
      <c r="AG25" s="2" t="s">
        <v>156</v>
      </c>
      <c r="AH25" s="6">
        <f t="shared" si="11"/>
        <v>27</v>
      </c>
      <c r="AI25" s="2" t="s">
        <v>124</v>
      </c>
      <c r="AJ25" s="6">
        <f t="shared" si="12"/>
        <v>59</v>
      </c>
      <c r="AK25" s="7" t="s">
        <v>157</v>
      </c>
      <c r="AL25" s="3">
        <f t="shared" si="13"/>
        <v>1409</v>
      </c>
      <c r="AM25" s="2" t="s">
        <v>158</v>
      </c>
      <c r="AN25" s="6">
        <f t="shared" si="14"/>
        <v>706</v>
      </c>
      <c r="AO25" s="2" t="s">
        <v>159</v>
      </c>
      <c r="AP25" s="6">
        <f t="shared" si="15"/>
        <v>1086</v>
      </c>
      <c r="AQ25" s="2" t="s">
        <v>160</v>
      </c>
      <c r="AR25" s="6">
        <f t="shared" si="16"/>
        <v>923</v>
      </c>
      <c r="AS25" s="2" t="s">
        <v>161</v>
      </c>
      <c r="AT25" s="6">
        <f t="shared" si="17"/>
        <v>1358</v>
      </c>
      <c r="AU25" s="2" t="s">
        <v>162</v>
      </c>
      <c r="AV25" s="6">
        <f t="shared" si="18"/>
        <v>1630</v>
      </c>
    </row>
    <row r="26" spans="1:48" ht="30" x14ac:dyDescent="0.3">
      <c r="A26" s="2" t="s">
        <v>23</v>
      </c>
      <c r="B26" s="2">
        <v>18</v>
      </c>
      <c r="C26" s="2" t="s">
        <v>16</v>
      </c>
      <c r="D26" s="2">
        <v>21</v>
      </c>
      <c r="E26" s="2" t="s">
        <v>8</v>
      </c>
      <c r="F26" s="2" t="s">
        <v>21</v>
      </c>
      <c r="G26" s="7" t="s">
        <v>153</v>
      </c>
      <c r="H26" s="3">
        <f t="shared" si="0"/>
        <v>5432</v>
      </c>
      <c r="I26" s="5" t="s">
        <v>127</v>
      </c>
      <c r="J26" s="2" t="s">
        <v>67</v>
      </c>
      <c r="K26" s="6">
        <f t="shared" si="2"/>
        <v>132</v>
      </c>
      <c r="L26" s="2" t="s">
        <v>154</v>
      </c>
      <c r="M26" s="6">
        <f t="shared" si="3"/>
        <v>245</v>
      </c>
      <c r="N26" s="2" t="s">
        <v>69</v>
      </c>
      <c r="O26" s="6">
        <f t="shared" si="4"/>
        <v>50</v>
      </c>
      <c r="P26" s="2" t="s">
        <v>70</v>
      </c>
      <c r="Q26" s="6">
        <f t="shared" si="5"/>
        <v>250</v>
      </c>
      <c r="R26" s="2" t="s">
        <v>71</v>
      </c>
      <c r="S26" s="6">
        <f t="shared" si="6"/>
        <v>120</v>
      </c>
      <c r="T26" s="8"/>
      <c r="U26" s="6">
        <f t="shared" si="7"/>
        <v>0</v>
      </c>
      <c r="V26" s="2" t="s">
        <v>71</v>
      </c>
      <c r="W26" s="6">
        <f t="shared" si="8"/>
        <v>120</v>
      </c>
      <c r="X26" s="2" t="s">
        <v>155</v>
      </c>
      <c r="Y26" s="6">
        <f t="shared" si="9"/>
        <v>66</v>
      </c>
      <c r="Z26" s="5" t="s">
        <v>87</v>
      </c>
      <c r="AA26" s="2">
        <v>295</v>
      </c>
      <c r="AB26" s="2">
        <v>343</v>
      </c>
      <c r="AC26" s="2" t="s">
        <v>76</v>
      </c>
      <c r="AD26" s="6">
        <f t="shared" si="1"/>
        <v>240</v>
      </c>
      <c r="AE26" s="2" t="s">
        <v>77</v>
      </c>
      <c r="AF26" s="6">
        <f t="shared" si="10"/>
        <v>100</v>
      </c>
      <c r="AG26" s="2" t="s">
        <v>156</v>
      </c>
      <c r="AH26" s="6">
        <f t="shared" si="11"/>
        <v>27</v>
      </c>
      <c r="AI26" s="2" t="s">
        <v>124</v>
      </c>
      <c r="AJ26" s="6">
        <f t="shared" si="12"/>
        <v>59</v>
      </c>
      <c r="AK26" s="7" t="s">
        <v>157</v>
      </c>
      <c r="AL26" s="3">
        <f t="shared" si="13"/>
        <v>1409</v>
      </c>
      <c r="AM26" s="2" t="s">
        <v>158</v>
      </c>
      <c r="AN26" s="6">
        <f t="shared" si="14"/>
        <v>706</v>
      </c>
      <c r="AO26" s="2" t="s">
        <v>159</v>
      </c>
      <c r="AP26" s="6">
        <f t="shared" si="15"/>
        <v>1086</v>
      </c>
      <c r="AQ26" s="2" t="s">
        <v>160</v>
      </c>
      <c r="AR26" s="6">
        <f t="shared" si="16"/>
        <v>923</v>
      </c>
      <c r="AS26" s="2" t="s">
        <v>161</v>
      </c>
      <c r="AT26" s="6">
        <f t="shared" si="17"/>
        <v>1358</v>
      </c>
      <c r="AU26" s="2" t="s">
        <v>162</v>
      </c>
      <c r="AV26" s="6">
        <f t="shared" si="18"/>
        <v>1630</v>
      </c>
    </row>
    <row r="27" spans="1:48" ht="30" x14ac:dyDescent="0.3">
      <c r="A27" s="2" t="s">
        <v>23</v>
      </c>
      <c r="B27" s="2">
        <v>24</v>
      </c>
      <c r="C27" s="2" t="s">
        <v>16</v>
      </c>
      <c r="D27" s="2">
        <v>22</v>
      </c>
      <c r="E27" s="2" t="s">
        <v>17</v>
      </c>
      <c r="F27" s="2" t="s">
        <v>21</v>
      </c>
      <c r="G27" s="7" t="s">
        <v>153</v>
      </c>
      <c r="H27" s="3">
        <f t="shared" si="0"/>
        <v>5432</v>
      </c>
      <c r="I27" s="5" t="s">
        <v>127</v>
      </c>
      <c r="J27" s="2" t="s">
        <v>67</v>
      </c>
      <c r="K27" s="6">
        <f t="shared" si="2"/>
        <v>132</v>
      </c>
      <c r="L27" s="2" t="s">
        <v>154</v>
      </c>
      <c r="M27" s="6">
        <f t="shared" si="3"/>
        <v>245</v>
      </c>
      <c r="N27" s="2" t="s">
        <v>69</v>
      </c>
      <c r="O27" s="6">
        <f t="shared" si="4"/>
        <v>50</v>
      </c>
      <c r="P27" s="2" t="s">
        <v>70</v>
      </c>
      <c r="Q27" s="6">
        <f t="shared" si="5"/>
        <v>250</v>
      </c>
      <c r="R27" s="2" t="s">
        <v>71</v>
      </c>
      <c r="S27" s="6">
        <f t="shared" si="6"/>
        <v>120</v>
      </c>
      <c r="T27" s="8"/>
      <c r="U27" s="6">
        <f t="shared" si="7"/>
        <v>0</v>
      </c>
      <c r="V27" s="2" t="s">
        <v>71</v>
      </c>
      <c r="W27" s="6">
        <f t="shared" si="8"/>
        <v>120</v>
      </c>
      <c r="X27" s="2" t="s">
        <v>155</v>
      </c>
      <c r="Y27" s="6">
        <f t="shared" si="9"/>
        <v>66</v>
      </c>
      <c r="Z27" s="5" t="s">
        <v>104</v>
      </c>
      <c r="AA27" s="2">
        <v>295</v>
      </c>
      <c r="AB27" s="2">
        <v>343</v>
      </c>
      <c r="AC27" s="2" t="s">
        <v>76</v>
      </c>
      <c r="AD27" s="6">
        <f t="shared" si="1"/>
        <v>240</v>
      </c>
      <c r="AE27" s="2" t="s">
        <v>77</v>
      </c>
      <c r="AF27" s="6">
        <f t="shared" si="10"/>
        <v>100</v>
      </c>
      <c r="AG27" s="2" t="s">
        <v>156</v>
      </c>
      <c r="AH27" s="6">
        <f t="shared" si="11"/>
        <v>27</v>
      </c>
      <c r="AI27" s="2" t="s">
        <v>124</v>
      </c>
      <c r="AJ27" s="6">
        <f t="shared" si="12"/>
        <v>59</v>
      </c>
      <c r="AK27" s="7" t="s">
        <v>157</v>
      </c>
      <c r="AL27" s="3">
        <f t="shared" si="13"/>
        <v>1409</v>
      </c>
      <c r="AM27" s="2" t="s">
        <v>158</v>
      </c>
      <c r="AN27" s="6">
        <f t="shared" si="14"/>
        <v>706</v>
      </c>
      <c r="AO27" s="2" t="s">
        <v>159</v>
      </c>
      <c r="AP27" s="6">
        <f t="shared" si="15"/>
        <v>1086</v>
      </c>
      <c r="AQ27" s="2" t="s">
        <v>160</v>
      </c>
      <c r="AR27" s="6">
        <f t="shared" si="16"/>
        <v>923</v>
      </c>
      <c r="AS27" s="2" t="s">
        <v>161</v>
      </c>
      <c r="AT27" s="6">
        <f t="shared" si="17"/>
        <v>1358</v>
      </c>
      <c r="AU27" s="2" t="s">
        <v>162</v>
      </c>
      <c r="AV27" s="6">
        <f t="shared" si="18"/>
        <v>1630</v>
      </c>
    </row>
    <row r="28" spans="1:48" ht="30" x14ac:dyDescent="0.3">
      <c r="A28" s="2" t="s">
        <v>24</v>
      </c>
      <c r="B28" s="2">
        <v>7</v>
      </c>
      <c r="C28" s="2" t="s">
        <v>7</v>
      </c>
      <c r="D28" s="2">
        <v>23</v>
      </c>
      <c r="E28" s="2" t="s">
        <v>17</v>
      </c>
      <c r="F28" s="2" t="s">
        <v>9</v>
      </c>
      <c r="G28" s="7" t="s">
        <v>163</v>
      </c>
      <c r="H28" s="3">
        <f t="shared" si="0"/>
        <v>6778</v>
      </c>
      <c r="I28" s="5" t="s">
        <v>164</v>
      </c>
      <c r="J28" s="2" t="s">
        <v>67</v>
      </c>
      <c r="K28" s="6">
        <f t="shared" si="2"/>
        <v>132</v>
      </c>
      <c r="L28" s="2" t="s">
        <v>68</v>
      </c>
      <c r="M28" s="6">
        <f t="shared" si="3"/>
        <v>400</v>
      </c>
      <c r="N28" s="2" t="s">
        <v>69</v>
      </c>
      <c r="O28" s="6">
        <f t="shared" si="4"/>
        <v>50</v>
      </c>
      <c r="P28" s="2" t="s">
        <v>70</v>
      </c>
      <c r="Q28" s="6">
        <f t="shared" si="5"/>
        <v>250</v>
      </c>
      <c r="R28" s="2" t="s">
        <v>73</v>
      </c>
      <c r="S28" s="6">
        <f t="shared" si="6"/>
        <v>134</v>
      </c>
      <c r="T28" s="8"/>
      <c r="U28" s="6">
        <f t="shared" si="7"/>
        <v>0</v>
      </c>
      <c r="V28" s="2" t="s">
        <v>73</v>
      </c>
      <c r="W28" s="6">
        <f t="shared" si="8"/>
        <v>134</v>
      </c>
      <c r="X28" s="2" t="s">
        <v>74</v>
      </c>
      <c r="Y28" s="6">
        <f t="shared" si="9"/>
        <v>6</v>
      </c>
      <c r="Z28" s="5" t="s">
        <v>75</v>
      </c>
      <c r="AA28" s="2">
        <v>295</v>
      </c>
      <c r="AB28" s="2">
        <v>377</v>
      </c>
      <c r="AC28" s="2" t="s">
        <v>165</v>
      </c>
      <c r="AD28" s="6">
        <f t="shared" si="1"/>
        <v>264</v>
      </c>
      <c r="AE28" s="2" t="s">
        <v>77</v>
      </c>
      <c r="AF28" s="6">
        <f t="shared" si="10"/>
        <v>100</v>
      </c>
      <c r="AG28" s="2" t="s">
        <v>166</v>
      </c>
      <c r="AH28" s="6">
        <f t="shared" si="11"/>
        <v>28</v>
      </c>
      <c r="AI28" s="2" t="s">
        <v>167</v>
      </c>
      <c r="AJ28" s="6">
        <f t="shared" si="12"/>
        <v>60</v>
      </c>
      <c r="AK28" s="7" t="s">
        <v>168</v>
      </c>
      <c r="AL28" s="3">
        <f t="shared" si="13"/>
        <v>1558</v>
      </c>
      <c r="AM28" s="2" t="s">
        <v>169</v>
      </c>
      <c r="AN28" s="6">
        <f t="shared" si="14"/>
        <v>881</v>
      </c>
      <c r="AO28" s="2" t="s">
        <v>170</v>
      </c>
      <c r="AP28" s="6">
        <f t="shared" si="15"/>
        <v>1356</v>
      </c>
      <c r="AQ28" s="2" t="s">
        <v>171</v>
      </c>
      <c r="AR28" s="6">
        <f t="shared" si="16"/>
        <v>1152</v>
      </c>
      <c r="AS28" s="2" t="s">
        <v>172</v>
      </c>
      <c r="AT28" s="6">
        <f t="shared" si="17"/>
        <v>1695</v>
      </c>
      <c r="AU28" s="2" t="s">
        <v>173</v>
      </c>
      <c r="AV28" s="6">
        <f t="shared" si="18"/>
        <v>2033</v>
      </c>
    </row>
    <row r="29" spans="1:48" ht="45" x14ac:dyDescent="0.3">
      <c r="A29" s="2" t="s">
        <v>24</v>
      </c>
      <c r="B29" s="2">
        <v>19</v>
      </c>
      <c r="C29" s="2" t="s">
        <v>7</v>
      </c>
      <c r="D29" s="2">
        <v>12</v>
      </c>
      <c r="E29" s="2" t="s">
        <v>17</v>
      </c>
      <c r="F29" s="2" t="s">
        <v>10</v>
      </c>
      <c r="G29" s="7" t="s">
        <v>163</v>
      </c>
      <c r="H29" s="3">
        <f t="shared" si="0"/>
        <v>6778</v>
      </c>
      <c r="I29" s="5" t="s">
        <v>164</v>
      </c>
      <c r="J29" s="2" t="s">
        <v>67</v>
      </c>
      <c r="K29" s="6">
        <f t="shared" si="2"/>
        <v>132</v>
      </c>
      <c r="L29" s="2" t="s">
        <v>68</v>
      </c>
      <c r="M29" s="6">
        <f t="shared" si="3"/>
        <v>400</v>
      </c>
      <c r="N29" s="2" t="s">
        <v>69</v>
      </c>
      <c r="O29" s="6">
        <f t="shared" si="4"/>
        <v>50</v>
      </c>
      <c r="P29" s="2" t="s">
        <v>70</v>
      </c>
      <c r="Q29" s="6">
        <f t="shared" si="5"/>
        <v>250</v>
      </c>
      <c r="R29" s="2" t="s">
        <v>73</v>
      </c>
      <c r="S29" s="6">
        <f t="shared" si="6"/>
        <v>134</v>
      </c>
      <c r="T29" s="2" t="s">
        <v>72</v>
      </c>
      <c r="U29" s="6">
        <f t="shared" si="7"/>
        <v>65</v>
      </c>
      <c r="V29" s="2" t="s">
        <v>73</v>
      </c>
      <c r="W29" s="6">
        <f t="shared" si="8"/>
        <v>134</v>
      </c>
      <c r="X29" s="2" t="s">
        <v>74</v>
      </c>
      <c r="Y29" s="6">
        <f t="shared" si="9"/>
        <v>6</v>
      </c>
      <c r="Z29" s="5" t="s">
        <v>85</v>
      </c>
      <c r="AA29" s="2">
        <v>295</v>
      </c>
      <c r="AB29" s="2">
        <v>377</v>
      </c>
      <c r="AC29" s="2" t="s">
        <v>165</v>
      </c>
      <c r="AD29" s="6">
        <f t="shared" si="1"/>
        <v>264</v>
      </c>
      <c r="AE29" s="2" t="s">
        <v>77</v>
      </c>
      <c r="AF29" s="6">
        <f t="shared" si="10"/>
        <v>100</v>
      </c>
      <c r="AG29" s="2" t="s">
        <v>166</v>
      </c>
      <c r="AH29" s="6">
        <f t="shared" si="11"/>
        <v>28</v>
      </c>
      <c r="AI29" s="2" t="s">
        <v>167</v>
      </c>
      <c r="AJ29" s="6">
        <f t="shared" si="12"/>
        <v>60</v>
      </c>
      <c r="AK29" s="7" t="s">
        <v>174</v>
      </c>
      <c r="AL29" s="3">
        <f t="shared" si="13"/>
        <v>1623</v>
      </c>
      <c r="AM29" s="2" t="s">
        <v>169</v>
      </c>
      <c r="AN29" s="6">
        <f t="shared" si="14"/>
        <v>881</v>
      </c>
      <c r="AO29" s="2" t="s">
        <v>170</v>
      </c>
      <c r="AP29" s="6">
        <f t="shared" si="15"/>
        <v>1356</v>
      </c>
      <c r="AQ29" s="2" t="s">
        <v>171</v>
      </c>
      <c r="AR29" s="6">
        <f t="shared" si="16"/>
        <v>1152</v>
      </c>
      <c r="AS29" s="2" t="s">
        <v>172</v>
      </c>
      <c r="AT29" s="6">
        <f t="shared" si="17"/>
        <v>1695</v>
      </c>
      <c r="AU29" s="2" t="s">
        <v>173</v>
      </c>
      <c r="AV29" s="6">
        <f t="shared" si="18"/>
        <v>2033</v>
      </c>
    </row>
    <row r="30" spans="1:48" ht="45" x14ac:dyDescent="0.3">
      <c r="A30" s="2" t="s">
        <v>24</v>
      </c>
      <c r="B30" s="2">
        <v>19</v>
      </c>
      <c r="C30" s="2" t="s">
        <v>7</v>
      </c>
      <c r="D30" s="2">
        <v>13</v>
      </c>
      <c r="E30" s="2" t="s">
        <v>8</v>
      </c>
      <c r="F30" s="2" t="s">
        <v>13</v>
      </c>
      <c r="G30" s="7" t="s">
        <v>163</v>
      </c>
      <c r="H30" s="3">
        <f t="shared" si="0"/>
        <v>6778</v>
      </c>
      <c r="I30" s="5" t="s">
        <v>164</v>
      </c>
      <c r="J30" s="2" t="s">
        <v>67</v>
      </c>
      <c r="K30" s="6">
        <f t="shared" si="2"/>
        <v>132</v>
      </c>
      <c r="L30" s="2" t="s">
        <v>68</v>
      </c>
      <c r="M30" s="6">
        <f t="shared" si="3"/>
        <v>400</v>
      </c>
      <c r="N30" s="2" t="s">
        <v>69</v>
      </c>
      <c r="O30" s="6">
        <f t="shared" si="4"/>
        <v>50</v>
      </c>
      <c r="P30" s="2" t="s">
        <v>70</v>
      </c>
      <c r="Q30" s="6">
        <f t="shared" si="5"/>
        <v>250</v>
      </c>
      <c r="R30" s="2" t="s">
        <v>73</v>
      </c>
      <c r="S30" s="6">
        <f t="shared" si="6"/>
        <v>134</v>
      </c>
      <c r="T30" s="2" t="s">
        <v>72</v>
      </c>
      <c r="U30" s="6">
        <f t="shared" si="7"/>
        <v>65</v>
      </c>
      <c r="V30" s="2" t="s">
        <v>73</v>
      </c>
      <c r="W30" s="6">
        <f t="shared" si="8"/>
        <v>134</v>
      </c>
      <c r="X30" s="2" t="s">
        <v>74</v>
      </c>
      <c r="Y30" s="6">
        <f t="shared" si="9"/>
        <v>6</v>
      </c>
      <c r="Z30" s="5" t="s">
        <v>87</v>
      </c>
      <c r="AA30" s="2">
        <v>295</v>
      </c>
      <c r="AB30" s="2">
        <v>377</v>
      </c>
      <c r="AC30" s="2" t="s">
        <v>165</v>
      </c>
      <c r="AD30" s="6">
        <f t="shared" si="1"/>
        <v>264</v>
      </c>
      <c r="AE30" s="2" t="s">
        <v>77</v>
      </c>
      <c r="AF30" s="6">
        <f t="shared" si="10"/>
        <v>100</v>
      </c>
      <c r="AG30" s="2" t="s">
        <v>166</v>
      </c>
      <c r="AH30" s="6">
        <f t="shared" si="11"/>
        <v>28</v>
      </c>
      <c r="AI30" s="2" t="s">
        <v>167</v>
      </c>
      <c r="AJ30" s="6">
        <f t="shared" si="12"/>
        <v>60</v>
      </c>
      <c r="AK30" s="7" t="s">
        <v>174</v>
      </c>
      <c r="AL30" s="3">
        <f t="shared" si="13"/>
        <v>1623</v>
      </c>
      <c r="AM30" s="2" t="s">
        <v>169</v>
      </c>
      <c r="AN30" s="6">
        <f t="shared" si="14"/>
        <v>881</v>
      </c>
      <c r="AO30" s="2" t="s">
        <v>170</v>
      </c>
      <c r="AP30" s="6">
        <f t="shared" si="15"/>
        <v>1356</v>
      </c>
      <c r="AQ30" s="2" t="s">
        <v>171</v>
      </c>
      <c r="AR30" s="6">
        <f t="shared" si="16"/>
        <v>1152</v>
      </c>
      <c r="AS30" s="2" t="s">
        <v>172</v>
      </c>
      <c r="AT30" s="6">
        <f t="shared" si="17"/>
        <v>1695</v>
      </c>
      <c r="AU30" s="2" t="s">
        <v>173</v>
      </c>
      <c r="AV30" s="6">
        <f t="shared" si="18"/>
        <v>2033</v>
      </c>
    </row>
    <row r="31" spans="1:48" ht="45" x14ac:dyDescent="0.3">
      <c r="A31" s="2" t="s">
        <v>24</v>
      </c>
      <c r="B31" s="2">
        <v>20</v>
      </c>
      <c r="C31" s="2" t="s">
        <v>7</v>
      </c>
      <c r="D31" s="2">
        <v>14</v>
      </c>
      <c r="E31" s="2" t="s">
        <v>8</v>
      </c>
      <c r="F31" s="2" t="s">
        <v>14</v>
      </c>
      <c r="G31" s="7" t="s">
        <v>163</v>
      </c>
      <c r="H31" s="3">
        <f t="shared" si="0"/>
        <v>6778</v>
      </c>
      <c r="I31" s="5" t="s">
        <v>164</v>
      </c>
      <c r="J31" s="2" t="s">
        <v>67</v>
      </c>
      <c r="K31" s="6">
        <f t="shared" si="2"/>
        <v>132</v>
      </c>
      <c r="L31" s="2" t="s">
        <v>68</v>
      </c>
      <c r="M31" s="6">
        <f t="shared" si="3"/>
        <v>400</v>
      </c>
      <c r="N31" s="2" t="s">
        <v>69</v>
      </c>
      <c r="O31" s="6">
        <f t="shared" si="4"/>
        <v>50</v>
      </c>
      <c r="P31" s="2" t="s">
        <v>70</v>
      </c>
      <c r="Q31" s="6">
        <f t="shared" si="5"/>
        <v>250</v>
      </c>
      <c r="R31" s="2" t="s">
        <v>73</v>
      </c>
      <c r="S31" s="6">
        <f t="shared" si="6"/>
        <v>134</v>
      </c>
      <c r="T31" s="2" t="s">
        <v>72</v>
      </c>
      <c r="U31" s="6">
        <f t="shared" si="7"/>
        <v>65</v>
      </c>
      <c r="V31" s="2" t="s">
        <v>73</v>
      </c>
      <c r="W31" s="6">
        <f t="shared" si="8"/>
        <v>134</v>
      </c>
      <c r="X31" s="2" t="s">
        <v>74</v>
      </c>
      <c r="Y31" s="6">
        <f t="shared" si="9"/>
        <v>6</v>
      </c>
      <c r="Z31" s="5" t="s">
        <v>104</v>
      </c>
      <c r="AA31" s="2">
        <v>295</v>
      </c>
      <c r="AB31" s="2">
        <v>377</v>
      </c>
      <c r="AC31" s="2" t="s">
        <v>165</v>
      </c>
      <c r="AD31" s="6">
        <f t="shared" si="1"/>
        <v>264</v>
      </c>
      <c r="AE31" s="2" t="s">
        <v>77</v>
      </c>
      <c r="AF31" s="6">
        <f t="shared" si="10"/>
        <v>100</v>
      </c>
      <c r="AG31" s="2" t="s">
        <v>166</v>
      </c>
      <c r="AH31" s="6">
        <f t="shared" si="11"/>
        <v>28</v>
      </c>
      <c r="AI31" s="2" t="s">
        <v>167</v>
      </c>
      <c r="AJ31" s="6">
        <f t="shared" si="12"/>
        <v>60</v>
      </c>
      <c r="AK31" s="7" t="s">
        <v>174</v>
      </c>
      <c r="AL31" s="3">
        <f t="shared" si="13"/>
        <v>1623</v>
      </c>
      <c r="AM31" s="2" t="s">
        <v>169</v>
      </c>
      <c r="AN31" s="6">
        <f t="shared" si="14"/>
        <v>881</v>
      </c>
      <c r="AO31" s="2" t="s">
        <v>170</v>
      </c>
      <c r="AP31" s="6">
        <f t="shared" si="15"/>
        <v>1356</v>
      </c>
      <c r="AQ31" s="2" t="s">
        <v>171</v>
      </c>
      <c r="AR31" s="6">
        <f t="shared" si="16"/>
        <v>1152</v>
      </c>
      <c r="AS31" s="2" t="s">
        <v>172</v>
      </c>
      <c r="AT31" s="6">
        <f t="shared" si="17"/>
        <v>1695</v>
      </c>
      <c r="AU31" s="2" t="s">
        <v>173</v>
      </c>
      <c r="AV31" s="6">
        <f t="shared" si="18"/>
        <v>2033</v>
      </c>
    </row>
    <row r="32" spans="1:48" ht="45" x14ac:dyDescent="0.3">
      <c r="A32" s="2" t="s">
        <v>24</v>
      </c>
      <c r="B32" s="2">
        <v>21</v>
      </c>
      <c r="C32" s="2" t="s">
        <v>7</v>
      </c>
      <c r="D32" s="2">
        <v>15</v>
      </c>
      <c r="E32" s="2" t="s">
        <v>8</v>
      </c>
      <c r="F32" s="2" t="s">
        <v>18</v>
      </c>
      <c r="G32" s="7" t="s">
        <v>163</v>
      </c>
      <c r="H32" s="3">
        <f t="shared" si="0"/>
        <v>6778</v>
      </c>
      <c r="I32" s="5" t="s">
        <v>164</v>
      </c>
      <c r="J32" s="2" t="s">
        <v>67</v>
      </c>
      <c r="K32" s="6">
        <f t="shared" si="2"/>
        <v>132</v>
      </c>
      <c r="L32" s="2" t="s">
        <v>68</v>
      </c>
      <c r="M32" s="6">
        <f t="shared" si="3"/>
        <v>400</v>
      </c>
      <c r="N32" s="2" t="s">
        <v>69</v>
      </c>
      <c r="O32" s="6">
        <f t="shared" si="4"/>
        <v>50</v>
      </c>
      <c r="P32" s="2" t="s">
        <v>70</v>
      </c>
      <c r="Q32" s="6">
        <f t="shared" si="5"/>
        <v>250</v>
      </c>
      <c r="R32" s="2" t="s">
        <v>73</v>
      </c>
      <c r="S32" s="6">
        <f t="shared" si="6"/>
        <v>134</v>
      </c>
      <c r="T32" s="2" t="s">
        <v>72</v>
      </c>
      <c r="U32" s="6">
        <f t="shared" si="7"/>
        <v>65</v>
      </c>
      <c r="V32" s="2" t="s">
        <v>73</v>
      </c>
      <c r="W32" s="6">
        <f t="shared" si="8"/>
        <v>134</v>
      </c>
      <c r="X32" s="2" t="s">
        <v>74</v>
      </c>
      <c r="Y32" s="6">
        <f t="shared" si="9"/>
        <v>6</v>
      </c>
      <c r="Z32" s="5" t="s">
        <v>75</v>
      </c>
      <c r="AA32" s="2">
        <v>295</v>
      </c>
      <c r="AB32" s="2">
        <v>377</v>
      </c>
      <c r="AC32" s="2" t="s">
        <v>165</v>
      </c>
      <c r="AD32" s="6">
        <f t="shared" si="1"/>
        <v>264</v>
      </c>
      <c r="AE32" s="2" t="s">
        <v>77</v>
      </c>
      <c r="AF32" s="6">
        <f t="shared" si="10"/>
        <v>100</v>
      </c>
      <c r="AG32" s="2" t="s">
        <v>166</v>
      </c>
      <c r="AH32" s="6">
        <f t="shared" si="11"/>
        <v>28</v>
      </c>
      <c r="AI32" s="2" t="s">
        <v>167</v>
      </c>
      <c r="AJ32" s="6">
        <f t="shared" si="12"/>
        <v>60</v>
      </c>
      <c r="AK32" s="7" t="s">
        <v>174</v>
      </c>
      <c r="AL32" s="3">
        <f t="shared" si="13"/>
        <v>1623</v>
      </c>
      <c r="AM32" s="2" t="s">
        <v>169</v>
      </c>
      <c r="AN32" s="6">
        <f t="shared" si="14"/>
        <v>881</v>
      </c>
      <c r="AO32" s="2" t="s">
        <v>170</v>
      </c>
      <c r="AP32" s="6">
        <f t="shared" si="15"/>
        <v>1356</v>
      </c>
      <c r="AQ32" s="2" t="s">
        <v>171</v>
      </c>
      <c r="AR32" s="6">
        <f t="shared" si="16"/>
        <v>1152</v>
      </c>
      <c r="AS32" s="2" t="s">
        <v>172</v>
      </c>
      <c r="AT32" s="6">
        <f t="shared" si="17"/>
        <v>1695</v>
      </c>
      <c r="AU32" s="2" t="s">
        <v>173</v>
      </c>
      <c r="AV32" s="6">
        <f t="shared" si="18"/>
        <v>2033</v>
      </c>
    </row>
    <row r="33" spans="1:48" ht="45" x14ac:dyDescent="0.3">
      <c r="A33" s="2" t="s">
        <v>24</v>
      </c>
      <c r="B33" s="2">
        <v>25</v>
      </c>
      <c r="C33" s="2" t="s">
        <v>7</v>
      </c>
      <c r="D33" s="2">
        <v>16</v>
      </c>
      <c r="E33" s="2" t="s">
        <v>8</v>
      </c>
      <c r="F33" s="2" t="s">
        <v>14</v>
      </c>
      <c r="G33" s="7" t="s">
        <v>163</v>
      </c>
      <c r="H33" s="3">
        <f t="shared" si="0"/>
        <v>6778</v>
      </c>
      <c r="I33" s="5" t="s">
        <v>164</v>
      </c>
      <c r="J33" s="2" t="s">
        <v>67</v>
      </c>
      <c r="K33" s="6">
        <f t="shared" si="2"/>
        <v>132</v>
      </c>
      <c r="L33" s="2" t="s">
        <v>68</v>
      </c>
      <c r="M33" s="6">
        <f t="shared" si="3"/>
        <v>400</v>
      </c>
      <c r="N33" s="2" t="s">
        <v>69</v>
      </c>
      <c r="O33" s="6">
        <f t="shared" si="4"/>
        <v>50</v>
      </c>
      <c r="P33" s="2" t="s">
        <v>70</v>
      </c>
      <c r="Q33" s="6">
        <f t="shared" si="5"/>
        <v>250</v>
      </c>
      <c r="R33" s="2" t="s">
        <v>73</v>
      </c>
      <c r="S33" s="6">
        <f t="shared" si="6"/>
        <v>134</v>
      </c>
      <c r="T33" s="2" t="s">
        <v>72</v>
      </c>
      <c r="U33" s="6">
        <f t="shared" si="7"/>
        <v>65</v>
      </c>
      <c r="V33" s="2" t="s">
        <v>73</v>
      </c>
      <c r="W33" s="6">
        <f t="shared" si="8"/>
        <v>134</v>
      </c>
      <c r="X33" s="2" t="s">
        <v>74</v>
      </c>
      <c r="Y33" s="6">
        <f t="shared" si="9"/>
        <v>6</v>
      </c>
      <c r="Z33" s="5" t="s">
        <v>85</v>
      </c>
      <c r="AA33" s="2">
        <v>295</v>
      </c>
      <c r="AB33" s="2">
        <v>377</v>
      </c>
      <c r="AC33" s="2" t="s">
        <v>165</v>
      </c>
      <c r="AD33" s="6">
        <f t="shared" si="1"/>
        <v>264</v>
      </c>
      <c r="AE33" s="2" t="s">
        <v>77</v>
      </c>
      <c r="AF33" s="6">
        <f t="shared" si="10"/>
        <v>100</v>
      </c>
      <c r="AG33" s="2" t="s">
        <v>166</v>
      </c>
      <c r="AH33" s="6">
        <f t="shared" si="11"/>
        <v>28</v>
      </c>
      <c r="AI33" s="2" t="s">
        <v>167</v>
      </c>
      <c r="AJ33" s="6">
        <f t="shared" si="12"/>
        <v>60</v>
      </c>
      <c r="AK33" s="7" t="s">
        <v>174</v>
      </c>
      <c r="AL33" s="3">
        <f t="shared" si="13"/>
        <v>1623</v>
      </c>
      <c r="AM33" s="2" t="s">
        <v>169</v>
      </c>
      <c r="AN33" s="6">
        <f t="shared" si="14"/>
        <v>881</v>
      </c>
      <c r="AO33" s="2" t="s">
        <v>170</v>
      </c>
      <c r="AP33" s="6">
        <f t="shared" si="15"/>
        <v>1356</v>
      </c>
      <c r="AQ33" s="2" t="s">
        <v>171</v>
      </c>
      <c r="AR33" s="6">
        <f t="shared" si="16"/>
        <v>1152</v>
      </c>
      <c r="AS33" s="2" t="s">
        <v>172</v>
      </c>
      <c r="AT33" s="6">
        <f t="shared" si="17"/>
        <v>1695</v>
      </c>
      <c r="AU33" s="2" t="s">
        <v>173</v>
      </c>
      <c r="AV33" s="6">
        <f t="shared" si="18"/>
        <v>2033</v>
      </c>
    </row>
    <row r="34" spans="1:48" ht="30" x14ac:dyDescent="0.3">
      <c r="A34" s="2" t="s">
        <v>24</v>
      </c>
      <c r="B34" s="2">
        <v>7</v>
      </c>
      <c r="C34" s="2" t="s">
        <v>7</v>
      </c>
      <c r="D34" s="2">
        <v>23</v>
      </c>
      <c r="E34" s="2" t="s">
        <v>17</v>
      </c>
      <c r="F34" s="2" t="s">
        <v>9</v>
      </c>
      <c r="G34" s="7" t="s">
        <v>163</v>
      </c>
      <c r="H34" s="3">
        <f t="shared" si="0"/>
        <v>6778</v>
      </c>
      <c r="I34" s="5" t="s">
        <v>164</v>
      </c>
      <c r="J34" s="2" t="s">
        <v>67</v>
      </c>
      <c r="K34" s="6">
        <f t="shared" si="2"/>
        <v>132</v>
      </c>
      <c r="L34" s="2" t="s">
        <v>68</v>
      </c>
      <c r="M34" s="6">
        <f t="shared" si="3"/>
        <v>400</v>
      </c>
      <c r="N34" s="2" t="s">
        <v>69</v>
      </c>
      <c r="O34" s="6">
        <f t="shared" si="4"/>
        <v>50</v>
      </c>
      <c r="P34" s="2" t="s">
        <v>70</v>
      </c>
      <c r="Q34" s="6">
        <f t="shared" si="5"/>
        <v>250</v>
      </c>
      <c r="R34" s="2" t="s">
        <v>73</v>
      </c>
      <c r="S34" s="6">
        <f t="shared" si="6"/>
        <v>134</v>
      </c>
      <c r="T34" s="8"/>
      <c r="U34" s="6">
        <f t="shared" si="7"/>
        <v>0</v>
      </c>
      <c r="V34" s="2" t="s">
        <v>73</v>
      </c>
      <c r="W34" s="6">
        <f t="shared" si="8"/>
        <v>134</v>
      </c>
      <c r="X34" s="2" t="s">
        <v>74</v>
      </c>
      <c r="Y34" s="6">
        <f t="shared" si="9"/>
        <v>6</v>
      </c>
      <c r="Z34" s="5" t="s">
        <v>87</v>
      </c>
      <c r="AA34" s="2">
        <v>295</v>
      </c>
      <c r="AB34" s="2">
        <v>377</v>
      </c>
      <c r="AC34" s="2" t="s">
        <v>165</v>
      </c>
      <c r="AD34" s="6">
        <f t="shared" si="1"/>
        <v>264</v>
      </c>
      <c r="AE34" s="2" t="s">
        <v>77</v>
      </c>
      <c r="AF34" s="6">
        <f t="shared" si="10"/>
        <v>100</v>
      </c>
      <c r="AG34" s="2" t="s">
        <v>166</v>
      </c>
      <c r="AH34" s="6">
        <f t="shared" si="11"/>
        <v>28</v>
      </c>
      <c r="AI34" s="2" t="s">
        <v>167</v>
      </c>
      <c r="AJ34" s="6">
        <f t="shared" si="12"/>
        <v>60</v>
      </c>
      <c r="AK34" s="7" t="s">
        <v>168</v>
      </c>
      <c r="AL34" s="3">
        <f t="shared" si="13"/>
        <v>1558</v>
      </c>
      <c r="AM34" s="2" t="s">
        <v>169</v>
      </c>
      <c r="AN34" s="6">
        <f t="shared" si="14"/>
        <v>881</v>
      </c>
      <c r="AO34" s="2" t="s">
        <v>170</v>
      </c>
      <c r="AP34" s="6">
        <f t="shared" si="15"/>
        <v>1356</v>
      </c>
      <c r="AQ34" s="2" t="s">
        <v>171</v>
      </c>
      <c r="AR34" s="6">
        <f t="shared" si="16"/>
        <v>1152</v>
      </c>
      <c r="AS34" s="2" t="s">
        <v>172</v>
      </c>
      <c r="AT34" s="6">
        <f t="shared" si="17"/>
        <v>1695</v>
      </c>
      <c r="AU34" s="2" t="s">
        <v>173</v>
      </c>
      <c r="AV34" s="6">
        <f t="shared" si="18"/>
        <v>2033</v>
      </c>
    </row>
    <row r="35" spans="1:48" ht="45" x14ac:dyDescent="0.3">
      <c r="A35" s="2" t="s">
        <v>24</v>
      </c>
      <c r="B35" s="2">
        <v>19</v>
      </c>
      <c r="C35" s="2" t="s">
        <v>7</v>
      </c>
      <c r="D35" s="2">
        <v>12</v>
      </c>
      <c r="E35" s="2" t="s">
        <v>17</v>
      </c>
      <c r="F35" s="2" t="s">
        <v>10</v>
      </c>
      <c r="G35" s="7" t="s">
        <v>163</v>
      </c>
      <c r="H35" s="3">
        <f t="shared" si="0"/>
        <v>6778</v>
      </c>
      <c r="I35" s="5" t="s">
        <v>164</v>
      </c>
      <c r="J35" s="2" t="s">
        <v>67</v>
      </c>
      <c r="K35" s="6">
        <f t="shared" si="2"/>
        <v>132</v>
      </c>
      <c r="L35" s="2" t="s">
        <v>68</v>
      </c>
      <c r="M35" s="6">
        <f t="shared" si="3"/>
        <v>400</v>
      </c>
      <c r="N35" s="2" t="s">
        <v>69</v>
      </c>
      <c r="O35" s="6">
        <f t="shared" si="4"/>
        <v>50</v>
      </c>
      <c r="P35" s="2" t="s">
        <v>70</v>
      </c>
      <c r="Q35" s="6">
        <f t="shared" si="5"/>
        <v>250</v>
      </c>
      <c r="R35" s="2" t="s">
        <v>73</v>
      </c>
      <c r="S35" s="6">
        <f t="shared" si="6"/>
        <v>134</v>
      </c>
      <c r="T35" s="2" t="s">
        <v>72</v>
      </c>
      <c r="U35" s="6">
        <f t="shared" si="7"/>
        <v>65</v>
      </c>
      <c r="V35" s="2" t="s">
        <v>73</v>
      </c>
      <c r="W35" s="6">
        <f t="shared" si="8"/>
        <v>134</v>
      </c>
      <c r="X35" s="2" t="s">
        <v>74</v>
      </c>
      <c r="Y35" s="6">
        <f t="shared" si="9"/>
        <v>6</v>
      </c>
      <c r="Z35" s="5" t="s">
        <v>104</v>
      </c>
      <c r="AA35" s="2">
        <v>295</v>
      </c>
      <c r="AB35" s="2">
        <v>377</v>
      </c>
      <c r="AC35" s="2" t="s">
        <v>165</v>
      </c>
      <c r="AD35" s="6">
        <f t="shared" si="1"/>
        <v>264</v>
      </c>
      <c r="AE35" s="2" t="s">
        <v>77</v>
      </c>
      <c r="AF35" s="6">
        <f t="shared" si="10"/>
        <v>100</v>
      </c>
      <c r="AG35" s="2" t="s">
        <v>166</v>
      </c>
      <c r="AH35" s="6">
        <f t="shared" si="11"/>
        <v>28</v>
      </c>
      <c r="AI35" s="2" t="s">
        <v>167</v>
      </c>
      <c r="AJ35" s="6">
        <f t="shared" si="12"/>
        <v>60</v>
      </c>
      <c r="AK35" s="7" t="s">
        <v>174</v>
      </c>
      <c r="AL35" s="3">
        <f t="shared" si="13"/>
        <v>1623</v>
      </c>
      <c r="AM35" s="2" t="s">
        <v>169</v>
      </c>
      <c r="AN35" s="6">
        <f t="shared" si="14"/>
        <v>881</v>
      </c>
      <c r="AO35" s="2" t="s">
        <v>170</v>
      </c>
      <c r="AP35" s="6">
        <f t="shared" si="15"/>
        <v>1356</v>
      </c>
      <c r="AQ35" s="2" t="s">
        <v>171</v>
      </c>
      <c r="AR35" s="6">
        <f t="shared" si="16"/>
        <v>1152</v>
      </c>
      <c r="AS35" s="2" t="s">
        <v>172</v>
      </c>
      <c r="AT35" s="6">
        <f t="shared" si="17"/>
        <v>1695</v>
      </c>
      <c r="AU35" s="2" t="s">
        <v>173</v>
      </c>
      <c r="AV35" s="6">
        <f t="shared" si="18"/>
        <v>2033</v>
      </c>
    </row>
    <row r="36" spans="1:48" ht="45" x14ac:dyDescent="0.3">
      <c r="A36" s="2" t="s">
        <v>24</v>
      </c>
      <c r="B36" s="2">
        <v>19</v>
      </c>
      <c r="C36" s="2" t="s">
        <v>7</v>
      </c>
      <c r="D36" s="2">
        <v>13</v>
      </c>
      <c r="E36" s="2" t="s">
        <v>8</v>
      </c>
      <c r="F36" s="2" t="s">
        <v>13</v>
      </c>
      <c r="G36" s="7" t="s">
        <v>163</v>
      </c>
      <c r="H36" s="3">
        <f t="shared" si="0"/>
        <v>6778</v>
      </c>
      <c r="I36" s="5" t="s">
        <v>164</v>
      </c>
      <c r="J36" s="2" t="s">
        <v>67</v>
      </c>
      <c r="K36" s="6">
        <f t="shared" si="2"/>
        <v>132</v>
      </c>
      <c r="L36" s="2" t="s">
        <v>68</v>
      </c>
      <c r="M36" s="6">
        <f t="shared" si="3"/>
        <v>400</v>
      </c>
      <c r="N36" s="2" t="s">
        <v>69</v>
      </c>
      <c r="O36" s="6">
        <f t="shared" si="4"/>
        <v>50</v>
      </c>
      <c r="P36" s="2" t="s">
        <v>70</v>
      </c>
      <c r="Q36" s="6">
        <f t="shared" si="5"/>
        <v>250</v>
      </c>
      <c r="R36" s="2" t="s">
        <v>73</v>
      </c>
      <c r="S36" s="6">
        <f t="shared" si="6"/>
        <v>134</v>
      </c>
      <c r="T36" s="2" t="s">
        <v>72</v>
      </c>
      <c r="U36" s="6">
        <f t="shared" si="7"/>
        <v>65</v>
      </c>
      <c r="V36" s="2" t="s">
        <v>73</v>
      </c>
      <c r="W36" s="6">
        <f t="shared" si="8"/>
        <v>134</v>
      </c>
      <c r="X36" s="2" t="s">
        <v>74</v>
      </c>
      <c r="Y36" s="6">
        <f t="shared" si="9"/>
        <v>6</v>
      </c>
      <c r="Z36" s="5" t="s">
        <v>75</v>
      </c>
      <c r="AA36" s="2">
        <v>295</v>
      </c>
      <c r="AB36" s="2">
        <v>377</v>
      </c>
      <c r="AC36" s="2" t="s">
        <v>165</v>
      </c>
      <c r="AD36" s="6">
        <f t="shared" si="1"/>
        <v>264</v>
      </c>
      <c r="AE36" s="2" t="s">
        <v>77</v>
      </c>
      <c r="AF36" s="6">
        <f t="shared" si="10"/>
        <v>100</v>
      </c>
      <c r="AG36" s="2" t="s">
        <v>166</v>
      </c>
      <c r="AH36" s="6">
        <f t="shared" si="11"/>
        <v>28</v>
      </c>
      <c r="AI36" s="2" t="s">
        <v>167</v>
      </c>
      <c r="AJ36" s="6">
        <f t="shared" si="12"/>
        <v>60</v>
      </c>
      <c r="AK36" s="7" t="s">
        <v>174</v>
      </c>
      <c r="AL36" s="3">
        <f t="shared" si="13"/>
        <v>1623</v>
      </c>
      <c r="AM36" s="2" t="s">
        <v>169</v>
      </c>
      <c r="AN36" s="6">
        <f t="shared" si="14"/>
        <v>881</v>
      </c>
      <c r="AO36" s="2" t="s">
        <v>170</v>
      </c>
      <c r="AP36" s="6">
        <f t="shared" si="15"/>
        <v>1356</v>
      </c>
      <c r="AQ36" s="2" t="s">
        <v>171</v>
      </c>
      <c r="AR36" s="6">
        <f t="shared" si="16"/>
        <v>1152</v>
      </c>
      <c r="AS36" s="2" t="s">
        <v>172</v>
      </c>
      <c r="AT36" s="6">
        <f t="shared" si="17"/>
        <v>1695</v>
      </c>
      <c r="AU36" s="2" t="s">
        <v>173</v>
      </c>
      <c r="AV36" s="6">
        <f t="shared" si="18"/>
        <v>2033</v>
      </c>
    </row>
    <row r="37" spans="1:48" ht="45" x14ac:dyDescent="0.3">
      <c r="A37" s="2" t="s">
        <v>24</v>
      </c>
      <c r="B37" s="2">
        <v>20</v>
      </c>
      <c r="C37" s="2" t="s">
        <v>7</v>
      </c>
      <c r="D37" s="2">
        <v>14</v>
      </c>
      <c r="E37" s="2" t="s">
        <v>8</v>
      </c>
      <c r="F37" s="2" t="s">
        <v>14</v>
      </c>
      <c r="G37" s="7" t="s">
        <v>163</v>
      </c>
      <c r="H37" s="3">
        <f t="shared" ref="H37:H65" si="19">_xlfn.NUMBERVALUE(CLEAN(SUBSTITUTE(G37,"$"," ")))</f>
        <v>6778</v>
      </c>
      <c r="I37" s="5" t="s">
        <v>164</v>
      </c>
      <c r="J37" s="2" t="s">
        <v>67</v>
      </c>
      <c r="K37" s="6">
        <f t="shared" si="2"/>
        <v>132</v>
      </c>
      <c r="L37" s="2" t="s">
        <v>68</v>
      </c>
      <c r="M37" s="6">
        <f t="shared" si="3"/>
        <v>400</v>
      </c>
      <c r="N37" s="2" t="s">
        <v>69</v>
      </c>
      <c r="O37" s="6">
        <f t="shared" si="4"/>
        <v>50</v>
      </c>
      <c r="P37" s="2" t="s">
        <v>70</v>
      </c>
      <c r="Q37" s="6">
        <f t="shared" si="5"/>
        <v>250</v>
      </c>
      <c r="R37" s="2" t="s">
        <v>73</v>
      </c>
      <c r="S37" s="6">
        <f t="shared" si="6"/>
        <v>134</v>
      </c>
      <c r="T37" s="2" t="s">
        <v>72</v>
      </c>
      <c r="U37" s="6">
        <f t="shared" si="7"/>
        <v>65</v>
      </c>
      <c r="V37" s="2" t="s">
        <v>73</v>
      </c>
      <c r="W37" s="6">
        <f t="shared" si="8"/>
        <v>134</v>
      </c>
      <c r="X37" s="2" t="s">
        <v>74</v>
      </c>
      <c r="Y37" s="6">
        <f t="shared" si="9"/>
        <v>6</v>
      </c>
      <c r="Z37" s="5" t="s">
        <v>85</v>
      </c>
      <c r="AA37" s="2">
        <v>295</v>
      </c>
      <c r="AB37" s="2">
        <v>377</v>
      </c>
      <c r="AC37" s="2" t="s">
        <v>165</v>
      </c>
      <c r="AD37" s="6">
        <f t="shared" ref="AD37:AD65" si="20">_xlfn.NUMBERVALUE(CLEAN(SUBSTITUTE(AC37,"$"," ")))</f>
        <v>264</v>
      </c>
      <c r="AE37" s="2" t="s">
        <v>77</v>
      </c>
      <c r="AF37" s="6">
        <f t="shared" si="10"/>
        <v>100</v>
      </c>
      <c r="AG37" s="2" t="s">
        <v>166</v>
      </c>
      <c r="AH37" s="6">
        <f t="shared" si="11"/>
        <v>28</v>
      </c>
      <c r="AI37" s="2" t="s">
        <v>167</v>
      </c>
      <c r="AJ37" s="6">
        <f t="shared" si="12"/>
        <v>60</v>
      </c>
      <c r="AK37" s="7" t="s">
        <v>174</v>
      </c>
      <c r="AL37" s="3">
        <f t="shared" si="13"/>
        <v>1623</v>
      </c>
      <c r="AM37" s="2" t="s">
        <v>169</v>
      </c>
      <c r="AN37" s="6">
        <f t="shared" si="14"/>
        <v>881</v>
      </c>
      <c r="AO37" s="2" t="s">
        <v>170</v>
      </c>
      <c r="AP37" s="6">
        <f t="shared" si="15"/>
        <v>1356</v>
      </c>
      <c r="AQ37" s="2" t="s">
        <v>171</v>
      </c>
      <c r="AR37" s="6">
        <f t="shared" si="16"/>
        <v>1152</v>
      </c>
      <c r="AS37" s="2" t="s">
        <v>172</v>
      </c>
      <c r="AT37" s="6">
        <f t="shared" si="17"/>
        <v>1695</v>
      </c>
      <c r="AU37" s="2" t="s">
        <v>173</v>
      </c>
      <c r="AV37" s="6">
        <f t="shared" si="18"/>
        <v>2033</v>
      </c>
    </row>
    <row r="38" spans="1:48" ht="45" x14ac:dyDescent="0.3">
      <c r="A38" s="2" t="s">
        <v>24</v>
      </c>
      <c r="B38" s="2">
        <v>21</v>
      </c>
      <c r="C38" s="2" t="s">
        <v>7</v>
      </c>
      <c r="D38" s="2">
        <v>15</v>
      </c>
      <c r="E38" s="2" t="s">
        <v>8</v>
      </c>
      <c r="F38" s="2" t="s">
        <v>18</v>
      </c>
      <c r="G38" s="7" t="s">
        <v>163</v>
      </c>
      <c r="H38" s="3">
        <f t="shared" si="19"/>
        <v>6778</v>
      </c>
      <c r="I38" s="5" t="s">
        <v>164</v>
      </c>
      <c r="J38" s="2" t="s">
        <v>67</v>
      </c>
      <c r="K38" s="6">
        <f t="shared" si="2"/>
        <v>132</v>
      </c>
      <c r="L38" s="2" t="s">
        <v>68</v>
      </c>
      <c r="M38" s="6">
        <f t="shared" si="3"/>
        <v>400</v>
      </c>
      <c r="N38" s="2" t="s">
        <v>69</v>
      </c>
      <c r="O38" s="6">
        <f t="shared" si="4"/>
        <v>50</v>
      </c>
      <c r="P38" s="2" t="s">
        <v>70</v>
      </c>
      <c r="Q38" s="6">
        <f t="shared" si="5"/>
        <v>250</v>
      </c>
      <c r="R38" s="2" t="s">
        <v>73</v>
      </c>
      <c r="S38" s="6">
        <f t="shared" si="6"/>
        <v>134</v>
      </c>
      <c r="T38" s="2" t="s">
        <v>72</v>
      </c>
      <c r="U38" s="6">
        <f t="shared" si="7"/>
        <v>65</v>
      </c>
      <c r="V38" s="2" t="s">
        <v>73</v>
      </c>
      <c r="W38" s="6">
        <f t="shared" si="8"/>
        <v>134</v>
      </c>
      <c r="X38" s="2" t="s">
        <v>74</v>
      </c>
      <c r="Y38" s="6">
        <f t="shared" si="9"/>
        <v>6</v>
      </c>
      <c r="Z38" s="5" t="s">
        <v>87</v>
      </c>
      <c r="AA38" s="2">
        <v>295</v>
      </c>
      <c r="AB38" s="2">
        <v>377</v>
      </c>
      <c r="AC38" s="2" t="s">
        <v>165</v>
      </c>
      <c r="AD38" s="6">
        <f t="shared" si="20"/>
        <v>264</v>
      </c>
      <c r="AE38" s="2" t="s">
        <v>77</v>
      </c>
      <c r="AF38" s="6">
        <f t="shared" si="10"/>
        <v>100</v>
      </c>
      <c r="AG38" s="2" t="s">
        <v>166</v>
      </c>
      <c r="AH38" s="6">
        <f t="shared" si="11"/>
        <v>28</v>
      </c>
      <c r="AI38" s="2" t="s">
        <v>167</v>
      </c>
      <c r="AJ38" s="6">
        <f t="shared" si="12"/>
        <v>60</v>
      </c>
      <c r="AK38" s="7" t="s">
        <v>174</v>
      </c>
      <c r="AL38" s="3">
        <f t="shared" si="13"/>
        <v>1623</v>
      </c>
      <c r="AM38" s="2" t="s">
        <v>169</v>
      </c>
      <c r="AN38" s="6">
        <f t="shared" si="14"/>
        <v>881</v>
      </c>
      <c r="AO38" s="2" t="s">
        <v>170</v>
      </c>
      <c r="AP38" s="6">
        <f t="shared" si="15"/>
        <v>1356</v>
      </c>
      <c r="AQ38" s="2" t="s">
        <v>171</v>
      </c>
      <c r="AR38" s="6">
        <f t="shared" si="16"/>
        <v>1152</v>
      </c>
      <c r="AS38" s="2" t="s">
        <v>172</v>
      </c>
      <c r="AT38" s="6">
        <f t="shared" si="17"/>
        <v>1695</v>
      </c>
      <c r="AU38" s="2" t="s">
        <v>173</v>
      </c>
      <c r="AV38" s="6">
        <f t="shared" si="18"/>
        <v>2033</v>
      </c>
    </row>
    <row r="39" spans="1:48" ht="45" x14ac:dyDescent="0.3">
      <c r="A39" s="2" t="s">
        <v>24</v>
      </c>
      <c r="B39" s="2">
        <v>25</v>
      </c>
      <c r="C39" s="2" t="s">
        <v>7</v>
      </c>
      <c r="D39" s="2">
        <v>16</v>
      </c>
      <c r="E39" s="2" t="s">
        <v>8</v>
      </c>
      <c r="F39" s="2" t="s">
        <v>14</v>
      </c>
      <c r="G39" s="7" t="s">
        <v>163</v>
      </c>
      <c r="H39" s="3">
        <f t="shared" si="19"/>
        <v>6778</v>
      </c>
      <c r="I39" s="5" t="s">
        <v>164</v>
      </c>
      <c r="J39" s="2" t="s">
        <v>67</v>
      </c>
      <c r="K39" s="6">
        <f t="shared" si="2"/>
        <v>132</v>
      </c>
      <c r="L39" s="2" t="s">
        <v>68</v>
      </c>
      <c r="M39" s="6">
        <f t="shared" si="3"/>
        <v>400</v>
      </c>
      <c r="N39" s="2" t="s">
        <v>69</v>
      </c>
      <c r="O39" s="6">
        <f t="shared" si="4"/>
        <v>50</v>
      </c>
      <c r="P39" s="2" t="s">
        <v>70</v>
      </c>
      <c r="Q39" s="6">
        <f t="shared" si="5"/>
        <v>250</v>
      </c>
      <c r="R39" s="2" t="s">
        <v>73</v>
      </c>
      <c r="S39" s="6">
        <f t="shared" si="6"/>
        <v>134</v>
      </c>
      <c r="T39" s="2" t="s">
        <v>72</v>
      </c>
      <c r="U39" s="6">
        <f t="shared" si="7"/>
        <v>65</v>
      </c>
      <c r="V39" s="2" t="s">
        <v>73</v>
      </c>
      <c r="W39" s="6">
        <f t="shared" si="8"/>
        <v>134</v>
      </c>
      <c r="X39" s="2" t="s">
        <v>74</v>
      </c>
      <c r="Y39" s="6">
        <f t="shared" si="9"/>
        <v>6</v>
      </c>
      <c r="Z39" s="5" t="s">
        <v>104</v>
      </c>
      <c r="AA39" s="2">
        <v>295</v>
      </c>
      <c r="AB39" s="2">
        <v>377</v>
      </c>
      <c r="AC39" s="2" t="s">
        <v>165</v>
      </c>
      <c r="AD39" s="6">
        <f t="shared" si="20"/>
        <v>264</v>
      </c>
      <c r="AE39" s="2" t="s">
        <v>77</v>
      </c>
      <c r="AF39" s="6">
        <f t="shared" si="10"/>
        <v>100</v>
      </c>
      <c r="AG39" s="2" t="s">
        <v>166</v>
      </c>
      <c r="AH39" s="6">
        <f t="shared" si="11"/>
        <v>28</v>
      </c>
      <c r="AI39" s="2" t="s">
        <v>167</v>
      </c>
      <c r="AJ39" s="6">
        <f t="shared" si="12"/>
        <v>60</v>
      </c>
      <c r="AK39" s="7" t="s">
        <v>174</v>
      </c>
      <c r="AL39" s="3">
        <f t="shared" si="13"/>
        <v>1623</v>
      </c>
      <c r="AM39" s="2" t="s">
        <v>169</v>
      </c>
      <c r="AN39" s="6">
        <f t="shared" si="14"/>
        <v>881</v>
      </c>
      <c r="AO39" s="2" t="s">
        <v>170</v>
      </c>
      <c r="AP39" s="6">
        <f t="shared" si="15"/>
        <v>1356</v>
      </c>
      <c r="AQ39" s="2" t="s">
        <v>171</v>
      </c>
      <c r="AR39" s="6">
        <f t="shared" si="16"/>
        <v>1152</v>
      </c>
      <c r="AS39" s="2" t="s">
        <v>172</v>
      </c>
      <c r="AT39" s="6">
        <f t="shared" si="17"/>
        <v>1695</v>
      </c>
      <c r="AU39" s="2" t="s">
        <v>173</v>
      </c>
      <c r="AV39" s="6">
        <f t="shared" si="18"/>
        <v>2033</v>
      </c>
    </row>
    <row r="40" spans="1:48" ht="30" x14ac:dyDescent="0.3">
      <c r="A40" s="2" t="s">
        <v>25</v>
      </c>
      <c r="B40" s="2">
        <v>8</v>
      </c>
      <c r="C40" s="2" t="s">
        <v>12</v>
      </c>
      <c r="D40" s="2">
        <v>17</v>
      </c>
      <c r="E40" s="2" t="s">
        <v>8</v>
      </c>
      <c r="F40" s="2" t="s">
        <v>21</v>
      </c>
      <c r="G40" s="7" t="s">
        <v>175</v>
      </c>
      <c r="H40" s="3">
        <f t="shared" si="19"/>
        <v>6543</v>
      </c>
      <c r="I40" s="5" t="s">
        <v>164</v>
      </c>
      <c r="J40" s="2" t="s">
        <v>67</v>
      </c>
      <c r="K40" s="6">
        <f t="shared" si="2"/>
        <v>132</v>
      </c>
      <c r="L40" s="2" t="s">
        <v>68</v>
      </c>
      <c r="M40" s="6">
        <f t="shared" si="3"/>
        <v>400</v>
      </c>
      <c r="N40" s="2" t="s">
        <v>69</v>
      </c>
      <c r="O40" s="6">
        <f t="shared" si="4"/>
        <v>50</v>
      </c>
      <c r="P40" s="2" t="s">
        <v>70</v>
      </c>
      <c r="Q40" s="6">
        <f t="shared" si="5"/>
        <v>250</v>
      </c>
      <c r="R40" s="2" t="s">
        <v>108</v>
      </c>
      <c r="S40" s="6">
        <f t="shared" si="6"/>
        <v>121</v>
      </c>
      <c r="T40" s="8"/>
      <c r="U40" s="6">
        <f t="shared" si="7"/>
        <v>0</v>
      </c>
      <c r="V40" s="2" t="s">
        <v>90</v>
      </c>
      <c r="W40" s="6">
        <f t="shared" si="8"/>
        <v>51</v>
      </c>
      <c r="X40" s="2" t="s">
        <v>90</v>
      </c>
      <c r="Y40" s="6">
        <f t="shared" si="9"/>
        <v>51</v>
      </c>
      <c r="Z40" s="5" t="s">
        <v>75</v>
      </c>
      <c r="AA40" s="2">
        <v>295</v>
      </c>
      <c r="AB40" s="2">
        <v>389</v>
      </c>
      <c r="AC40" s="2" t="s">
        <v>176</v>
      </c>
      <c r="AD40" s="6">
        <f t="shared" si="20"/>
        <v>272</v>
      </c>
      <c r="AE40" s="2" t="s">
        <v>77</v>
      </c>
      <c r="AF40" s="6">
        <f t="shared" si="10"/>
        <v>100</v>
      </c>
      <c r="AG40" s="2" t="s">
        <v>177</v>
      </c>
      <c r="AH40" s="6">
        <f t="shared" si="11"/>
        <v>29</v>
      </c>
      <c r="AI40" s="2" t="s">
        <v>178</v>
      </c>
      <c r="AJ40" s="6">
        <f t="shared" si="12"/>
        <v>61</v>
      </c>
      <c r="AK40" s="7" t="s">
        <v>179</v>
      </c>
      <c r="AL40" s="3">
        <f t="shared" si="13"/>
        <v>1517</v>
      </c>
      <c r="AM40" s="2" t="s">
        <v>180</v>
      </c>
      <c r="AN40" s="6">
        <f t="shared" si="14"/>
        <v>851</v>
      </c>
      <c r="AO40" s="2" t="s">
        <v>181</v>
      </c>
      <c r="AP40" s="6">
        <f t="shared" si="15"/>
        <v>1309</v>
      </c>
      <c r="AQ40" s="2" t="s">
        <v>182</v>
      </c>
      <c r="AR40" s="6">
        <f t="shared" si="16"/>
        <v>1112</v>
      </c>
      <c r="AS40" s="2" t="s">
        <v>183</v>
      </c>
      <c r="AT40" s="6">
        <f t="shared" si="17"/>
        <v>1636</v>
      </c>
      <c r="AU40" s="2" t="s">
        <v>184</v>
      </c>
      <c r="AV40" s="6">
        <f t="shared" si="18"/>
        <v>1963</v>
      </c>
    </row>
    <row r="41" spans="1:48" ht="30" x14ac:dyDescent="0.3">
      <c r="A41" s="2" t="s">
        <v>25</v>
      </c>
      <c r="B41" s="2">
        <v>20</v>
      </c>
      <c r="C41" s="2" t="s">
        <v>12</v>
      </c>
      <c r="D41" s="2">
        <v>18</v>
      </c>
      <c r="E41" s="2" t="s">
        <v>8</v>
      </c>
      <c r="F41" s="2" t="s">
        <v>18</v>
      </c>
      <c r="G41" s="7" t="s">
        <v>175</v>
      </c>
      <c r="H41" s="3">
        <f t="shared" si="19"/>
        <v>6543</v>
      </c>
      <c r="I41" s="5" t="s">
        <v>164</v>
      </c>
      <c r="J41" s="2" t="s">
        <v>67</v>
      </c>
      <c r="K41" s="6">
        <f t="shared" si="2"/>
        <v>132</v>
      </c>
      <c r="L41" s="2" t="s">
        <v>68</v>
      </c>
      <c r="M41" s="6">
        <f t="shared" si="3"/>
        <v>400</v>
      </c>
      <c r="N41" s="2" t="s">
        <v>69</v>
      </c>
      <c r="O41" s="6">
        <f t="shared" si="4"/>
        <v>50</v>
      </c>
      <c r="P41" s="2" t="s">
        <v>70</v>
      </c>
      <c r="Q41" s="6">
        <f t="shared" si="5"/>
        <v>250</v>
      </c>
      <c r="R41" s="2" t="s">
        <v>108</v>
      </c>
      <c r="S41" s="6">
        <f t="shared" si="6"/>
        <v>121</v>
      </c>
      <c r="T41" s="8"/>
      <c r="U41" s="6">
        <f t="shared" si="7"/>
        <v>0</v>
      </c>
      <c r="V41" s="2" t="s">
        <v>90</v>
      </c>
      <c r="W41" s="6">
        <f t="shared" si="8"/>
        <v>51</v>
      </c>
      <c r="X41" s="2" t="s">
        <v>90</v>
      </c>
      <c r="Y41" s="6">
        <f t="shared" si="9"/>
        <v>51</v>
      </c>
      <c r="Z41" s="5" t="s">
        <v>85</v>
      </c>
      <c r="AA41" s="2">
        <v>295</v>
      </c>
      <c r="AB41" s="2">
        <v>389</v>
      </c>
      <c r="AC41" s="2" t="s">
        <v>176</v>
      </c>
      <c r="AD41" s="6">
        <f t="shared" si="20"/>
        <v>272</v>
      </c>
      <c r="AE41" s="2" t="s">
        <v>77</v>
      </c>
      <c r="AF41" s="6">
        <f t="shared" si="10"/>
        <v>100</v>
      </c>
      <c r="AG41" s="2" t="s">
        <v>177</v>
      </c>
      <c r="AH41" s="6">
        <f t="shared" si="11"/>
        <v>29</v>
      </c>
      <c r="AI41" s="2" t="s">
        <v>178</v>
      </c>
      <c r="AJ41" s="6">
        <f t="shared" si="12"/>
        <v>61</v>
      </c>
      <c r="AK41" s="7" t="s">
        <v>179</v>
      </c>
      <c r="AL41" s="3">
        <f t="shared" si="13"/>
        <v>1517</v>
      </c>
      <c r="AM41" s="2" t="s">
        <v>180</v>
      </c>
      <c r="AN41" s="6">
        <f t="shared" si="14"/>
        <v>851</v>
      </c>
      <c r="AO41" s="2" t="s">
        <v>181</v>
      </c>
      <c r="AP41" s="6">
        <f t="shared" si="15"/>
        <v>1309</v>
      </c>
      <c r="AQ41" s="2" t="s">
        <v>182</v>
      </c>
      <c r="AR41" s="6">
        <f t="shared" si="16"/>
        <v>1112</v>
      </c>
      <c r="AS41" s="2" t="s">
        <v>183</v>
      </c>
      <c r="AT41" s="6">
        <f t="shared" si="17"/>
        <v>1636</v>
      </c>
      <c r="AU41" s="2" t="s">
        <v>184</v>
      </c>
      <c r="AV41" s="6">
        <f t="shared" si="18"/>
        <v>1963</v>
      </c>
    </row>
    <row r="42" spans="1:48" ht="45" x14ac:dyDescent="0.3">
      <c r="A42" s="2" t="s">
        <v>25</v>
      </c>
      <c r="B42" s="2">
        <v>22</v>
      </c>
      <c r="C42" s="2" t="s">
        <v>12</v>
      </c>
      <c r="D42" s="2">
        <v>12.9</v>
      </c>
      <c r="E42" s="2" t="s">
        <v>8</v>
      </c>
      <c r="F42" s="2" t="s">
        <v>9</v>
      </c>
      <c r="G42" s="7" t="s">
        <v>175</v>
      </c>
      <c r="H42" s="3">
        <f t="shared" si="19"/>
        <v>6543</v>
      </c>
      <c r="I42" s="5" t="s">
        <v>164</v>
      </c>
      <c r="J42" s="2" t="s">
        <v>67</v>
      </c>
      <c r="K42" s="6">
        <f t="shared" si="2"/>
        <v>132</v>
      </c>
      <c r="L42" s="2" t="s">
        <v>68</v>
      </c>
      <c r="M42" s="6">
        <f t="shared" si="3"/>
        <v>400</v>
      </c>
      <c r="N42" s="2" t="s">
        <v>69</v>
      </c>
      <c r="O42" s="6">
        <f t="shared" si="4"/>
        <v>50</v>
      </c>
      <c r="P42" s="2" t="s">
        <v>70</v>
      </c>
      <c r="Q42" s="6">
        <f t="shared" si="5"/>
        <v>250</v>
      </c>
      <c r="R42" s="2" t="s">
        <v>108</v>
      </c>
      <c r="S42" s="6">
        <f t="shared" si="6"/>
        <v>121</v>
      </c>
      <c r="T42" s="2" t="s">
        <v>185</v>
      </c>
      <c r="U42" s="6">
        <f t="shared" si="7"/>
        <v>33</v>
      </c>
      <c r="V42" s="2" t="s">
        <v>90</v>
      </c>
      <c r="W42" s="6">
        <f t="shared" si="8"/>
        <v>51</v>
      </c>
      <c r="X42" s="2" t="s">
        <v>90</v>
      </c>
      <c r="Y42" s="6">
        <f t="shared" si="9"/>
        <v>51</v>
      </c>
      <c r="Z42" s="5" t="s">
        <v>87</v>
      </c>
      <c r="AA42" s="2">
        <v>295</v>
      </c>
      <c r="AB42" s="2">
        <v>389</v>
      </c>
      <c r="AC42" s="2" t="s">
        <v>176</v>
      </c>
      <c r="AD42" s="6">
        <f t="shared" si="20"/>
        <v>272</v>
      </c>
      <c r="AE42" s="2" t="s">
        <v>77</v>
      </c>
      <c r="AF42" s="6">
        <f t="shared" si="10"/>
        <v>100</v>
      </c>
      <c r="AG42" s="2" t="s">
        <v>177</v>
      </c>
      <c r="AH42" s="6">
        <f t="shared" si="11"/>
        <v>29</v>
      </c>
      <c r="AI42" s="2" t="s">
        <v>178</v>
      </c>
      <c r="AJ42" s="6">
        <f t="shared" si="12"/>
        <v>61</v>
      </c>
      <c r="AK42" s="7" t="s">
        <v>186</v>
      </c>
      <c r="AL42" s="3">
        <f t="shared" si="13"/>
        <v>1550</v>
      </c>
      <c r="AM42" s="2" t="s">
        <v>180</v>
      </c>
      <c r="AN42" s="6">
        <f t="shared" si="14"/>
        <v>851</v>
      </c>
      <c r="AO42" s="2" t="s">
        <v>181</v>
      </c>
      <c r="AP42" s="6">
        <f t="shared" si="15"/>
        <v>1309</v>
      </c>
      <c r="AQ42" s="2" t="s">
        <v>182</v>
      </c>
      <c r="AR42" s="6">
        <f t="shared" si="16"/>
        <v>1112</v>
      </c>
      <c r="AS42" s="2" t="s">
        <v>183</v>
      </c>
      <c r="AT42" s="6">
        <f t="shared" si="17"/>
        <v>1636</v>
      </c>
      <c r="AU42" s="2" t="s">
        <v>184</v>
      </c>
      <c r="AV42" s="6">
        <f t="shared" si="18"/>
        <v>1963</v>
      </c>
    </row>
    <row r="43" spans="1:48" ht="45" x14ac:dyDescent="0.3">
      <c r="A43" s="2" t="s">
        <v>25</v>
      </c>
      <c r="B43" s="2">
        <v>23</v>
      </c>
      <c r="C43" s="2" t="s">
        <v>12</v>
      </c>
      <c r="D43" s="2">
        <v>12.9</v>
      </c>
      <c r="E43" s="2" t="s">
        <v>8</v>
      </c>
      <c r="F43" s="2" t="s">
        <v>10</v>
      </c>
      <c r="G43" s="7" t="s">
        <v>175</v>
      </c>
      <c r="H43" s="3">
        <f t="shared" si="19"/>
        <v>6543</v>
      </c>
      <c r="I43" s="5" t="s">
        <v>164</v>
      </c>
      <c r="J43" s="2" t="s">
        <v>67</v>
      </c>
      <c r="K43" s="6">
        <f t="shared" si="2"/>
        <v>132</v>
      </c>
      <c r="L43" s="2" t="s">
        <v>68</v>
      </c>
      <c r="M43" s="6">
        <f t="shared" si="3"/>
        <v>400</v>
      </c>
      <c r="N43" s="2" t="s">
        <v>69</v>
      </c>
      <c r="O43" s="6">
        <f t="shared" si="4"/>
        <v>50</v>
      </c>
      <c r="P43" s="2" t="s">
        <v>70</v>
      </c>
      <c r="Q43" s="6">
        <f t="shared" si="5"/>
        <v>250</v>
      </c>
      <c r="R43" s="2" t="s">
        <v>108</v>
      </c>
      <c r="S43" s="6">
        <f t="shared" si="6"/>
        <v>121</v>
      </c>
      <c r="T43" s="2" t="s">
        <v>185</v>
      </c>
      <c r="U43" s="6">
        <f t="shared" si="7"/>
        <v>33</v>
      </c>
      <c r="V43" s="2" t="s">
        <v>90</v>
      </c>
      <c r="W43" s="6">
        <f t="shared" si="8"/>
        <v>51</v>
      </c>
      <c r="X43" s="2" t="s">
        <v>90</v>
      </c>
      <c r="Y43" s="6">
        <f t="shared" si="9"/>
        <v>51</v>
      </c>
      <c r="Z43" s="5" t="s">
        <v>104</v>
      </c>
      <c r="AA43" s="2">
        <v>295</v>
      </c>
      <c r="AB43" s="2">
        <v>389</v>
      </c>
      <c r="AC43" s="2" t="s">
        <v>176</v>
      </c>
      <c r="AD43" s="6">
        <f t="shared" si="20"/>
        <v>272</v>
      </c>
      <c r="AE43" s="2" t="s">
        <v>77</v>
      </c>
      <c r="AF43" s="6">
        <f t="shared" si="10"/>
        <v>100</v>
      </c>
      <c r="AG43" s="2" t="s">
        <v>177</v>
      </c>
      <c r="AH43" s="6">
        <f t="shared" si="11"/>
        <v>29</v>
      </c>
      <c r="AI43" s="2" t="s">
        <v>178</v>
      </c>
      <c r="AJ43" s="6">
        <f t="shared" si="12"/>
        <v>61</v>
      </c>
      <c r="AK43" s="7" t="s">
        <v>186</v>
      </c>
      <c r="AL43" s="3">
        <f t="shared" si="13"/>
        <v>1550</v>
      </c>
      <c r="AM43" s="2" t="s">
        <v>180</v>
      </c>
      <c r="AN43" s="6">
        <f t="shared" si="14"/>
        <v>851</v>
      </c>
      <c r="AO43" s="2" t="s">
        <v>181</v>
      </c>
      <c r="AP43" s="6">
        <f t="shared" si="15"/>
        <v>1309</v>
      </c>
      <c r="AQ43" s="2" t="s">
        <v>182</v>
      </c>
      <c r="AR43" s="6">
        <f t="shared" si="16"/>
        <v>1112</v>
      </c>
      <c r="AS43" s="2" t="s">
        <v>183</v>
      </c>
      <c r="AT43" s="6">
        <f t="shared" si="17"/>
        <v>1636</v>
      </c>
      <c r="AU43" s="2" t="s">
        <v>184</v>
      </c>
      <c r="AV43" s="6">
        <f t="shared" si="18"/>
        <v>1963</v>
      </c>
    </row>
    <row r="44" spans="1:48" ht="30" x14ac:dyDescent="0.3">
      <c r="A44" s="2" t="s">
        <v>26</v>
      </c>
      <c r="B44" s="2">
        <v>25</v>
      </c>
      <c r="C44" s="2" t="s">
        <v>7</v>
      </c>
      <c r="D44" s="2">
        <v>12.9</v>
      </c>
      <c r="E44" s="2" t="s">
        <v>8</v>
      </c>
      <c r="F44" s="2" t="s">
        <v>10</v>
      </c>
      <c r="G44" s="7" t="s">
        <v>187</v>
      </c>
      <c r="H44" s="3">
        <f t="shared" si="19"/>
        <v>8633</v>
      </c>
      <c r="I44" s="5" t="s">
        <v>164</v>
      </c>
      <c r="J44" s="2" t="s">
        <v>67</v>
      </c>
      <c r="K44" s="6">
        <f t="shared" si="2"/>
        <v>132</v>
      </c>
      <c r="L44" s="2" t="s">
        <v>68</v>
      </c>
      <c r="M44" s="6">
        <f t="shared" si="3"/>
        <v>400</v>
      </c>
      <c r="N44" s="2" t="s">
        <v>69</v>
      </c>
      <c r="O44" s="6">
        <f t="shared" si="4"/>
        <v>50</v>
      </c>
      <c r="P44" s="2" t="s">
        <v>70</v>
      </c>
      <c r="Q44" s="6">
        <f t="shared" si="5"/>
        <v>250</v>
      </c>
      <c r="R44" s="2" t="s">
        <v>73</v>
      </c>
      <c r="S44" s="6">
        <f t="shared" si="6"/>
        <v>134</v>
      </c>
      <c r="T44" s="8"/>
      <c r="U44" s="6">
        <f t="shared" si="7"/>
        <v>0</v>
      </c>
      <c r="V44" s="2" t="s">
        <v>73</v>
      </c>
      <c r="W44" s="6">
        <f t="shared" si="8"/>
        <v>134</v>
      </c>
      <c r="X44" s="2" t="s">
        <v>74</v>
      </c>
      <c r="Y44" s="6">
        <f t="shared" si="9"/>
        <v>6</v>
      </c>
      <c r="Z44" s="5" t="s">
        <v>87</v>
      </c>
      <c r="AA44" s="2">
        <v>295</v>
      </c>
      <c r="AB44" s="2">
        <v>234</v>
      </c>
      <c r="AC44" s="2" t="s">
        <v>188</v>
      </c>
      <c r="AD44" s="6">
        <f t="shared" si="20"/>
        <v>164</v>
      </c>
      <c r="AE44" s="2" t="s">
        <v>77</v>
      </c>
      <c r="AF44" s="6">
        <f t="shared" si="10"/>
        <v>100</v>
      </c>
      <c r="AG44" s="2" t="s">
        <v>92</v>
      </c>
      <c r="AH44" s="6">
        <f t="shared" si="11"/>
        <v>23</v>
      </c>
      <c r="AI44" s="2" t="s">
        <v>93</v>
      </c>
      <c r="AJ44" s="6">
        <f t="shared" si="12"/>
        <v>55</v>
      </c>
      <c r="AK44" s="7" t="s">
        <v>189</v>
      </c>
      <c r="AL44" s="3">
        <f t="shared" si="13"/>
        <v>1448</v>
      </c>
      <c r="AM44" s="2" t="s">
        <v>190</v>
      </c>
      <c r="AN44" s="6">
        <f t="shared" si="14"/>
        <v>1122</v>
      </c>
      <c r="AO44" s="2" t="s">
        <v>191</v>
      </c>
      <c r="AP44" s="6">
        <f t="shared" si="15"/>
        <v>1727</v>
      </c>
      <c r="AQ44" s="2" t="s">
        <v>192</v>
      </c>
      <c r="AR44" s="6">
        <f t="shared" si="16"/>
        <v>1468</v>
      </c>
      <c r="AS44" s="2" t="s">
        <v>193</v>
      </c>
      <c r="AT44" s="6">
        <f t="shared" si="17"/>
        <v>2158</v>
      </c>
      <c r="AU44" s="2" t="s">
        <v>194</v>
      </c>
      <c r="AV44" s="6">
        <f t="shared" si="18"/>
        <v>2590</v>
      </c>
    </row>
    <row r="45" spans="1:48" ht="30" x14ac:dyDescent="0.3">
      <c r="A45" s="2" t="s">
        <v>26</v>
      </c>
      <c r="B45" s="2">
        <v>26</v>
      </c>
      <c r="C45" s="2" t="s">
        <v>7</v>
      </c>
      <c r="D45" s="2">
        <v>18</v>
      </c>
      <c r="E45" s="2" t="s">
        <v>8</v>
      </c>
      <c r="F45" s="2" t="s">
        <v>13</v>
      </c>
      <c r="G45" s="7" t="s">
        <v>187</v>
      </c>
      <c r="H45" s="3">
        <f t="shared" si="19"/>
        <v>8633</v>
      </c>
      <c r="I45" s="5" t="s">
        <v>164</v>
      </c>
      <c r="J45" s="2" t="s">
        <v>67</v>
      </c>
      <c r="K45" s="6">
        <f t="shared" si="2"/>
        <v>132</v>
      </c>
      <c r="L45" s="2" t="s">
        <v>68</v>
      </c>
      <c r="M45" s="6">
        <f t="shared" si="3"/>
        <v>400</v>
      </c>
      <c r="N45" s="2" t="s">
        <v>69</v>
      </c>
      <c r="O45" s="6">
        <f t="shared" si="4"/>
        <v>50</v>
      </c>
      <c r="P45" s="2" t="s">
        <v>70</v>
      </c>
      <c r="Q45" s="6">
        <f t="shared" si="5"/>
        <v>250</v>
      </c>
      <c r="R45" s="2" t="s">
        <v>73</v>
      </c>
      <c r="S45" s="6">
        <f t="shared" si="6"/>
        <v>134</v>
      </c>
      <c r="T45" s="8"/>
      <c r="U45" s="6">
        <f t="shared" si="7"/>
        <v>0</v>
      </c>
      <c r="V45" s="2" t="s">
        <v>73</v>
      </c>
      <c r="W45" s="6">
        <f t="shared" si="8"/>
        <v>134</v>
      </c>
      <c r="X45" s="2" t="s">
        <v>74</v>
      </c>
      <c r="Y45" s="6">
        <f t="shared" si="9"/>
        <v>6</v>
      </c>
      <c r="Z45" s="5" t="s">
        <v>87</v>
      </c>
      <c r="AA45" s="2">
        <v>295</v>
      </c>
      <c r="AB45" s="2">
        <v>234</v>
      </c>
      <c r="AC45" s="2" t="s">
        <v>188</v>
      </c>
      <c r="AD45" s="6">
        <f t="shared" si="20"/>
        <v>164</v>
      </c>
      <c r="AE45" s="2" t="s">
        <v>77</v>
      </c>
      <c r="AF45" s="6">
        <f t="shared" si="10"/>
        <v>100</v>
      </c>
      <c r="AG45" s="2" t="s">
        <v>92</v>
      </c>
      <c r="AH45" s="6">
        <f t="shared" si="11"/>
        <v>23</v>
      </c>
      <c r="AI45" s="2" t="s">
        <v>93</v>
      </c>
      <c r="AJ45" s="6">
        <f t="shared" si="12"/>
        <v>55</v>
      </c>
      <c r="AK45" s="7" t="s">
        <v>189</v>
      </c>
      <c r="AL45" s="3">
        <f t="shared" si="13"/>
        <v>1448</v>
      </c>
      <c r="AM45" s="2" t="s">
        <v>190</v>
      </c>
      <c r="AN45" s="6">
        <f t="shared" si="14"/>
        <v>1122</v>
      </c>
      <c r="AO45" s="2" t="s">
        <v>191</v>
      </c>
      <c r="AP45" s="6">
        <f t="shared" si="15"/>
        <v>1727</v>
      </c>
      <c r="AQ45" s="2" t="s">
        <v>192</v>
      </c>
      <c r="AR45" s="6">
        <f t="shared" si="16"/>
        <v>1468</v>
      </c>
      <c r="AS45" s="2" t="s">
        <v>193</v>
      </c>
      <c r="AT45" s="6">
        <f t="shared" si="17"/>
        <v>2158</v>
      </c>
      <c r="AU45" s="2" t="s">
        <v>194</v>
      </c>
      <c r="AV45" s="6">
        <f t="shared" si="18"/>
        <v>2590</v>
      </c>
    </row>
    <row r="46" spans="1:48" ht="30" x14ac:dyDescent="0.3">
      <c r="A46" s="2" t="s">
        <v>26</v>
      </c>
      <c r="B46" s="2">
        <v>27</v>
      </c>
      <c r="C46" s="2" t="s">
        <v>7</v>
      </c>
      <c r="D46" s="2">
        <v>19</v>
      </c>
      <c r="E46" s="2" t="s">
        <v>8</v>
      </c>
      <c r="F46" s="2" t="s">
        <v>14</v>
      </c>
      <c r="G46" s="7" t="s">
        <v>187</v>
      </c>
      <c r="H46" s="3">
        <f t="shared" si="19"/>
        <v>8633</v>
      </c>
      <c r="I46" s="5" t="s">
        <v>164</v>
      </c>
      <c r="J46" s="2" t="s">
        <v>67</v>
      </c>
      <c r="K46" s="6">
        <f t="shared" si="2"/>
        <v>132</v>
      </c>
      <c r="L46" s="2" t="s">
        <v>68</v>
      </c>
      <c r="M46" s="6">
        <f t="shared" si="3"/>
        <v>400</v>
      </c>
      <c r="N46" s="2" t="s">
        <v>69</v>
      </c>
      <c r="O46" s="6">
        <f t="shared" si="4"/>
        <v>50</v>
      </c>
      <c r="P46" s="2" t="s">
        <v>70</v>
      </c>
      <c r="Q46" s="6">
        <f t="shared" si="5"/>
        <v>250</v>
      </c>
      <c r="R46" s="2" t="s">
        <v>73</v>
      </c>
      <c r="S46" s="6">
        <f t="shared" si="6"/>
        <v>134</v>
      </c>
      <c r="T46" s="8"/>
      <c r="U46" s="6">
        <f t="shared" si="7"/>
        <v>0</v>
      </c>
      <c r="V46" s="2" t="s">
        <v>73</v>
      </c>
      <c r="W46" s="6">
        <f t="shared" si="8"/>
        <v>134</v>
      </c>
      <c r="X46" s="2" t="s">
        <v>74</v>
      </c>
      <c r="Y46" s="6">
        <f t="shared" si="9"/>
        <v>6</v>
      </c>
      <c r="Z46" s="5" t="s">
        <v>87</v>
      </c>
      <c r="AA46" s="2">
        <v>295</v>
      </c>
      <c r="AB46" s="2">
        <v>234</v>
      </c>
      <c r="AC46" s="2" t="s">
        <v>188</v>
      </c>
      <c r="AD46" s="6">
        <f t="shared" si="20"/>
        <v>164</v>
      </c>
      <c r="AE46" s="2" t="s">
        <v>77</v>
      </c>
      <c r="AF46" s="6">
        <f t="shared" si="10"/>
        <v>100</v>
      </c>
      <c r="AG46" s="2" t="s">
        <v>92</v>
      </c>
      <c r="AH46" s="6">
        <f t="shared" si="11"/>
        <v>23</v>
      </c>
      <c r="AI46" s="2" t="s">
        <v>93</v>
      </c>
      <c r="AJ46" s="6">
        <f t="shared" si="12"/>
        <v>55</v>
      </c>
      <c r="AK46" s="7" t="s">
        <v>189</v>
      </c>
      <c r="AL46" s="3">
        <f t="shared" si="13"/>
        <v>1448</v>
      </c>
      <c r="AM46" s="2" t="s">
        <v>190</v>
      </c>
      <c r="AN46" s="6">
        <f t="shared" si="14"/>
        <v>1122</v>
      </c>
      <c r="AO46" s="2" t="s">
        <v>191</v>
      </c>
      <c r="AP46" s="6">
        <f t="shared" si="15"/>
        <v>1727</v>
      </c>
      <c r="AQ46" s="2" t="s">
        <v>192</v>
      </c>
      <c r="AR46" s="6">
        <f t="shared" si="16"/>
        <v>1468</v>
      </c>
      <c r="AS46" s="2" t="s">
        <v>193</v>
      </c>
      <c r="AT46" s="6">
        <f t="shared" si="17"/>
        <v>2158</v>
      </c>
      <c r="AU46" s="2" t="s">
        <v>194</v>
      </c>
      <c r="AV46" s="6">
        <f t="shared" si="18"/>
        <v>2590</v>
      </c>
    </row>
    <row r="47" spans="1:48" ht="30" x14ac:dyDescent="0.3">
      <c r="A47" s="2" t="s">
        <v>26</v>
      </c>
      <c r="B47" s="2">
        <v>27</v>
      </c>
      <c r="C47" s="2" t="s">
        <v>7</v>
      </c>
      <c r="D47" s="2">
        <v>20</v>
      </c>
      <c r="E47" s="2" t="s">
        <v>8</v>
      </c>
      <c r="F47" s="2" t="s">
        <v>14</v>
      </c>
      <c r="G47" s="7" t="s">
        <v>187</v>
      </c>
      <c r="H47" s="3">
        <f t="shared" si="19"/>
        <v>8633</v>
      </c>
      <c r="I47" s="5" t="s">
        <v>164</v>
      </c>
      <c r="J47" s="2" t="s">
        <v>67</v>
      </c>
      <c r="K47" s="6">
        <f t="shared" si="2"/>
        <v>132</v>
      </c>
      <c r="L47" s="2" t="s">
        <v>68</v>
      </c>
      <c r="M47" s="6">
        <f t="shared" si="3"/>
        <v>400</v>
      </c>
      <c r="N47" s="2" t="s">
        <v>69</v>
      </c>
      <c r="O47" s="6">
        <f t="shared" si="4"/>
        <v>50</v>
      </c>
      <c r="P47" s="2" t="s">
        <v>70</v>
      </c>
      <c r="Q47" s="6">
        <f t="shared" si="5"/>
        <v>250</v>
      </c>
      <c r="R47" s="2" t="s">
        <v>73</v>
      </c>
      <c r="S47" s="6">
        <f t="shared" si="6"/>
        <v>134</v>
      </c>
      <c r="T47" s="8"/>
      <c r="U47" s="6">
        <f t="shared" si="7"/>
        <v>0</v>
      </c>
      <c r="V47" s="2" t="s">
        <v>73</v>
      </c>
      <c r="W47" s="6">
        <f t="shared" si="8"/>
        <v>134</v>
      </c>
      <c r="X47" s="2" t="s">
        <v>74</v>
      </c>
      <c r="Y47" s="6">
        <f t="shared" si="9"/>
        <v>6</v>
      </c>
      <c r="Z47" s="5" t="s">
        <v>87</v>
      </c>
      <c r="AA47" s="2">
        <v>295</v>
      </c>
      <c r="AB47" s="2">
        <v>234</v>
      </c>
      <c r="AC47" s="2" t="s">
        <v>188</v>
      </c>
      <c r="AD47" s="6">
        <f t="shared" si="20"/>
        <v>164</v>
      </c>
      <c r="AE47" s="2" t="s">
        <v>77</v>
      </c>
      <c r="AF47" s="6">
        <f t="shared" si="10"/>
        <v>100</v>
      </c>
      <c r="AG47" s="2" t="s">
        <v>92</v>
      </c>
      <c r="AH47" s="6">
        <f t="shared" si="11"/>
        <v>23</v>
      </c>
      <c r="AI47" s="2" t="s">
        <v>93</v>
      </c>
      <c r="AJ47" s="6">
        <f t="shared" si="12"/>
        <v>55</v>
      </c>
      <c r="AK47" s="7" t="s">
        <v>189</v>
      </c>
      <c r="AL47" s="3">
        <f t="shared" si="13"/>
        <v>1448</v>
      </c>
      <c r="AM47" s="2" t="s">
        <v>190</v>
      </c>
      <c r="AN47" s="6">
        <f t="shared" si="14"/>
        <v>1122</v>
      </c>
      <c r="AO47" s="2" t="s">
        <v>191</v>
      </c>
      <c r="AP47" s="6">
        <f t="shared" si="15"/>
        <v>1727</v>
      </c>
      <c r="AQ47" s="2" t="s">
        <v>192</v>
      </c>
      <c r="AR47" s="6">
        <f t="shared" si="16"/>
        <v>1468</v>
      </c>
      <c r="AS47" s="2" t="s">
        <v>193</v>
      </c>
      <c r="AT47" s="6">
        <f t="shared" si="17"/>
        <v>2158</v>
      </c>
      <c r="AU47" s="2" t="s">
        <v>194</v>
      </c>
      <c r="AV47" s="6">
        <f t="shared" si="18"/>
        <v>2590</v>
      </c>
    </row>
    <row r="48" spans="1:48" ht="45" x14ac:dyDescent="0.3">
      <c r="A48" s="2" t="s">
        <v>27</v>
      </c>
      <c r="B48" s="2">
        <v>1</v>
      </c>
      <c r="C48" s="2" t="s">
        <v>7</v>
      </c>
      <c r="D48" s="2">
        <v>21</v>
      </c>
      <c r="E48" s="2" t="s">
        <v>8</v>
      </c>
      <c r="F48" s="2" t="s">
        <v>14</v>
      </c>
      <c r="G48" s="7" t="s">
        <v>65</v>
      </c>
      <c r="H48" s="3">
        <f t="shared" si="19"/>
        <v>5556</v>
      </c>
      <c r="I48" s="5" t="s">
        <v>66</v>
      </c>
      <c r="J48" s="2" t="s">
        <v>67</v>
      </c>
      <c r="K48" s="6">
        <f t="shared" si="2"/>
        <v>132</v>
      </c>
      <c r="L48" s="2" t="s">
        <v>68</v>
      </c>
      <c r="M48" s="6">
        <f t="shared" si="3"/>
        <v>400</v>
      </c>
      <c r="N48" s="2" t="s">
        <v>69</v>
      </c>
      <c r="O48" s="6">
        <f t="shared" si="4"/>
        <v>50</v>
      </c>
      <c r="P48" s="2" t="s">
        <v>70</v>
      </c>
      <c r="Q48" s="6">
        <f t="shared" si="5"/>
        <v>250</v>
      </c>
      <c r="R48" s="2" t="s">
        <v>71</v>
      </c>
      <c r="S48" s="6">
        <f t="shared" si="6"/>
        <v>120</v>
      </c>
      <c r="T48" s="2" t="s">
        <v>72</v>
      </c>
      <c r="U48" s="6">
        <f t="shared" si="7"/>
        <v>65</v>
      </c>
      <c r="V48" s="2" t="s">
        <v>73</v>
      </c>
      <c r="W48" s="6">
        <f t="shared" si="8"/>
        <v>134</v>
      </c>
      <c r="X48" s="2" t="s">
        <v>74</v>
      </c>
      <c r="Y48" s="6">
        <f t="shared" si="9"/>
        <v>6</v>
      </c>
      <c r="Z48" s="5" t="s">
        <v>75</v>
      </c>
      <c r="AA48" s="2">
        <v>295</v>
      </c>
      <c r="AB48" s="2">
        <v>343</v>
      </c>
      <c r="AC48" s="2" t="s">
        <v>76</v>
      </c>
      <c r="AD48" s="6">
        <f t="shared" si="20"/>
        <v>240</v>
      </c>
      <c r="AE48" s="2" t="s">
        <v>77</v>
      </c>
      <c r="AF48" s="6">
        <f t="shared" si="10"/>
        <v>100</v>
      </c>
      <c r="AG48" s="2" t="s">
        <v>78</v>
      </c>
      <c r="AH48" s="6">
        <f t="shared" si="11"/>
        <v>22</v>
      </c>
      <c r="AI48" s="2" t="s">
        <v>79</v>
      </c>
      <c r="AJ48" s="6">
        <f t="shared" si="12"/>
        <v>54</v>
      </c>
      <c r="AK48" s="7" t="s">
        <v>86</v>
      </c>
      <c r="AL48" s="3">
        <f t="shared" si="13"/>
        <v>1573</v>
      </c>
      <c r="AM48" s="2" t="s">
        <v>80</v>
      </c>
      <c r="AN48" s="6">
        <f t="shared" si="14"/>
        <v>722</v>
      </c>
      <c r="AO48" s="2" t="s">
        <v>81</v>
      </c>
      <c r="AP48" s="6">
        <f t="shared" si="15"/>
        <v>1111</v>
      </c>
      <c r="AQ48" s="2" t="s">
        <v>82</v>
      </c>
      <c r="AR48" s="6">
        <f t="shared" si="16"/>
        <v>945</v>
      </c>
      <c r="AS48" s="2" t="s">
        <v>83</v>
      </c>
      <c r="AT48" s="6">
        <f t="shared" si="17"/>
        <v>1389</v>
      </c>
      <c r="AU48" s="2" t="s">
        <v>84</v>
      </c>
      <c r="AV48" s="6">
        <f t="shared" si="18"/>
        <v>1667</v>
      </c>
    </row>
    <row r="49" spans="1:48" ht="45" x14ac:dyDescent="0.3">
      <c r="A49" s="2" t="s">
        <v>27</v>
      </c>
      <c r="B49" s="2">
        <v>2</v>
      </c>
      <c r="C49" s="2" t="s">
        <v>7</v>
      </c>
      <c r="D49" s="2">
        <v>22</v>
      </c>
      <c r="E49" s="2" t="s">
        <v>8</v>
      </c>
      <c r="F49" s="2" t="s">
        <v>14</v>
      </c>
      <c r="G49" s="7" t="s">
        <v>65</v>
      </c>
      <c r="H49" s="3">
        <f t="shared" si="19"/>
        <v>5556</v>
      </c>
      <c r="I49" s="5" t="s">
        <v>66</v>
      </c>
      <c r="J49" s="2" t="s">
        <v>67</v>
      </c>
      <c r="K49" s="6">
        <f t="shared" si="2"/>
        <v>132</v>
      </c>
      <c r="L49" s="2" t="s">
        <v>68</v>
      </c>
      <c r="M49" s="6">
        <f t="shared" si="3"/>
        <v>400</v>
      </c>
      <c r="N49" s="2" t="s">
        <v>69</v>
      </c>
      <c r="O49" s="6">
        <f t="shared" si="4"/>
        <v>50</v>
      </c>
      <c r="P49" s="2" t="s">
        <v>70</v>
      </c>
      <c r="Q49" s="6">
        <f t="shared" si="5"/>
        <v>250</v>
      </c>
      <c r="R49" s="2" t="s">
        <v>71</v>
      </c>
      <c r="S49" s="6">
        <f t="shared" si="6"/>
        <v>120</v>
      </c>
      <c r="T49" s="2" t="s">
        <v>72</v>
      </c>
      <c r="U49" s="6">
        <f t="shared" si="7"/>
        <v>65</v>
      </c>
      <c r="V49" s="2" t="s">
        <v>73</v>
      </c>
      <c r="W49" s="6">
        <f t="shared" si="8"/>
        <v>134</v>
      </c>
      <c r="X49" s="2" t="s">
        <v>74</v>
      </c>
      <c r="Y49" s="6">
        <f t="shared" si="9"/>
        <v>6</v>
      </c>
      <c r="Z49" s="5" t="s">
        <v>75</v>
      </c>
      <c r="AA49" s="2">
        <v>295</v>
      </c>
      <c r="AB49" s="2">
        <v>343</v>
      </c>
      <c r="AC49" s="2" t="s">
        <v>76</v>
      </c>
      <c r="AD49" s="6">
        <f t="shared" si="20"/>
        <v>240</v>
      </c>
      <c r="AE49" s="2" t="s">
        <v>77</v>
      </c>
      <c r="AF49" s="6">
        <f t="shared" si="10"/>
        <v>100</v>
      </c>
      <c r="AG49" s="2" t="s">
        <v>78</v>
      </c>
      <c r="AH49" s="6">
        <f t="shared" si="11"/>
        <v>22</v>
      </c>
      <c r="AI49" s="2" t="s">
        <v>79</v>
      </c>
      <c r="AJ49" s="6">
        <f t="shared" si="12"/>
        <v>54</v>
      </c>
      <c r="AK49" s="7" t="s">
        <v>86</v>
      </c>
      <c r="AL49" s="3">
        <f t="shared" si="13"/>
        <v>1573</v>
      </c>
      <c r="AM49" s="2" t="s">
        <v>80</v>
      </c>
      <c r="AN49" s="6">
        <f t="shared" si="14"/>
        <v>722</v>
      </c>
      <c r="AO49" s="2" t="s">
        <v>81</v>
      </c>
      <c r="AP49" s="6">
        <f t="shared" si="15"/>
        <v>1111</v>
      </c>
      <c r="AQ49" s="2" t="s">
        <v>82</v>
      </c>
      <c r="AR49" s="6">
        <f t="shared" si="16"/>
        <v>945</v>
      </c>
      <c r="AS49" s="2" t="s">
        <v>83</v>
      </c>
      <c r="AT49" s="6">
        <f t="shared" si="17"/>
        <v>1389</v>
      </c>
      <c r="AU49" s="2" t="s">
        <v>84</v>
      </c>
      <c r="AV49" s="6">
        <f t="shared" si="18"/>
        <v>1667</v>
      </c>
    </row>
    <row r="50" spans="1:48" ht="30" x14ac:dyDescent="0.3">
      <c r="A50" s="2" t="s">
        <v>27</v>
      </c>
      <c r="B50" s="2">
        <v>10</v>
      </c>
      <c r="C50" s="2" t="s">
        <v>7</v>
      </c>
      <c r="D50" s="2">
        <v>23</v>
      </c>
      <c r="E50" s="2" t="s">
        <v>8</v>
      </c>
      <c r="F50" s="2" t="s">
        <v>14</v>
      </c>
      <c r="G50" s="7" t="s">
        <v>126</v>
      </c>
      <c r="H50" s="3">
        <f t="shared" si="19"/>
        <v>6433</v>
      </c>
      <c r="I50" s="5" t="s">
        <v>127</v>
      </c>
      <c r="J50" s="2" t="s">
        <v>67</v>
      </c>
      <c r="K50" s="6">
        <f t="shared" si="2"/>
        <v>132</v>
      </c>
      <c r="L50" s="2" t="s">
        <v>128</v>
      </c>
      <c r="M50" s="6">
        <f t="shared" si="3"/>
        <v>399</v>
      </c>
      <c r="N50" s="2" t="s">
        <v>69</v>
      </c>
      <c r="O50" s="6">
        <f t="shared" si="4"/>
        <v>50</v>
      </c>
      <c r="P50" s="2" t="s">
        <v>70</v>
      </c>
      <c r="Q50" s="6">
        <f t="shared" si="5"/>
        <v>250</v>
      </c>
      <c r="R50" s="2" t="s">
        <v>73</v>
      </c>
      <c r="S50" s="6">
        <f t="shared" si="6"/>
        <v>134</v>
      </c>
      <c r="T50" s="8"/>
      <c r="U50" s="6">
        <f t="shared" si="7"/>
        <v>0</v>
      </c>
      <c r="V50" s="2" t="s">
        <v>73</v>
      </c>
      <c r="W50" s="6">
        <f t="shared" si="8"/>
        <v>134</v>
      </c>
      <c r="X50" s="2" t="s">
        <v>74</v>
      </c>
      <c r="Y50" s="6">
        <f t="shared" si="9"/>
        <v>6</v>
      </c>
      <c r="Z50" s="5" t="s">
        <v>85</v>
      </c>
      <c r="AA50" s="2">
        <v>295</v>
      </c>
      <c r="AB50" s="2">
        <v>343</v>
      </c>
      <c r="AC50" s="2" t="s">
        <v>76</v>
      </c>
      <c r="AD50" s="6">
        <f t="shared" si="20"/>
        <v>240</v>
      </c>
      <c r="AE50" s="2" t="s">
        <v>77</v>
      </c>
      <c r="AF50" s="6">
        <f t="shared" si="10"/>
        <v>100</v>
      </c>
      <c r="AG50" s="2" t="s">
        <v>130</v>
      </c>
      <c r="AH50" s="6">
        <f t="shared" si="11"/>
        <v>25</v>
      </c>
      <c r="AI50" s="2" t="s">
        <v>120</v>
      </c>
      <c r="AJ50" s="6">
        <f t="shared" si="12"/>
        <v>57</v>
      </c>
      <c r="AK50" s="7" t="s">
        <v>195</v>
      </c>
      <c r="AL50" s="3">
        <f t="shared" si="13"/>
        <v>1527</v>
      </c>
      <c r="AM50" s="2" t="s">
        <v>132</v>
      </c>
      <c r="AN50" s="6">
        <f t="shared" si="14"/>
        <v>836</v>
      </c>
      <c r="AO50" s="2" t="s">
        <v>133</v>
      </c>
      <c r="AP50" s="6">
        <f t="shared" si="15"/>
        <v>1287</v>
      </c>
      <c r="AQ50" s="2" t="s">
        <v>134</v>
      </c>
      <c r="AR50" s="6">
        <f t="shared" si="16"/>
        <v>1094</v>
      </c>
      <c r="AS50" s="2" t="s">
        <v>135</v>
      </c>
      <c r="AT50" s="6">
        <f t="shared" si="17"/>
        <v>1608</v>
      </c>
      <c r="AU50" s="2" t="s">
        <v>136</v>
      </c>
      <c r="AV50" s="6">
        <f t="shared" si="18"/>
        <v>1930</v>
      </c>
    </row>
    <row r="51" spans="1:48" ht="45" x14ac:dyDescent="0.3">
      <c r="A51" s="2" t="s">
        <v>27</v>
      </c>
      <c r="B51" s="2">
        <v>10</v>
      </c>
      <c r="C51" s="2" t="s">
        <v>12</v>
      </c>
      <c r="D51" s="2">
        <v>12.9</v>
      </c>
      <c r="E51" s="2" t="s">
        <v>8</v>
      </c>
      <c r="F51" s="2" t="s">
        <v>14</v>
      </c>
      <c r="G51" s="7" t="s">
        <v>196</v>
      </c>
      <c r="H51" s="3">
        <f t="shared" si="19"/>
        <v>3456</v>
      </c>
      <c r="I51" s="5" t="s">
        <v>197</v>
      </c>
      <c r="J51" s="2" t="s">
        <v>67</v>
      </c>
      <c r="K51" s="6">
        <f t="shared" si="2"/>
        <v>132</v>
      </c>
      <c r="L51" s="2" t="s">
        <v>68</v>
      </c>
      <c r="M51" s="6">
        <f t="shared" si="3"/>
        <v>400</v>
      </c>
      <c r="N51" s="2" t="s">
        <v>69</v>
      </c>
      <c r="O51" s="6">
        <f t="shared" si="4"/>
        <v>50</v>
      </c>
      <c r="P51" s="2" t="s">
        <v>70</v>
      </c>
      <c r="Q51" s="6">
        <f t="shared" si="5"/>
        <v>250</v>
      </c>
      <c r="R51" s="2" t="s">
        <v>143</v>
      </c>
      <c r="S51" s="6">
        <f t="shared" si="6"/>
        <v>128</v>
      </c>
      <c r="T51" s="2" t="s">
        <v>72</v>
      </c>
      <c r="U51" s="6">
        <f t="shared" si="7"/>
        <v>65</v>
      </c>
      <c r="V51" s="2" t="s">
        <v>73</v>
      </c>
      <c r="W51" s="6">
        <f t="shared" si="8"/>
        <v>134</v>
      </c>
      <c r="X51" s="2" t="s">
        <v>74</v>
      </c>
      <c r="Y51" s="6">
        <f t="shared" si="9"/>
        <v>6</v>
      </c>
      <c r="Z51" s="5" t="s">
        <v>104</v>
      </c>
      <c r="AA51" s="2">
        <v>295</v>
      </c>
      <c r="AB51" s="2">
        <v>343</v>
      </c>
      <c r="AC51" s="2" t="s">
        <v>76</v>
      </c>
      <c r="AD51" s="6">
        <f t="shared" si="20"/>
        <v>240</v>
      </c>
      <c r="AE51" s="2" t="s">
        <v>77</v>
      </c>
      <c r="AF51" s="6">
        <f t="shared" si="10"/>
        <v>100</v>
      </c>
      <c r="AG51" s="2" t="s">
        <v>112</v>
      </c>
      <c r="AH51" s="6">
        <f t="shared" si="11"/>
        <v>24</v>
      </c>
      <c r="AI51" s="2" t="s">
        <v>110</v>
      </c>
      <c r="AJ51" s="6">
        <f t="shared" si="12"/>
        <v>56</v>
      </c>
      <c r="AK51" s="7" t="s">
        <v>198</v>
      </c>
      <c r="AL51" s="3">
        <f t="shared" si="13"/>
        <v>1585</v>
      </c>
      <c r="AM51" s="2" t="s">
        <v>199</v>
      </c>
      <c r="AN51" s="6">
        <f t="shared" si="14"/>
        <v>449</v>
      </c>
      <c r="AO51" s="2" t="s">
        <v>200</v>
      </c>
      <c r="AP51" s="6">
        <f t="shared" si="15"/>
        <v>691</v>
      </c>
      <c r="AQ51" s="2" t="s">
        <v>116</v>
      </c>
      <c r="AR51" s="6">
        <f t="shared" si="16"/>
        <v>588</v>
      </c>
      <c r="AS51" s="2" t="s">
        <v>201</v>
      </c>
      <c r="AT51" s="6">
        <f t="shared" si="17"/>
        <v>864</v>
      </c>
      <c r="AU51" s="2" t="s">
        <v>118</v>
      </c>
      <c r="AV51" s="6">
        <f t="shared" si="18"/>
        <v>1037</v>
      </c>
    </row>
    <row r="52" spans="1:48" ht="30" x14ac:dyDescent="0.3">
      <c r="A52" s="2" t="s">
        <v>27</v>
      </c>
      <c r="B52" s="2">
        <v>11</v>
      </c>
      <c r="C52" s="2" t="s">
        <v>7</v>
      </c>
      <c r="D52" s="2">
        <v>13</v>
      </c>
      <c r="E52" s="2" t="s">
        <v>8</v>
      </c>
      <c r="F52" s="2" t="s">
        <v>14</v>
      </c>
      <c r="G52" s="7" t="s">
        <v>126</v>
      </c>
      <c r="H52" s="3">
        <f t="shared" si="19"/>
        <v>6433</v>
      </c>
      <c r="I52" s="5" t="s">
        <v>127</v>
      </c>
      <c r="J52" s="2" t="s">
        <v>67</v>
      </c>
      <c r="K52" s="6">
        <f t="shared" si="2"/>
        <v>132</v>
      </c>
      <c r="L52" s="2" t="s">
        <v>128</v>
      </c>
      <c r="M52" s="6">
        <f t="shared" si="3"/>
        <v>399</v>
      </c>
      <c r="N52" s="2" t="s">
        <v>69</v>
      </c>
      <c r="O52" s="6">
        <f t="shared" si="4"/>
        <v>50</v>
      </c>
      <c r="P52" s="2" t="s">
        <v>70</v>
      </c>
      <c r="Q52" s="6">
        <f t="shared" si="5"/>
        <v>250</v>
      </c>
      <c r="R52" s="2" t="s">
        <v>73</v>
      </c>
      <c r="S52" s="6">
        <f t="shared" si="6"/>
        <v>134</v>
      </c>
      <c r="T52" s="8"/>
      <c r="U52" s="6">
        <f t="shared" si="7"/>
        <v>0</v>
      </c>
      <c r="V52" s="2" t="s">
        <v>73</v>
      </c>
      <c r="W52" s="6">
        <f t="shared" si="8"/>
        <v>134</v>
      </c>
      <c r="X52" s="2" t="s">
        <v>74</v>
      </c>
      <c r="Y52" s="6">
        <f t="shared" si="9"/>
        <v>6</v>
      </c>
      <c r="Z52" s="5" t="s">
        <v>85</v>
      </c>
      <c r="AA52" s="2">
        <v>295</v>
      </c>
      <c r="AB52" s="2">
        <v>343</v>
      </c>
      <c r="AC52" s="2" t="s">
        <v>76</v>
      </c>
      <c r="AD52" s="6">
        <f t="shared" si="20"/>
        <v>240</v>
      </c>
      <c r="AE52" s="2" t="s">
        <v>77</v>
      </c>
      <c r="AF52" s="6">
        <f t="shared" si="10"/>
        <v>100</v>
      </c>
      <c r="AG52" s="2" t="s">
        <v>130</v>
      </c>
      <c r="AH52" s="6">
        <f t="shared" si="11"/>
        <v>25</v>
      </c>
      <c r="AI52" s="2" t="s">
        <v>120</v>
      </c>
      <c r="AJ52" s="6">
        <f t="shared" si="12"/>
        <v>57</v>
      </c>
      <c r="AK52" s="7" t="s">
        <v>195</v>
      </c>
      <c r="AL52" s="3">
        <f t="shared" si="13"/>
        <v>1527</v>
      </c>
      <c r="AM52" s="2" t="s">
        <v>132</v>
      </c>
      <c r="AN52" s="6">
        <f t="shared" si="14"/>
        <v>836</v>
      </c>
      <c r="AO52" s="2" t="s">
        <v>133</v>
      </c>
      <c r="AP52" s="6">
        <f t="shared" si="15"/>
        <v>1287</v>
      </c>
      <c r="AQ52" s="2" t="s">
        <v>134</v>
      </c>
      <c r="AR52" s="6">
        <f t="shared" si="16"/>
        <v>1094</v>
      </c>
      <c r="AS52" s="2" t="s">
        <v>135</v>
      </c>
      <c r="AT52" s="6">
        <f t="shared" si="17"/>
        <v>1608</v>
      </c>
      <c r="AU52" s="2" t="s">
        <v>136</v>
      </c>
      <c r="AV52" s="6">
        <f t="shared" si="18"/>
        <v>1930</v>
      </c>
    </row>
    <row r="53" spans="1:48" ht="30" x14ac:dyDescent="0.3">
      <c r="A53" s="2" t="s">
        <v>27</v>
      </c>
      <c r="B53" s="2">
        <v>28</v>
      </c>
      <c r="C53" s="2" t="s">
        <v>12</v>
      </c>
      <c r="D53" s="2">
        <v>14</v>
      </c>
      <c r="E53" s="2" t="s">
        <v>8</v>
      </c>
      <c r="F53" s="2" t="s">
        <v>14</v>
      </c>
      <c r="G53" s="7" t="s">
        <v>196</v>
      </c>
      <c r="H53" s="3">
        <f t="shared" si="19"/>
        <v>3456</v>
      </c>
      <c r="I53" s="5" t="s">
        <v>197</v>
      </c>
      <c r="J53" s="2" t="s">
        <v>67</v>
      </c>
      <c r="K53" s="6">
        <f t="shared" si="2"/>
        <v>132</v>
      </c>
      <c r="L53" s="2" t="s">
        <v>68</v>
      </c>
      <c r="M53" s="6">
        <f t="shared" si="3"/>
        <v>400</v>
      </c>
      <c r="N53" s="2" t="s">
        <v>69</v>
      </c>
      <c r="O53" s="6">
        <f t="shared" si="4"/>
        <v>50</v>
      </c>
      <c r="P53" s="2" t="s">
        <v>70</v>
      </c>
      <c r="Q53" s="6">
        <f t="shared" si="5"/>
        <v>250</v>
      </c>
      <c r="R53" s="2" t="s">
        <v>143</v>
      </c>
      <c r="S53" s="6">
        <f t="shared" si="6"/>
        <v>128</v>
      </c>
      <c r="T53" s="8"/>
      <c r="U53" s="6">
        <f t="shared" si="7"/>
        <v>0</v>
      </c>
      <c r="V53" s="2" t="s">
        <v>73</v>
      </c>
      <c r="W53" s="6">
        <f t="shared" si="8"/>
        <v>134</v>
      </c>
      <c r="X53" s="2" t="s">
        <v>74</v>
      </c>
      <c r="Y53" s="6">
        <f t="shared" si="9"/>
        <v>6</v>
      </c>
      <c r="Z53" s="5" t="s">
        <v>104</v>
      </c>
      <c r="AA53" s="2">
        <v>295</v>
      </c>
      <c r="AB53" s="2">
        <v>343</v>
      </c>
      <c r="AC53" s="2" t="s">
        <v>76</v>
      </c>
      <c r="AD53" s="6">
        <f t="shared" si="20"/>
        <v>240</v>
      </c>
      <c r="AE53" s="2" t="s">
        <v>77</v>
      </c>
      <c r="AF53" s="6">
        <f t="shared" si="10"/>
        <v>100</v>
      </c>
      <c r="AG53" s="2" t="s">
        <v>112</v>
      </c>
      <c r="AH53" s="6">
        <f t="shared" si="11"/>
        <v>24</v>
      </c>
      <c r="AI53" s="2" t="s">
        <v>110</v>
      </c>
      <c r="AJ53" s="6">
        <f t="shared" si="12"/>
        <v>56</v>
      </c>
      <c r="AK53" s="7" t="s">
        <v>202</v>
      </c>
      <c r="AL53" s="3">
        <f t="shared" si="13"/>
        <v>1520</v>
      </c>
      <c r="AM53" s="2" t="s">
        <v>199</v>
      </c>
      <c r="AN53" s="6">
        <f t="shared" si="14"/>
        <v>449</v>
      </c>
      <c r="AO53" s="2" t="s">
        <v>200</v>
      </c>
      <c r="AP53" s="6">
        <f t="shared" si="15"/>
        <v>691</v>
      </c>
      <c r="AQ53" s="2" t="s">
        <v>116</v>
      </c>
      <c r="AR53" s="6">
        <f t="shared" si="16"/>
        <v>588</v>
      </c>
      <c r="AS53" s="2" t="s">
        <v>201</v>
      </c>
      <c r="AT53" s="6">
        <f t="shared" si="17"/>
        <v>864</v>
      </c>
      <c r="AU53" s="2" t="s">
        <v>118</v>
      </c>
      <c r="AV53" s="6">
        <f t="shared" si="18"/>
        <v>1037</v>
      </c>
    </row>
    <row r="54" spans="1:48" ht="30" x14ac:dyDescent="0.3">
      <c r="A54" s="2" t="s">
        <v>27</v>
      </c>
      <c r="B54" s="2">
        <v>28</v>
      </c>
      <c r="C54" s="2" t="s">
        <v>12</v>
      </c>
      <c r="D54" s="2">
        <v>15</v>
      </c>
      <c r="E54" s="2" t="s">
        <v>8</v>
      </c>
      <c r="F54" s="2" t="s">
        <v>14</v>
      </c>
      <c r="G54" s="7" t="s">
        <v>196</v>
      </c>
      <c r="H54" s="3">
        <f t="shared" si="19"/>
        <v>3456</v>
      </c>
      <c r="I54" s="5" t="s">
        <v>197</v>
      </c>
      <c r="J54" s="2" t="s">
        <v>67</v>
      </c>
      <c r="K54" s="6">
        <f t="shared" si="2"/>
        <v>132</v>
      </c>
      <c r="L54" s="2" t="s">
        <v>68</v>
      </c>
      <c r="M54" s="6">
        <f t="shared" si="3"/>
        <v>400</v>
      </c>
      <c r="N54" s="2" t="s">
        <v>69</v>
      </c>
      <c r="O54" s="6">
        <f t="shared" si="4"/>
        <v>50</v>
      </c>
      <c r="P54" s="2" t="s">
        <v>70</v>
      </c>
      <c r="Q54" s="6">
        <f t="shared" si="5"/>
        <v>250</v>
      </c>
      <c r="R54" s="2" t="s">
        <v>143</v>
      </c>
      <c r="S54" s="6">
        <f t="shared" si="6"/>
        <v>128</v>
      </c>
      <c r="T54" s="8"/>
      <c r="U54" s="6">
        <f t="shared" si="7"/>
        <v>0</v>
      </c>
      <c r="V54" s="2" t="s">
        <v>73</v>
      </c>
      <c r="W54" s="6">
        <f t="shared" si="8"/>
        <v>134</v>
      </c>
      <c r="X54" s="2" t="s">
        <v>74</v>
      </c>
      <c r="Y54" s="6">
        <f t="shared" si="9"/>
        <v>6</v>
      </c>
      <c r="Z54" s="5" t="s">
        <v>104</v>
      </c>
      <c r="AA54" s="2">
        <v>295</v>
      </c>
      <c r="AB54" s="2">
        <v>343</v>
      </c>
      <c r="AC54" s="2" t="s">
        <v>76</v>
      </c>
      <c r="AD54" s="6">
        <f t="shared" si="20"/>
        <v>240</v>
      </c>
      <c r="AE54" s="2" t="s">
        <v>77</v>
      </c>
      <c r="AF54" s="6">
        <f t="shared" si="10"/>
        <v>100</v>
      </c>
      <c r="AG54" s="2" t="s">
        <v>112</v>
      </c>
      <c r="AH54" s="6">
        <f t="shared" si="11"/>
        <v>24</v>
      </c>
      <c r="AI54" s="2" t="s">
        <v>110</v>
      </c>
      <c r="AJ54" s="6">
        <f t="shared" si="12"/>
        <v>56</v>
      </c>
      <c r="AK54" s="7" t="s">
        <v>202</v>
      </c>
      <c r="AL54" s="3">
        <f t="shared" si="13"/>
        <v>1520</v>
      </c>
      <c r="AM54" s="2" t="s">
        <v>199</v>
      </c>
      <c r="AN54" s="6">
        <f t="shared" si="14"/>
        <v>449</v>
      </c>
      <c r="AO54" s="2" t="s">
        <v>200</v>
      </c>
      <c r="AP54" s="6">
        <f t="shared" si="15"/>
        <v>691</v>
      </c>
      <c r="AQ54" s="2" t="s">
        <v>116</v>
      </c>
      <c r="AR54" s="6">
        <f t="shared" si="16"/>
        <v>588</v>
      </c>
      <c r="AS54" s="2" t="s">
        <v>201</v>
      </c>
      <c r="AT54" s="6">
        <f t="shared" si="17"/>
        <v>864</v>
      </c>
      <c r="AU54" s="2" t="s">
        <v>118</v>
      </c>
      <c r="AV54" s="6">
        <f t="shared" si="18"/>
        <v>1037</v>
      </c>
    </row>
    <row r="55" spans="1:48" ht="30" x14ac:dyDescent="0.3">
      <c r="A55" s="2" t="s">
        <v>27</v>
      </c>
      <c r="B55" s="2">
        <v>29</v>
      </c>
      <c r="C55" s="2" t="s">
        <v>12</v>
      </c>
      <c r="D55" s="2">
        <v>16</v>
      </c>
      <c r="E55" s="2" t="s">
        <v>8</v>
      </c>
      <c r="F55" s="2" t="s">
        <v>14</v>
      </c>
      <c r="G55" s="7" t="s">
        <v>196</v>
      </c>
      <c r="H55" s="3">
        <f t="shared" si="19"/>
        <v>3456</v>
      </c>
      <c r="I55" s="5" t="s">
        <v>197</v>
      </c>
      <c r="J55" s="2" t="s">
        <v>67</v>
      </c>
      <c r="K55" s="6">
        <f t="shared" si="2"/>
        <v>132</v>
      </c>
      <c r="L55" s="2" t="s">
        <v>68</v>
      </c>
      <c r="M55" s="6">
        <f t="shared" si="3"/>
        <v>400</v>
      </c>
      <c r="N55" s="2" t="s">
        <v>69</v>
      </c>
      <c r="O55" s="6">
        <f t="shared" si="4"/>
        <v>50</v>
      </c>
      <c r="P55" s="2" t="s">
        <v>70</v>
      </c>
      <c r="Q55" s="6">
        <f t="shared" si="5"/>
        <v>250</v>
      </c>
      <c r="R55" s="2" t="s">
        <v>143</v>
      </c>
      <c r="S55" s="6">
        <f t="shared" si="6"/>
        <v>128</v>
      </c>
      <c r="T55" s="8"/>
      <c r="U55" s="6">
        <f t="shared" si="7"/>
        <v>0</v>
      </c>
      <c r="V55" s="2" t="s">
        <v>73</v>
      </c>
      <c r="W55" s="6">
        <f t="shared" si="8"/>
        <v>134</v>
      </c>
      <c r="X55" s="2" t="s">
        <v>74</v>
      </c>
      <c r="Y55" s="6">
        <f t="shared" si="9"/>
        <v>6</v>
      </c>
      <c r="Z55" s="5" t="s">
        <v>104</v>
      </c>
      <c r="AA55" s="2">
        <v>295</v>
      </c>
      <c r="AB55" s="2">
        <v>343</v>
      </c>
      <c r="AC55" s="2" t="s">
        <v>76</v>
      </c>
      <c r="AD55" s="6">
        <f t="shared" si="20"/>
        <v>240</v>
      </c>
      <c r="AE55" s="2" t="s">
        <v>77</v>
      </c>
      <c r="AF55" s="6">
        <f t="shared" si="10"/>
        <v>100</v>
      </c>
      <c r="AG55" s="2" t="s">
        <v>112</v>
      </c>
      <c r="AH55" s="6">
        <f t="shared" si="11"/>
        <v>24</v>
      </c>
      <c r="AI55" s="2" t="s">
        <v>110</v>
      </c>
      <c r="AJ55" s="6">
        <f t="shared" si="12"/>
        <v>56</v>
      </c>
      <c r="AK55" s="7" t="s">
        <v>202</v>
      </c>
      <c r="AL55" s="3">
        <f t="shared" si="13"/>
        <v>1520</v>
      </c>
      <c r="AM55" s="2" t="s">
        <v>199</v>
      </c>
      <c r="AN55" s="6">
        <f t="shared" si="14"/>
        <v>449</v>
      </c>
      <c r="AO55" s="2" t="s">
        <v>200</v>
      </c>
      <c r="AP55" s="6">
        <f t="shared" si="15"/>
        <v>691</v>
      </c>
      <c r="AQ55" s="2" t="s">
        <v>116</v>
      </c>
      <c r="AR55" s="6">
        <f t="shared" si="16"/>
        <v>588</v>
      </c>
      <c r="AS55" s="2" t="s">
        <v>201</v>
      </c>
      <c r="AT55" s="6">
        <f t="shared" si="17"/>
        <v>864</v>
      </c>
      <c r="AU55" s="2" t="s">
        <v>118</v>
      </c>
      <c r="AV55" s="6">
        <f t="shared" si="18"/>
        <v>1037</v>
      </c>
    </row>
    <row r="56" spans="1:48" ht="45" x14ac:dyDescent="0.3">
      <c r="A56" s="2" t="s">
        <v>27</v>
      </c>
      <c r="B56" s="2">
        <v>1</v>
      </c>
      <c r="C56" s="2" t="s">
        <v>7</v>
      </c>
      <c r="D56" s="2">
        <v>21</v>
      </c>
      <c r="E56" s="2" t="s">
        <v>8</v>
      </c>
      <c r="F56" s="2" t="s">
        <v>14</v>
      </c>
      <c r="G56" s="7" t="s">
        <v>65</v>
      </c>
      <c r="H56" s="3">
        <f t="shared" si="19"/>
        <v>5556</v>
      </c>
      <c r="I56" s="5" t="s">
        <v>66</v>
      </c>
      <c r="J56" s="2" t="s">
        <v>67</v>
      </c>
      <c r="K56" s="6">
        <f t="shared" si="2"/>
        <v>132</v>
      </c>
      <c r="L56" s="2" t="s">
        <v>68</v>
      </c>
      <c r="M56" s="6">
        <f t="shared" si="3"/>
        <v>400</v>
      </c>
      <c r="N56" s="2" t="s">
        <v>69</v>
      </c>
      <c r="O56" s="6">
        <f t="shared" si="4"/>
        <v>50</v>
      </c>
      <c r="P56" s="2" t="s">
        <v>70</v>
      </c>
      <c r="Q56" s="6">
        <f t="shared" si="5"/>
        <v>250</v>
      </c>
      <c r="R56" s="2" t="s">
        <v>71</v>
      </c>
      <c r="S56" s="6">
        <f t="shared" si="6"/>
        <v>120</v>
      </c>
      <c r="T56" s="2" t="s">
        <v>72</v>
      </c>
      <c r="U56" s="6">
        <f t="shared" si="7"/>
        <v>65</v>
      </c>
      <c r="V56" s="2" t="s">
        <v>73</v>
      </c>
      <c r="W56" s="6">
        <f t="shared" si="8"/>
        <v>134</v>
      </c>
      <c r="X56" s="2" t="s">
        <v>74</v>
      </c>
      <c r="Y56" s="6">
        <f t="shared" si="9"/>
        <v>6</v>
      </c>
      <c r="Z56" s="5" t="s">
        <v>75</v>
      </c>
      <c r="AA56" s="2">
        <v>295</v>
      </c>
      <c r="AB56" s="2">
        <v>343</v>
      </c>
      <c r="AC56" s="2" t="s">
        <v>76</v>
      </c>
      <c r="AD56" s="6">
        <f t="shared" si="20"/>
        <v>240</v>
      </c>
      <c r="AE56" s="2" t="s">
        <v>77</v>
      </c>
      <c r="AF56" s="6">
        <f t="shared" si="10"/>
        <v>100</v>
      </c>
      <c r="AG56" s="2" t="s">
        <v>78</v>
      </c>
      <c r="AH56" s="6">
        <f t="shared" si="11"/>
        <v>22</v>
      </c>
      <c r="AI56" s="2" t="s">
        <v>79</v>
      </c>
      <c r="AJ56" s="6">
        <f t="shared" si="12"/>
        <v>54</v>
      </c>
      <c r="AK56" s="7" t="s">
        <v>86</v>
      </c>
      <c r="AL56" s="3">
        <f t="shared" si="13"/>
        <v>1573</v>
      </c>
      <c r="AM56" s="2" t="s">
        <v>80</v>
      </c>
      <c r="AN56" s="6">
        <f t="shared" si="14"/>
        <v>722</v>
      </c>
      <c r="AO56" s="2" t="s">
        <v>81</v>
      </c>
      <c r="AP56" s="6">
        <f t="shared" si="15"/>
        <v>1111</v>
      </c>
      <c r="AQ56" s="2" t="s">
        <v>82</v>
      </c>
      <c r="AR56" s="6">
        <f t="shared" si="16"/>
        <v>945</v>
      </c>
      <c r="AS56" s="2" t="s">
        <v>83</v>
      </c>
      <c r="AT56" s="6">
        <f t="shared" si="17"/>
        <v>1389</v>
      </c>
      <c r="AU56" s="2" t="s">
        <v>84</v>
      </c>
      <c r="AV56" s="6">
        <f t="shared" si="18"/>
        <v>1667</v>
      </c>
    </row>
    <row r="57" spans="1:48" ht="45" x14ac:dyDescent="0.3">
      <c r="A57" s="2" t="s">
        <v>27</v>
      </c>
      <c r="B57" s="2">
        <v>2</v>
      </c>
      <c r="C57" s="2" t="s">
        <v>7</v>
      </c>
      <c r="D57" s="2">
        <v>22</v>
      </c>
      <c r="E57" s="2" t="s">
        <v>8</v>
      </c>
      <c r="F57" s="2" t="s">
        <v>14</v>
      </c>
      <c r="G57" s="7" t="s">
        <v>65</v>
      </c>
      <c r="H57" s="3">
        <f t="shared" si="19"/>
        <v>5556</v>
      </c>
      <c r="I57" s="5" t="s">
        <v>66</v>
      </c>
      <c r="J57" s="2" t="s">
        <v>67</v>
      </c>
      <c r="K57" s="6">
        <f t="shared" si="2"/>
        <v>132</v>
      </c>
      <c r="L57" s="2" t="s">
        <v>68</v>
      </c>
      <c r="M57" s="6">
        <f t="shared" si="3"/>
        <v>400</v>
      </c>
      <c r="N57" s="2" t="s">
        <v>69</v>
      </c>
      <c r="O57" s="6">
        <f t="shared" si="4"/>
        <v>50</v>
      </c>
      <c r="P57" s="2" t="s">
        <v>70</v>
      </c>
      <c r="Q57" s="6">
        <f t="shared" si="5"/>
        <v>250</v>
      </c>
      <c r="R57" s="2" t="s">
        <v>71</v>
      </c>
      <c r="S57" s="6">
        <f t="shared" si="6"/>
        <v>120</v>
      </c>
      <c r="T57" s="2" t="s">
        <v>72</v>
      </c>
      <c r="U57" s="6">
        <f t="shared" si="7"/>
        <v>65</v>
      </c>
      <c r="V57" s="2" t="s">
        <v>73</v>
      </c>
      <c r="W57" s="6">
        <f t="shared" si="8"/>
        <v>134</v>
      </c>
      <c r="X57" s="2" t="s">
        <v>74</v>
      </c>
      <c r="Y57" s="6">
        <f t="shared" si="9"/>
        <v>6</v>
      </c>
      <c r="Z57" s="5" t="s">
        <v>75</v>
      </c>
      <c r="AA57" s="2">
        <v>295</v>
      </c>
      <c r="AB57" s="2">
        <v>343</v>
      </c>
      <c r="AC57" s="2" t="s">
        <v>76</v>
      </c>
      <c r="AD57" s="6">
        <f t="shared" si="20"/>
        <v>240</v>
      </c>
      <c r="AE57" s="2" t="s">
        <v>77</v>
      </c>
      <c r="AF57" s="6">
        <f t="shared" si="10"/>
        <v>100</v>
      </c>
      <c r="AG57" s="2" t="s">
        <v>78</v>
      </c>
      <c r="AH57" s="6">
        <f t="shared" si="11"/>
        <v>22</v>
      </c>
      <c r="AI57" s="2" t="s">
        <v>79</v>
      </c>
      <c r="AJ57" s="6">
        <f t="shared" si="12"/>
        <v>54</v>
      </c>
      <c r="AK57" s="7" t="s">
        <v>86</v>
      </c>
      <c r="AL57" s="3">
        <f t="shared" si="13"/>
        <v>1573</v>
      </c>
      <c r="AM57" s="2" t="s">
        <v>80</v>
      </c>
      <c r="AN57" s="6">
        <f t="shared" si="14"/>
        <v>722</v>
      </c>
      <c r="AO57" s="2" t="s">
        <v>81</v>
      </c>
      <c r="AP57" s="6">
        <f t="shared" si="15"/>
        <v>1111</v>
      </c>
      <c r="AQ57" s="2" t="s">
        <v>82</v>
      </c>
      <c r="AR57" s="6">
        <f t="shared" si="16"/>
        <v>945</v>
      </c>
      <c r="AS57" s="2" t="s">
        <v>83</v>
      </c>
      <c r="AT57" s="6">
        <f t="shared" si="17"/>
        <v>1389</v>
      </c>
      <c r="AU57" s="2" t="s">
        <v>84</v>
      </c>
      <c r="AV57" s="6">
        <f t="shared" si="18"/>
        <v>1667</v>
      </c>
    </row>
    <row r="58" spans="1:48" ht="45" x14ac:dyDescent="0.3">
      <c r="A58" s="2" t="s">
        <v>28</v>
      </c>
      <c r="B58" s="2">
        <v>29</v>
      </c>
      <c r="C58" s="2" t="s">
        <v>16</v>
      </c>
      <c r="D58" s="2">
        <v>18</v>
      </c>
      <c r="E58" s="2" t="s">
        <v>8</v>
      </c>
      <c r="F58" s="2" t="s">
        <v>14</v>
      </c>
      <c r="G58" s="7" t="s">
        <v>203</v>
      </c>
      <c r="H58" s="3">
        <f t="shared" si="19"/>
        <v>4782</v>
      </c>
      <c r="I58" s="5" t="s">
        <v>197</v>
      </c>
      <c r="J58" s="2" t="s">
        <v>67</v>
      </c>
      <c r="K58" s="6">
        <f t="shared" si="2"/>
        <v>132</v>
      </c>
      <c r="L58" s="2" t="s">
        <v>68</v>
      </c>
      <c r="M58" s="6">
        <f t="shared" si="3"/>
        <v>400</v>
      </c>
      <c r="N58" s="2" t="s">
        <v>69</v>
      </c>
      <c r="O58" s="6">
        <f t="shared" si="4"/>
        <v>50</v>
      </c>
      <c r="P58" s="2" t="s">
        <v>70</v>
      </c>
      <c r="Q58" s="6">
        <f t="shared" si="5"/>
        <v>250</v>
      </c>
      <c r="R58" s="2" t="s">
        <v>71</v>
      </c>
      <c r="S58" s="6">
        <f t="shared" si="6"/>
        <v>120</v>
      </c>
      <c r="T58" s="2" t="s">
        <v>72</v>
      </c>
      <c r="U58" s="6">
        <f t="shared" si="7"/>
        <v>65</v>
      </c>
      <c r="V58" s="2" t="s">
        <v>73</v>
      </c>
      <c r="W58" s="6">
        <f t="shared" si="8"/>
        <v>134</v>
      </c>
      <c r="X58" s="2" t="s">
        <v>74</v>
      </c>
      <c r="Y58" s="6">
        <f t="shared" si="9"/>
        <v>6</v>
      </c>
      <c r="Z58" s="5" t="s">
        <v>104</v>
      </c>
      <c r="AA58" s="2">
        <v>295</v>
      </c>
      <c r="AB58" s="2">
        <v>399</v>
      </c>
      <c r="AC58" s="2" t="s">
        <v>204</v>
      </c>
      <c r="AD58" s="6">
        <f t="shared" si="20"/>
        <v>279</v>
      </c>
      <c r="AE58" s="2" t="s">
        <v>77</v>
      </c>
      <c r="AF58" s="6">
        <f t="shared" si="10"/>
        <v>100</v>
      </c>
      <c r="AG58" s="2" t="s">
        <v>130</v>
      </c>
      <c r="AH58" s="6">
        <f t="shared" si="11"/>
        <v>25</v>
      </c>
      <c r="AI58" s="2" t="s">
        <v>120</v>
      </c>
      <c r="AJ58" s="6">
        <f t="shared" si="12"/>
        <v>57</v>
      </c>
      <c r="AK58" s="7" t="s">
        <v>205</v>
      </c>
      <c r="AL58" s="3">
        <f t="shared" si="13"/>
        <v>1618</v>
      </c>
      <c r="AM58" s="2" t="s">
        <v>206</v>
      </c>
      <c r="AN58" s="6">
        <f t="shared" si="14"/>
        <v>622</v>
      </c>
      <c r="AO58" s="2" t="s">
        <v>207</v>
      </c>
      <c r="AP58" s="6">
        <f t="shared" si="15"/>
        <v>956</v>
      </c>
      <c r="AQ58" s="2" t="s">
        <v>208</v>
      </c>
      <c r="AR58" s="6">
        <f t="shared" si="16"/>
        <v>813</v>
      </c>
      <c r="AS58" s="2" t="s">
        <v>209</v>
      </c>
      <c r="AT58" s="6">
        <f t="shared" si="17"/>
        <v>1196</v>
      </c>
      <c r="AU58" s="2" t="s">
        <v>210</v>
      </c>
      <c r="AV58" s="6">
        <f t="shared" si="18"/>
        <v>1435</v>
      </c>
    </row>
    <row r="59" spans="1:48" ht="45" x14ac:dyDescent="0.3">
      <c r="A59" s="2" t="s">
        <v>28</v>
      </c>
      <c r="B59" s="2">
        <v>11</v>
      </c>
      <c r="C59" s="2" t="s">
        <v>16</v>
      </c>
      <c r="D59" s="2">
        <v>17</v>
      </c>
      <c r="E59" s="2" t="s">
        <v>8</v>
      </c>
      <c r="F59" s="2" t="s">
        <v>14</v>
      </c>
      <c r="G59" s="7" t="s">
        <v>203</v>
      </c>
      <c r="H59" s="3">
        <f t="shared" si="19"/>
        <v>4782</v>
      </c>
      <c r="I59" s="5" t="s">
        <v>197</v>
      </c>
      <c r="J59" s="2" t="s">
        <v>67</v>
      </c>
      <c r="K59" s="6">
        <f t="shared" si="2"/>
        <v>132</v>
      </c>
      <c r="L59" s="2" t="s">
        <v>68</v>
      </c>
      <c r="M59" s="6">
        <f t="shared" si="3"/>
        <v>400</v>
      </c>
      <c r="N59" s="2" t="s">
        <v>69</v>
      </c>
      <c r="O59" s="6">
        <f t="shared" si="4"/>
        <v>50</v>
      </c>
      <c r="P59" s="2" t="s">
        <v>70</v>
      </c>
      <c r="Q59" s="6">
        <f t="shared" si="5"/>
        <v>250</v>
      </c>
      <c r="R59" s="2" t="s">
        <v>71</v>
      </c>
      <c r="S59" s="6">
        <f t="shared" si="6"/>
        <v>120</v>
      </c>
      <c r="T59" s="2" t="s">
        <v>72</v>
      </c>
      <c r="U59" s="6">
        <f t="shared" si="7"/>
        <v>65</v>
      </c>
      <c r="V59" s="2" t="s">
        <v>73</v>
      </c>
      <c r="W59" s="6">
        <f t="shared" si="8"/>
        <v>134</v>
      </c>
      <c r="X59" s="2" t="s">
        <v>74</v>
      </c>
      <c r="Y59" s="6">
        <f t="shared" si="9"/>
        <v>6</v>
      </c>
      <c r="Z59" s="5" t="s">
        <v>104</v>
      </c>
      <c r="AA59" s="2">
        <v>295</v>
      </c>
      <c r="AB59" s="2">
        <v>399</v>
      </c>
      <c r="AC59" s="2" t="s">
        <v>204</v>
      </c>
      <c r="AD59" s="6">
        <f t="shared" si="20"/>
        <v>279</v>
      </c>
      <c r="AE59" s="2" t="s">
        <v>77</v>
      </c>
      <c r="AF59" s="6">
        <f t="shared" si="10"/>
        <v>100</v>
      </c>
      <c r="AG59" s="2" t="s">
        <v>130</v>
      </c>
      <c r="AH59" s="6">
        <f t="shared" si="11"/>
        <v>25</v>
      </c>
      <c r="AI59" s="2" t="s">
        <v>120</v>
      </c>
      <c r="AJ59" s="6">
        <f t="shared" si="12"/>
        <v>57</v>
      </c>
      <c r="AK59" s="7" t="s">
        <v>205</v>
      </c>
      <c r="AL59" s="3">
        <f t="shared" si="13"/>
        <v>1618</v>
      </c>
      <c r="AM59" s="2" t="s">
        <v>206</v>
      </c>
      <c r="AN59" s="6">
        <f t="shared" si="14"/>
        <v>622</v>
      </c>
      <c r="AO59" s="2" t="s">
        <v>207</v>
      </c>
      <c r="AP59" s="6">
        <f t="shared" si="15"/>
        <v>956</v>
      </c>
      <c r="AQ59" s="2" t="s">
        <v>208</v>
      </c>
      <c r="AR59" s="6">
        <f t="shared" si="16"/>
        <v>813</v>
      </c>
      <c r="AS59" s="2" t="s">
        <v>209</v>
      </c>
      <c r="AT59" s="6">
        <f t="shared" si="17"/>
        <v>1196</v>
      </c>
      <c r="AU59" s="2" t="s">
        <v>210</v>
      </c>
      <c r="AV59" s="6">
        <f t="shared" si="18"/>
        <v>1435</v>
      </c>
    </row>
    <row r="60" spans="1:48" ht="45" x14ac:dyDescent="0.3">
      <c r="A60" s="2" t="s">
        <v>28</v>
      </c>
      <c r="B60" s="2">
        <v>23</v>
      </c>
      <c r="C60" s="2" t="s">
        <v>16</v>
      </c>
      <c r="D60" s="2">
        <v>18</v>
      </c>
      <c r="E60" s="2" t="s">
        <v>8</v>
      </c>
      <c r="F60" s="2" t="s">
        <v>14</v>
      </c>
      <c r="G60" s="7" t="s">
        <v>203</v>
      </c>
      <c r="H60" s="3">
        <f t="shared" si="19"/>
        <v>4782</v>
      </c>
      <c r="I60" s="5" t="s">
        <v>197</v>
      </c>
      <c r="J60" s="2" t="s">
        <v>67</v>
      </c>
      <c r="K60" s="6">
        <f t="shared" si="2"/>
        <v>132</v>
      </c>
      <c r="L60" s="2" t="s">
        <v>68</v>
      </c>
      <c r="M60" s="6">
        <f t="shared" si="3"/>
        <v>400</v>
      </c>
      <c r="N60" s="2" t="s">
        <v>69</v>
      </c>
      <c r="O60" s="6">
        <f t="shared" si="4"/>
        <v>50</v>
      </c>
      <c r="P60" s="2" t="s">
        <v>70</v>
      </c>
      <c r="Q60" s="6">
        <f t="shared" si="5"/>
        <v>250</v>
      </c>
      <c r="R60" s="2" t="s">
        <v>71</v>
      </c>
      <c r="S60" s="6">
        <f t="shared" si="6"/>
        <v>120</v>
      </c>
      <c r="T60" s="2" t="s">
        <v>72</v>
      </c>
      <c r="U60" s="6">
        <f t="shared" si="7"/>
        <v>65</v>
      </c>
      <c r="V60" s="2" t="s">
        <v>73</v>
      </c>
      <c r="W60" s="6">
        <f t="shared" si="8"/>
        <v>134</v>
      </c>
      <c r="X60" s="2" t="s">
        <v>74</v>
      </c>
      <c r="Y60" s="6">
        <f t="shared" si="9"/>
        <v>6</v>
      </c>
      <c r="Z60" s="5" t="s">
        <v>104</v>
      </c>
      <c r="AA60" s="2">
        <v>295</v>
      </c>
      <c r="AB60" s="2">
        <v>399</v>
      </c>
      <c r="AC60" s="2" t="s">
        <v>204</v>
      </c>
      <c r="AD60" s="6">
        <f t="shared" si="20"/>
        <v>279</v>
      </c>
      <c r="AE60" s="2" t="s">
        <v>77</v>
      </c>
      <c r="AF60" s="6">
        <f t="shared" si="10"/>
        <v>100</v>
      </c>
      <c r="AG60" s="2" t="s">
        <v>130</v>
      </c>
      <c r="AH60" s="6">
        <f t="shared" si="11"/>
        <v>25</v>
      </c>
      <c r="AI60" s="2" t="s">
        <v>120</v>
      </c>
      <c r="AJ60" s="6">
        <f t="shared" si="12"/>
        <v>57</v>
      </c>
      <c r="AK60" s="7" t="s">
        <v>205</v>
      </c>
      <c r="AL60" s="3">
        <f t="shared" si="13"/>
        <v>1618</v>
      </c>
      <c r="AM60" s="2" t="s">
        <v>206</v>
      </c>
      <c r="AN60" s="6">
        <f t="shared" si="14"/>
        <v>622</v>
      </c>
      <c r="AO60" s="2" t="s">
        <v>207</v>
      </c>
      <c r="AP60" s="6">
        <f t="shared" si="15"/>
        <v>956</v>
      </c>
      <c r="AQ60" s="2" t="s">
        <v>208</v>
      </c>
      <c r="AR60" s="6">
        <f t="shared" si="16"/>
        <v>813</v>
      </c>
      <c r="AS60" s="2" t="s">
        <v>209</v>
      </c>
      <c r="AT60" s="6">
        <f t="shared" si="17"/>
        <v>1196</v>
      </c>
      <c r="AU60" s="2" t="s">
        <v>210</v>
      </c>
      <c r="AV60" s="6">
        <f t="shared" si="18"/>
        <v>1435</v>
      </c>
    </row>
    <row r="61" spans="1:48" ht="45" x14ac:dyDescent="0.3">
      <c r="A61" s="2" t="s">
        <v>28</v>
      </c>
      <c r="B61" s="2">
        <v>23</v>
      </c>
      <c r="C61" s="2" t="s">
        <v>16</v>
      </c>
      <c r="D61" s="2">
        <v>18</v>
      </c>
      <c r="E61" s="2" t="s">
        <v>8</v>
      </c>
      <c r="F61" s="2" t="s">
        <v>14</v>
      </c>
      <c r="G61" s="7" t="s">
        <v>203</v>
      </c>
      <c r="H61" s="3">
        <f t="shared" si="19"/>
        <v>4782</v>
      </c>
      <c r="I61" s="5" t="s">
        <v>197</v>
      </c>
      <c r="J61" s="2" t="s">
        <v>67</v>
      </c>
      <c r="K61" s="6">
        <f t="shared" si="2"/>
        <v>132</v>
      </c>
      <c r="L61" s="2" t="s">
        <v>68</v>
      </c>
      <c r="M61" s="6">
        <f t="shared" si="3"/>
        <v>400</v>
      </c>
      <c r="N61" s="2" t="s">
        <v>69</v>
      </c>
      <c r="O61" s="6">
        <f t="shared" si="4"/>
        <v>50</v>
      </c>
      <c r="P61" s="2" t="s">
        <v>70</v>
      </c>
      <c r="Q61" s="6">
        <f t="shared" si="5"/>
        <v>250</v>
      </c>
      <c r="R61" s="2" t="s">
        <v>71</v>
      </c>
      <c r="S61" s="6">
        <f t="shared" si="6"/>
        <v>120</v>
      </c>
      <c r="T61" s="2" t="s">
        <v>72</v>
      </c>
      <c r="U61" s="6">
        <f t="shared" si="7"/>
        <v>65</v>
      </c>
      <c r="V61" s="2" t="s">
        <v>73</v>
      </c>
      <c r="W61" s="6">
        <f t="shared" si="8"/>
        <v>134</v>
      </c>
      <c r="X61" s="2" t="s">
        <v>74</v>
      </c>
      <c r="Y61" s="6">
        <f t="shared" si="9"/>
        <v>6</v>
      </c>
      <c r="Z61" s="5" t="s">
        <v>104</v>
      </c>
      <c r="AA61" s="2">
        <v>295</v>
      </c>
      <c r="AB61" s="2">
        <v>399</v>
      </c>
      <c r="AC61" s="2" t="s">
        <v>204</v>
      </c>
      <c r="AD61" s="6">
        <f t="shared" si="20"/>
        <v>279</v>
      </c>
      <c r="AE61" s="2" t="s">
        <v>77</v>
      </c>
      <c r="AF61" s="6">
        <f t="shared" si="10"/>
        <v>100</v>
      </c>
      <c r="AG61" s="2" t="s">
        <v>130</v>
      </c>
      <c r="AH61" s="6">
        <f t="shared" si="11"/>
        <v>25</v>
      </c>
      <c r="AI61" s="2" t="s">
        <v>120</v>
      </c>
      <c r="AJ61" s="6">
        <f t="shared" si="12"/>
        <v>57</v>
      </c>
      <c r="AK61" s="7" t="s">
        <v>205</v>
      </c>
      <c r="AL61" s="3">
        <f t="shared" si="13"/>
        <v>1618</v>
      </c>
      <c r="AM61" s="2" t="s">
        <v>206</v>
      </c>
      <c r="AN61" s="6">
        <f t="shared" si="14"/>
        <v>622</v>
      </c>
      <c r="AO61" s="2" t="s">
        <v>207</v>
      </c>
      <c r="AP61" s="6">
        <f t="shared" si="15"/>
        <v>956</v>
      </c>
      <c r="AQ61" s="2" t="s">
        <v>208</v>
      </c>
      <c r="AR61" s="6">
        <f t="shared" si="16"/>
        <v>813</v>
      </c>
      <c r="AS61" s="2" t="s">
        <v>209</v>
      </c>
      <c r="AT61" s="6">
        <f t="shared" si="17"/>
        <v>1196</v>
      </c>
      <c r="AU61" s="2" t="s">
        <v>210</v>
      </c>
      <c r="AV61" s="6">
        <f t="shared" si="18"/>
        <v>1435</v>
      </c>
    </row>
    <row r="62" spans="1:48" ht="45" x14ac:dyDescent="0.3">
      <c r="A62" s="2" t="s">
        <v>28</v>
      </c>
      <c r="B62" s="2">
        <v>29</v>
      </c>
      <c r="C62" s="2" t="s">
        <v>16</v>
      </c>
      <c r="D62" s="2">
        <v>18</v>
      </c>
      <c r="E62" s="2" t="s">
        <v>8</v>
      </c>
      <c r="F62" s="2" t="s">
        <v>14</v>
      </c>
      <c r="G62" s="7" t="s">
        <v>203</v>
      </c>
      <c r="H62" s="3">
        <f t="shared" si="19"/>
        <v>4782</v>
      </c>
      <c r="I62" s="5" t="s">
        <v>197</v>
      </c>
      <c r="J62" s="2" t="s">
        <v>67</v>
      </c>
      <c r="K62" s="6">
        <f t="shared" si="2"/>
        <v>132</v>
      </c>
      <c r="L62" s="2" t="s">
        <v>68</v>
      </c>
      <c r="M62" s="6">
        <f t="shared" si="3"/>
        <v>400</v>
      </c>
      <c r="N62" s="2" t="s">
        <v>69</v>
      </c>
      <c r="O62" s="6">
        <f t="shared" si="4"/>
        <v>50</v>
      </c>
      <c r="P62" s="2" t="s">
        <v>70</v>
      </c>
      <c r="Q62" s="6">
        <f t="shared" si="5"/>
        <v>250</v>
      </c>
      <c r="R62" s="2" t="s">
        <v>71</v>
      </c>
      <c r="S62" s="6">
        <f t="shared" si="6"/>
        <v>120</v>
      </c>
      <c r="T62" s="2" t="s">
        <v>72</v>
      </c>
      <c r="U62" s="6">
        <f t="shared" si="7"/>
        <v>65</v>
      </c>
      <c r="V62" s="2" t="s">
        <v>73</v>
      </c>
      <c r="W62" s="6">
        <f t="shared" si="8"/>
        <v>134</v>
      </c>
      <c r="X62" s="2" t="s">
        <v>74</v>
      </c>
      <c r="Y62" s="6">
        <f t="shared" si="9"/>
        <v>6</v>
      </c>
      <c r="Z62" s="5" t="s">
        <v>104</v>
      </c>
      <c r="AA62" s="2">
        <v>295</v>
      </c>
      <c r="AB62" s="2">
        <v>399</v>
      </c>
      <c r="AC62" s="2" t="s">
        <v>204</v>
      </c>
      <c r="AD62" s="6">
        <f t="shared" si="20"/>
        <v>279</v>
      </c>
      <c r="AE62" s="2" t="s">
        <v>77</v>
      </c>
      <c r="AF62" s="6">
        <f t="shared" si="10"/>
        <v>100</v>
      </c>
      <c r="AG62" s="2" t="s">
        <v>130</v>
      </c>
      <c r="AH62" s="6">
        <f t="shared" si="11"/>
        <v>25</v>
      </c>
      <c r="AI62" s="2" t="s">
        <v>120</v>
      </c>
      <c r="AJ62" s="6">
        <f t="shared" si="12"/>
        <v>57</v>
      </c>
      <c r="AK62" s="7" t="s">
        <v>205</v>
      </c>
      <c r="AL62" s="3">
        <f t="shared" si="13"/>
        <v>1618</v>
      </c>
      <c r="AM62" s="2" t="s">
        <v>206</v>
      </c>
      <c r="AN62" s="6">
        <f t="shared" si="14"/>
        <v>622</v>
      </c>
      <c r="AO62" s="2" t="s">
        <v>207</v>
      </c>
      <c r="AP62" s="6">
        <f t="shared" si="15"/>
        <v>956</v>
      </c>
      <c r="AQ62" s="2" t="s">
        <v>208</v>
      </c>
      <c r="AR62" s="6">
        <f t="shared" si="16"/>
        <v>813</v>
      </c>
      <c r="AS62" s="2" t="s">
        <v>209</v>
      </c>
      <c r="AT62" s="6">
        <f t="shared" si="17"/>
        <v>1196</v>
      </c>
      <c r="AU62" s="2" t="s">
        <v>210</v>
      </c>
      <c r="AV62" s="6">
        <f t="shared" si="18"/>
        <v>1435</v>
      </c>
    </row>
    <row r="63" spans="1:48" ht="30" x14ac:dyDescent="0.3">
      <c r="A63" s="2" t="s">
        <v>29</v>
      </c>
      <c r="B63" s="2">
        <v>12</v>
      </c>
      <c r="C63" s="2" t="s">
        <v>7</v>
      </c>
      <c r="D63" s="2">
        <v>12.9</v>
      </c>
      <c r="E63" s="2" t="s">
        <v>8</v>
      </c>
      <c r="F63" s="2" t="s">
        <v>14</v>
      </c>
      <c r="G63" s="7" t="s">
        <v>211</v>
      </c>
      <c r="H63" s="3">
        <f t="shared" si="19"/>
        <v>5287</v>
      </c>
      <c r="I63" s="5" t="s">
        <v>197</v>
      </c>
      <c r="J63" s="2" t="s">
        <v>67</v>
      </c>
      <c r="K63" s="6">
        <f t="shared" si="2"/>
        <v>132</v>
      </c>
      <c r="L63" s="2" t="s">
        <v>68</v>
      </c>
      <c r="M63" s="6">
        <f t="shared" si="3"/>
        <v>400</v>
      </c>
      <c r="N63" s="2" t="s">
        <v>69</v>
      </c>
      <c r="O63" s="6">
        <f t="shared" si="4"/>
        <v>50</v>
      </c>
      <c r="P63" s="2" t="s">
        <v>70</v>
      </c>
      <c r="Q63" s="6">
        <f t="shared" si="5"/>
        <v>250</v>
      </c>
      <c r="R63" s="2" t="s">
        <v>73</v>
      </c>
      <c r="S63" s="6">
        <f t="shared" si="6"/>
        <v>134</v>
      </c>
      <c r="T63" s="8"/>
      <c r="U63" s="6">
        <f t="shared" si="7"/>
        <v>0</v>
      </c>
      <c r="V63" s="2" t="s">
        <v>73</v>
      </c>
      <c r="W63" s="6">
        <f t="shared" si="8"/>
        <v>134</v>
      </c>
      <c r="X63" s="2" t="s">
        <v>74</v>
      </c>
      <c r="Y63" s="6">
        <f t="shared" si="9"/>
        <v>6</v>
      </c>
      <c r="Z63" s="5" t="s">
        <v>104</v>
      </c>
      <c r="AA63" s="2">
        <v>295</v>
      </c>
      <c r="AB63" s="2">
        <v>343</v>
      </c>
      <c r="AC63" s="2" t="s">
        <v>76</v>
      </c>
      <c r="AD63" s="6">
        <f t="shared" si="20"/>
        <v>240</v>
      </c>
      <c r="AE63" s="2" t="s">
        <v>77</v>
      </c>
      <c r="AF63" s="6">
        <f t="shared" si="10"/>
        <v>100</v>
      </c>
      <c r="AG63" s="2" t="s">
        <v>146</v>
      </c>
      <c r="AH63" s="6">
        <f t="shared" si="11"/>
        <v>26</v>
      </c>
      <c r="AI63" s="2" t="s">
        <v>122</v>
      </c>
      <c r="AJ63" s="6">
        <f t="shared" si="12"/>
        <v>58</v>
      </c>
      <c r="AK63" s="7" t="s">
        <v>212</v>
      </c>
      <c r="AL63" s="3">
        <f t="shared" si="13"/>
        <v>1530</v>
      </c>
      <c r="AM63" s="2" t="s">
        <v>213</v>
      </c>
      <c r="AN63" s="6">
        <f t="shared" si="14"/>
        <v>687</v>
      </c>
      <c r="AO63" s="2" t="s">
        <v>214</v>
      </c>
      <c r="AP63" s="6">
        <f t="shared" si="15"/>
        <v>1057</v>
      </c>
      <c r="AQ63" s="2" t="s">
        <v>215</v>
      </c>
      <c r="AR63" s="6">
        <f t="shared" si="16"/>
        <v>899</v>
      </c>
      <c r="AS63" s="2" t="s">
        <v>216</v>
      </c>
      <c r="AT63" s="6">
        <f t="shared" si="17"/>
        <v>1322</v>
      </c>
      <c r="AU63" s="2" t="s">
        <v>217</v>
      </c>
      <c r="AV63" s="6">
        <f t="shared" si="18"/>
        <v>1586</v>
      </c>
    </row>
    <row r="64" spans="1:48" ht="30" x14ac:dyDescent="0.3">
      <c r="A64" s="2" t="s">
        <v>29</v>
      </c>
      <c r="B64" s="2">
        <v>24</v>
      </c>
      <c r="C64" s="2" t="s">
        <v>7</v>
      </c>
      <c r="D64" s="2">
        <v>18</v>
      </c>
      <c r="E64" s="2" t="s">
        <v>8</v>
      </c>
      <c r="F64" s="2" t="s">
        <v>14</v>
      </c>
      <c r="G64" s="9" t="s">
        <v>211</v>
      </c>
      <c r="H64" s="3">
        <f t="shared" si="19"/>
        <v>5287</v>
      </c>
      <c r="I64" s="5" t="s">
        <v>197</v>
      </c>
      <c r="J64" s="2" t="s">
        <v>67</v>
      </c>
      <c r="K64" s="6">
        <f t="shared" si="2"/>
        <v>132</v>
      </c>
      <c r="L64" s="2" t="s">
        <v>68</v>
      </c>
      <c r="M64" s="6">
        <f t="shared" si="3"/>
        <v>400</v>
      </c>
      <c r="N64" s="2" t="s">
        <v>69</v>
      </c>
      <c r="O64" s="6">
        <f t="shared" si="4"/>
        <v>50</v>
      </c>
      <c r="P64" s="2" t="s">
        <v>70</v>
      </c>
      <c r="Q64" s="6">
        <f t="shared" si="5"/>
        <v>250</v>
      </c>
      <c r="R64" s="2" t="s">
        <v>73</v>
      </c>
      <c r="S64" s="6">
        <f t="shared" si="6"/>
        <v>134</v>
      </c>
      <c r="T64" s="8"/>
      <c r="U64" s="6">
        <f t="shared" si="7"/>
        <v>0</v>
      </c>
      <c r="V64" s="2" t="s">
        <v>73</v>
      </c>
      <c r="W64" s="6">
        <f t="shared" si="8"/>
        <v>134</v>
      </c>
      <c r="X64" s="2" t="s">
        <v>74</v>
      </c>
      <c r="Y64" s="6">
        <f t="shared" si="9"/>
        <v>6</v>
      </c>
      <c r="Z64" s="5" t="s">
        <v>104</v>
      </c>
      <c r="AA64" s="2">
        <v>295</v>
      </c>
      <c r="AB64" s="2">
        <v>343</v>
      </c>
      <c r="AC64" s="2" t="s">
        <v>76</v>
      </c>
      <c r="AD64" s="6">
        <f t="shared" si="20"/>
        <v>240</v>
      </c>
      <c r="AE64" s="2" t="s">
        <v>77</v>
      </c>
      <c r="AF64" s="6">
        <f t="shared" si="10"/>
        <v>100</v>
      </c>
      <c r="AG64" s="2" t="s">
        <v>146</v>
      </c>
      <c r="AH64" s="6">
        <f t="shared" si="11"/>
        <v>26</v>
      </c>
      <c r="AI64" s="2" t="s">
        <v>122</v>
      </c>
      <c r="AJ64" s="6">
        <f t="shared" si="12"/>
        <v>58</v>
      </c>
      <c r="AK64" s="7" t="s">
        <v>212</v>
      </c>
      <c r="AL64" s="3">
        <f t="shared" si="13"/>
        <v>1530</v>
      </c>
      <c r="AM64" s="2" t="s">
        <v>213</v>
      </c>
      <c r="AN64" s="6">
        <f t="shared" si="14"/>
        <v>687</v>
      </c>
      <c r="AO64" s="2" t="s">
        <v>214</v>
      </c>
      <c r="AP64" s="6">
        <f t="shared" si="15"/>
        <v>1057</v>
      </c>
      <c r="AQ64" s="2" t="s">
        <v>215</v>
      </c>
      <c r="AR64" s="6">
        <f t="shared" si="16"/>
        <v>899</v>
      </c>
      <c r="AS64" s="2" t="s">
        <v>216</v>
      </c>
      <c r="AT64" s="6">
        <f t="shared" si="17"/>
        <v>1322</v>
      </c>
      <c r="AU64" s="2" t="s">
        <v>217</v>
      </c>
      <c r="AV64" s="6">
        <f t="shared" si="18"/>
        <v>1586</v>
      </c>
    </row>
    <row r="65" spans="1:48" ht="30" x14ac:dyDescent="0.3">
      <c r="A65" s="2" t="s">
        <v>29</v>
      </c>
      <c r="B65" s="2">
        <v>25</v>
      </c>
      <c r="C65" s="2" t="s">
        <v>7</v>
      </c>
      <c r="D65" s="2">
        <v>18</v>
      </c>
      <c r="E65" s="2" t="s">
        <v>8</v>
      </c>
      <c r="F65" s="2" t="s">
        <v>14</v>
      </c>
      <c r="G65" s="9" t="s">
        <v>211</v>
      </c>
      <c r="H65" s="3">
        <f t="shared" si="19"/>
        <v>5287</v>
      </c>
      <c r="I65" s="5" t="s">
        <v>197</v>
      </c>
      <c r="J65" s="2" t="s">
        <v>67</v>
      </c>
      <c r="K65" s="6">
        <f t="shared" si="2"/>
        <v>132</v>
      </c>
      <c r="L65" s="2" t="s">
        <v>68</v>
      </c>
      <c r="M65" s="6">
        <f t="shared" si="3"/>
        <v>400</v>
      </c>
      <c r="N65" s="2" t="s">
        <v>69</v>
      </c>
      <c r="O65" s="6">
        <f t="shared" si="4"/>
        <v>50</v>
      </c>
      <c r="P65" s="2" t="s">
        <v>70</v>
      </c>
      <c r="Q65" s="6">
        <f t="shared" si="5"/>
        <v>250</v>
      </c>
      <c r="R65" s="2" t="s">
        <v>73</v>
      </c>
      <c r="S65" s="6">
        <f t="shared" si="6"/>
        <v>134</v>
      </c>
      <c r="T65" s="8"/>
      <c r="U65" s="6">
        <f t="shared" si="7"/>
        <v>0</v>
      </c>
      <c r="V65" s="2" t="s">
        <v>73</v>
      </c>
      <c r="W65" s="6">
        <f t="shared" si="8"/>
        <v>134</v>
      </c>
      <c r="X65" s="2" t="s">
        <v>74</v>
      </c>
      <c r="Y65" s="6">
        <f t="shared" si="9"/>
        <v>6</v>
      </c>
      <c r="Z65" s="5" t="s">
        <v>104</v>
      </c>
      <c r="AA65" s="2">
        <v>295</v>
      </c>
      <c r="AB65" s="2">
        <v>343</v>
      </c>
      <c r="AC65" s="2" t="s">
        <v>76</v>
      </c>
      <c r="AD65" s="6">
        <f t="shared" si="20"/>
        <v>240</v>
      </c>
      <c r="AE65" s="2" t="s">
        <v>77</v>
      </c>
      <c r="AF65" s="6">
        <f t="shared" si="10"/>
        <v>100</v>
      </c>
      <c r="AG65" s="2" t="s">
        <v>146</v>
      </c>
      <c r="AH65" s="6">
        <f t="shared" si="11"/>
        <v>26</v>
      </c>
      <c r="AI65" s="2" t="s">
        <v>122</v>
      </c>
      <c r="AJ65" s="6">
        <f t="shared" si="12"/>
        <v>58</v>
      </c>
      <c r="AK65" s="7" t="s">
        <v>212</v>
      </c>
      <c r="AL65" s="3">
        <f t="shared" si="13"/>
        <v>1530</v>
      </c>
      <c r="AM65" s="2" t="s">
        <v>213</v>
      </c>
      <c r="AN65" s="6">
        <f t="shared" si="14"/>
        <v>687</v>
      </c>
      <c r="AO65" s="2" t="s">
        <v>214</v>
      </c>
      <c r="AP65" s="6">
        <f t="shared" si="15"/>
        <v>1057</v>
      </c>
      <c r="AQ65" s="2" t="s">
        <v>215</v>
      </c>
      <c r="AR65" s="6">
        <f t="shared" si="16"/>
        <v>899</v>
      </c>
      <c r="AS65" s="2" t="s">
        <v>216</v>
      </c>
      <c r="AT65" s="6">
        <f t="shared" si="17"/>
        <v>1322</v>
      </c>
      <c r="AU65" s="2" t="s">
        <v>217</v>
      </c>
      <c r="AV65" s="6">
        <f t="shared" si="18"/>
        <v>1586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872FA-B119-41CB-AFF5-FFFAD31C9509}">
  <sheetPr>
    <tabColor theme="9" tint="0.59999389629810485"/>
  </sheetPr>
  <dimension ref="A3:CJ66"/>
  <sheetViews>
    <sheetView showGridLines="0" zoomScale="84" workbookViewId="0">
      <selection activeCell="G4" sqref="G4"/>
    </sheetView>
  </sheetViews>
  <sheetFormatPr defaultRowHeight="14.4" x14ac:dyDescent="0.3"/>
  <cols>
    <col min="2" max="2" width="12.44140625" bestFit="1" customWidth="1"/>
    <col min="3" max="3" width="12.77734375" bestFit="1" customWidth="1"/>
    <col min="4" max="4" width="9.6640625" bestFit="1" customWidth="1"/>
    <col min="8" max="8" width="12.88671875" bestFit="1" customWidth="1"/>
    <col min="9" max="9" width="13.77734375" bestFit="1" customWidth="1"/>
    <col min="10" max="10" width="9.6640625" bestFit="1" customWidth="1"/>
    <col min="13" max="13" width="17" bestFit="1" customWidth="1"/>
    <col min="14" max="14" width="21.6640625" bestFit="1" customWidth="1"/>
    <col min="15" max="15" width="20.6640625" bestFit="1" customWidth="1"/>
    <col min="18" max="18" width="9.109375" bestFit="1" customWidth="1"/>
    <col min="19" max="19" width="10.5546875" bestFit="1" customWidth="1"/>
    <col min="20" max="20" width="12.6640625" bestFit="1" customWidth="1"/>
    <col min="21" max="21" width="14.21875" bestFit="1" customWidth="1"/>
    <col min="27" max="27" width="14.77734375" bestFit="1" customWidth="1"/>
    <col min="28" max="28" width="16.88671875" bestFit="1" customWidth="1"/>
    <col min="29" max="29" width="11.109375" bestFit="1" customWidth="1"/>
    <col min="30" max="30" width="13.5546875" bestFit="1" customWidth="1"/>
    <col min="31" max="31" width="10.88671875" bestFit="1" customWidth="1"/>
    <col min="33" max="33" width="12.88671875" bestFit="1" customWidth="1"/>
    <col min="34" max="34" width="11" bestFit="1" customWidth="1"/>
    <col min="35" max="35" width="20.109375" bestFit="1" customWidth="1"/>
    <col min="36" max="36" width="19.44140625" bestFit="1" customWidth="1"/>
    <col min="37" max="37" width="10.77734375" bestFit="1" customWidth="1"/>
    <col min="38" max="38" width="12.88671875" bestFit="1" customWidth="1"/>
    <col min="39" max="39" width="15.6640625" bestFit="1" customWidth="1"/>
    <col min="40" max="40" width="11.6640625" bestFit="1" customWidth="1"/>
    <col min="41" max="41" width="19.33203125" bestFit="1" customWidth="1"/>
    <col min="42" max="42" width="16.77734375" bestFit="1" customWidth="1"/>
    <col min="43" max="43" width="14.77734375" bestFit="1" customWidth="1"/>
    <col min="44" max="44" width="21.88671875" bestFit="1" customWidth="1"/>
    <col min="45" max="46" width="22.21875" bestFit="1" customWidth="1"/>
    <col min="48" max="48" width="12.88671875" bestFit="1" customWidth="1"/>
    <col min="49" max="49" width="13.77734375" bestFit="1" customWidth="1"/>
    <col min="52" max="52" width="16.109375" bestFit="1" customWidth="1"/>
    <col min="53" max="53" width="13.77734375" bestFit="1" customWidth="1"/>
    <col min="55" max="55" width="12.88671875" bestFit="1" customWidth="1"/>
    <col min="56" max="56" width="14.21875" bestFit="1" customWidth="1"/>
    <col min="57" max="57" width="12.6640625" bestFit="1" customWidth="1"/>
    <col min="58" max="58" width="8.44140625" bestFit="1" customWidth="1"/>
    <col min="59" max="59" width="3.88671875" bestFit="1" customWidth="1"/>
    <col min="60" max="60" width="4.33203125" bestFit="1" customWidth="1"/>
    <col min="61" max="61" width="5" bestFit="1" customWidth="1"/>
    <col min="62" max="63" width="12.88671875" bestFit="1" customWidth="1"/>
    <col min="64" max="64" width="11" bestFit="1" customWidth="1"/>
    <col min="65" max="65" width="20.109375" bestFit="1" customWidth="1"/>
    <col min="66" max="66" width="20.109375" customWidth="1"/>
    <col min="67" max="67" width="6.88671875" customWidth="1"/>
    <col min="68" max="68" width="5.6640625" customWidth="1"/>
    <col min="69" max="70" width="5.88671875" customWidth="1"/>
    <col min="71" max="71" width="7.77734375" bestFit="1" customWidth="1"/>
    <col min="72" max="72" width="12.6640625" bestFit="1" customWidth="1"/>
    <col min="73" max="74" width="4.109375" bestFit="1" customWidth="1"/>
    <col min="75" max="75" width="12.88671875" bestFit="1" customWidth="1"/>
    <col min="76" max="76" width="23.77734375" bestFit="1" customWidth="1"/>
    <col min="77" max="77" width="32.33203125" bestFit="1" customWidth="1"/>
    <col min="78" max="78" width="15.5546875" bestFit="1" customWidth="1"/>
    <col min="79" max="79" width="17.6640625" bestFit="1" customWidth="1"/>
    <col min="80" max="80" width="18.21875" bestFit="1" customWidth="1"/>
    <col min="81" max="81" width="4" bestFit="1" customWidth="1"/>
    <col min="82" max="83" width="4.21875" bestFit="1" customWidth="1"/>
    <col min="84" max="84" width="18.88671875" bestFit="1" customWidth="1"/>
    <col min="85" max="85" width="14.6640625" bestFit="1" customWidth="1"/>
    <col min="86" max="86" width="18.6640625" bestFit="1" customWidth="1"/>
    <col min="90" max="90" width="14.6640625" bestFit="1" customWidth="1"/>
    <col min="91" max="91" width="18.6640625" bestFit="1" customWidth="1"/>
    <col min="92" max="92" width="3" bestFit="1" customWidth="1"/>
    <col min="93" max="93" width="2" bestFit="1" customWidth="1"/>
  </cols>
  <sheetData>
    <row r="3" spans="1:88" ht="16.2" thickBot="1" x14ac:dyDescent="0.35">
      <c r="B3" s="38" t="s">
        <v>226</v>
      </c>
      <c r="C3" s="38"/>
      <c r="D3" s="38"/>
      <c r="F3" s="10"/>
      <c r="H3" s="38" t="s">
        <v>238</v>
      </c>
      <c r="I3" s="38"/>
      <c r="J3" s="38"/>
      <c r="K3" s="10"/>
      <c r="M3" s="38" t="s">
        <v>4</v>
      </c>
      <c r="N3" s="38"/>
      <c r="O3" s="38"/>
      <c r="P3" s="10"/>
      <c r="S3" s="38" t="s">
        <v>243</v>
      </c>
      <c r="T3" s="38"/>
      <c r="U3" s="38"/>
      <c r="Y3" s="10"/>
      <c r="AB3" s="38" t="s">
        <v>230</v>
      </c>
      <c r="AC3" s="38"/>
      <c r="AD3" s="38"/>
      <c r="AE3" s="10"/>
      <c r="AG3" s="38" t="s">
        <v>253</v>
      </c>
      <c r="AH3" s="38"/>
      <c r="AI3" s="38"/>
      <c r="AJ3" s="10"/>
      <c r="AM3" s="38" t="s">
        <v>260</v>
      </c>
      <c r="AN3" s="38"/>
      <c r="AO3" s="38"/>
      <c r="AP3" s="29">
        <f>SUM(AO11:AR11)</f>
        <v>1704</v>
      </c>
      <c r="AQ3" s="42" t="s">
        <v>285</v>
      </c>
      <c r="CE3" s="37"/>
    </row>
    <row r="4" spans="1:88" ht="15.6" thickTop="1" thickBot="1" x14ac:dyDescent="0.35">
      <c r="F4" s="10"/>
      <c r="K4" s="10"/>
      <c r="P4" s="10"/>
      <c r="Y4" s="10"/>
      <c r="AE4" s="10"/>
      <c r="AJ4" s="10"/>
      <c r="AS4" s="37"/>
      <c r="AU4" s="41" t="s">
        <v>262</v>
      </c>
      <c r="AV4" s="41"/>
      <c r="AW4" s="41"/>
      <c r="AX4" s="37"/>
      <c r="AY4" s="48" t="s">
        <v>284</v>
      </c>
      <c r="AZ4" s="48"/>
      <c r="BA4" s="48"/>
      <c r="BC4" s="42"/>
      <c r="BG4" s="37"/>
      <c r="CE4" s="37"/>
    </row>
    <row r="5" spans="1:88" ht="16.2" customHeight="1" thickTop="1" thickBot="1" x14ac:dyDescent="0.35">
      <c r="B5" s="26" t="s">
        <v>218</v>
      </c>
      <c r="C5" s="26" t="s">
        <v>227</v>
      </c>
      <c r="D5" s="26" t="s">
        <v>228</v>
      </c>
      <c r="F5" s="10"/>
      <c r="H5" s="26" t="s">
        <v>239</v>
      </c>
      <c r="K5" s="10"/>
      <c r="M5" s="26" t="s">
        <v>240</v>
      </c>
      <c r="O5" s="26" t="s">
        <v>241</v>
      </c>
      <c r="P5" s="10"/>
      <c r="R5" s="26" t="s">
        <v>219</v>
      </c>
      <c r="S5" s="26" t="s">
        <v>220</v>
      </c>
      <c r="T5" s="34" t="s">
        <v>221</v>
      </c>
      <c r="U5" s="26" t="s">
        <v>222</v>
      </c>
      <c r="Y5" s="10"/>
      <c r="AA5" s="26" t="s">
        <v>41</v>
      </c>
      <c r="AB5" s="26" t="s">
        <v>223</v>
      </c>
      <c r="AC5" s="26" t="s">
        <v>225</v>
      </c>
      <c r="AD5" s="34" t="s">
        <v>252</v>
      </c>
      <c r="AE5" s="10"/>
      <c r="AJ5" s="10"/>
      <c r="AM5" s="34" t="s">
        <v>43</v>
      </c>
      <c r="AN5" s="34" t="s">
        <v>44</v>
      </c>
      <c r="AO5" s="34" t="s">
        <v>46</v>
      </c>
      <c r="AP5" s="34" t="s">
        <v>48</v>
      </c>
      <c r="AQ5" s="34" t="s">
        <v>50</v>
      </c>
      <c r="AR5" s="34" t="s">
        <v>261</v>
      </c>
      <c r="AS5" s="37"/>
      <c r="AX5" s="37"/>
      <c r="BA5" s="37"/>
      <c r="BC5" s="41" t="s">
        <v>2</v>
      </c>
      <c r="BD5" s="41"/>
      <c r="BE5" s="41"/>
      <c r="BG5" s="37"/>
      <c r="BL5" s="41" t="s">
        <v>273</v>
      </c>
      <c r="BM5" s="41"/>
      <c r="BN5" s="41"/>
      <c r="BT5" s="37"/>
      <c r="BY5" s="41" t="s">
        <v>232</v>
      </c>
      <c r="BZ5" s="41"/>
      <c r="CA5" s="41"/>
      <c r="CE5" s="37"/>
      <c r="CH5" s="41" t="s">
        <v>5</v>
      </c>
      <c r="CI5" s="41"/>
      <c r="CJ5" s="41"/>
    </row>
    <row r="6" spans="1:88" ht="28.2" customHeight="1" thickTop="1" x14ac:dyDescent="0.3">
      <c r="A6" s="25"/>
      <c r="B6" s="29">
        <f>GETPIVOTDATA("Sum of Rate",$B$9)</f>
        <v>359038</v>
      </c>
      <c r="C6" s="29">
        <f>GETPIVOTDATA("Sum of Total Expenses",$B$9)</f>
        <v>93323</v>
      </c>
      <c r="D6" s="30">
        <f>GETPIVOTDATA("Sum of Balance",$B$9)</f>
        <v>265715</v>
      </c>
      <c r="F6" s="10"/>
      <c r="H6" s="29">
        <f>GETPIVOTDATA("Balance",$H$9)</f>
        <v>265715</v>
      </c>
      <c r="K6" s="10"/>
      <c r="M6" s="33">
        <f>IFERROR(GETPIVOTDATA("Customer Type",$M$9,"Customer Type","New Customer"),0)</f>
        <v>11</v>
      </c>
      <c r="N6" s="16"/>
      <c r="O6" s="33">
        <f>IFERROR(GETPIVOTDATA("Customer Type",$M$9,"Customer Type","Retaining Customer"),0)</f>
        <v>50</v>
      </c>
      <c r="P6" s="10"/>
      <c r="R6" s="29">
        <f>GETPIVOTDATA("Sum of Insurance",$R$9)</f>
        <v>7920</v>
      </c>
      <c r="S6" s="29">
        <f>GETPIVOTDATA("Sum of Fuel",$R$9)</f>
        <v>23720</v>
      </c>
      <c r="T6" s="29">
        <f>GETPIVOTDATA("Sum of Diesel Exhaust Fluid",$R$9)</f>
        <v>3164</v>
      </c>
      <c r="U6" s="29">
        <f>GETPIVOTDATA("Sum of Advance",$R$9)</f>
        <v>15250</v>
      </c>
      <c r="W6" s="23"/>
      <c r="X6" s="23"/>
      <c r="Y6" s="10"/>
      <c r="AA6" s="29">
        <f>GETPIVOTDATA("Sum of Fundings",$AA$9)</f>
        <v>1196</v>
      </c>
      <c r="AB6" s="29">
        <f>GETPIVOTDATA("Sum of Warehouse",$AA$9)</f>
        <v>7785</v>
      </c>
      <c r="AC6" s="29">
        <f>GETPIVOTDATA("Sum of Tolls",$AA$9)</f>
        <v>7372</v>
      </c>
      <c r="AD6" s="29">
        <f>GETPIVOTDATA("Sum of Repairs",$AA$9)</f>
        <v>2215</v>
      </c>
      <c r="AE6" s="10"/>
      <c r="AJ6" s="10"/>
      <c r="AM6" s="33">
        <f>GETPIVOTDATA("Sum of Odometer",$AL$9)</f>
        <v>18147</v>
      </c>
      <c r="AN6" s="33">
        <f>GETPIVOTDATA("Sum of Miles",$AL$9)</f>
        <v>21353</v>
      </c>
      <c r="AO6" s="29">
        <f>GETPIVOTDATA("Sum of Rate Per Miles",$AL$9)</f>
        <v>14944</v>
      </c>
      <c r="AP6" s="29">
        <f>GETPIVOTDATA("Sum of Extra Stops",$AL$9)</f>
        <v>6100</v>
      </c>
      <c r="AQ6" s="29">
        <f>GETPIVOTDATA("Sum of Extra Pay",$AL$9)</f>
        <v>1546</v>
      </c>
      <c r="AR6" s="29">
        <f>GETPIVOTDATA("Sum of Costs Driver Paid",$AL$9)</f>
        <v>3498</v>
      </c>
      <c r="AS6" s="37"/>
      <c r="AX6" s="37"/>
      <c r="BA6" s="37"/>
      <c r="BC6" s="44" t="s">
        <v>16</v>
      </c>
      <c r="BD6" s="44" t="s">
        <v>12</v>
      </c>
      <c r="BE6" s="44" t="s">
        <v>7</v>
      </c>
      <c r="BF6" s="45" t="s">
        <v>265</v>
      </c>
      <c r="BG6" s="37"/>
      <c r="BT6" s="37"/>
      <c r="CE6" s="37"/>
    </row>
    <row r="7" spans="1:88" ht="15.6" x14ac:dyDescent="0.3">
      <c r="B7" s="28">
        <f>B6/SUM(B6:C6)</f>
        <v>0.79369795362553364</v>
      </c>
      <c r="C7" s="28">
        <f>C6/SUM(B6:C6)</f>
        <v>0.20630204637446642</v>
      </c>
      <c r="F7" s="10"/>
      <c r="K7" s="10"/>
      <c r="P7" s="10"/>
      <c r="W7" s="23"/>
      <c r="X7" s="23"/>
      <c r="Y7" s="10"/>
      <c r="AE7" s="10"/>
      <c r="AJ7" s="10"/>
      <c r="AS7" s="37"/>
      <c r="AX7" s="37"/>
      <c r="BA7" s="37"/>
      <c r="BB7" t="s">
        <v>267</v>
      </c>
      <c r="BC7" s="43">
        <f>IFERROR(GETPIVOTDATA("Tonnage",$BC$9,"Load","Iron"),0)</f>
        <v>235.8</v>
      </c>
      <c r="BD7" s="43">
        <f>IFERROR(GETPIVOTDATA("Sum of Tonnage",$BC$9,"Load","Sand"),0)</f>
        <v>283.89999999999998</v>
      </c>
      <c r="BE7" s="43">
        <f>IFERROR(GETPIVOTDATA("Sum of Tonnage",$BC$9,"Load","Wood"),0)</f>
        <v>528.09999999999991</v>
      </c>
      <c r="BF7" s="43">
        <f>SUM(BC7:BE7)</f>
        <v>1047.8</v>
      </c>
      <c r="BG7" s="37"/>
      <c r="BT7" s="37"/>
      <c r="CE7" s="37"/>
    </row>
    <row r="8" spans="1:88" ht="15.6" x14ac:dyDescent="0.3">
      <c r="F8" s="10"/>
      <c r="K8" s="10"/>
      <c r="P8" s="10"/>
      <c r="W8" s="23"/>
      <c r="X8" s="23"/>
      <c r="Y8" s="10"/>
      <c r="AE8" s="10"/>
      <c r="AJ8" s="10"/>
      <c r="AS8" s="37"/>
      <c r="AX8" s="37"/>
      <c r="BA8" s="37"/>
      <c r="BB8" t="s">
        <v>266</v>
      </c>
      <c r="BC8" s="27">
        <f>IFERROR(GETPIVOTDATA("Count of Load",$BC$9,"Load","Iron"),0)</f>
        <v>13</v>
      </c>
      <c r="BD8" s="27">
        <f>IFERROR(GETPIVOTDATA("Count of Load",$BC$9,"Load","Sand"),0)</f>
        <v>17</v>
      </c>
      <c r="BE8" s="27">
        <f>IFERROR(GETPIVOTDATA("Count of Load",$BC$9,"Load","Wood"),0)</f>
        <v>31</v>
      </c>
      <c r="BF8" s="27">
        <f>SUM(BC8:BE8)</f>
        <v>61</v>
      </c>
      <c r="BG8" s="37"/>
      <c r="BT8" s="37"/>
      <c r="CE8" s="37"/>
    </row>
    <row r="9" spans="1:88" ht="31.2" x14ac:dyDescent="0.3">
      <c r="B9" s="24" t="s">
        <v>233</v>
      </c>
      <c r="C9" s="24" t="s">
        <v>234</v>
      </c>
      <c r="D9" s="24" t="s">
        <v>235</v>
      </c>
      <c r="F9" s="10"/>
      <c r="H9" s="31" t="s">
        <v>236</v>
      </c>
      <c r="I9" t="s">
        <v>235</v>
      </c>
      <c r="K9" s="10"/>
      <c r="M9" s="31" t="s">
        <v>236</v>
      </c>
      <c r="N9" t="s">
        <v>242</v>
      </c>
      <c r="P9" s="10"/>
      <c r="R9" s="36" t="s">
        <v>247</v>
      </c>
      <c r="S9" s="35" t="s">
        <v>244</v>
      </c>
      <c r="T9" s="36" t="s">
        <v>245</v>
      </c>
      <c r="U9" s="35" t="s">
        <v>246</v>
      </c>
      <c r="W9" s="23"/>
      <c r="X9" s="23"/>
      <c r="Y9" s="10"/>
      <c r="AA9" t="s">
        <v>250</v>
      </c>
      <c r="AB9" t="s">
        <v>248</v>
      </c>
      <c r="AC9" t="s">
        <v>251</v>
      </c>
      <c r="AD9" t="s">
        <v>249</v>
      </c>
      <c r="AE9" s="10"/>
      <c r="AG9" s="31" t="s">
        <v>236</v>
      </c>
      <c r="AH9" t="s">
        <v>233</v>
      </c>
      <c r="AI9" t="s">
        <v>234</v>
      </c>
      <c r="AJ9" s="10"/>
      <c r="AL9" s="31" t="s">
        <v>236</v>
      </c>
      <c r="AM9" t="s">
        <v>254</v>
      </c>
      <c r="AN9" t="s">
        <v>255</v>
      </c>
      <c r="AO9" t="s">
        <v>256</v>
      </c>
      <c r="AP9" t="s">
        <v>257</v>
      </c>
      <c r="AQ9" t="s">
        <v>258</v>
      </c>
      <c r="AR9" t="s">
        <v>259</v>
      </c>
      <c r="AS9" s="37"/>
      <c r="AV9" s="31" t="s">
        <v>236</v>
      </c>
      <c r="AW9" t="s">
        <v>235</v>
      </c>
      <c r="AX9" s="37"/>
      <c r="AZ9" s="31" t="s">
        <v>236</v>
      </c>
      <c r="BA9" s="37"/>
      <c r="BC9" s="31" t="s">
        <v>236</v>
      </c>
      <c r="BD9" t="s">
        <v>264</v>
      </c>
      <c r="BE9" t="s">
        <v>263</v>
      </c>
      <c r="BG9" s="37"/>
      <c r="BK9" s="31" t="s">
        <v>236</v>
      </c>
      <c r="BL9" t="s">
        <v>233</v>
      </c>
      <c r="BM9" t="s">
        <v>234</v>
      </c>
      <c r="BP9" t="s">
        <v>269</v>
      </c>
      <c r="BQ9" t="s">
        <v>270</v>
      </c>
      <c r="BR9" t="s">
        <v>272</v>
      </c>
      <c r="BS9" t="s">
        <v>271</v>
      </c>
      <c r="BT9" s="37" t="s">
        <v>227</v>
      </c>
      <c r="BW9" s="31" t="s">
        <v>236</v>
      </c>
      <c r="BX9" t="s">
        <v>274</v>
      </c>
      <c r="BY9" t="s">
        <v>275</v>
      </c>
      <c r="BZ9" t="s">
        <v>276</v>
      </c>
      <c r="CA9" t="s">
        <v>277</v>
      </c>
      <c r="CB9" t="s">
        <v>278</v>
      </c>
      <c r="CE9" s="37"/>
      <c r="CG9" s="31" t="s">
        <v>236</v>
      </c>
      <c r="CH9" t="s">
        <v>282</v>
      </c>
      <c r="CJ9" t="s">
        <v>283</v>
      </c>
    </row>
    <row r="10" spans="1:88" ht="15.6" x14ac:dyDescent="0.3">
      <c r="B10" s="27">
        <v>359038</v>
      </c>
      <c r="C10" s="27">
        <v>93323</v>
      </c>
      <c r="D10" s="27">
        <v>265715</v>
      </c>
      <c r="F10" s="10"/>
      <c r="H10" s="32" t="s">
        <v>6</v>
      </c>
      <c r="I10" s="27">
        <v>13468</v>
      </c>
      <c r="K10" s="10"/>
      <c r="M10" s="32" t="s">
        <v>17</v>
      </c>
      <c r="N10" s="27">
        <v>11</v>
      </c>
      <c r="P10" s="10"/>
      <c r="R10" s="27">
        <v>7920</v>
      </c>
      <c r="S10" s="27">
        <v>23720</v>
      </c>
      <c r="T10" s="27">
        <v>3164</v>
      </c>
      <c r="U10" s="27">
        <v>15250</v>
      </c>
      <c r="W10" s="23"/>
      <c r="X10" s="23"/>
      <c r="Y10" s="10"/>
      <c r="AA10" s="27">
        <v>1196</v>
      </c>
      <c r="AB10" s="27">
        <v>7785</v>
      </c>
      <c r="AC10" s="27">
        <v>7372</v>
      </c>
      <c r="AD10" s="27">
        <v>2215</v>
      </c>
      <c r="AE10" s="10"/>
      <c r="AG10" s="32" t="s">
        <v>6</v>
      </c>
      <c r="AH10" s="27">
        <v>16668</v>
      </c>
      <c r="AI10" s="27">
        <v>3200</v>
      </c>
      <c r="AJ10" s="10"/>
      <c r="AL10" s="32" t="s">
        <v>6</v>
      </c>
      <c r="AM10" s="27">
        <v>885</v>
      </c>
      <c r="AN10" s="27">
        <v>1029</v>
      </c>
      <c r="AO10" s="27">
        <v>720</v>
      </c>
      <c r="AP10" s="27">
        <v>300</v>
      </c>
      <c r="AQ10" s="27">
        <v>66</v>
      </c>
      <c r="AR10" s="27">
        <v>162</v>
      </c>
      <c r="AS10" s="37"/>
      <c r="AV10" s="32" t="s">
        <v>6</v>
      </c>
      <c r="AW10" s="27">
        <v>13468</v>
      </c>
      <c r="AX10" s="37"/>
      <c r="AZ10" s="32" t="s">
        <v>75</v>
      </c>
      <c r="BA10" s="37"/>
      <c r="BC10" s="32" t="s">
        <v>16</v>
      </c>
      <c r="BD10" s="39">
        <v>235.8</v>
      </c>
      <c r="BE10" s="39">
        <v>13</v>
      </c>
      <c r="BG10" s="37"/>
      <c r="BK10" s="32" t="s">
        <v>6</v>
      </c>
      <c r="BL10" s="27">
        <v>16668</v>
      </c>
      <c r="BM10" s="27">
        <v>3200</v>
      </c>
      <c r="BN10" s="27"/>
      <c r="BO10" s="32" t="s">
        <v>6</v>
      </c>
      <c r="BP10" s="32">
        <v>1</v>
      </c>
      <c r="BQ10" s="32">
        <v>1</v>
      </c>
      <c r="BR10" s="32">
        <v>0.3</v>
      </c>
      <c r="BS10" s="27">
        <f>GETPIVOTDATA("Sum of Rate",$BK$9,"Month","Jan")</f>
        <v>16668</v>
      </c>
      <c r="BT10" s="46">
        <f>GETPIVOTDATA("Sum of Total Expenses",$BK$9,"Month","Jan")</f>
        <v>3200</v>
      </c>
      <c r="BW10" s="32" t="s">
        <v>6</v>
      </c>
      <c r="BX10" s="27">
        <v>2166</v>
      </c>
      <c r="BY10" s="27">
        <v>3333</v>
      </c>
      <c r="BZ10" s="27">
        <v>2835</v>
      </c>
      <c r="CA10" s="27">
        <v>4167</v>
      </c>
      <c r="CB10" s="27">
        <v>5001</v>
      </c>
      <c r="CE10" s="37"/>
      <c r="CG10" s="32" t="s">
        <v>18</v>
      </c>
      <c r="CH10" s="39">
        <v>4</v>
      </c>
      <c r="CJ10" s="47">
        <f>GETPIVOTDATA("Destination",$CG$9)</f>
        <v>61</v>
      </c>
    </row>
    <row r="11" spans="1:88" ht="15.6" x14ac:dyDescent="0.3">
      <c r="F11" s="10"/>
      <c r="H11" s="32" t="s">
        <v>11</v>
      </c>
      <c r="I11" s="27">
        <v>12138</v>
      </c>
      <c r="K11" s="10"/>
      <c r="M11" s="32" t="s">
        <v>8</v>
      </c>
      <c r="N11" s="27">
        <v>50</v>
      </c>
      <c r="P11" s="10"/>
      <c r="W11" s="23"/>
      <c r="X11" s="23"/>
      <c r="Y11" s="10"/>
      <c r="AE11" s="10"/>
      <c r="AG11" s="32" t="s">
        <v>11</v>
      </c>
      <c r="AH11" s="27">
        <v>18268</v>
      </c>
      <c r="AI11" s="27">
        <v>6130</v>
      </c>
      <c r="AJ11" s="10"/>
      <c r="AL11" s="32" t="s">
        <v>11</v>
      </c>
      <c r="AM11" s="27">
        <v>1180</v>
      </c>
      <c r="AN11" s="27">
        <v>1416</v>
      </c>
      <c r="AO11" s="27">
        <v>992</v>
      </c>
      <c r="AP11" s="27">
        <v>400</v>
      </c>
      <c r="AQ11" s="27">
        <v>92</v>
      </c>
      <c r="AR11" s="27">
        <v>220</v>
      </c>
      <c r="AS11" s="37"/>
      <c r="AV11" s="32" t="s">
        <v>11</v>
      </c>
      <c r="AW11" s="27">
        <v>12138</v>
      </c>
      <c r="AX11" s="37"/>
      <c r="AZ11" s="32" t="s">
        <v>85</v>
      </c>
      <c r="BA11" s="37"/>
      <c r="BC11" s="32" t="s">
        <v>12</v>
      </c>
      <c r="BD11" s="39">
        <v>283.89999999999998</v>
      </c>
      <c r="BE11" s="39">
        <v>17</v>
      </c>
      <c r="BG11" s="37"/>
      <c r="BK11" s="32" t="s">
        <v>11</v>
      </c>
      <c r="BL11" s="27">
        <v>18268</v>
      </c>
      <c r="BM11" s="27">
        <v>6130</v>
      </c>
      <c r="BN11" s="27"/>
      <c r="BO11" s="32" t="s">
        <v>11</v>
      </c>
      <c r="BP11" s="32">
        <v>2</v>
      </c>
      <c r="BQ11" s="32">
        <v>1.2</v>
      </c>
      <c r="BR11" s="32">
        <v>0.5</v>
      </c>
      <c r="BS11" s="27">
        <f>GETPIVOTDATA("Sum of Rate",$BK$9,"Month","Feb")</f>
        <v>18268</v>
      </c>
      <c r="BT11" s="46">
        <f>GETPIVOTDATA("Sum of Total Expenses",$BK$9,"Month","Feb")</f>
        <v>6130</v>
      </c>
      <c r="BW11" s="32" t="s">
        <v>11</v>
      </c>
      <c r="BX11" s="27">
        <v>2376</v>
      </c>
      <c r="BY11" s="27">
        <v>3652</v>
      </c>
      <c r="BZ11" s="27">
        <v>3104</v>
      </c>
      <c r="CA11" s="27">
        <v>4568</v>
      </c>
      <c r="CB11" s="27">
        <v>5480</v>
      </c>
      <c r="CE11" s="37"/>
      <c r="CG11" s="32" t="s">
        <v>9</v>
      </c>
      <c r="CH11" s="39">
        <v>6</v>
      </c>
    </row>
    <row r="12" spans="1:88" ht="15.6" x14ac:dyDescent="0.3">
      <c r="F12" s="10"/>
      <c r="H12" s="32" t="s">
        <v>15</v>
      </c>
      <c r="I12" s="27">
        <v>9472</v>
      </c>
      <c r="K12" s="10"/>
      <c r="M12" s="32" t="s">
        <v>237</v>
      </c>
      <c r="N12" s="27">
        <v>61</v>
      </c>
      <c r="P12" s="10"/>
      <c r="W12" s="23"/>
      <c r="X12" s="23"/>
      <c r="Y12" s="10"/>
      <c r="AE12" s="10"/>
      <c r="AG12" s="32" t="s">
        <v>15</v>
      </c>
      <c r="AH12" s="27">
        <v>17290</v>
      </c>
      <c r="AI12" s="27">
        <v>7818</v>
      </c>
      <c r="AJ12" s="10"/>
      <c r="AL12" s="32" t="s">
        <v>15</v>
      </c>
      <c r="AM12" s="27">
        <v>1475</v>
      </c>
      <c r="AN12" s="27">
        <v>1665</v>
      </c>
      <c r="AO12" s="27">
        <v>1165</v>
      </c>
      <c r="AP12" s="27">
        <v>500</v>
      </c>
      <c r="AQ12" s="27">
        <v>120</v>
      </c>
      <c r="AR12" s="27">
        <v>280</v>
      </c>
      <c r="AS12" s="37"/>
      <c r="AV12" s="32" t="s">
        <v>15</v>
      </c>
      <c r="AW12" s="27">
        <v>9472</v>
      </c>
      <c r="AX12" s="37"/>
      <c r="AZ12" s="32" t="s">
        <v>104</v>
      </c>
      <c r="BA12" s="37"/>
      <c r="BC12" s="32" t="s">
        <v>7</v>
      </c>
      <c r="BD12" s="39">
        <v>528.09999999999991</v>
      </c>
      <c r="BE12" s="39">
        <v>31</v>
      </c>
      <c r="BG12" s="37"/>
      <c r="BK12" s="32" t="s">
        <v>15</v>
      </c>
      <c r="BL12" s="27">
        <v>17290</v>
      </c>
      <c r="BM12" s="27">
        <v>7818</v>
      </c>
      <c r="BN12" s="27"/>
      <c r="BO12" s="32" t="s">
        <v>15</v>
      </c>
      <c r="BP12" s="32">
        <v>3</v>
      </c>
      <c r="BQ12" s="32">
        <v>1.4</v>
      </c>
      <c r="BR12" s="32">
        <v>0.7</v>
      </c>
      <c r="BS12" s="27">
        <f>GETPIVOTDATA("Sum of Rate",$BK$9,"Month","Mar")</f>
        <v>17290</v>
      </c>
      <c r="BT12" s="46">
        <f>GETPIVOTDATA("Sum of Total Expenses",$BK$9,"Month","Mar")</f>
        <v>7818</v>
      </c>
      <c r="BW12" s="32" t="s">
        <v>15</v>
      </c>
      <c r="BX12" s="27">
        <v>2250</v>
      </c>
      <c r="BY12" s="27">
        <v>3460</v>
      </c>
      <c r="BZ12" s="27">
        <v>2940</v>
      </c>
      <c r="CA12" s="27">
        <v>4325</v>
      </c>
      <c r="CB12" s="27">
        <v>5185</v>
      </c>
      <c r="CE12" s="37"/>
      <c r="CG12" s="32" t="s">
        <v>10</v>
      </c>
      <c r="CH12" s="39">
        <v>10</v>
      </c>
    </row>
    <row r="13" spans="1:88" ht="15.6" x14ac:dyDescent="0.3">
      <c r="F13" s="10"/>
      <c r="H13" s="32" t="s">
        <v>19</v>
      </c>
      <c r="I13" s="27">
        <v>14519</v>
      </c>
      <c r="K13" s="10"/>
      <c r="P13" s="10"/>
      <c r="W13" s="23"/>
      <c r="X13" s="23"/>
      <c r="Y13" s="10"/>
      <c r="AE13" s="10"/>
      <c r="AG13" s="32" t="s">
        <v>19</v>
      </c>
      <c r="AH13" s="27">
        <v>19299</v>
      </c>
      <c r="AI13" s="27">
        <v>4780</v>
      </c>
      <c r="AJ13" s="10"/>
      <c r="AL13" s="32" t="s">
        <v>19</v>
      </c>
      <c r="AM13" s="27">
        <v>885</v>
      </c>
      <c r="AN13" s="27">
        <v>1029</v>
      </c>
      <c r="AO13" s="27">
        <v>720</v>
      </c>
      <c r="AP13" s="27">
        <v>300</v>
      </c>
      <c r="AQ13" s="27">
        <v>75</v>
      </c>
      <c r="AR13" s="27">
        <v>171</v>
      </c>
      <c r="AS13" s="37"/>
      <c r="AV13" s="32" t="s">
        <v>19</v>
      </c>
      <c r="AW13" s="27">
        <v>14519</v>
      </c>
      <c r="AX13" s="37"/>
      <c r="AZ13" s="32" t="s">
        <v>87</v>
      </c>
      <c r="BA13" s="37"/>
      <c r="BC13" s="32" t="s">
        <v>237</v>
      </c>
      <c r="BD13" s="39">
        <v>1047.7999999999997</v>
      </c>
      <c r="BE13" s="39">
        <v>61</v>
      </c>
      <c r="BG13" s="37"/>
      <c r="BK13" s="32" t="s">
        <v>19</v>
      </c>
      <c r="BL13" s="27">
        <v>19299</v>
      </c>
      <c r="BM13" s="27">
        <v>4780</v>
      </c>
      <c r="BN13" s="27"/>
      <c r="BO13" s="32" t="s">
        <v>19</v>
      </c>
      <c r="BP13" s="32">
        <v>4</v>
      </c>
      <c r="BQ13" s="32">
        <v>1.6</v>
      </c>
      <c r="BR13" s="32">
        <v>0.9</v>
      </c>
      <c r="BS13" s="27">
        <f>GETPIVOTDATA("Sum of Rate",$BK$9,"Month","Apr")</f>
        <v>19299</v>
      </c>
      <c r="BT13" s="46">
        <f>GETPIVOTDATA("Sum of Total Expenses",$BK$9,"Month","Apr")</f>
        <v>4780</v>
      </c>
      <c r="BW13" s="32" t="s">
        <v>19</v>
      </c>
      <c r="BX13" s="27">
        <v>2508</v>
      </c>
      <c r="BY13" s="27">
        <v>3861</v>
      </c>
      <c r="BZ13" s="27">
        <v>3282</v>
      </c>
      <c r="CA13" s="27">
        <v>4824</v>
      </c>
      <c r="CB13" s="27">
        <v>5790</v>
      </c>
      <c r="CE13" s="37"/>
      <c r="CG13" s="32" t="s">
        <v>13</v>
      </c>
      <c r="CH13" s="39">
        <v>7</v>
      </c>
    </row>
    <row r="14" spans="1:88" ht="15.6" x14ac:dyDescent="0.3">
      <c r="F14" s="10"/>
      <c r="H14" s="32" t="s">
        <v>22</v>
      </c>
      <c r="I14" s="27">
        <v>28744</v>
      </c>
      <c r="K14" s="10"/>
      <c r="P14" s="10"/>
      <c r="W14" s="23"/>
      <c r="X14" s="23"/>
      <c r="Y14" s="10"/>
      <c r="AE14" s="10"/>
      <c r="AG14" s="32" t="s">
        <v>22</v>
      </c>
      <c r="AH14" s="27">
        <v>35060</v>
      </c>
      <c r="AI14" s="27">
        <v>6316</v>
      </c>
      <c r="AJ14" s="10"/>
      <c r="AL14" s="32" t="s">
        <v>22</v>
      </c>
      <c r="AM14" s="27">
        <v>1332</v>
      </c>
      <c r="AN14" s="27">
        <v>1372</v>
      </c>
      <c r="AO14" s="27">
        <v>960</v>
      </c>
      <c r="AP14" s="27">
        <v>400</v>
      </c>
      <c r="AQ14" s="27">
        <v>104</v>
      </c>
      <c r="AR14" s="27">
        <v>232</v>
      </c>
      <c r="AS14" s="37"/>
      <c r="AV14" s="32" t="s">
        <v>22</v>
      </c>
      <c r="AW14" s="27">
        <v>28744</v>
      </c>
      <c r="AX14" s="37"/>
      <c r="AZ14" s="32" t="s">
        <v>237</v>
      </c>
      <c r="BA14" s="37"/>
      <c r="BG14" s="37"/>
      <c r="BK14" s="32" t="s">
        <v>22</v>
      </c>
      <c r="BL14" s="27">
        <v>35060</v>
      </c>
      <c r="BM14" s="27">
        <v>6316</v>
      </c>
      <c r="BN14" s="27"/>
      <c r="BO14" s="32" t="s">
        <v>22</v>
      </c>
      <c r="BP14" s="32">
        <v>5</v>
      </c>
      <c r="BQ14" s="32">
        <v>2.8</v>
      </c>
      <c r="BR14" s="32">
        <v>2</v>
      </c>
      <c r="BS14" s="27">
        <f>GETPIVOTDATA("Sum of Rate",$BK$9,"Month","May")</f>
        <v>35060</v>
      </c>
      <c r="BT14" s="46">
        <f>GETPIVOTDATA("Sum of Total Expenses",$BK$9,"Month","May")</f>
        <v>6316</v>
      </c>
      <c r="BW14" s="32" t="s">
        <v>22</v>
      </c>
      <c r="BX14" s="27">
        <v>4556</v>
      </c>
      <c r="BY14" s="27">
        <v>7012</v>
      </c>
      <c r="BZ14" s="27">
        <v>5960</v>
      </c>
      <c r="CA14" s="27">
        <v>8764</v>
      </c>
      <c r="CB14" s="27">
        <v>10520</v>
      </c>
      <c r="CE14" s="37"/>
      <c r="CG14" s="32" t="s">
        <v>21</v>
      </c>
      <c r="CH14" s="39">
        <v>5</v>
      </c>
    </row>
    <row r="15" spans="1:88" ht="15.6" x14ac:dyDescent="0.3">
      <c r="F15" s="10"/>
      <c r="H15" s="32" t="s">
        <v>23</v>
      </c>
      <c r="I15" s="27">
        <v>16092</v>
      </c>
      <c r="K15" s="10"/>
      <c r="P15" s="10"/>
      <c r="W15" s="23"/>
      <c r="X15" s="23"/>
      <c r="Y15" s="10"/>
      <c r="AE15" s="10"/>
      <c r="AG15" s="32" t="s">
        <v>23</v>
      </c>
      <c r="AH15" s="27">
        <v>21728</v>
      </c>
      <c r="AI15" s="27">
        <v>5636</v>
      </c>
      <c r="AJ15" s="10"/>
      <c r="AL15" s="32" t="s">
        <v>23</v>
      </c>
      <c r="AM15" s="27">
        <v>1180</v>
      </c>
      <c r="AN15" s="27">
        <v>1372</v>
      </c>
      <c r="AO15" s="27">
        <v>960</v>
      </c>
      <c r="AP15" s="27">
        <v>400</v>
      </c>
      <c r="AQ15" s="27">
        <v>108</v>
      </c>
      <c r="AR15" s="27">
        <v>236</v>
      </c>
      <c r="AS15" s="37"/>
      <c r="AV15" s="32" t="s">
        <v>23</v>
      </c>
      <c r="AW15" s="27">
        <v>16092</v>
      </c>
      <c r="AX15" s="37"/>
      <c r="BA15" s="37"/>
      <c r="BG15" s="37"/>
      <c r="BK15" s="32" t="s">
        <v>23</v>
      </c>
      <c r="BL15" s="27">
        <v>21728</v>
      </c>
      <c r="BM15" s="27">
        <v>5636</v>
      </c>
      <c r="BN15" s="27"/>
      <c r="BO15" s="32" t="s">
        <v>23</v>
      </c>
      <c r="BP15" s="32">
        <v>6</v>
      </c>
      <c r="BQ15" s="32">
        <v>2.1</v>
      </c>
      <c r="BR15" s="32">
        <v>1.4</v>
      </c>
      <c r="BS15" s="27">
        <f>GETPIVOTDATA("Sum of Rate",$BK$9,"Month","Jun")</f>
        <v>21728</v>
      </c>
      <c r="BT15" s="46">
        <f>GETPIVOTDATA("Sum of Total Expenses",$BK$9,"Month","Jun")</f>
        <v>5636</v>
      </c>
      <c r="BW15" s="32" t="s">
        <v>23</v>
      </c>
      <c r="BX15" s="27">
        <v>2824</v>
      </c>
      <c r="BY15" s="27">
        <v>4344</v>
      </c>
      <c r="BZ15" s="27">
        <v>3692</v>
      </c>
      <c r="CA15" s="27">
        <v>5432</v>
      </c>
      <c r="CB15" s="27">
        <v>6520</v>
      </c>
      <c r="CE15" s="37"/>
      <c r="CG15" s="32" t="s">
        <v>14</v>
      </c>
      <c r="CH15" s="39">
        <v>28</v>
      </c>
    </row>
    <row r="16" spans="1:88" ht="15.6" x14ac:dyDescent="0.3">
      <c r="F16" s="10"/>
      <c r="H16" s="32" t="s">
        <v>24</v>
      </c>
      <c r="I16" s="27">
        <v>61990</v>
      </c>
      <c r="K16" s="10"/>
      <c r="P16" s="10"/>
      <c r="W16" s="23"/>
      <c r="X16" s="23"/>
      <c r="Y16" s="10"/>
      <c r="AE16" s="10"/>
      <c r="AG16" s="32" t="s">
        <v>24</v>
      </c>
      <c r="AH16" s="27">
        <v>81336</v>
      </c>
      <c r="AI16" s="27">
        <v>19346</v>
      </c>
      <c r="AJ16" s="10"/>
      <c r="AL16" s="32" t="s">
        <v>24</v>
      </c>
      <c r="AM16" s="27">
        <v>3540</v>
      </c>
      <c r="AN16" s="27">
        <v>4524</v>
      </c>
      <c r="AO16" s="27">
        <v>3168</v>
      </c>
      <c r="AP16" s="27">
        <v>1200</v>
      </c>
      <c r="AQ16" s="27">
        <v>336</v>
      </c>
      <c r="AR16" s="27">
        <v>720</v>
      </c>
      <c r="AS16" s="37"/>
      <c r="AV16" s="32" t="s">
        <v>24</v>
      </c>
      <c r="AW16" s="27">
        <v>61990</v>
      </c>
      <c r="AX16" s="37"/>
      <c r="BA16" s="37"/>
      <c r="BG16" s="37"/>
      <c r="BK16" s="32" t="s">
        <v>24</v>
      </c>
      <c r="BL16" s="27">
        <v>81336</v>
      </c>
      <c r="BM16" s="27">
        <v>19346</v>
      </c>
      <c r="BN16" s="27"/>
      <c r="BO16" s="32" t="s">
        <v>24</v>
      </c>
      <c r="BP16" s="32">
        <v>7</v>
      </c>
      <c r="BQ16" s="32">
        <v>4</v>
      </c>
      <c r="BR16" s="32">
        <v>2.8</v>
      </c>
      <c r="BS16" s="27">
        <f>GETPIVOTDATA("Sum of Rate",$BK$9,"Month","Jul")</f>
        <v>81336</v>
      </c>
      <c r="BT16" s="46">
        <f>GETPIVOTDATA("Sum of Total Expenses",$BK$9,"Month","Jul")</f>
        <v>19346</v>
      </c>
      <c r="BW16" s="32" t="s">
        <v>24</v>
      </c>
      <c r="BX16" s="27">
        <v>10572</v>
      </c>
      <c r="BY16" s="27">
        <v>16272</v>
      </c>
      <c r="BZ16" s="27">
        <v>13824</v>
      </c>
      <c r="CA16" s="27">
        <v>20340</v>
      </c>
      <c r="CB16" s="27">
        <v>24396</v>
      </c>
      <c r="CE16" s="37"/>
      <c r="CG16" s="32" t="s">
        <v>20</v>
      </c>
      <c r="CH16" s="39">
        <v>1</v>
      </c>
    </row>
    <row r="17" spans="6:86" ht="15.6" x14ac:dyDescent="0.3">
      <c r="F17" s="10"/>
      <c r="H17" s="32" t="s">
        <v>25</v>
      </c>
      <c r="I17" s="27">
        <v>20038</v>
      </c>
      <c r="K17" s="10"/>
      <c r="P17" s="10"/>
      <c r="W17" s="23"/>
      <c r="X17" s="23"/>
      <c r="Y17" s="10"/>
      <c r="AE17" s="10"/>
      <c r="AG17" s="32" t="s">
        <v>25</v>
      </c>
      <c r="AH17" s="27">
        <v>26172</v>
      </c>
      <c r="AI17" s="27">
        <v>6134</v>
      </c>
      <c r="AJ17" s="10"/>
      <c r="AL17" s="32" t="s">
        <v>25</v>
      </c>
      <c r="AM17" s="27">
        <v>1180</v>
      </c>
      <c r="AN17" s="27">
        <v>1556</v>
      </c>
      <c r="AO17" s="27">
        <v>1088</v>
      </c>
      <c r="AP17" s="27">
        <v>400</v>
      </c>
      <c r="AQ17" s="27">
        <v>116</v>
      </c>
      <c r="AR17" s="27">
        <v>244</v>
      </c>
      <c r="AS17" s="37"/>
      <c r="AV17" s="32" t="s">
        <v>25</v>
      </c>
      <c r="AW17" s="27">
        <v>20038</v>
      </c>
      <c r="AX17" s="37"/>
      <c r="BA17" s="37"/>
      <c r="BG17" s="37"/>
      <c r="BK17" s="32" t="s">
        <v>25</v>
      </c>
      <c r="BL17" s="27">
        <v>26172</v>
      </c>
      <c r="BM17" s="27">
        <v>6134</v>
      </c>
      <c r="BN17" s="27"/>
      <c r="BO17" s="32" t="s">
        <v>25</v>
      </c>
      <c r="BP17" s="32">
        <v>8</v>
      </c>
      <c r="BQ17" s="32">
        <v>2.4</v>
      </c>
      <c r="BR17" s="32">
        <v>1.6</v>
      </c>
      <c r="BS17" s="27">
        <f>GETPIVOTDATA("Sum of Rate",$BK$9,"Month","Aug")</f>
        <v>26172</v>
      </c>
      <c r="BT17" s="46">
        <f>GETPIVOTDATA("Sum of Total Expenses",$BK$9,"Month","Aug")</f>
        <v>6134</v>
      </c>
      <c r="BW17" s="32" t="s">
        <v>25</v>
      </c>
      <c r="BX17" s="27">
        <v>3404</v>
      </c>
      <c r="BY17" s="27">
        <v>5236</v>
      </c>
      <c r="BZ17" s="27">
        <v>4448</v>
      </c>
      <c r="CA17" s="27">
        <v>6544</v>
      </c>
      <c r="CB17" s="27">
        <v>7852</v>
      </c>
      <c r="CE17" s="37"/>
      <c r="CG17" s="32" t="s">
        <v>237</v>
      </c>
      <c r="CH17" s="39">
        <v>61</v>
      </c>
    </row>
    <row r="18" spans="6:86" ht="15.6" x14ac:dyDescent="0.3">
      <c r="F18" s="10"/>
      <c r="H18" s="32" t="s">
        <v>26</v>
      </c>
      <c r="I18" s="27">
        <v>28740</v>
      </c>
      <c r="K18" s="10"/>
      <c r="P18" s="10"/>
      <c r="W18" s="23"/>
      <c r="X18" s="23"/>
      <c r="Y18" s="10"/>
      <c r="AE18" s="10"/>
      <c r="AG18" s="32" t="s">
        <v>26</v>
      </c>
      <c r="AH18" s="27">
        <v>34532</v>
      </c>
      <c r="AI18" s="27">
        <v>5792</v>
      </c>
      <c r="AJ18" s="10"/>
      <c r="AL18" s="32" t="s">
        <v>26</v>
      </c>
      <c r="AM18" s="27">
        <v>1180</v>
      </c>
      <c r="AN18" s="27">
        <v>936</v>
      </c>
      <c r="AO18" s="27">
        <v>656</v>
      </c>
      <c r="AP18" s="27">
        <v>400</v>
      </c>
      <c r="AQ18" s="27">
        <v>92</v>
      </c>
      <c r="AR18" s="27">
        <v>220</v>
      </c>
      <c r="AS18" s="37"/>
      <c r="AV18" s="32" t="s">
        <v>26</v>
      </c>
      <c r="AW18" s="27">
        <v>28740</v>
      </c>
      <c r="AX18" s="37"/>
      <c r="BA18" s="37"/>
      <c r="BG18" s="37"/>
      <c r="BK18" s="32" t="s">
        <v>26</v>
      </c>
      <c r="BL18" s="27">
        <v>34532</v>
      </c>
      <c r="BM18" s="27">
        <v>5792</v>
      </c>
      <c r="BN18" s="27"/>
      <c r="BO18" s="32" t="s">
        <v>26</v>
      </c>
      <c r="BP18" s="32">
        <v>9</v>
      </c>
      <c r="BQ18" s="32">
        <v>2.6</v>
      </c>
      <c r="BR18" s="32">
        <v>1.8</v>
      </c>
      <c r="BS18" s="27">
        <f>GETPIVOTDATA("Sum of Rate",$BK$9,"Month","Sep")</f>
        <v>34532</v>
      </c>
      <c r="BT18" s="46">
        <f>GETPIVOTDATA("Sum of Total Expenses",$BK$9,"Month","Sep")</f>
        <v>5792</v>
      </c>
      <c r="BW18" s="32" t="s">
        <v>26</v>
      </c>
      <c r="BX18" s="27">
        <v>4488</v>
      </c>
      <c r="BY18" s="27">
        <v>6908</v>
      </c>
      <c r="BZ18" s="27">
        <v>5872</v>
      </c>
      <c r="CA18" s="27">
        <v>8632</v>
      </c>
      <c r="CB18" s="27">
        <v>10360</v>
      </c>
      <c r="CE18" s="37"/>
    </row>
    <row r="19" spans="6:86" ht="15.6" x14ac:dyDescent="0.3">
      <c r="F19" s="10"/>
      <c r="H19" s="32" t="s">
        <v>27</v>
      </c>
      <c r="I19" s="27">
        <v>33423</v>
      </c>
      <c r="K19" s="10"/>
      <c r="P19" s="10"/>
      <c r="W19" s="23"/>
      <c r="X19" s="23"/>
      <c r="Y19" s="10"/>
      <c r="AE19" s="10"/>
      <c r="AG19" s="32" t="s">
        <v>27</v>
      </c>
      <c r="AH19" s="27">
        <v>48914</v>
      </c>
      <c r="AI19" s="27">
        <v>15491</v>
      </c>
      <c r="AJ19" s="10"/>
      <c r="AL19" s="32" t="s">
        <v>27</v>
      </c>
      <c r="AM19" s="27">
        <v>2950</v>
      </c>
      <c r="AN19" s="27">
        <v>3430</v>
      </c>
      <c r="AO19" s="27">
        <v>2400</v>
      </c>
      <c r="AP19" s="27">
        <v>1000</v>
      </c>
      <c r="AQ19" s="27">
        <v>234</v>
      </c>
      <c r="AR19" s="27">
        <v>554</v>
      </c>
      <c r="AS19" s="37"/>
      <c r="AV19" s="32" t="s">
        <v>27</v>
      </c>
      <c r="AW19" s="27">
        <v>33423</v>
      </c>
      <c r="AX19" s="37"/>
      <c r="BA19" s="37"/>
      <c r="BG19" s="37"/>
      <c r="BK19" s="32" t="s">
        <v>27</v>
      </c>
      <c r="BL19" s="27">
        <v>48914</v>
      </c>
      <c r="BM19" s="27">
        <v>15491</v>
      </c>
      <c r="BN19" s="27"/>
      <c r="BO19" s="32" t="s">
        <v>27</v>
      </c>
      <c r="BP19" s="32">
        <v>10</v>
      </c>
      <c r="BQ19" s="32">
        <v>3</v>
      </c>
      <c r="BR19" s="32">
        <v>2</v>
      </c>
      <c r="BS19" s="27">
        <f>GETPIVOTDATA("Sum of Rate",$BK$9,"Month","Oct")</f>
        <v>48914</v>
      </c>
      <c r="BT19" s="46">
        <f>GETPIVOTDATA("Sum of Total Expenses",$BK$9,"Month","Oct")</f>
        <v>15491</v>
      </c>
      <c r="BW19" s="32" t="s">
        <v>27</v>
      </c>
      <c r="BX19" s="27">
        <v>6356</v>
      </c>
      <c r="BY19" s="27">
        <v>9782</v>
      </c>
      <c r="BZ19" s="27">
        <v>8320</v>
      </c>
      <c r="CA19" s="27">
        <v>12228</v>
      </c>
      <c r="CB19" s="27">
        <v>14676</v>
      </c>
      <c r="CE19" s="37"/>
    </row>
    <row r="20" spans="6:86" ht="15.6" x14ac:dyDescent="0.3">
      <c r="F20" s="10"/>
      <c r="H20" s="32" t="s">
        <v>28</v>
      </c>
      <c r="I20" s="27">
        <v>15820</v>
      </c>
      <c r="K20" s="10"/>
      <c r="P20" s="10"/>
      <c r="W20" s="23"/>
      <c r="X20" s="23"/>
      <c r="Y20" s="10"/>
      <c r="AE20" s="10"/>
      <c r="AG20" s="32" t="s">
        <v>28</v>
      </c>
      <c r="AH20" s="27">
        <v>23910</v>
      </c>
      <c r="AI20" s="27">
        <v>8090</v>
      </c>
      <c r="AJ20" s="10"/>
      <c r="AL20" s="32" t="s">
        <v>28</v>
      </c>
      <c r="AM20" s="27">
        <v>1475</v>
      </c>
      <c r="AN20" s="27">
        <v>1995</v>
      </c>
      <c r="AO20" s="27">
        <v>1395</v>
      </c>
      <c r="AP20" s="27">
        <v>500</v>
      </c>
      <c r="AQ20" s="27">
        <v>125</v>
      </c>
      <c r="AR20" s="27">
        <v>285</v>
      </c>
      <c r="AS20" s="37"/>
      <c r="AV20" s="32" t="s">
        <v>28</v>
      </c>
      <c r="AW20" s="27">
        <v>15820</v>
      </c>
      <c r="AX20" s="37"/>
      <c r="BA20" s="37"/>
      <c r="BG20" s="37"/>
      <c r="BK20" s="32" t="s">
        <v>28</v>
      </c>
      <c r="BL20" s="27">
        <v>23910</v>
      </c>
      <c r="BM20" s="27">
        <v>8090</v>
      </c>
      <c r="BN20" s="27"/>
      <c r="BO20" s="32" t="s">
        <v>28</v>
      </c>
      <c r="BP20" s="32">
        <v>11</v>
      </c>
      <c r="BQ20" s="32">
        <v>2.2000000000000002</v>
      </c>
      <c r="BR20" s="32">
        <v>1.4</v>
      </c>
      <c r="BS20" s="27">
        <f>GETPIVOTDATA("Sum of Rate",$BK$9,"Month","Nov")</f>
        <v>23910</v>
      </c>
      <c r="BT20" s="46">
        <f>GETPIVOTDATA("Sum of Total Expenses",$BK$9,"Month","Nov")</f>
        <v>8090</v>
      </c>
      <c r="BW20" s="32" t="s">
        <v>28</v>
      </c>
      <c r="BX20" s="27">
        <v>3110</v>
      </c>
      <c r="BY20" s="27">
        <v>4780</v>
      </c>
      <c r="BZ20" s="27">
        <v>4065</v>
      </c>
      <c r="CA20" s="27">
        <v>5980</v>
      </c>
      <c r="CB20" s="27">
        <v>7175</v>
      </c>
      <c r="CE20" s="37"/>
    </row>
    <row r="21" spans="6:86" ht="15.6" x14ac:dyDescent="0.3">
      <c r="F21" s="10"/>
      <c r="H21" s="32" t="s">
        <v>29</v>
      </c>
      <c r="I21" s="27">
        <v>11271</v>
      </c>
      <c r="K21" s="10"/>
      <c r="P21" s="10"/>
      <c r="W21" s="23"/>
      <c r="X21" s="23"/>
      <c r="Y21" s="10"/>
      <c r="AE21" s="10"/>
      <c r="AG21" s="32" t="s">
        <v>29</v>
      </c>
      <c r="AH21" s="27">
        <v>15861</v>
      </c>
      <c r="AI21" s="27">
        <v>4590</v>
      </c>
      <c r="AJ21" s="10"/>
      <c r="AL21" s="32" t="s">
        <v>29</v>
      </c>
      <c r="AM21" s="27">
        <v>885</v>
      </c>
      <c r="AN21" s="27">
        <v>1029</v>
      </c>
      <c r="AO21" s="27">
        <v>720</v>
      </c>
      <c r="AP21" s="27">
        <v>300</v>
      </c>
      <c r="AQ21" s="27">
        <v>78</v>
      </c>
      <c r="AR21" s="27">
        <v>174</v>
      </c>
      <c r="AS21" s="37"/>
      <c r="AV21" s="32" t="s">
        <v>29</v>
      </c>
      <c r="AW21" s="27">
        <v>11271</v>
      </c>
      <c r="AX21" s="37"/>
      <c r="BA21" s="37"/>
      <c r="BG21" s="37"/>
      <c r="BK21" s="32" t="s">
        <v>29</v>
      </c>
      <c r="BL21" s="27">
        <v>15861</v>
      </c>
      <c r="BM21" s="27">
        <v>4590</v>
      </c>
      <c r="BN21" s="27"/>
      <c r="BO21" s="32" t="s">
        <v>29</v>
      </c>
      <c r="BP21" s="32">
        <v>12</v>
      </c>
      <c r="BQ21" s="32">
        <v>1.8</v>
      </c>
      <c r="BR21" s="32">
        <v>1.2</v>
      </c>
      <c r="BS21" s="27">
        <f>GETPIVOTDATA("Sum of Rate",$BK$9,"Month","Dec")</f>
        <v>15861</v>
      </c>
      <c r="BT21" s="46">
        <f>GETPIVOTDATA("Sum of Total Expenses",$BK$9,"Month","Dec")</f>
        <v>4590</v>
      </c>
      <c r="BW21" s="32" t="s">
        <v>29</v>
      </c>
      <c r="BX21" s="27">
        <v>2061</v>
      </c>
      <c r="BY21" s="27">
        <v>3171</v>
      </c>
      <c r="BZ21" s="27">
        <v>2697</v>
      </c>
      <c r="CA21" s="27">
        <v>3966</v>
      </c>
      <c r="CB21" s="27">
        <v>4758</v>
      </c>
      <c r="CE21" s="37"/>
    </row>
    <row r="22" spans="6:86" ht="15.6" x14ac:dyDescent="0.3">
      <c r="F22" s="10"/>
      <c r="H22" s="32" t="s">
        <v>237</v>
      </c>
      <c r="I22" s="27">
        <v>265715</v>
      </c>
      <c r="K22" s="10"/>
      <c r="P22" s="10"/>
      <c r="W22" s="23"/>
      <c r="X22" s="23"/>
      <c r="Y22" s="10"/>
      <c r="AE22" s="10"/>
      <c r="AG22" s="32" t="s">
        <v>237</v>
      </c>
      <c r="AH22" s="27">
        <v>359038</v>
      </c>
      <c r="AI22" s="27">
        <v>93323</v>
      </c>
      <c r="AJ22" s="10"/>
      <c r="AL22" s="32" t="s">
        <v>237</v>
      </c>
      <c r="AM22" s="27">
        <v>18147</v>
      </c>
      <c r="AN22" s="27">
        <v>21353</v>
      </c>
      <c r="AO22" s="27">
        <v>14944</v>
      </c>
      <c r="AP22" s="27">
        <v>6100</v>
      </c>
      <c r="AQ22" s="27">
        <v>1546</v>
      </c>
      <c r="AR22" s="27">
        <v>3498</v>
      </c>
      <c r="AS22" s="37"/>
      <c r="AV22" s="32" t="s">
        <v>237</v>
      </c>
      <c r="AW22" s="27">
        <v>265715</v>
      </c>
      <c r="AX22" s="37"/>
      <c r="BA22" s="37"/>
      <c r="BK22" s="32" t="s">
        <v>237</v>
      </c>
      <c r="BL22" s="27">
        <v>359038</v>
      </c>
      <c r="BM22" s="27">
        <v>93323</v>
      </c>
      <c r="BN22" s="27"/>
      <c r="BT22" s="37"/>
      <c r="BW22" s="32" t="s">
        <v>237</v>
      </c>
      <c r="BX22" s="27">
        <v>46671</v>
      </c>
      <c r="BY22" s="27">
        <v>71811</v>
      </c>
      <c r="BZ22" s="27">
        <v>61039</v>
      </c>
      <c r="CA22" s="27">
        <v>89770</v>
      </c>
      <c r="CB22" s="27">
        <v>107713</v>
      </c>
      <c r="CE22" s="37"/>
    </row>
    <row r="23" spans="6:86" x14ac:dyDescent="0.3">
      <c r="F23" s="10"/>
      <c r="K23" s="10"/>
      <c r="P23" s="10"/>
      <c r="W23" s="23"/>
      <c r="X23" s="23"/>
      <c r="Y23" s="10"/>
      <c r="AE23" s="10"/>
      <c r="AJ23" s="10"/>
      <c r="AS23" s="37"/>
      <c r="AX23" s="37"/>
      <c r="BA23" s="37"/>
      <c r="BT23" s="37"/>
      <c r="CE23" s="37"/>
    </row>
    <row r="24" spans="6:86" x14ac:dyDescent="0.3">
      <c r="F24" s="10"/>
      <c r="K24" s="10"/>
      <c r="P24" s="10"/>
      <c r="W24" s="23"/>
      <c r="X24" s="23"/>
      <c r="Y24" s="10"/>
      <c r="AE24" s="10"/>
      <c r="AJ24" s="10"/>
      <c r="AS24" s="37"/>
      <c r="AX24" s="37"/>
      <c r="BA24" s="37"/>
      <c r="BT24" s="37"/>
      <c r="CE24" s="37"/>
    </row>
    <row r="25" spans="6:86" x14ac:dyDescent="0.3">
      <c r="F25" s="10"/>
      <c r="K25" s="10"/>
      <c r="P25" s="10"/>
      <c r="W25" s="23"/>
      <c r="X25" s="23"/>
      <c r="Y25" s="10"/>
      <c r="AE25" s="10"/>
      <c r="AJ25" s="10"/>
      <c r="AS25" s="37"/>
      <c r="AX25" s="37"/>
      <c r="BA25" s="37"/>
      <c r="BT25" s="37"/>
      <c r="CE25" s="37"/>
    </row>
    <row r="26" spans="6:86" x14ac:dyDescent="0.3">
      <c r="F26" s="10"/>
      <c r="W26" s="23"/>
      <c r="X26" s="23"/>
      <c r="AS26" s="37"/>
      <c r="AX26" s="37"/>
      <c r="BA26" s="37"/>
      <c r="BT26" s="37"/>
      <c r="BX26" t="s">
        <v>56</v>
      </c>
      <c r="BY26" t="s">
        <v>279</v>
      </c>
      <c r="BZ26" t="s">
        <v>280</v>
      </c>
      <c r="CA26" t="s">
        <v>62</v>
      </c>
      <c r="CB26" t="s">
        <v>281</v>
      </c>
      <c r="CE26" s="37"/>
    </row>
    <row r="27" spans="6:86" x14ac:dyDescent="0.3">
      <c r="W27" s="23"/>
      <c r="X27" s="23"/>
      <c r="AS27" s="37"/>
      <c r="AX27" s="37"/>
      <c r="BA27" s="37"/>
      <c r="BT27" s="37"/>
      <c r="BX27" s="40">
        <f>GETPIVOTDATA("Sum of First condition type",$BW$9)</f>
        <v>46671</v>
      </c>
      <c r="BY27" s="40">
        <f>GETPIVOTDATA("Sum of Shipment cost          sub-items",$BW$9)</f>
        <v>71811</v>
      </c>
      <c r="BZ27" s="40">
        <f>GETPIVOTDATA("Sum of ERE Stage",$BW$9)</f>
        <v>61039</v>
      </c>
      <c r="CA27" s="40">
        <f>GETPIVOTDATA("Sum of Basic freight",$BW$9)</f>
        <v>89770</v>
      </c>
      <c r="CB27" s="40">
        <f>GETPIVOTDATA("Sum of Final Amount",$BW$9)</f>
        <v>107713</v>
      </c>
      <c r="CE27" s="37"/>
    </row>
    <row r="28" spans="6:86" x14ac:dyDescent="0.3">
      <c r="W28" s="23"/>
      <c r="X28" s="23"/>
      <c r="AS28" s="37"/>
      <c r="AX28" s="37"/>
      <c r="BA28" s="37"/>
      <c r="BT28" s="37"/>
      <c r="CE28" s="37"/>
    </row>
    <row r="29" spans="6:86" x14ac:dyDescent="0.3">
      <c r="W29" s="23"/>
      <c r="X29" s="23"/>
      <c r="AS29" s="37"/>
      <c r="AX29" s="37"/>
      <c r="BA29" s="37"/>
      <c r="BT29" s="37"/>
      <c r="CE29" s="37"/>
    </row>
    <row r="30" spans="6:86" x14ac:dyDescent="0.3">
      <c r="W30" s="23"/>
      <c r="X30" s="23"/>
      <c r="AS30" s="37"/>
      <c r="BA30" s="37"/>
      <c r="CE30" s="37"/>
    </row>
    <row r="31" spans="6:86" x14ac:dyDescent="0.3">
      <c r="W31" s="23"/>
      <c r="X31" s="23"/>
      <c r="AA31" t="s">
        <v>268</v>
      </c>
    </row>
    <row r="32" spans="6:86" x14ac:dyDescent="0.3">
      <c r="W32" s="23"/>
      <c r="X32" s="23"/>
    </row>
    <row r="33" spans="23:24" x14ac:dyDescent="0.3">
      <c r="W33" s="23"/>
      <c r="X33" s="23"/>
    </row>
    <row r="34" spans="23:24" x14ac:dyDescent="0.3">
      <c r="W34" s="23"/>
      <c r="X34" s="23"/>
    </row>
    <row r="35" spans="23:24" x14ac:dyDescent="0.3">
      <c r="W35" s="23"/>
      <c r="X35" s="23"/>
    </row>
    <row r="36" spans="23:24" x14ac:dyDescent="0.3">
      <c r="W36" s="23"/>
      <c r="X36" s="23"/>
    </row>
    <row r="37" spans="23:24" x14ac:dyDescent="0.3">
      <c r="W37" s="23"/>
      <c r="X37" s="23"/>
    </row>
    <row r="38" spans="23:24" x14ac:dyDescent="0.3">
      <c r="W38" s="23"/>
      <c r="X38" s="23"/>
    </row>
    <row r="39" spans="23:24" x14ac:dyDescent="0.3">
      <c r="W39" s="23"/>
      <c r="X39" s="23"/>
    </row>
    <row r="40" spans="23:24" x14ac:dyDescent="0.3">
      <c r="W40" s="23"/>
      <c r="X40" s="23"/>
    </row>
    <row r="41" spans="23:24" x14ac:dyDescent="0.3">
      <c r="W41" s="23"/>
      <c r="X41" s="23"/>
    </row>
    <row r="42" spans="23:24" x14ac:dyDescent="0.3">
      <c r="W42" s="23"/>
      <c r="X42" s="23"/>
    </row>
    <row r="43" spans="23:24" x14ac:dyDescent="0.3">
      <c r="W43" s="23"/>
      <c r="X43" s="23"/>
    </row>
    <row r="44" spans="23:24" x14ac:dyDescent="0.3">
      <c r="W44" s="23"/>
      <c r="X44" s="23"/>
    </row>
    <row r="45" spans="23:24" x14ac:dyDescent="0.3">
      <c r="W45" s="23"/>
      <c r="X45" s="23"/>
    </row>
    <row r="46" spans="23:24" x14ac:dyDescent="0.3">
      <c r="W46" s="23"/>
      <c r="X46" s="23"/>
    </row>
    <row r="47" spans="23:24" x14ac:dyDescent="0.3">
      <c r="W47" s="23"/>
      <c r="X47" s="23"/>
    </row>
    <row r="48" spans="23:24" x14ac:dyDescent="0.3">
      <c r="W48" s="23"/>
      <c r="X48" s="23"/>
    </row>
    <row r="49" spans="23:24" x14ac:dyDescent="0.3">
      <c r="W49" s="23"/>
      <c r="X49" s="23"/>
    </row>
    <row r="50" spans="23:24" x14ac:dyDescent="0.3">
      <c r="W50" s="23"/>
      <c r="X50" s="23"/>
    </row>
    <row r="51" spans="23:24" x14ac:dyDescent="0.3">
      <c r="W51" s="23"/>
      <c r="X51" s="23"/>
    </row>
    <row r="52" spans="23:24" x14ac:dyDescent="0.3">
      <c r="W52" s="23"/>
      <c r="X52" s="23"/>
    </row>
    <row r="53" spans="23:24" x14ac:dyDescent="0.3">
      <c r="W53" s="23"/>
      <c r="X53" s="23"/>
    </row>
    <row r="54" spans="23:24" x14ac:dyDescent="0.3">
      <c r="W54" s="23"/>
      <c r="X54" s="23"/>
    </row>
    <row r="55" spans="23:24" x14ac:dyDescent="0.3">
      <c r="W55" s="23"/>
      <c r="X55" s="23"/>
    </row>
    <row r="56" spans="23:24" x14ac:dyDescent="0.3">
      <c r="W56" s="23"/>
      <c r="X56" s="23"/>
    </row>
    <row r="57" spans="23:24" x14ac:dyDescent="0.3">
      <c r="W57" s="23"/>
      <c r="X57" s="23"/>
    </row>
    <row r="58" spans="23:24" x14ac:dyDescent="0.3">
      <c r="W58" s="23"/>
      <c r="X58" s="23"/>
    </row>
    <row r="59" spans="23:24" x14ac:dyDescent="0.3">
      <c r="W59" s="23"/>
      <c r="X59" s="23"/>
    </row>
    <row r="60" spans="23:24" x14ac:dyDescent="0.3">
      <c r="W60" s="23"/>
      <c r="X60" s="23"/>
    </row>
    <row r="61" spans="23:24" x14ac:dyDescent="0.3">
      <c r="W61" s="23"/>
      <c r="X61" s="23"/>
    </row>
    <row r="62" spans="23:24" x14ac:dyDescent="0.3">
      <c r="W62" s="23"/>
      <c r="X62" s="23"/>
    </row>
    <row r="63" spans="23:24" x14ac:dyDescent="0.3">
      <c r="W63" s="23"/>
      <c r="X63" s="23"/>
    </row>
    <row r="64" spans="23:24" x14ac:dyDescent="0.3">
      <c r="W64" s="23"/>
      <c r="X64" s="23"/>
    </row>
    <row r="65" spans="23:24" x14ac:dyDescent="0.3">
      <c r="W65" s="23"/>
      <c r="X65" s="23"/>
    </row>
    <row r="66" spans="23:24" x14ac:dyDescent="0.3">
      <c r="W66" s="23"/>
      <c r="X66" s="23"/>
    </row>
  </sheetData>
  <mergeCells count="12">
    <mergeCell ref="BC5:BE5"/>
    <mergeCell ref="BL5:BN5"/>
    <mergeCell ref="BY5:CA5"/>
    <mergeCell ref="CH5:CJ5"/>
    <mergeCell ref="AU4:AW4"/>
    <mergeCell ref="AM3:AO3"/>
    <mergeCell ref="B3:D3"/>
    <mergeCell ref="H3:J3"/>
    <mergeCell ref="M3:O3"/>
    <mergeCell ref="S3:U3"/>
    <mergeCell ref="AB3:AD3"/>
    <mergeCell ref="AG3:A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0DFE-A37D-46C7-B026-BB031C6CAE4A}">
  <sheetPr>
    <tabColor theme="8" tint="0.59999389629810485"/>
  </sheetPr>
  <dimension ref="V5:AA66"/>
  <sheetViews>
    <sheetView showGridLines="0" showRowColHeaders="0" tabSelected="1" zoomScale="90" zoomScaleNormal="90" workbookViewId="0">
      <selection activeCell="AF27" sqref="AF27"/>
    </sheetView>
  </sheetViews>
  <sheetFormatPr defaultRowHeight="14.4" x14ac:dyDescent="0.3"/>
  <cols>
    <col min="35" max="35" width="14.21875" bestFit="1" customWidth="1"/>
    <col min="36" max="36" width="17.33203125" bestFit="1" customWidth="1"/>
  </cols>
  <sheetData>
    <row r="5" spans="22:27" x14ac:dyDescent="0.3">
      <c r="V5" t="s">
        <v>38</v>
      </c>
      <c r="W5" t="s">
        <v>39</v>
      </c>
      <c r="X5" t="s">
        <v>39</v>
      </c>
      <c r="Y5" t="s">
        <v>39</v>
      </c>
      <c r="Z5" t="s">
        <v>39</v>
      </c>
      <c r="AA5" t="s">
        <v>39</v>
      </c>
    </row>
    <row r="6" spans="22:27" x14ac:dyDescent="0.3">
      <c r="W6" s="23">
        <f>_xlfn.NUMBERVALUE(CLEAN(SUBSTITUTE(V6,"$"," ")))</f>
        <v>0</v>
      </c>
      <c r="X6" s="23">
        <f>_xlfn.NUMBERVALUE(CLEAN(SUBSTITUTE(V6,"$"," ")))</f>
        <v>0</v>
      </c>
      <c r="Y6" s="23">
        <f>_xlfn.NUMBERVALUE(CLEAN(SUBSTITUTE(V6,"$"," ")))</f>
        <v>0</v>
      </c>
      <c r="Z6" s="23">
        <f>_xlfn.NUMBERVALUE(CLEAN(SUBSTITUTE(V6,"$"," ")))</f>
        <v>0</v>
      </c>
      <c r="AA6" s="23">
        <f>_xlfn.NUMBERVALUE(CLEAN(SUBSTITUTE(V6,"$"," ")))</f>
        <v>0</v>
      </c>
    </row>
    <row r="7" spans="22:27" x14ac:dyDescent="0.3">
      <c r="W7" s="23">
        <f t="shared" ref="W7:W66" si="0">_xlfn.NUMBERVALUE(CLEAN(SUBSTITUTE(V7,"$"," ")))</f>
        <v>0</v>
      </c>
      <c r="X7" s="23">
        <f t="shared" ref="X7:X66" si="1">_xlfn.NUMBERVALUE(CLEAN(SUBSTITUTE(V7,"$"," ")))</f>
        <v>0</v>
      </c>
      <c r="Y7" s="23" t="e" vm="1">
        <v>#VALUE!</v>
      </c>
      <c r="Z7" s="23">
        <f t="shared" ref="Z7:Z66" si="2">_xlfn.NUMBERVALUE(CLEAN(SUBSTITUTE(V7,"$"," ")))</f>
        <v>0</v>
      </c>
      <c r="AA7" s="23">
        <f t="shared" ref="AA7:AA66" si="3">_xlfn.NUMBERVALUE(CLEAN(SUBSTITUTE(V7,"$"," ")))</f>
        <v>0</v>
      </c>
    </row>
    <row r="8" spans="22:27" x14ac:dyDescent="0.3">
      <c r="W8" s="23">
        <f t="shared" si="0"/>
        <v>0</v>
      </c>
      <c r="X8" s="23">
        <f t="shared" si="1"/>
        <v>0</v>
      </c>
      <c r="Y8" s="23">
        <f t="shared" ref="Y8:Y66" si="4">_xlfn.NUMBERVALUE(CLEAN(SUBSTITUTE(V8,"$"," ")))</f>
        <v>0</v>
      </c>
      <c r="Z8" s="23">
        <f t="shared" si="2"/>
        <v>0</v>
      </c>
      <c r="AA8" s="23">
        <f t="shared" si="3"/>
        <v>0</v>
      </c>
    </row>
    <row r="9" spans="22:27" x14ac:dyDescent="0.3">
      <c r="W9" s="23">
        <f t="shared" si="0"/>
        <v>0</v>
      </c>
      <c r="X9" s="23">
        <f t="shared" si="1"/>
        <v>0</v>
      </c>
      <c r="Y9" s="23">
        <f t="shared" si="4"/>
        <v>0</v>
      </c>
      <c r="Z9" s="23">
        <f t="shared" si="2"/>
        <v>0</v>
      </c>
      <c r="AA9" s="23">
        <f t="shared" si="3"/>
        <v>0</v>
      </c>
    </row>
    <row r="10" spans="22:27" x14ac:dyDescent="0.3">
      <c r="W10" s="23">
        <f t="shared" si="0"/>
        <v>0</v>
      </c>
      <c r="X10" s="23">
        <f t="shared" si="1"/>
        <v>0</v>
      </c>
      <c r="Y10" s="23">
        <f t="shared" si="4"/>
        <v>0</v>
      </c>
      <c r="Z10" s="23">
        <f t="shared" si="2"/>
        <v>0</v>
      </c>
      <c r="AA10" s="23">
        <f t="shared" si="3"/>
        <v>0</v>
      </c>
    </row>
    <row r="11" spans="22:27" x14ac:dyDescent="0.3">
      <c r="W11" s="23">
        <f t="shared" si="0"/>
        <v>0</v>
      </c>
      <c r="X11" s="23">
        <f t="shared" si="1"/>
        <v>0</v>
      </c>
      <c r="Y11" s="23">
        <f t="shared" si="4"/>
        <v>0</v>
      </c>
      <c r="Z11" s="23">
        <f t="shared" si="2"/>
        <v>0</v>
      </c>
      <c r="AA11" s="23">
        <f t="shared" si="3"/>
        <v>0</v>
      </c>
    </row>
    <row r="12" spans="22:27" x14ac:dyDescent="0.3">
      <c r="W12" s="23">
        <f t="shared" si="0"/>
        <v>0</v>
      </c>
      <c r="X12" s="23">
        <f t="shared" si="1"/>
        <v>0</v>
      </c>
      <c r="Y12" s="23">
        <f t="shared" si="4"/>
        <v>0</v>
      </c>
      <c r="Z12" s="23">
        <f t="shared" si="2"/>
        <v>0</v>
      </c>
      <c r="AA12" s="23">
        <f t="shared" si="3"/>
        <v>0</v>
      </c>
    </row>
    <row r="13" spans="22:27" x14ac:dyDescent="0.3">
      <c r="W13" s="23">
        <f t="shared" si="0"/>
        <v>0</v>
      </c>
      <c r="X13" s="23">
        <f t="shared" si="1"/>
        <v>0</v>
      </c>
      <c r="Y13" s="23">
        <f t="shared" si="4"/>
        <v>0</v>
      </c>
      <c r="Z13" s="23">
        <f t="shared" si="2"/>
        <v>0</v>
      </c>
      <c r="AA13" s="23">
        <f t="shared" si="3"/>
        <v>0</v>
      </c>
    </row>
    <row r="14" spans="22:27" x14ac:dyDescent="0.3">
      <c r="W14" s="23">
        <f t="shared" si="0"/>
        <v>0</v>
      </c>
      <c r="X14" s="23">
        <f t="shared" si="1"/>
        <v>0</v>
      </c>
      <c r="Y14" s="23">
        <f t="shared" si="4"/>
        <v>0</v>
      </c>
      <c r="Z14" s="23">
        <f t="shared" si="2"/>
        <v>0</v>
      </c>
      <c r="AA14" s="23">
        <f t="shared" si="3"/>
        <v>0</v>
      </c>
    </row>
    <row r="15" spans="22:27" x14ac:dyDescent="0.3">
      <c r="W15" s="23">
        <f t="shared" si="0"/>
        <v>0</v>
      </c>
      <c r="X15" s="23">
        <f t="shared" si="1"/>
        <v>0</v>
      </c>
      <c r="Y15" s="23">
        <f t="shared" si="4"/>
        <v>0</v>
      </c>
      <c r="Z15" s="23">
        <f t="shared" si="2"/>
        <v>0</v>
      </c>
      <c r="AA15" s="23">
        <f t="shared" si="3"/>
        <v>0</v>
      </c>
    </row>
    <row r="16" spans="22:27" x14ac:dyDescent="0.3">
      <c r="W16" s="23">
        <f t="shared" si="0"/>
        <v>0</v>
      </c>
      <c r="X16" s="23">
        <f t="shared" si="1"/>
        <v>0</v>
      </c>
      <c r="Y16" s="23">
        <f t="shared" si="4"/>
        <v>0</v>
      </c>
      <c r="Z16" s="23">
        <f t="shared" si="2"/>
        <v>0</v>
      </c>
      <c r="AA16" s="23">
        <f t="shared" si="3"/>
        <v>0</v>
      </c>
    </row>
    <row r="17" spans="23:27" x14ac:dyDescent="0.3">
      <c r="W17" s="23">
        <f t="shared" si="0"/>
        <v>0</v>
      </c>
      <c r="X17" s="23">
        <f t="shared" si="1"/>
        <v>0</v>
      </c>
      <c r="Y17" s="23">
        <f t="shared" si="4"/>
        <v>0</v>
      </c>
      <c r="Z17" s="23">
        <f t="shared" si="2"/>
        <v>0</v>
      </c>
      <c r="AA17" s="23">
        <f t="shared" si="3"/>
        <v>0</v>
      </c>
    </row>
    <row r="18" spans="23:27" x14ac:dyDescent="0.3">
      <c r="W18" s="23">
        <f t="shared" si="0"/>
        <v>0</v>
      </c>
      <c r="X18" s="23">
        <f t="shared" si="1"/>
        <v>0</v>
      </c>
      <c r="Y18" s="23">
        <f t="shared" si="4"/>
        <v>0</v>
      </c>
      <c r="Z18" s="23">
        <f t="shared" si="2"/>
        <v>0</v>
      </c>
      <c r="AA18" s="23">
        <f t="shared" si="3"/>
        <v>0</v>
      </c>
    </row>
    <row r="19" spans="23:27" x14ac:dyDescent="0.3">
      <c r="W19" s="23">
        <f t="shared" si="0"/>
        <v>0</v>
      </c>
      <c r="X19" s="23">
        <f t="shared" si="1"/>
        <v>0</v>
      </c>
      <c r="Y19" s="23">
        <f t="shared" si="4"/>
        <v>0</v>
      </c>
      <c r="Z19" s="23">
        <f t="shared" si="2"/>
        <v>0</v>
      </c>
      <c r="AA19" s="23">
        <f t="shared" si="3"/>
        <v>0</v>
      </c>
    </row>
    <row r="20" spans="23:27" x14ac:dyDescent="0.3">
      <c r="W20" s="23">
        <f t="shared" si="0"/>
        <v>0</v>
      </c>
      <c r="X20" s="23">
        <f t="shared" si="1"/>
        <v>0</v>
      </c>
      <c r="Y20" s="23">
        <f t="shared" si="4"/>
        <v>0</v>
      </c>
      <c r="Z20" s="23">
        <f t="shared" si="2"/>
        <v>0</v>
      </c>
      <c r="AA20" s="23">
        <f t="shared" si="3"/>
        <v>0</v>
      </c>
    </row>
    <row r="21" spans="23:27" x14ac:dyDescent="0.3">
      <c r="W21" s="23">
        <f t="shared" si="0"/>
        <v>0</v>
      </c>
      <c r="X21" s="23">
        <f t="shared" si="1"/>
        <v>0</v>
      </c>
      <c r="Y21" s="23">
        <f t="shared" si="4"/>
        <v>0</v>
      </c>
      <c r="Z21" s="23">
        <f t="shared" si="2"/>
        <v>0</v>
      </c>
      <c r="AA21" s="23">
        <f t="shared" si="3"/>
        <v>0</v>
      </c>
    </row>
    <row r="22" spans="23:27" x14ac:dyDescent="0.3">
      <c r="W22" s="23">
        <f t="shared" si="0"/>
        <v>0</v>
      </c>
      <c r="X22" s="23">
        <f t="shared" si="1"/>
        <v>0</v>
      </c>
      <c r="Y22" s="23">
        <f t="shared" si="4"/>
        <v>0</v>
      </c>
      <c r="Z22" s="23">
        <f t="shared" si="2"/>
        <v>0</v>
      </c>
      <c r="AA22" s="23">
        <f t="shared" si="3"/>
        <v>0</v>
      </c>
    </row>
    <row r="23" spans="23:27" x14ac:dyDescent="0.3">
      <c r="W23" s="23">
        <f t="shared" si="0"/>
        <v>0</v>
      </c>
      <c r="X23" s="23">
        <f t="shared" si="1"/>
        <v>0</v>
      </c>
      <c r="Y23" s="23">
        <f t="shared" si="4"/>
        <v>0</v>
      </c>
      <c r="Z23" s="23">
        <f t="shared" si="2"/>
        <v>0</v>
      </c>
      <c r="AA23" s="23">
        <f t="shared" si="3"/>
        <v>0</v>
      </c>
    </row>
    <row r="24" spans="23:27" x14ac:dyDescent="0.3">
      <c r="W24" s="23">
        <f t="shared" si="0"/>
        <v>0</v>
      </c>
      <c r="X24" s="23">
        <f t="shared" si="1"/>
        <v>0</v>
      </c>
      <c r="Y24" s="23">
        <f t="shared" si="4"/>
        <v>0</v>
      </c>
      <c r="Z24" s="23">
        <f t="shared" si="2"/>
        <v>0</v>
      </c>
      <c r="AA24" s="23">
        <f t="shared" si="3"/>
        <v>0</v>
      </c>
    </row>
    <row r="25" spans="23:27" x14ac:dyDescent="0.3">
      <c r="W25" s="23">
        <f t="shared" si="0"/>
        <v>0</v>
      </c>
      <c r="X25" s="23">
        <f t="shared" si="1"/>
        <v>0</v>
      </c>
      <c r="Y25" s="23">
        <f t="shared" si="4"/>
        <v>0</v>
      </c>
      <c r="Z25" s="23">
        <f t="shared" si="2"/>
        <v>0</v>
      </c>
      <c r="AA25" s="23">
        <f t="shared" si="3"/>
        <v>0</v>
      </c>
    </row>
    <row r="26" spans="23:27" x14ac:dyDescent="0.3">
      <c r="W26" s="23">
        <f t="shared" si="0"/>
        <v>0</v>
      </c>
      <c r="X26" s="23">
        <f t="shared" si="1"/>
        <v>0</v>
      </c>
      <c r="Y26" s="23">
        <f t="shared" si="4"/>
        <v>0</v>
      </c>
      <c r="Z26" s="23">
        <f t="shared" si="2"/>
        <v>0</v>
      </c>
      <c r="AA26" s="23">
        <f t="shared" si="3"/>
        <v>0</v>
      </c>
    </row>
    <row r="27" spans="23:27" x14ac:dyDescent="0.3">
      <c r="W27" s="23">
        <f t="shared" si="0"/>
        <v>0</v>
      </c>
      <c r="X27" s="23">
        <f t="shared" si="1"/>
        <v>0</v>
      </c>
      <c r="Y27" s="23">
        <f t="shared" si="4"/>
        <v>0</v>
      </c>
      <c r="Z27" s="23">
        <f t="shared" si="2"/>
        <v>0</v>
      </c>
      <c r="AA27" s="23">
        <f t="shared" si="3"/>
        <v>0</v>
      </c>
    </row>
    <row r="28" spans="23:27" x14ac:dyDescent="0.3">
      <c r="W28" s="23">
        <f t="shared" si="0"/>
        <v>0</v>
      </c>
      <c r="X28" s="23">
        <f t="shared" si="1"/>
        <v>0</v>
      </c>
      <c r="Y28" s="23">
        <f t="shared" si="4"/>
        <v>0</v>
      </c>
      <c r="Z28" s="23">
        <f t="shared" si="2"/>
        <v>0</v>
      </c>
      <c r="AA28" s="23">
        <f t="shared" si="3"/>
        <v>0</v>
      </c>
    </row>
    <row r="29" spans="23:27" x14ac:dyDescent="0.3">
      <c r="W29" s="23">
        <f t="shared" si="0"/>
        <v>0</v>
      </c>
      <c r="X29" s="23">
        <f t="shared" si="1"/>
        <v>0</v>
      </c>
      <c r="Y29" s="23">
        <f t="shared" si="4"/>
        <v>0</v>
      </c>
      <c r="Z29" s="23">
        <f t="shared" si="2"/>
        <v>0</v>
      </c>
      <c r="AA29" s="23">
        <f t="shared" si="3"/>
        <v>0</v>
      </c>
    </row>
    <row r="30" spans="23:27" x14ac:dyDescent="0.3">
      <c r="W30" s="23">
        <f t="shared" si="0"/>
        <v>0</v>
      </c>
      <c r="X30" s="23">
        <f t="shared" si="1"/>
        <v>0</v>
      </c>
      <c r="Y30" s="23">
        <f t="shared" si="4"/>
        <v>0</v>
      </c>
      <c r="Z30" s="23">
        <f t="shared" si="2"/>
        <v>0</v>
      </c>
      <c r="AA30" s="23">
        <f t="shared" si="3"/>
        <v>0</v>
      </c>
    </row>
    <row r="31" spans="23:27" x14ac:dyDescent="0.3">
      <c r="W31" s="23">
        <f t="shared" si="0"/>
        <v>0</v>
      </c>
      <c r="X31" s="23">
        <f t="shared" si="1"/>
        <v>0</v>
      </c>
      <c r="Y31" s="23">
        <f t="shared" si="4"/>
        <v>0</v>
      </c>
      <c r="Z31" s="23">
        <f t="shared" si="2"/>
        <v>0</v>
      </c>
      <c r="AA31" s="23">
        <f t="shared" si="3"/>
        <v>0</v>
      </c>
    </row>
    <row r="32" spans="23:27" x14ac:dyDescent="0.3">
      <c r="W32" s="23">
        <f t="shared" si="0"/>
        <v>0</v>
      </c>
      <c r="X32" s="23">
        <f t="shared" si="1"/>
        <v>0</v>
      </c>
      <c r="Y32" s="23">
        <f t="shared" si="4"/>
        <v>0</v>
      </c>
      <c r="Z32" s="23">
        <f t="shared" si="2"/>
        <v>0</v>
      </c>
      <c r="AA32" s="23">
        <f t="shared" si="3"/>
        <v>0</v>
      </c>
    </row>
    <row r="33" spans="23:27" x14ac:dyDescent="0.3">
      <c r="W33" s="23">
        <f t="shared" si="0"/>
        <v>0</v>
      </c>
      <c r="X33" s="23">
        <f t="shared" si="1"/>
        <v>0</v>
      </c>
      <c r="Y33" s="23">
        <f t="shared" si="4"/>
        <v>0</v>
      </c>
      <c r="Z33" s="23">
        <f t="shared" si="2"/>
        <v>0</v>
      </c>
      <c r="AA33" s="23">
        <f t="shared" si="3"/>
        <v>0</v>
      </c>
    </row>
    <row r="34" spans="23:27" x14ac:dyDescent="0.3">
      <c r="W34" s="23">
        <f t="shared" si="0"/>
        <v>0</v>
      </c>
      <c r="X34" s="23">
        <f t="shared" si="1"/>
        <v>0</v>
      </c>
      <c r="Y34" s="23">
        <f t="shared" si="4"/>
        <v>0</v>
      </c>
      <c r="Z34" s="23">
        <f t="shared" si="2"/>
        <v>0</v>
      </c>
      <c r="AA34" s="23">
        <f t="shared" si="3"/>
        <v>0</v>
      </c>
    </row>
    <row r="35" spans="23:27" x14ac:dyDescent="0.3">
      <c r="W35" s="23">
        <f t="shared" si="0"/>
        <v>0</v>
      </c>
      <c r="X35" s="23">
        <f t="shared" si="1"/>
        <v>0</v>
      </c>
      <c r="Y35" s="23">
        <f t="shared" si="4"/>
        <v>0</v>
      </c>
      <c r="Z35" s="23">
        <f t="shared" si="2"/>
        <v>0</v>
      </c>
      <c r="AA35" s="23">
        <f t="shared" si="3"/>
        <v>0</v>
      </c>
    </row>
    <row r="36" spans="23:27" x14ac:dyDescent="0.3">
      <c r="W36" s="23">
        <f t="shared" si="0"/>
        <v>0</v>
      </c>
      <c r="X36" s="23">
        <f t="shared" si="1"/>
        <v>0</v>
      </c>
      <c r="Y36" s="23">
        <f t="shared" si="4"/>
        <v>0</v>
      </c>
      <c r="Z36" s="23">
        <f t="shared" si="2"/>
        <v>0</v>
      </c>
      <c r="AA36" s="23">
        <f t="shared" si="3"/>
        <v>0</v>
      </c>
    </row>
    <row r="37" spans="23:27" x14ac:dyDescent="0.3">
      <c r="W37" s="23">
        <f t="shared" si="0"/>
        <v>0</v>
      </c>
      <c r="X37" s="23">
        <f t="shared" si="1"/>
        <v>0</v>
      </c>
      <c r="Y37" s="23">
        <f t="shared" si="4"/>
        <v>0</v>
      </c>
      <c r="Z37" s="23">
        <f t="shared" si="2"/>
        <v>0</v>
      </c>
      <c r="AA37" s="23">
        <f t="shared" si="3"/>
        <v>0</v>
      </c>
    </row>
    <row r="38" spans="23:27" x14ac:dyDescent="0.3">
      <c r="W38" s="23">
        <f t="shared" si="0"/>
        <v>0</v>
      </c>
      <c r="X38" s="23">
        <f t="shared" si="1"/>
        <v>0</v>
      </c>
      <c r="Y38" s="23">
        <f t="shared" si="4"/>
        <v>0</v>
      </c>
      <c r="Z38" s="23">
        <f t="shared" si="2"/>
        <v>0</v>
      </c>
      <c r="AA38" s="23">
        <f t="shared" si="3"/>
        <v>0</v>
      </c>
    </row>
    <row r="39" spans="23:27" x14ac:dyDescent="0.3">
      <c r="W39" s="23">
        <f t="shared" si="0"/>
        <v>0</v>
      </c>
      <c r="X39" s="23">
        <f t="shared" si="1"/>
        <v>0</v>
      </c>
      <c r="Y39" s="23">
        <f t="shared" si="4"/>
        <v>0</v>
      </c>
      <c r="Z39" s="23">
        <f t="shared" si="2"/>
        <v>0</v>
      </c>
      <c r="AA39" s="23">
        <f t="shared" si="3"/>
        <v>0</v>
      </c>
    </row>
    <row r="40" spans="23:27" x14ac:dyDescent="0.3">
      <c r="W40" s="23">
        <f t="shared" si="0"/>
        <v>0</v>
      </c>
      <c r="X40" s="23">
        <f t="shared" si="1"/>
        <v>0</v>
      </c>
      <c r="Y40" s="23">
        <f t="shared" si="4"/>
        <v>0</v>
      </c>
      <c r="Z40" s="23">
        <f t="shared" si="2"/>
        <v>0</v>
      </c>
      <c r="AA40" s="23">
        <f t="shared" si="3"/>
        <v>0</v>
      </c>
    </row>
    <row r="41" spans="23:27" x14ac:dyDescent="0.3">
      <c r="W41" s="23">
        <f t="shared" si="0"/>
        <v>0</v>
      </c>
      <c r="X41" s="23">
        <f t="shared" si="1"/>
        <v>0</v>
      </c>
      <c r="Y41" s="23">
        <f t="shared" si="4"/>
        <v>0</v>
      </c>
      <c r="Z41" s="23">
        <f t="shared" si="2"/>
        <v>0</v>
      </c>
      <c r="AA41" s="23">
        <f t="shared" si="3"/>
        <v>0</v>
      </c>
    </row>
    <row r="42" spans="23:27" x14ac:dyDescent="0.3">
      <c r="W42" s="23">
        <f t="shared" si="0"/>
        <v>0</v>
      </c>
      <c r="X42" s="23">
        <f t="shared" si="1"/>
        <v>0</v>
      </c>
      <c r="Y42" s="23">
        <f t="shared" si="4"/>
        <v>0</v>
      </c>
      <c r="Z42" s="23">
        <f t="shared" si="2"/>
        <v>0</v>
      </c>
      <c r="AA42" s="23">
        <f t="shared" si="3"/>
        <v>0</v>
      </c>
    </row>
    <row r="43" spans="23:27" x14ac:dyDescent="0.3">
      <c r="W43" s="23">
        <f t="shared" si="0"/>
        <v>0</v>
      </c>
      <c r="X43" s="23">
        <f t="shared" si="1"/>
        <v>0</v>
      </c>
      <c r="Y43" s="23">
        <f t="shared" si="4"/>
        <v>0</v>
      </c>
      <c r="Z43" s="23">
        <f t="shared" si="2"/>
        <v>0</v>
      </c>
      <c r="AA43" s="23">
        <f t="shared" si="3"/>
        <v>0</v>
      </c>
    </row>
    <row r="44" spans="23:27" x14ac:dyDescent="0.3">
      <c r="W44" s="23">
        <f t="shared" si="0"/>
        <v>0</v>
      </c>
      <c r="X44" s="23">
        <f t="shared" si="1"/>
        <v>0</v>
      </c>
      <c r="Y44" s="23">
        <f t="shared" si="4"/>
        <v>0</v>
      </c>
      <c r="Z44" s="23">
        <f t="shared" si="2"/>
        <v>0</v>
      </c>
      <c r="AA44" s="23">
        <f t="shared" si="3"/>
        <v>0</v>
      </c>
    </row>
    <row r="45" spans="23:27" x14ac:dyDescent="0.3">
      <c r="W45" s="23">
        <f t="shared" si="0"/>
        <v>0</v>
      </c>
      <c r="X45" s="23">
        <f t="shared" si="1"/>
        <v>0</v>
      </c>
      <c r="Y45" s="23">
        <f t="shared" si="4"/>
        <v>0</v>
      </c>
      <c r="Z45" s="23">
        <f t="shared" si="2"/>
        <v>0</v>
      </c>
      <c r="AA45" s="23">
        <f t="shared" si="3"/>
        <v>0</v>
      </c>
    </row>
    <row r="46" spans="23:27" x14ac:dyDescent="0.3">
      <c r="W46" s="23">
        <f t="shared" si="0"/>
        <v>0</v>
      </c>
      <c r="X46" s="23">
        <f t="shared" si="1"/>
        <v>0</v>
      </c>
      <c r="Y46" s="23">
        <f t="shared" si="4"/>
        <v>0</v>
      </c>
      <c r="Z46" s="23">
        <f t="shared" si="2"/>
        <v>0</v>
      </c>
      <c r="AA46" s="23">
        <f t="shared" si="3"/>
        <v>0</v>
      </c>
    </row>
    <row r="47" spans="23:27" x14ac:dyDescent="0.3">
      <c r="W47" s="23">
        <f t="shared" si="0"/>
        <v>0</v>
      </c>
      <c r="X47" s="23">
        <f t="shared" si="1"/>
        <v>0</v>
      </c>
      <c r="Y47" s="23">
        <f t="shared" si="4"/>
        <v>0</v>
      </c>
      <c r="Z47" s="23">
        <f t="shared" si="2"/>
        <v>0</v>
      </c>
      <c r="AA47" s="23">
        <f t="shared" si="3"/>
        <v>0</v>
      </c>
    </row>
    <row r="48" spans="23:27" x14ac:dyDescent="0.3">
      <c r="W48" s="23">
        <f t="shared" si="0"/>
        <v>0</v>
      </c>
      <c r="X48" s="23">
        <f t="shared" si="1"/>
        <v>0</v>
      </c>
      <c r="Y48" s="23">
        <f t="shared" si="4"/>
        <v>0</v>
      </c>
      <c r="Z48" s="23">
        <f t="shared" si="2"/>
        <v>0</v>
      </c>
      <c r="AA48" s="23">
        <f t="shared" si="3"/>
        <v>0</v>
      </c>
    </row>
    <row r="49" spans="23:27" x14ac:dyDescent="0.3">
      <c r="W49" s="23">
        <f t="shared" si="0"/>
        <v>0</v>
      </c>
      <c r="X49" s="23">
        <f t="shared" si="1"/>
        <v>0</v>
      </c>
      <c r="Y49" s="23">
        <f t="shared" si="4"/>
        <v>0</v>
      </c>
      <c r="Z49" s="23">
        <f t="shared" si="2"/>
        <v>0</v>
      </c>
      <c r="AA49" s="23">
        <f t="shared" si="3"/>
        <v>0</v>
      </c>
    </row>
    <row r="50" spans="23:27" x14ac:dyDescent="0.3">
      <c r="W50" s="23">
        <f t="shared" si="0"/>
        <v>0</v>
      </c>
      <c r="X50" s="23">
        <f t="shared" si="1"/>
        <v>0</v>
      </c>
      <c r="Y50" s="23">
        <f t="shared" si="4"/>
        <v>0</v>
      </c>
      <c r="Z50" s="23">
        <f t="shared" si="2"/>
        <v>0</v>
      </c>
      <c r="AA50" s="23">
        <f t="shared" si="3"/>
        <v>0</v>
      </c>
    </row>
    <row r="51" spans="23:27" x14ac:dyDescent="0.3">
      <c r="W51" s="23">
        <f t="shared" si="0"/>
        <v>0</v>
      </c>
      <c r="X51" s="23">
        <f t="shared" si="1"/>
        <v>0</v>
      </c>
      <c r="Y51" s="23">
        <f t="shared" si="4"/>
        <v>0</v>
      </c>
      <c r="Z51" s="23">
        <f t="shared" si="2"/>
        <v>0</v>
      </c>
      <c r="AA51" s="23">
        <f t="shared" si="3"/>
        <v>0</v>
      </c>
    </row>
    <row r="52" spans="23:27" x14ac:dyDescent="0.3">
      <c r="W52" s="23">
        <f t="shared" si="0"/>
        <v>0</v>
      </c>
      <c r="X52" s="23">
        <f t="shared" si="1"/>
        <v>0</v>
      </c>
      <c r="Y52" s="23">
        <f t="shared" si="4"/>
        <v>0</v>
      </c>
      <c r="Z52" s="23">
        <f t="shared" si="2"/>
        <v>0</v>
      </c>
      <c r="AA52" s="23">
        <f t="shared" si="3"/>
        <v>0</v>
      </c>
    </row>
    <row r="53" spans="23:27" x14ac:dyDescent="0.3">
      <c r="W53" s="23">
        <f t="shared" si="0"/>
        <v>0</v>
      </c>
      <c r="X53" s="23">
        <f t="shared" si="1"/>
        <v>0</v>
      </c>
      <c r="Y53" s="23">
        <f t="shared" si="4"/>
        <v>0</v>
      </c>
      <c r="Z53" s="23">
        <f t="shared" si="2"/>
        <v>0</v>
      </c>
      <c r="AA53" s="23">
        <f t="shared" si="3"/>
        <v>0</v>
      </c>
    </row>
    <row r="54" spans="23:27" x14ac:dyDescent="0.3">
      <c r="W54" s="23">
        <f t="shared" si="0"/>
        <v>0</v>
      </c>
      <c r="X54" s="23">
        <f t="shared" si="1"/>
        <v>0</v>
      </c>
      <c r="Y54" s="23">
        <f t="shared" si="4"/>
        <v>0</v>
      </c>
      <c r="Z54" s="23">
        <f t="shared" si="2"/>
        <v>0</v>
      </c>
      <c r="AA54" s="23">
        <f t="shared" si="3"/>
        <v>0</v>
      </c>
    </row>
    <row r="55" spans="23:27" x14ac:dyDescent="0.3">
      <c r="W55" s="23">
        <f t="shared" si="0"/>
        <v>0</v>
      </c>
      <c r="X55" s="23">
        <f t="shared" si="1"/>
        <v>0</v>
      </c>
      <c r="Y55" s="23">
        <f t="shared" si="4"/>
        <v>0</v>
      </c>
      <c r="Z55" s="23">
        <f t="shared" si="2"/>
        <v>0</v>
      </c>
      <c r="AA55" s="23">
        <f t="shared" si="3"/>
        <v>0</v>
      </c>
    </row>
    <row r="56" spans="23:27" x14ac:dyDescent="0.3">
      <c r="W56" s="23">
        <f t="shared" si="0"/>
        <v>0</v>
      </c>
      <c r="X56" s="23">
        <f t="shared" si="1"/>
        <v>0</v>
      </c>
      <c r="Y56" s="23">
        <f t="shared" si="4"/>
        <v>0</v>
      </c>
      <c r="Z56" s="23">
        <f t="shared" si="2"/>
        <v>0</v>
      </c>
      <c r="AA56" s="23">
        <f t="shared" si="3"/>
        <v>0</v>
      </c>
    </row>
    <row r="57" spans="23:27" x14ac:dyDescent="0.3">
      <c r="W57" s="23">
        <f t="shared" si="0"/>
        <v>0</v>
      </c>
      <c r="X57" s="23">
        <f t="shared" si="1"/>
        <v>0</v>
      </c>
      <c r="Y57" s="23">
        <f t="shared" si="4"/>
        <v>0</v>
      </c>
      <c r="Z57" s="23">
        <f t="shared" si="2"/>
        <v>0</v>
      </c>
      <c r="AA57" s="23">
        <f t="shared" si="3"/>
        <v>0</v>
      </c>
    </row>
    <row r="58" spans="23:27" x14ac:dyDescent="0.3">
      <c r="W58" s="23">
        <f t="shared" si="0"/>
        <v>0</v>
      </c>
      <c r="X58" s="23">
        <f t="shared" si="1"/>
        <v>0</v>
      </c>
      <c r="Y58" s="23">
        <f t="shared" si="4"/>
        <v>0</v>
      </c>
      <c r="Z58" s="23">
        <f t="shared" si="2"/>
        <v>0</v>
      </c>
      <c r="AA58" s="23">
        <f t="shared" si="3"/>
        <v>0</v>
      </c>
    </row>
    <row r="59" spans="23:27" x14ac:dyDescent="0.3">
      <c r="W59" s="23">
        <f t="shared" si="0"/>
        <v>0</v>
      </c>
      <c r="X59" s="23">
        <f t="shared" si="1"/>
        <v>0</v>
      </c>
      <c r="Y59" s="23">
        <f t="shared" si="4"/>
        <v>0</v>
      </c>
      <c r="Z59" s="23">
        <f t="shared" si="2"/>
        <v>0</v>
      </c>
      <c r="AA59" s="23">
        <f t="shared" si="3"/>
        <v>0</v>
      </c>
    </row>
    <row r="60" spans="23:27" x14ac:dyDescent="0.3">
      <c r="W60" s="23">
        <f t="shared" si="0"/>
        <v>0</v>
      </c>
      <c r="X60" s="23">
        <f t="shared" si="1"/>
        <v>0</v>
      </c>
      <c r="Y60" s="23">
        <f t="shared" si="4"/>
        <v>0</v>
      </c>
      <c r="Z60" s="23">
        <f t="shared" si="2"/>
        <v>0</v>
      </c>
      <c r="AA60" s="23">
        <f t="shared" si="3"/>
        <v>0</v>
      </c>
    </row>
    <row r="61" spans="23:27" x14ac:dyDescent="0.3">
      <c r="W61" s="23">
        <f t="shared" si="0"/>
        <v>0</v>
      </c>
      <c r="X61" s="23">
        <f t="shared" si="1"/>
        <v>0</v>
      </c>
      <c r="Y61" s="23">
        <f t="shared" si="4"/>
        <v>0</v>
      </c>
      <c r="Z61" s="23">
        <f t="shared" si="2"/>
        <v>0</v>
      </c>
      <c r="AA61" s="23">
        <f t="shared" si="3"/>
        <v>0</v>
      </c>
    </row>
    <row r="62" spans="23:27" x14ac:dyDescent="0.3">
      <c r="W62" s="23">
        <f t="shared" si="0"/>
        <v>0</v>
      </c>
      <c r="X62" s="23">
        <f t="shared" si="1"/>
        <v>0</v>
      </c>
      <c r="Y62" s="23">
        <f t="shared" si="4"/>
        <v>0</v>
      </c>
      <c r="Z62" s="23">
        <f t="shared" si="2"/>
        <v>0</v>
      </c>
      <c r="AA62" s="23">
        <f t="shared" si="3"/>
        <v>0</v>
      </c>
    </row>
    <row r="63" spans="23:27" x14ac:dyDescent="0.3">
      <c r="W63" s="23">
        <f t="shared" si="0"/>
        <v>0</v>
      </c>
      <c r="X63" s="23">
        <f t="shared" si="1"/>
        <v>0</v>
      </c>
      <c r="Y63" s="23">
        <f t="shared" si="4"/>
        <v>0</v>
      </c>
      <c r="Z63" s="23">
        <f t="shared" si="2"/>
        <v>0</v>
      </c>
      <c r="AA63" s="23">
        <f t="shared" si="3"/>
        <v>0</v>
      </c>
    </row>
    <row r="64" spans="23:27" x14ac:dyDescent="0.3">
      <c r="W64" s="23">
        <f t="shared" si="0"/>
        <v>0</v>
      </c>
      <c r="X64" s="23">
        <f t="shared" si="1"/>
        <v>0</v>
      </c>
      <c r="Y64" s="23">
        <f t="shared" si="4"/>
        <v>0</v>
      </c>
      <c r="Z64" s="23">
        <f t="shared" si="2"/>
        <v>0</v>
      </c>
      <c r="AA64" s="23">
        <f t="shared" si="3"/>
        <v>0</v>
      </c>
    </row>
    <row r="65" spans="23:27" x14ac:dyDescent="0.3">
      <c r="W65" s="23">
        <f t="shared" si="0"/>
        <v>0</v>
      </c>
      <c r="X65" s="23">
        <f t="shared" si="1"/>
        <v>0</v>
      </c>
      <c r="Y65" s="23">
        <f t="shared" si="4"/>
        <v>0</v>
      </c>
      <c r="Z65" s="23">
        <f t="shared" si="2"/>
        <v>0</v>
      </c>
      <c r="AA65" s="23">
        <f t="shared" si="3"/>
        <v>0</v>
      </c>
    </row>
    <row r="66" spans="23:27" x14ac:dyDescent="0.3">
      <c r="W66" s="23">
        <f t="shared" si="0"/>
        <v>0</v>
      </c>
      <c r="X66" s="23">
        <f t="shared" si="1"/>
        <v>0</v>
      </c>
      <c r="Y66" s="23">
        <f t="shared" si="4"/>
        <v>0</v>
      </c>
      <c r="Z66" s="23">
        <f t="shared" si="2"/>
        <v>0</v>
      </c>
      <c r="AA66" s="23">
        <f t="shared" si="3"/>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Kumhar</dc:creator>
  <cp:lastModifiedBy>Rahul Kumhar</cp:lastModifiedBy>
  <dcterms:created xsi:type="dcterms:W3CDTF">2024-06-14T04:58:19Z</dcterms:created>
  <dcterms:modified xsi:type="dcterms:W3CDTF">2024-06-17T10:36:59Z</dcterms:modified>
</cp:coreProperties>
</file>