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Summer - 24/FIN-6322/Chapter 10/"/>
    </mc:Choice>
  </mc:AlternateContent>
  <xr:revisionPtr revIDLastSave="431" documentId="11_F25DC773A252ABDACC1048F6399F61A85BDE58EF" xr6:coauthVersionLast="47" xr6:coauthVersionMax="47" xr10:uidLastSave="{B5480DCC-EF87-49E3-B4AC-BAC6F1A459FA}"/>
  <bookViews>
    <workbookView xWindow="-110" yWindow="-110" windowWidth="19420" windowHeight="10300" firstSheet="2" activeTab="6" xr2:uid="{00000000-000D-0000-FFFF-FFFF00000000}"/>
  </bookViews>
  <sheets>
    <sheet name="Sheet1" sheetId="1" r:id="rId1"/>
    <sheet name="Direct Capitalization" sheetId="9" r:id="rId2"/>
    <sheet name="Ex 10-8" sheetId="2" r:id="rId3"/>
    <sheet name="GIM" sheetId="7" r:id="rId4"/>
    <sheet name="Cash flow" sheetId="3" r:id="rId5"/>
    <sheet name="highest and best" sheetId="5" r:id="rId6"/>
    <sheet name="Mortgage Eq Ca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5" l="1"/>
  <c r="E5" i="9"/>
  <c r="C26" i="5"/>
  <c r="D26" i="3"/>
  <c r="C74" i="8" l="1"/>
  <c r="C73" i="8"/>
  <c r="C72" i="8"/>
  <c r="C68" i="8"/>
  <c r="C67" i="8"/>
  <c r="C66" i="8"/>
  <c r="C62" i="8"/>
  <c r="E56" i="8"/>
  <c r="F56" i="8"/>
  <c r="G56" i="8"/>
  <c r="H56" i="8"/>
  <c r="D56" i="8"/>
  <c r="H54" i="8"/>
  <c r="H53" i="8"/>
  <c r="E51" i="8"/>
  <c r="F51" i="8"/>
  <c r="G51" i="8"/>
  <c r="H51" i="8"/>
  <c r="D51" i="8"/>
  <c r="F49" i="8"/>
  <c r="G49" i="8" s="1"/>
  <c r="H49" i="8" s="1"/>
  <c r="I49" i="8" s="1"/>
  <c r="E49" i="8"/>
  <c r="D49" i="8"/>
  <c r="C45" i="8"/>
  <c r="C44" i="8"/>
  <c r="C39" i="8"/>
  <c r="C37" i="8"/>
  <c r="C36" i="8"/>
  <c r="C31" i="8"/>
  <c r="C29" i="8"/>
  <c r="B28" i="8"/>
  <c r="C27" i="8"/>
  <c r="C26" i="8"/>
  <c r="C23" i="8"/>
  <c r="C21" i="8"/>
  <c r="C20" i="8"/>
  <c r="C19" i="8"/>
  <c r="F22" i="7" l="1"/>
  <c r="H22" i="7"/>
  <c r="F17" i="7"/>
  <c r="G17" i="7"/>
  <c r="E17" i="7"/>
  <c r="H13" i="7"/>
  <c r="H12" i="7"/>
  <c r="E13" i="7"/>
  <c r="G13" i="7" s="1"/>
  <c r="E12" i="7"/>
  <c r="G12" i="7" s="1"/>
  <c r="C29" i="5"/>
  <c r="C27" i="5"/>
  <c r="C25" i="5"/>
  <c r="I27" i="5"/>
  <c r="G27" i="5"/>
  <c r="E27" i="5"/>
  <c r="I25" i="5"/>
  <c r="G25" i="5"/>
  <c r="E25" i="5"/>
  <c r="I24" i="5"/>
  <c r="I29" i="5" s="1"/>
  <c r="G24" i="5"/>
  <c r="G26" i="5" s="1"/>
  <c r="G29" i="5" s="1"/>
  <c r="E24" i="5"/>
  <c r="E26" i="5" s="1"/>
  <c r="E29" i="5" s="1"/>
  <c r="C24" i="5"/>
  <c r="E28" i="3" l="1"/>
  <c r="L18" i="3"/>
  <c r="L20" i="3" s="1"/>
  <c r="E24" i="3"/>
  <c r="D24" i="3"/>
  <c r="E20" i="3"/>
  <c r="F20" i="3"/>
  <c r="G20" i="3"/>
  <c r="H20" i="3"/>
  <c r="I20" i="3"/>
  <c r="J20" i="3"/>
  <c r="K20" i="3"/>
  <c r="D16" i="3" a="1"/>
  <c r="D16" i="3" s="1"/>
  <c r="D20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5" i="3"/>
  <c r="G5" i="3" s="1"/>
  <c r="G4" i="3"/>
  <c r="B13" i="2"/>
  <c r="J11" i="2"/>
  <c r="C11" i="2"/>
  <c r="D11" i="2"/>
  <c r="E11" i="2"/>
  <c r="F11" i="2"/>
  <c r="G11" i="2"/>
  <c r="H11" i="2"/>
  <c r="I11" i="2"/>
  <c r="B11" i="2"/>
  <c r="D22" i="1" l="1"/>
  <c r="D20" i="1"/>
  <c r="D11" i="1"/>
  <c r="E7" i="1"/>
  <c r="F7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<sst xmlns="http://schemas.openxmlformats.org/spreadsheetml/2006/main" count="150" uniqueCount="109">
  <si>
    <t>GIM</t>
  </si>
  <si>
    <t>=</t>
  </si>
  <si>
    <t>Sales Price</t>
  </si>
  <si>
    <t>Gross Income</t>
  </si>
  <si>
    <t>Gross income</t>
  </si>
  <si>
    <t>X</t>
  </si>
  <si>
    <t>Value estimate</t>
  </si>
  <si>
    <t>Cap rate</t>
  </si>
  <si>
    <t>Value</t>
  </si>
  <si>
    <t>= R =</t>
  </si>
  <si>
    <t>NOI (Cash Flow)</t>
  </si>
  <si>
    <t xml:space="preserve">= </t>
  </si>
  <si>
    <t>R</t>
  </si>
  <si>
    <t>Subject NOI</t>
  </si>
  <si>
    <t>Exhibit 10-8</t>
  </si>
  <si>
    <t>r</t>
  </si>
  <si>
    <t xml:space="preserve">g(year 10) </t>
  </si>
  <si>
    <t>NOI</t>
  </si>
  <si>
    <t>Sale</t>
  </si>
  <si>
    <t>CF</t>
  </si>
  <si>
    <t>DCF factor</t>
  </si>
  <si>
    <t>PV by year</t>
  </si>
  <si>
    <t>Total PV</t>
  </si>
  <si>
    <t>Required return</t>
  </si>
  <si>
    <t>Growth rate</t>
  </si>
  <si>
    <t>Year</t>
  </si>
  <si>
    <t>%Growth</t>
  </si>
  <si>
    <t>(req, rate of return)</t>
  </si>
  <si>
    <t>Holding period</t>
  </si>
  <si>
    <t>years</t>
  </si>
  <si>
    <t>r=</t>
  </si>
  <si>
    <t>g(year 10)</t>
  </si>
  <si>
    <t>Implied going in cap rate</t>
  </si>
  <si>
    <t>Chapter 10</t>
  </si>
  <si>
    <t>Highest and Best Use Analysis</t>
  </si>
  <si>
    <t>Data Input Box:</t>
  </si>
  <si>
    <t>Office</t>
  </si>
  <si>
    <t>Retail</t>
  </si>
  <si>
    <t>Apartment</t>
  </si>
  <si>
    <t>Warehouse</t>
  </si>
  <si>
    <t>NOI yr 1</t>
  </si>
  <si>
    <r>
      <t>Return or</t>
    </r>
    <r>
      <rPr>
        <i/>
        <sz val="10"/>
        <rFont val="Arial"/>
        <family val="2"/>
      </rPr>
      <t xml:space="preserve"> r</t>
    </r>
  </si>
  <si>
    <r>
      <t xml:space="preserve">Growth or </t>
    </r>
    <r>
      <rPr>
        <i/>
        <sz val="10"/>
        <rFont val="Arial"/>
        <family val="2"/>
      </rPr>
      <t>g</t>
    </r>
  </si>
  <si>
    <t>Building Costs</t>
  </si>
  <si>
    <t>HIGHEST and BEST USE ANALYSIS:</t>
  </si>
  <si>
    <t>Cap @  r-g</t>
  </si>
  <si>
    <t>Implied Value</t>
  </si>
  <si>
    <t>Less Cost</t>
  </si>
  <si>
    <t>Implied Land Value</t>
  </si>
  <si>
    <t>Valuation of apartment project</t>
  </si>
  <si>
    <t>Units</t>
  </si>
  <si>
    <t>Rent</t>
  </si>
  <si>
    <t>/month/unit</t>
  </si>
  <si>
    <t>a)</t>
  </si>
  <si>
    <t>Similar Properties</t>
  </si>
  <si>
    <t>Comp</t>
  </si>
  <si>
    <t>GI Multiplier</t>
  </si>
  <si>
    <t>"Comp"</t>
  </si>
  <si>
    <t>Rent/unit</t>
  </si>
  <si>
    <t>Gross Inc.</t>
  </si>
  <si>
    <t>Price</t>
  </si>
  <si>
    <t>Price/GI</t>
  </si>
  <si>
    <t>Price/unit</t>
  </si>
  <si>
    <t>Using GMI (avergae)</t>
  </si>
  <si>
    <t>Using Comps</t>
  </si>
  <si>
    <t>10-9</t>
  </si>
  <si>
    <t>Subject property data</t>
  </si>
  <si>
    <t>DCR</t>
  </si>
  <si>
    <t>interest rate</t>
  </si>
  <si>
    <t>Period</t>
  </si>
  <si>
    <t>Reqd rate</t>
  </si>
  <si>
    <t>Lender data</t>
  </si>
  <si>
    <t>Step 1</t>
  </si>
  <si>
    <t>Figure out max financing by figuring max payment</t>
  </si>
  <si>
    <t>Max loan pyt/year</t>
  </si>
  <si>
    <t>annually</t>
  </si>
  <si>
    <t>Max mthly payment</t>
  </si>
  <si>
    <t>monthly</t>
  </si>
  <si>
    <t>Convert this to a max loan</t>
  </si>
  <si>
    <t>Amortization</t>
  </si>
  <si>
    <t>or</t>
  </si>
  <si>
    <t>months</t>
  </si>
  <si>
    <t>Rate</t>
  </si>
  <si>
    <t>Max loan amount</t>
  </si>
  <si>
    <t>Step 2</t>
  </si>
  <si>
    <t>Figure out "loan payoff" after 5 years as part of proforma to value the "equity" position</t>
  </si>
  <si>
    <t>Amort remaining</t>
  </si>
  <si>
    <t xml:space="preserve"> years</t>
  </si>
  <si>
    <t>PV of loan end of yr5</t>
  </si>
  <si>
    <t>Step 3</t>
  </si>
  <si>
    <t>Show all cash flows(run a pro-forma)</t>
  </si>
  <si>
    <t>Going out cap rate</t>
  </si>
  <si>
    <t>Less:</t>
  </si>
  <si>
    <t>Debt Service</t>
  </si>
  <si>
    <t>Sale at end of year 5</t>
  </si>
  <si>
    <t>Payoff debt at sale</t>
  </si>
  <si>
    <t>CF to Equity</t>
  </si>
  <si>
    <t>Required rate on equity</t>
  </si>
  <si>
    <t>PV of Equity</t>
  </si>
  <si>
    <t>b)</t>
  </si>
  <si>
    <t>Total (Present) Value of property -Mtg Eq Cap Method</t>
  </si>
  <si>
    <t>Initial Debt on Project</t>
  </si>
  <si>
    <t>Value of Equity</t>
  </si>
  <si>
    <t>Total</t>
  </si>
  <si>
    <t>c)</t>
  </si>
  <si>
    <t>Implied overall cap rate (going in)</t>
  </si>
  <si>
    <t>NOI year 1</t>
  </si>
  <si>
    <t>Value of property</t>
  </si>
  <si>
    <t>Going in cap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</si>
</sst>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  <font>
      <i/>
      <sz val="10"/>
      <name val="Arial"/>
      <family val="2"/>
    </font>
    <font>
      <sz val="10"/>
      <color indexed="2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quotePrefix="1"/>
    <xf numFmtId="0" fontId="0" fillId="0" borderId="1" xfId="0" applyBorder="1"/>
    <xf numFmtId="44" fontId="0" fillId="0" borderId="0" xfId="1" applyFont="1" applyAlignment="1">
      <alignment vertical="center"/>
    </xf>
    <xf numFmtId="2" fontId="0" fillId="0" borderId="0" xfId="0" applyNumberFormat="1"/>
    <xf numFmtId="44" fontId="0" fillId="0" borderId="0" xfId="1" applyFont="1"/>
    <xf numFmtId="10" fontId="0" fillId="0" borderId="0" xfId="0" applyNumberFormat="1"/>
    <xf numFmtId="44" fontId="0" fillId="0" borderId="0" xfId="0" applyNumberFormat="1"/>
    <xf numFmtId="0" fontId="0" fillId="2" borderId="0" xfId="0" applyFill="1"/>
    <xf numFmtId="0" fontId="0" fillId="3" borderId="0" xfId="0" applyFill="1"/>
    <xf numFmtId="3" fontId="0" fillId="0" borderId="0" xfId="0" applyNumberFormat="1"/>
    <xf numFmtId="9" fontId="0" fillId="0" borderId="0" xfId="0" applyNumberFormat="1"/>
    <xf numFmtId="9" fontId="0" fillId="0" borderId="0" xfId="3" applyFont="1"/>
    <xf numFmtId="0" fontId="0" fillId="2" borderId="0" xfId="1" applyNumberFormat="1" applyFont="1" applyFill="1"/>
    <xf numFmtId="8" fontId="0" fillId="0" borderId="0" xfId="0" applyNumberFormat="1"/>
    <xf numFmtId="8" fontId="0" fillId="2" borderId="0" xfId="0" applyNumberFormat="1" applyFill="1"/>
    <xf numFmtId="10" fontId="0" fillId="0" borderId="0" xfId="3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10" fontId="11" fillId="7" borderId="0" xfId="3" applyNumberFormat="1" applyFont="1" applyFill="1" applyBorder="1" applyAlignment="1">
      <alignment horizontal="center"/>
    </xf>
    <xf numFmtId="10" fontId="11" fillId="7" borderId="6" xfId="3" applyNumberFormat="1" applyFont="1" applyFill="1" applyBorder="1" applyAlignment="1">
      <alignment horizontal="center"/>
    </xf>
    <xf numFmtId="6" fontId="0" fillId="0" borderId="0" xfId="0" applyNumberFormat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165" fontId="0" fillId="0" borderId="0" xfId="0" applyNumberFormat="1"/>
    <xf numFmtId="8" fontId="0" fillId="0" borderId="1" xfId="0" applyNumberFormat="1" applyBorder="1"/>
    <xf numFmtId="164" fontId="11" fillId="7" borderId="0" xfId="2" applyNumberFormat="1" applyFont="1" applyFill="1" applyBorder="1" applyAlignment="1">
      <alignment horizontal="right"/>
    </xf>
    <xf numFmtId="164" fontId="11" fillId="7" borderId="6" xfId="2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11" fillId="7" borderId="1" xfId="2" applyNumberFormat="1" applyFont="1" applyFill="1" applyBorder="1" applyAlignment="1">
      <alignment horizontal="right"/>
    </xf>
    <xf numFmtId="164" fontId="11" fillId="7" borderId="10" xfId="2" applyNumberFormat="1" applyFont="1" applyFill="1" applyBorder="1" applyAlignment="1">
      <alignment horizontal="right"/>
    </xf>
    <xf numFmtId="164" fontId="11" fillId="7" borderId="8" xfId="2" applyNumberFormat="1" applyFont="1" applyFill="1" applyBorder="1" applyAlignment="1">
      <alignment horizontal="center"/>
    </xf>
    <xf numFmtId="164" fontId="11" fillId="7" borderId="9" xfId="2" applyNumberFormat="1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10" fontId="11" fillId="7" borderId="0" xfId="3" applyNumberFormat="1" applyFont="1" applyFill="1" applyBorder="1" applyAlignment="1">
      <alignment horizontal="center"/>
    </xf>
    <xf numFmtId="10" fontId="11" fillId="7" borderId="6" xfId="3" applyNumberFormat="1" applyFont="1" applyFill="1" applyBorder="1" applyAlignment="1">
      <alignment horizontal="center"/>
    </xf>
    <xf numFmtId="5" fontId="11" fillId="7" borderId="0" xfId="0" applyNumberFormat="1" applyFont="1" applyFill="1" applyAlignment="1">
      <alignment horizontal="center"/>
    </xf>
    <xf numFmtId="5" fontId="11" fillId="7" borderId="6" xfId="0" applyNumberFormat="1" applyFont="1" applyFill="1" applyBorder="1" applyAlignment="1">
      <alignment horizontal="center"/>
    </xf>
    <xf numFmtId="10" fontId="12" fillId="7" borderId="0" xfId="3" applyNumberFormat="1" applyFont="1" applyFill="1" applyBorder="1" applyAlignment="1">
      <alignment horizontal="center"/>
    </xf>
    <xf numFmtId="10" fontId="12" fillId="7" borderId="6" xfId="3" applyNumberFormat="1" applyFont="1" applyFill="1" applyBorder="1" applyAlignment="1">
      <alignment horizontal="center"/>
    </xf>
    <xf numFmtId="37" fontId="12" fillId="7" borderId="8" xfId="3" applyNumberFormat="1" applyFont="1" applyFill="1" applyBorder="1" applyAlignment="1">
      <alignment horizontal="center"/>
    </xf>
    <xf numFmtId="37" fontId="12" fillId="7" borderId="9" xfId="3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5" fontId="12" fillId="7" borderId="0" xfId="0" applyNumberFormat="1" applyFont="1" applyFill="1" applyAlignment="1">
      <alignment horizontal="center"/>
    </xf>
    <xf numFmtId="5" fontId="12" fillId="7" borderId="6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opLeftCell="A7" workbookViewId="0">
      <selection activeCell="F18" sqref="F18"/>
    </sheetView>
  </sheetViews>
  <sheetFormatPr defaultRowHeight="14.5" x14ac:dyDescent="0.35"/>
  <cols>
    <col min="4" max="6" width="12.08984375" bestFit="1" customWidth="1"/>
  </cols>
  <sheetData>
    <row r="2" spans="2:6" x14ac:dyDescent="0.35">
      <c r="B2" t="s">
        <v>0</v>
      </c>
      <c r="C2" s="1" t="s">
        <v>1</v>
      </c>
      <c r="D2" s="2" t="s">
        <v>2</v>
      </c>
    </row>
    <row r="3" spans="2:6" x14ac:dyDescent="0.35">
      <c r="D3" t="s">
        <v>3</v>
      </c>
    </row>
    <row r="4" spans="2:6" x14ac:dyDescent="0.35">
      <c r="D4">
        <v>1</v>
      </c>
      <c r="E4">
        <v>2</v>
      </c>
      <c r="F4">
        <v>3</v>
      </c>
    </row>
    <row r="5" spans="2:6" x14ac:dyDescent="0.35">
      <c r="B5" s="2" t="s">
        <v>2</v>
      </c>
      <c r="D5" s="3">
        <v>600000</v>
      </c>
      <c r="E5" s="3">
        <v>750000</v>
      </c>
      <c r="F5" s="3">
        <v>450000</v>
      </c>
    </row>
    <row r="6" spans="2:6" x14ac:dyDescent="0.35">
      <c r="B6" t="s">
        <v>3</v>
      </c>
      <c r="D6" s="3">
        <v>100000</v>
      </c>
      <c r="E6" s="3">
        <v>128000</v>
      </c>
      <c r="F6" s="3">
        <v>74000</v>
      </c>
    </row>
    <row r="7" spans="2:6" x14ac:dyDescent="0.35">
      <c r="B7" t="s">
        <v>0</v>
      </c>
      <c r="D7" s="4">
        <f>D5/D6</f>
        <v>6</v>
      </c>
      <c r="E7" s="4">
        <f t="shared" ref="E7:F7" si="0">E5/E6</f>
        <v>5.859375</v>
      </c>
      <c r="F7" s="4">
        <f t="shared" si="0"/>
        <v>6.0810810810810807</v>
      </c>
    </row>
    <row r="9" spans="2:6" x14ac:dyDescent="0.35">
      <c r="B9" t="s">
        <v>4</v>
      </c>
      <c r="D9" s="5">
        <v>120000</v>
      </c>
    </row>
    <row r="10" spans="2:6" x14ac:dyDescent="0.35">
      <c r="B10" t="s">
        <v>0</v>
      </c>
      <c r="D10">
        <v>6</v>
      </c>
      <c r="E10" t="s">
        <v>5</v>
      </c>
    </row>
    <row r="11" spans="2:6" x14ac:dyDescent="0.35">
      <c r="B11" t="s">
        <v>6</v>
      </c>
      <c r="D11" s="5">
        <f>D10*D9</f>
        <v>720000</v>
      </c>
    </row>
    <row r="14" spans="2:6" x14ac:dyDescent="0.35">
      <c r="B14" s="8" t="s">
        <v>7</v>
      </c>
      <c r="C14" s="1" t="s">
        <v>9</v>
      </c>
      <c r="D14" s="2" t="s">
        <v>10</v>
      </c>
    </row>
    <row r="15" spans="2:6" x14ac:dyDescent="0.35">
      <c r="D15" t="s">
        <v>8</v>
      </c>
    </row>
    <row r="17" spans="2:4" x14ac:dyDescent="0.35">
      <c r="B17" t="s">
        <v>8</v>
      </c>
      <c r="C17" s="1" t="s">
        <v>11</v>
      </c>
      <c r="D17" s="2" t="s">
        <v>10</v>
      </c>
    </row>
    <row r="18" spans="2:4" x14ac:dyDescent="0.35">
      <c r="D18" t="s">
        <v>12</v>
      </c>
    </row>
    <row r="20" spans="2:4" x14ac:dyDescent="0.35">
      <c r="B20" t="s">
        <v>13</v>
      </c>
      <c r="D20" s="5">
        <f>58000</f>
        <v>58000</v>
      </c>
    </row>
    <row r="21" spans="2:4" x14ac:dyDescent="0.35">
      <c r="B21" t="s">
        <v>7</v>
      </c>
      <c r="D21" s="6">
        <v>0.13500000000000001</v>
      </c>
    </row>
    <row r="22" spans="2:4" x14ac:dyDescent="0.35">
      <c r="B22" t="s">
        <v>8</v>
      </c>
      <c r="D22" s="7">
        <f>D20/D21</f>
        <v>429629.62962962961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D7-90C0-4E79-B07C-D4515F237555}">
  <dimension ref="C3:E5"/>
  <sheetViews>
    <sheetView workbookViewId="0">
      <selection activeCell="E5" sqref="E5"/>
    </sheetView>
  </sheetViews>
  <sheetFormatPr defaultRowHeight="14.5" x14ac:dyDescent="0.35"/>
  <cols>
    <col min="5" max="5" width="14.6328125" bestFit="1" customWidth="1"/>
  </cols>
  <sheetData>
    <row r="3" spans="3:5" x14ac:dyDescent="0.35">
      <c r="C3" t="s">
        <v>13</v>
      </c>
      <c r="E3" s="5">
        <v>1275000</v>
      </c>
    </row>
    <row r="4" spans="3:5" x14ac:dyDescent="0.35">
      <c r="C4" t="s">
        <v>7</v>
      </c>
      <c r="E4" s="6">
        <v>0.06</v>
      </c>
    </row>
    <row r="5" spans="3:5" x14ac:dyDescent="0.35">
      <c r="C5" t="s">
        <v>8</v>
      </c>
      <c r="E5" s="7">
        <f>E3/E4</f>
        <v>21250000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AF57-24D6-461C-A133-157B50BB460F}">
  <dimension ref="A1:K17"/>
  <sheetViews>
    <sheetView topLeftCell="A7" workbookViewId="0">
      <selection activeCell="F18" sqref="F18"/>
    </sheetView>
  </sheetViews>
  <sheetFormatPr defaultRowHeight="14.5" x14ac:dyDescent="0.35"/>
  <cols>
    <col min="1" max="1" width="14.1796875" bestFit="1" customWidth="1"/>
  </cols>
  <sheetData>
    <row r="1" spans="1:11" x14ac:dyDescent="0.35">
      <c r="A1" t="s">
        <v>14</v>
      </c>
    </row>
    <row r="3" spans="1:11" x14ac:dyDescent="0.35">
      <c r="A3" t="s">
        <v>23</v>
      </c>
      <c r="B3" t="s">
        <v>15</v>
      </c>
      <c r="C3" s="1" t="s">
        <v>1</v>
      </c>
      <c r="D3">
        <v>0.12</v>
      </c>
    </row>
    <row r="4" spans="1:11" x14ac:dyDescent="0.35">
      <c r="A4" t="s">
        <v>24</v>
      </c>
      <c r="B4" t="s">
        <v>16</v>
      </c>
      <c r="C4" s="1" t="s">
        <v>1</v>
      </c>
      <c r="D4">
        <v>0.02</v>
      </c>
    </row>
    <row r="6" spans="1:11" x14ac:dyDescent="0.35"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9">
        <v>10</v>
      </c>
    </row>
    <row r="7" spans="1:11" x14ac:dyDescent="0.35">
      <c r="A7" t="s">
        <v>17</v>
      </c>
      <c r="B7">
        <v>338800</v>
      </c>
      <c r="C7">
        <v>355740</v>
      </c>
      <c r="D7">
        <v>373527</v>
      </c>
      <c r="E7">
        <v>388468</v>
      </c>
      <c r="F7">
        <v>404007</v>
      </c>
      <c r="G7">
        <v>416127</v>
      </c>
      <c r="H7">
        <v>428611</v>
      </c>
      <c r="I7">
        <v>441469</v>
      </c>
      <c r="J7">
        <v>450299</v>
      </c>
      <c r="K7">
        <v>459304</v>
      </c>
    </row>
    <row r="9" spans="1:11" x14ac:dyDescent="0.35">
      <c r="A9" t="s">
        <v>18</v>
      </c>
      <c r="J9" s="10">
        <v>4593040</v>
      </c>
    </row>
    <row r="11" spans="1:11" x14ac:dyDescent="0.35">
      <c r="A11" t="s">
        <v>19</v>
      </c>
      <c r="B11">
        <f>B7</f>
        <v>338800</v>
      </c>
      <c r="C11">
        <f t="shared" ref="C11:I11" si="0">C7</f>
        <v>355740</v>
      </c>
      <c r="D11">
        <f t="shared" si="0"/>
        <v>373527</v>
      </c>
      <c r="E11">
        <f t="shared" si="0"/>
        <v>388468</v>
      </c>
      <c r="F11">
        <f t="shared" si="0"/>
        <v>404007</v>
      </c>
      <c r="G11">
        <f t="shared" si="0"/>
        <v>416127</v>
      </c>
      <c r="H11">
        <f t="shared" si="0"/>
        <v>428611</v>
      </c>
      <c r="I11">
        <f t="shared" si="0"/>
        <v>441469</v>
      </c>
      <c r="J11" s="10">
        <f>J7+J9</f>
        <v>5043339</v>
      </c>
    </row>
    <row r="13" spans="1:11" x14ac:dyDescent="0.35">
      <c r="A13" t="s">
        <v>20</v>
      </c>
      <c r="B13">
        <f>POWER(1+D3,B6)</f>
        <v>1.1200000000000001</v>
      </c>
    </row>
    <row r="15" spans="1:11" x14ac:dyDescent="0.35">
      <c r="A15" t="s">
        <v>21</v>
      </c>
    </row>
    <row r="17" spans="1:1" x14ac:dyDescent="0.35">
      <c r="A1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4026-A075-449D-978A-50EC8F26C4AA}">
  <dimension ref="A3:H22"/>
  <sheetViews>
    <sheetView topLeftCell="A10" workbookViewId="0">
      <selection activeCell="G17" sqref="G17"/>
    </sheetView>
  </sheetViews>
  <sheetFormatPr defaultRowHeight="14.5" x14ac:dyDescent="0.35"/>
  <cols>
    <col min="5" max="5" width="13.36328125" bestFit="1" customWidth="1"/>
    <col min="6" max="6" width="20.453125" bestFit="1" customWidth="1"/>
    <col min="7" max="7" width="11.81640625" bestFit="1" customWidth="1"/>
  </cols>
  <sheetData>
    <row r="3" spans="1:8" x14ac:dyDescent="0.35">
      <c r="B3" t="s">
        <v>49</v>
      </c>
    </row>
    <row r="5" spans="1:8" x14ac:dyDescent="0.35">
      <c r="B5" t="s">
        <v>50</v>
      </c>
      <c r="C5">
        <v>120</v>
      </c>
    </row>
    <row r="6" spans="1:8" x14ac:dyDescent="0.35">
      <c r="B6" t="s">
        <v>51</v>
      </c>
      <c r="C6" s="28">
        <v>600</v>
      </c>
      <c r="D6" s="1" t="s">
        <v>52</v>
      </c>
    </row>
    <row r="8" spans="1:8" x14ac:dyDescent="0.35">
      <c r="B8" t="s">
        <v>54</v>
      </c>
    </row>
    <row r="9" spans="1:8" x14ac:dyDescent="0.35">
      <c r="A9" t="s">
        <v>53</v>
      </c>
    </row>
    <row r="10" spans="1:8" x14ac:dyDescent="0.35">
      <c r="E10" s="29"/>
      <c r="F10" s="30"/>
      <c r="G10" s="31" t="s">
        <v>56</v>
      </c>
      <c r="H10" s="32" t="s">
        <v>57</v>
      </c>
    </row>
    <row r="11" spans="1:8" x14ac:dyDescent="0.35">
      <c r="B11" s="33" t="s">
        <v>55</v>
      </c>
      <c r="C11" s="33" t="s">
        <v>58</v>
      </c>
      <c r="D11" s="33" t="s">
        <v>50</v>
      </c>
      <c r="E11" s="34" t="s">
        <v>59</v>
      </c>
      <c r="F11" s="33" t="s">
        <v>60</v>
      </c>
      <c r="G11" s="35" t="s">
        <v>61</v>
      </c>
      <c r="H11" s="36" t="s">
        <v>62</v>
      </c>
    </row>
    <row r="12" spans="1:8" x14ac:dyDescent="0.35">
      <c r="B12">
        <v>1</v>
      </c>
      <c r="C12">
        <v>550</v>
      </c>
      <c r="D12">
        <v>140</v>
      </c>
      <c r="E12">
        <f>D12*C12*12</f>
        <v>924000</v>
      </c>
      <c r="F12" s="10">
        <v>9000000</v>
      </c>
      <c r="G12">
        <f>F12/E12</f>
        <v>9.7402597402597397</v>
      </c>
      <c r="H12">
        <f>F12/D12</f>
        <v>64285.714285714283</v>
      </c>
    </row>
    <row r="13" spans="1:8" x14ac:dyDescent="0.35">
      <c r="B13">
        <v>2</v>
      </c>
      <c r="C13">
        <v>650</v>
      </c>
      <c r="D13">
        <v>90</v>
      </c>
      <c r="E13">
        <f>D13*C13*12</f>
        <v>702000</v>
      </c>
      <c r="F13" s="10">
        <v>6600000</v>
      </c>
      <c r="G13">
        <f>F13/E13</f>
        <v>9.4017094017094021</v>
      </c>
      <c r="H13">
        <f>F13/D13</f>
        <v>73333.333333333328</v>
      </c>
    </row>
    <row r="15" spans="1:8" x14ac:dyDescent="0.35">
      <c r="B15" t="s">
        <v>63</v>
      </c>
    </row>
    <row r="17" spans="2:8" x14ac:dyDescent="0.35">
      <c r="C17">
        <v>600</v>
      </c>
      <c r="D17">
        <v>120</v>
      </c>
      <c r="E17">
        <f>C17*D17*12</f>
        <v>864000</v>
      </c>
      <c r="F17" s="5">
        <f>G17*E17</f>
        <v>8269330.6693306696</v>
      </c>
      <c r="G17">
        <f>AVERAGE(G12:G13)</f>
        <v>9.5709845709845709</v>
      </c>
    </row>
    <row r="20" spans="2:8" x14ac:dyDescent="0.35">
      <c r="B20" t="s">
        <v>64</v>
      </c>
    </row>
    <row r="22" spans="2:8" x14ac:dyDescent="0.35">
      <c r="D22">
        <v>120</v>
      </c>
      <c r="F22" s="5">
        <f>D22*H22</f>
        <v>8257142.8571428563</v>
      </c>
      <c r="H22">
        <f>AVERAGE(H12:H13)</f>
        <v>68809.523809523802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D5D2-3583-49FF-B229-4C133BB24E41}">
  <dimension ref="A2:M28"/>
  <sheetViews>
    <sheetView topLeftCell="A19" workbookViewId="0">
      <selection activeCell="L18" sqref="L18"/>
    </sheetView>
  </sheetViews>
  <sheetFormatPr defaultRowHeight="14.5" x14ac:dyDescent="0.35"/>
  <cols>
    <col min="4" max="4" width="13" bestFit="1" customWidth="1"/>
    <col min="5" max="5" width="12.08984375" bestFit="1" customWidth="1"/>
    <col min="6" max="7" width="13" bestFit="1" customWidth="1"/>
    <col min="8" max="8" width="17.453125" bestFit="1" customWidth="1"/>
    <col min="9" max="9" width="13.36328125" bestFit="1" customWidth="1"/>
    <col min="10" max="11" width="13" bestFit="1" customWidth="1"/>
    <col min="12" max="12" width="18.6328125" customWidth="1"/>
    <col min="13" max="13" width="12.08984375" bestFit="1" customWidth="1"/>
  </cols>
  <sheetData>
    <row r="2" spans="3:13" x14ac:dyDescent="0.35">
      <c r="C2" t="s">
        <v>25</v>
      </c>
      <c r="D2" t="s">
        <v>17</v>
      </c>
      <c r="E2" t="s">
        <v>26</v>
      </c>
    </row>
    <row r="3" spans="3:13" x14ac:dyDescent="0.35">
      <c r="C3">
        <v>1</v>
      </c>
      <c r="D3" s="5">
        <v>338800</v>
      </c>
      <c r="H3" t="s">
        <v>27</v>
      </c>
      <c r="I3" t="s">
        <v>15</v>
      </c>
      <c r="J3" s="11">
        <v>0.12</v>
      </c>
    </row>
    <row r="4" spans="3:13" x14ac:dyDescent="0.35">
      <c r="C4">
        <v>2</v>
      </c>
      <c r="D4" s="5">
        <v>355740</v>
      </c>
      <c r="E4" s="11">
        <v>0.05</v>
      </c>
      <c r="G4" s="5">
        <f t="shared" ref="G4:G12" si="0">D3*(1+E4)</f>
        <v>355740</v>
      </c>
    </row>
    <row r="5" spans="3:13" x14ac:dyDescent="0.35">
      <c r="C5">
        <v>3</v>
      </c>
      <c r="D5" s="5">
        <v>373527</v>
      </c>
      <c r="E5" s="12">
        <f t="shared" ref="E5:E12" si="1">(D5-D4)/D4</f>
        <v>0.05</v>
      </c>
      <c r="G5" s="5">
        <f t="shared" si="0"/>
        <v>373527</v>
      </c>
    </row>
    <row r="6" spans="3:13" x14ac:dyDescent="0.35">
      <c r="C6">
        <v>4</v>
      </c>
      <c r="D6" s="5">
        <v>388468</v>
      </c>
      <c r="E6" s="12">
        <f t="shared" si="1"/>
        <v>3.9999785825388795E-2</v>
      </c>
      <c r="G6" s="5">
        <f t="shared" si="0"/>
        <v>388468.00000000006</v>
      </c>
      <c r="I6" t="s">
        <v>28</v>
      </c>
      <c r="J6">
        <v>9</v>
      </c>
      <c r="K6" t="s">
        <v>29</v>
      </c>
    </row>
    <row r="7" spans="3:13" x14ac:dyDescent="0.35">
      <c r="C7">
        <v>5</v>
      </c>
      <c r="D7" s="5">
        <v>404007</v>
      </c>
      <c r="E7" s="12">
        <f t="shared" si="1"/>
        <v>4.0000720780089996E-2</v>
      </c>
      <c r="G7" s="5">
        <f t="shared" si="0"/>
        <v>404007.00000000006</v>
      </c>
    </row>
    <row r="8" spans="3:13" x14ac:dyDescent="0.35">
      <c r="C8">
        <v>6</v>
      </c>
      <c r="D8" s="5">
        <v>416127</v>
      </c>
      <c r="E8" s="12">
        <f t="shared" si="1"/>
        <v>2.9999480207026117E-2</v>
      </c>
      <c r="G8" s="5">
        <f t="shared" si="0"/>
        <v>416126.99999999994</v>
      </c>
    </row>
    <row r="9" spans="3:13" x14ac:dyDescent="0.35">
      <c r="C9">
        <v>7</v>
      </c>
      <c r="D9" s="5">
        <v>428611</v>
      </c>
      <c r="E9" s="12">
        <f t="shared" si="1"/>
        <v>3.000045659137715E-2</v>
      </c>
      <c r="G9" s="5">
        <f t="shared" si="0"/>
        <v>428611</v>
      </c>
    </row>
    <row r="10" spans="3:13" x14ac:dyDescent="0.35">
      <c r="C10">
        <v>8</v>
      </c>
      <c r="D10" s="5">
        <v>441469</v>
      </c>
      <c r="E10" s="12">
        <f t="shared" si="1"/>
        <v>2.9999230071090104E-2</v>
      </c>
      <c r="G10" s="5">
        <f t="shared" si="0"/>
        <v>441469</v>
      </c>
    </row>
    <row r="11" spans="3:13" x14ac:dyDescent="0.35">
      <c r="C11">
        <v>9</v>
      </c>
      <c r="D11" s="5">
        <v>450299</v>
      </c>
      <c r="E11" s="12">
        <f t="shared" si="1"/>
        <v>2.0001404402121101E-2</v>
      </c>
      <c r="G11" s="5">
        <f t="shared" si="0"/>
        <v>450299</v>
      </c>
      <c r="H11" s="2"/>
    </row>
    <row r="12" spans="3:13" x14ac:dyDescent="0.35">
      <c r="C12">
        <v>10</v>
      </c>
      <c r="D12" s="5">
        <v>459304</v>
      </c>
      <c r="E12" s="12">
        <f t="shared" si="1"/>
        <v>1.9997823668273747E-2</v>
      </c>
      <c r="G12" s="5">
        <f t="shared" si="0"/>
        <v>459304.00000000006</v>
      </c>
      <c r="H12" s="2"/>
    </row>
    <row r="15" spans="3:13" x14ac:dyDescent="0.35">
      <c r="D15" s="13">
        <v>1</v>
      </c>
      <c r="E15" s="13">
        <v>2</v>
      </c>
      <c r="F15" s="13">
        <v>3</v>
      </c>
      <c r="G15" s="13">
        <v>4</v>
      </c>
      <c r="H15" s="13">
        <v>5</v>
      </c>
      <c r="I15" s="13">
        <v>6</v>
      </c>
      <c r="J15" s="13">
        <v>7</v>
      </c>
      <c r="K15" s="13">
        <v>8</v>
      </c>
      <c r="L15" s="13">
        <v>9</v>
      </c>
      <c r="M15" s="13">
        <v>10</v>
      </c>
    </row>
    <row r="16" spans="3:13" x14ac:dyDescent="0.35">
      <c r="C16" t="s">
        <v>17</v>
      </c>
      <c r="D16" s="5" cm="1">
        <f t="array" ref="D16:M16">TRANSPOSE(D3:D12)</f>
        <v>338800</v>
      </c>
      <c r="E16" s="5">
        <v>355740</v>
      </c>
      <c r="F16" s="5">
        <v>373527</v>
      </c>
      <c r="G16" s="5">
        <v>388468</v>
      </c>
      <c r="H16" s="5">
        <v>404007</v>
      </c>
      <c r="I16" s="5">
        <v>416127</v>
      </c>
      <c r="J16" s="5">
        <v>428611</v>
      </c>
      <c r="K16" s="5">
        <v>441469</v>
      </c>
      <c r="L16" s="5">
        <v>450299</v>
      </c>
      <c r="M16" s="5">
        <v>459304</v>
      </c>
    </row>
    <row r="17" spans="1:12" x14ac:dyDescent="0.35">
      <c r="A17" s="8" t="s">
        <v>30</v>
      </c>
      <c r="B17" s="11">
        <v>0.12</v>
      </c>
    </row>
    <row r="18" spans="1:12" ht="14" customHeight="1" x14ac:dyDescent="0.35">
      <c r="A18" s="8" t="s">
        <v>31</v>
      </c>
      <c r="B18" s="11">
        <v>0.02</v>
      </c>
      <c r="C18" t="s">
        <v>18</v>
      </c>
      <c r="L18" s="5">
        <f>M16/(B17-B18)</f>
        <v>4593040</v>
      </c>
    </row>
    <row r="20" spans="1:12" x14ac:dyDescent="0.35">
      <c r="C20" t="s">
        <v>19</v>
      </c>
      <c r="D20" s="5">
        <f>D16+D18</f>
        <v>338800</v>
      </c>
      <c r="E20" s="5">
        <f t="shared" ref="E20:L20" si="2">E16+E18</f>
        <v>355740</v>
      </c>
      <c r="F20" s="5">
        <f t="shared" si="2"/>
        <v>373527</v>
      </c>
      <c r="G20" s="5">
        <f t="shared" si="2"/>
        <v>388468</v>
      </c>
      <c r="H20" s="5">
        <f t="shared" si="2"/>
        <v>404007</v>
      </c>
      <c r="I20" s="5">
        <f t="shared" si="2"/>
        <v>416127</v>
      </c>
      <c r="J20" s="5">
        <f t="shared" si="2"/>
        <v>428611</v>
      </c>
      <c r="K20" s="5">
        <f t="shared" si="2"/>
        <v>441469</v>
      </c>
      <c r="L20" s="5">
        <f t="shared" si="2"/>
        <v>5043339</v>
      </c>
    </row>
    <row r="22" spans="1:12" x14ac:dyDescent="0.35">
      <c r="C22" t="s">
        <v>20</v>
      </c>
    </row>
    <row r="24" spans="1:12" x14ac:dyDescent="0.35">
      <c r="C24" t="s">
        <v>21</v>
      </c>
      <c r="D24" s="14">
        <f>PV($B$17,D15,-D16)</f>
        <v>302500.00000000023</v>
      </c>
      <c r="E24" s="14">
        <f>PV(B17,1,E20)</f>
        <v>-317625.00000000023</v>
      </c>
      <c r="F24" s="14"/>
      <c r="G24" s="14"/>
      <c r="H24" s="14"/>
      <c r="I24" s="14"/>
      <c r="J24" s="14"/>
      <c r="K24" s="14"/>
      <c r="L24" s="14"/>
    </row>
    <row r="26" spans="1:12" x14ac:dyDescent="0.35">
      <c r="C26" t="s">
        <v>22</v>
      </c>
      <c r="D26" s="15">
        <f>NPV(B17,D20:L20)</f>
        <v>3729771.0148553862</v>
      </c>
    </row>
    <row r="28" spans="1:12" x14ac:dyDescent="0.35">
      <c r="C28" t="s">
        <v>32</v>
      </c>
      <c r="E28" s="16">
        <f>D16/D26</f>
        <v>9.0836675670057515E-2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4EB0-B893-4CB7-9E2F-694C328C3373}">
  <dimension ref="B4:N30"/>
  <sheetViews>
    <sheetView topLeftCell="A15" workbookViewId="0">
      <selection activeCell="L25" sqref="L25"/>
    </sheetView>
  </sheetViews>
  <sheetFormatPr defaultRowHeight="14.5" x14ac:dyDescent="0.35"/>
  <cols>
    <col min="2" max="2" width="19.453125" customWidth="1"/>
  </cols>
  <sheetData>
    <row r="4" spans="2:14" x14ac:dyDescent="0.35">
      <c r="N4" s="18"/>
    </row>
    <row r="6" spans="2:14" ht="15" thickBot="1" x14ac:dyDescent="0.4">
      <c r="M6" s="25"/>
    </row>
    <row r="7" spans="2:14" ht="18.5" thickBot="1" x14ac:dyDescent="0.45">
      <c r="B7" s="61" t="s">
        <v>33</v>
      </c>
      <c r="C7" s="62"/>
      <c r="D7" s="62"/>
      <c r="E7" s="62"/>
      <c r="F7" s="62"/>
      <c r="G7" s="62"/>
      <c r="H7" s="62"/>
      <c r="I7" s="62"/>
      <c r="J7" s="63"/>
      <c r="K7" s="17"/>
      <c r="L7" s="18"/>
    </row>
    <row r="8" spans="2:14" ht="16" thickBot="1" x14ac:dyDescent="0.4">
      <c r="B8" s="64" t="s">
        <v>34</v>
      </c>
      <c r="C8" s="65"/>
      <c r="D8" s="65"/>
      <c r="E8" s="65"/>
      <c r="F8" s="65"/>
      <c r="G8" s="65"/>
      <c r="H8" s="65"/>
      <c r="I8" s="65"/>
      <c r="J8" s="66"/>
      <c r="K8" s="19"/>
    </row>
    <row r="9" spans="2:14" x14ac:dyDescent="0.35">
      <c r="B9" s="67"/>
      <c r="C9" s="41"/>
      <c r="D9" s="41"/>
      <c r="E9" s="41"/>
      <c r="F9" s="41"/>
      <c r="G9" s="41"/>
      <c r="H9" s="41"/>
      <c r="I9" s="41"/>
      <c r="J9" s="68"/>
    </row>
    <row r="10" spans="2:14" ht="15" thickBot="1" x14ac:dyDescent="0.4">
      <c r="B10" s="20"/>
      <c r="J10" s="21"/>
    </row>
    <row r="11" spans="2:14" ht="15" thickBot="1" x14ac:dyDescent="0.4">
      <c r="B11" s="56" t="s">
        <v>35</v>
      </c>
      <c r="C11" s="57"/>
      <c r="D11" s="57"/>
      <c r="E11" s="57"/>
      <c r="F11" s="57"/>
      <c r="G11" s="57"/>
      <c r="H11" s="57"/>
      <c r="I11" s="57"/>
      <c r="J11" s="58"/>
    </row>
    <row r="12" spans="2:14" ht="15" thickBot="1" x14ac:dyDescent="0.4">
      <c r="B12" s="20"/>
      <c r="C12" s="46" t="s">
        <v>36</v>
      </c>
      <c r="D12" s="47"/>
      <c r="E12" s="46" t="s">
        <v>37</v>
      </c>
      <c r="F12" s="47"/>
      <c r="G12" s="46" t="s">
        <v>38</v>
      </c>
      <c r="H12" s="47"/>
      <c r="I12" s="46" t="s">
        <v>39</v>
      </c>
      <c r="J12" s="47"/>
    </row>
    <row r="13" spans="2:14" x14ac:dyDescent="0.35">
      <c r="B13" s="22" t="s">
        <v>40</v>
      </c>
      <c r="C13" s="59">
        <v>500000</v>
      </c>
      <c r="D13" s="59"/>
      <c r="E13" s="59">
        <v>600000</v>
      </c>
      <c r="F13" s="59"/>
      <c r="G13" s="59">
        <v>405000</v>
      </c>
      <c r="H13" s="59"/>
      <c r="I13" s="59">
        <v>400000</v>
      </c>
      <c r="J13" s="60"/>
    </row>
    <row r="14" spans="2:14" x14ac:dyDescent="0.35">
      <c r="B14" s="22" t="s">
        <v>41</v>
      </c>
      <c r="C14" s="52">
        <v>0.13</v>
      </c>
      <c r="D14" s="52"/>
      <c r="E14" s="52">
        <v>0.13</v>
      </c>
      <c r="F14" s="52"/>
      <c r="G14" s="52">
        <v>0.12</v>
      </c>
      <c r="H14" s="52"/>
      <c r="I14" s="52">
        <v>0.1</v>
      </c>
      <c r="J14" s="53"/>
    </row>
    <row r="15" spans="2:14" x14ac:dyDescent="0.35">
      <c r="B15" s="22" t="s">
        <v>42</v>
      </c>
      <c r="C15" s="52">
        <v>0.03</v>
      </c>
      <c r="D15" s="52"/>
      <c r="E15" s="52">
        <v>0.05</v>
      </c>
      <c r="F15" s="52"/>
      <c r="G15" s="52">
        <v>0.03</v>
      </c>
      <c r="H15" s="52"/>
      <c r="I15" s="52">
        <v>0.02</v>
      </c>
      <c r="J15" s="53"/>
    </row>
    <row r="16" spans="2:14" ht="15" thickBot="1" x14ac:dyDescent="0.4">
      <c r="B16" s="23" t="s">
        <v>43</v>
      </c>
      <c r="C16" s="54">
        <v>4000000</v>
      </c>
      <c r="D16" s="54"/>
      <c r="E16" s="54">
        <v>6750000</v>
      </c>
      <c r="F16" s="54"/>
      <c r="G16" s="54">
        <v>3000000</v>
      </c>
      <c r="H16" s="54"/>
      <c r="I16" s="54">
        <v>4000000</v>
      </c>
      <c r="J16" s="55"/>
    </row>
    <row r="17" spans="2:10" x14ac:dyDescent="0.35">
      <c r="B17" s="24"/>
      <c r="C17" s="24"/>
      <c r="D17" s="24"/>
      <c r="E17" s="24"/>
      <c r="F17" s="24"/>
      <c r="G17" s="24"/>
      <c r="H17" s="24"/>
      <c r="I17" s="24"/>
      <c r="J17" s="24"/>
    </row>
    <row r="18" spans="2:10" x14ac:dyDescent="0.35">
      <c r="B18" s="24"/>
      <c r="C18" s="24"/>
      <c r="D18" s="24"/>
      <c r="E18" s="24"/>
      <c r="F18" s="24"/>
      <c r="G18" s="24"/>
      <c r="H18" s="24"/>
      <c r="I18" s="24"/>
      <c r="J18" s="24"/>
    </row>
    <row r="19" spans="2:10" x14ac:dyDescent="0.35">
      <c r="B19" s="24"/>
      <c r="C19" s="24"/>
      <c r="D19" s="24"/>
      <c r="E19" s="24"/>
      <c r="F19" s="24"/>
      <c r="G19" s="24"/>
      <c r="H19" s="24"/>
      <c r="I19" s="24"/>
      <c r="J19" s="24"/>
    </row>
    <row r="20" spans="2:10" x14ac:dyDescent="0.35">
      <c r="B20" s="24"/>
      <c r="C20" s="24"/>
      <c r="D20" s="24"/>
      <c r="E20" s="24"/>
      <c r="F20" s="24"/>
      <c r="G20" s="24"/>
      <c r="H20" s="24"/>
      <c r="I20" s="24"/>
      <c r="J20" s="24"/>
    </row>
    <row r="21" spans="2:10" ht="15" thickBot="1" x14ac:dyDescent="0.4"/>
    <row r="22" spans="2:10" ht="15" thickBot="1" x14ac:dyDescent="0.4">
      <c r="B22" s="56" t="s">
        <v>44</v>
      </c>
      <c r="C22" s="57"/>
      <c r="D22" s="57"/>
      <c r="E22" s="57"/>
      <c r="F22" s="57"/>
      <c r="G22" s="57"/>
      <c r="H22" s="57"/>
      <c r="I22" s="57"/>
      <c r="J22" s="58"/>
    </row>
    <row r="23" spans="2:10" ht="15" thickBot="1" x14ac:dyDescent="0.4">
      <c r="B23" s="20"/>
      <c r="C23" s="46" t="s">
        <v>36</v>
      </c>
      <c r="D23" s="47"/>
      <c r="E23" s="46" t="s">
        <v>37</v>
      </c>
      <c r="F23" s="47"/>
      <c r="G23" s="46" t="s">
        <v>38</v>
      </c>
      <c r="H23" s="47"/>
      <c r="I23" s="46" t="s">
        <v>39</v>
      </c>
      <c r="J23" s="47"/>
    </row>
    <row r="24" spans="2:10" x14ac:dyDescent="0.35">
      <c r="B24" s="22" t="s">
        <v>40</v>
      </c>
      <c r="C24" s="50">
        <f>C13</f>
        <v>500000</v>
      </c>
      <c r="D24" s="50"/>
      <c r="E24" s="50">
        <f>E13</f>
        <v>600000</v>
      </c>
      <c r="F24" s="50"/>
      <c r="G24" s="50">
        <f>G13</f>
        <v>405000</v>
      </c>
      <c r="H24" s="50"/>
      <c r="I24" s="50">
        <f>I13</f>
        <v>400000</v>
      </c>
      <c r="J24" s="51"/>
    </row>
    <row r="25" spans="2:10" x14ac:dyDescent="0.35">
      <c r="B25" s="22" t="s">
        <v>45</v>
      </c>
      <c r="C25" s="48">
        <f>C14-C15</f>
        <v>0.1</v>
      </c>
      <c r="D25" s="48"/>
      <c r="E25" s="48">
        <f>E14-E15</f>
        <v>0.08</v>
      </c>
      <c r="F25" s="48"/>
      <c r="G25" s="48">
        <f>G14-G15</f>
        <v>0.09</v>
      </c>
      <c r="H25" s="48"/>
      <c r="I25" s="48">
        <f>I14-I15</f>
        <v>0.08</v>
      </c>
      <c r="J25" s="49"/>
    </row>
    <row r="26" spans="2:10" x14ac:dyDescent="0.35">
      <c r="B26" s="22" t="s">
        <v>46</v>
      </c>
      <c r="C26" s="39">
        <f>C24/C25</f>
        <v>5000000</v>
      </c>
      <c r="D26" s="39"/>
      <c r="E26" s="39">
        <f>E24/E25</f>
        <v>7500000</v>
      </c>
      <c r="F26" s="39"/>
      <c r="G26" s="39">
        <f>G24/G25</f>
        <v>4500000</v>
      </c>
      <c r="H26" s="39"/>
      <c r="I26" s="39">
        <f>I24/I25</f>
        <v>5000000</v>
      </c>
      <c r="J26" s="40"/>
    </row>
    <row r="27" spans="2:10" x14ac:dyDescent="0.35">
      <c r="B27" s="22" t="s">
        <v>47</v>
      </c>
      <c r="C27" s="42">
        <f>C16</f>
        <v>4000000</v>
      </c>
      <c r="D27" s="42"/>
      <c r="E27" s="42">
        <f>E16</f>
        <v>6750000</v>
      </c>
      <c r="F27" s="42"/>
      <c r="G27" s="42">
        <f>G16</f>
        <v>3000000</v>
      </c>
      <c r="H27" s="42"/>
      <c r="I27" s="42">
        <f>I16</f>
        <v>4000000</v>
      </c>
      <c r="J27" s="43"/>
    </row>
    <row r="28" spans="2:10" x14ac:dyDescent="0.35">
      <c r="B28" s="22"/>
      <c r="C28" s="26"/>
      <c r="D28" s="26"/>
      <c r="E28" s="26"/>
      <c r="F28" s="26"/>
      <c r="G28" s="26"/>
      <c r="H28" s="26"/>
      <c r="I28" s="26"/>
      <c r="J28" s="27"/>
    </row>
    <row r="29" spans="2:10" ht="15" thickBot="1" x14ac:dyDescent="0.4">
      <c r="B29" s="23" t="s">
        <v>48</v>
      </c>
      <c r="C29" s="44">
        <f>C26-C27</f>
        <v>1000000</v>
      </c>
      <c r="D29" s="44"/>
      <c r="E29" s="44">
        <f>E26-E27</f>
        <v>750000</v>
      </c>
      <c r="F29" s="44"/>
      <c r="G29" s="44">
        <f>G26-G27</f>
        <v>1500000</v>
      </c>
      <c r="H29" s="44"/>
      <c r="I29" s="44">
        <f>I26-I27</f>
        <v>1000000</v>
      </c>
      <c r="J29" s="45"/>
    </row>
    <row r="30" spans="2:10" x14ac:dyDescent="0.35">
      <c r="E30" s="41"/>
      <c r="F30" s="41"/>
    </row>
  </sheetData>
  <mergeCells count="50">
    <mergeCell ref="B7:J7"/>
    <mergeCell ref="B8:J8"/>
    <mergeCell ref="B9:J9"/>
    <mergeCell ref="B11:J11"/>
    <mergeCell ref="C12:D12"/>
    <mergeCell ref="E12:F12"/>
    <mergeCell ref="G12:H12"/>
    <mergeCell ref="I12:J12"/>
    <mergeCell ref="B22:J22"/>
    <mergeCell ref="C23:D23"/>
    <mergeCell ref="E23:F23"/>
    <mergeCell ref="G23:H23"/>
    <mergeCell ref="C13:D13"/>
    <mergeCell ref="C14:D14"/>
    <mergeCell ref="E14:F14"/>
    <mergeCell ref="G14:H14"/>
    <mergeCell ref="I14:J14"/>
    <mergeCell ref="E13:F13"/>
    <mergeCell ref="G13:H13"/>
    <mergeCell ref="I13:J13"/>
    <mergeCell ref="C15:D15"/>
    <mergeCell ref="E15:F15"/>
    <mergeCell ref="G15:H15"/>
    <mergeCell ref="I15:J15"/>
    <mergeCell ref="C16:D16"/>
    <mergeCell ref="E16:F16"/>
    <mergeCell ref="G16:H16"/>
    <mergeCell ref="I16:J16"/>
    <mergeCell ref="I23:J23"/>
    <mergeCell ref="C25:D25"/>
    <mergeCell ref="E25:F25"/>
    <mergeCell ref="G25:H25"/>
    <mergeCell ref="I25:J25"/>
    <mergeCell ref="C24:D24"/>
    <mergeCell ref="E24:F24"/>
    <mergeCell ref="G24:H24"/>
    <mergeCell ref="I24:J24"/>
    <mergeCell ref="C26:D26"/>
    <mergeCell ref="E26:F26"/>
    <mergeCell ref="G26:H26"/>
    <mergeCell ref="I26:J26"/>
    <mergeCell ref="E30:F30"/>
    <mergeCell ref="C27:D27"/>
    <mergeCell ref="E27:F27"/>
    <mergeCell ref="G27:H27"/>
    <mergeCell ref="I27:J27"/>
    <mergeCell ref="C29:D29"/>
    <mergeCell ref="E29:F29"/>
    <mergeCell ref="G29:H29"/>
    <mergeCell ref="I29:J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532E-39B7-4210-9565-80CC4287465E}">
  <dimension ref="A1:I74"/>
  <sheetViews>
    <sheetView tabSelected="1" topLeftCell="A4" workbookViewId="0">
      <selection activeCell="C74" sqref="C74"/>
    </sheetView>
  </sheetViews>
  <sheetFormatPr defaultRowHeight="14.5" x14ac:dyDescent="0.35"/>
  <cols>
    <col min="1" max="1" width="19.36328125" bestFit="1" customWidth="1"/>
    <col min="3" max="3" width="24.6328125" customWidth="1"/>
    <col min="4" max="4" width="18.81640625" customWidth="1"/>
    <col min="5" max="5" width="23.81640625" customWidth="1"/>
    <col min="6" max="9" width="19.6328125" bestFit="1" customWidth="1"/>
  </cols>
  <sheetData>
    <row r="1" spans="1:4" x14ac:dyDescent="0.35">
      <c r="A1" s="1" t="s">
        <v>65</v>
      </c>
    </row>
    <row r="3" spans="1:4" x14ac:dyDescent="0.35">
      <c r="A3" s="2" t="s">
        <v>66</v>
      </c>
    </row>
    <row r="5" spans="1:4" x14ac:dyDescent="0.35">
      <c r="A5" t="s">
        <v>17</v>
      </c>
      <c r="C5" s="10">
        <v>150000</v>
      </c>
    </row>
    <row r="6" spans="1:4" x14ac:dyDescent="0.35">
      <c r="A6" t="s">
        <v>28</v>
      </c>
      <c r="C6">
        <v>5</v>
      </c>
      <c r="D6" t="s">
        <v>87</v>
      </c>
    </row>
    <row r="7" spans="1:4" x14ac:dyDescent="0.35">
      <c r="A7" t="s">
        <v>24</v>
      </c>
      <c r="C7" s="11">
        <v>0.03</v>
      </c>
    </row>
    <row r="8" spans="1:4" x14ac:dyDescent="0.35">
      <c r="A8" t="s">
        <v>7</v>
      </c>
      <c r="B8" s="11">
        <v>0.09</v>
      </c>
    </row>
    <row r="10" spans="1:4" x14ac:dyDescent="0.35">
      <c r="A10" s="2" t="s">
        <v>71</v>
      </c>
    </row>
    <row r="11" spans="1:4" x14ac:dyDescent="0.35">
      <c r="A11" t="s">
        <v>67</v>
      </c>
      <c r="B11">
        <v>1.2</v>
      </c>
    </row>
    <row r="12" spans="1:4" x14ac:dyDescent="0.35">
      <c r="A12" t="s">
        <v>68</v>
      </c>
      <c r="B12" s="11">
        <v>0.1</v>
      </c>
    </row>
    <row r="13" spans="1:4" x14ac:dyDescent="0.35">
      <c r="A13" t="s">
        <v>69</v>
      </c>
      <c r="B13">
        <v>20</v>
      </c>
      <c r="C13" t="s">
        <v>29</v>
      </c>
    </row>
    <row r="15" spans="1:4" x14ac:dyDescent="0.35">
      <c r="A15" t="s">
        <v>70</v>
      </c>
      <c r="B15" s="11">
        <v>0.12</v>
      </c>
    </row>
    <row r="17" spans="1:4" x14ac:dyDescent="0.35">
      <c r="A17" s="2" t="s">
        <v>72</v>
      </c>
      <c r="B17" t="s">
        <v>73</v>
      </c>
    </row>
    <row r="19" spans="1:4" x14ac:dyDescent="0.35">
      <c r="A19" t="s">
        <v>17</v>
      </c>
      <c r="C19" s="10">
        <f>C5</f>
        <v>150000</v>
      </c>
    </row>
    <row r="20" spans="1:4" x14ac:dyDescent="0.35">
      <c r="A20" t="s">
        <v>67</v>
      </c>
      <c r="C20">
        <f>B11</f>
        <v>1.2</v>
      </c>
    </row>
    <row r="21" spans="1:4" x14ac:dyDescent="0.35">
      <c r="A21" t="s">
        <v>74</v>
      </c>
      <c r="C21" s="5">
        <f>C19/C20</f>
        <v>125000</v>
      </c>
      <c r="D21" t="s">
        <v>75</v>
      </c>
    </row>
    <row r="23" spans="1:4" x14ac:dyDescent="0.35">
      <c r="A23" t="s">
        <v>76</v>
      </c>
      <c r="C23" s="7">
        <f>C21/12</f>
        <v>10416.666666666666</v>
      </c>
      <c r="D23" t="s">
        <v>77</v>
      </c>
    </row>
    <row r="25" spans="1:4" x14ac:dyDescent="0.35">
      <c r="A25" s="2" t="s">
        <v>78</v>
      </c>
    </row>
    <row r="26" spans="1:4" x14ac:dyDescent="0.35">
      <c r="A26" t="s">
        <v>79</v>
      </c>
      <c r="C26">
        <f>B13</f>
        <v>20</v>
      </c>
    </row>
    <row r="27" spans="1:4" x14ac:dyDescent="0.35">
      <c r="B27" t="s">
        <v>80</v>
      </c>
      <c r="C27">
        <f>C26*12</f>
        <v>240</v>
      </c>
      <c r="D27" t="s">
        <v>81</v>
      </c>
    </row>
    <row r="28" spans="1:4" x14ac:dyDescent="0.35">
      <c r="A28" t="s">
        <v>82</v>
      </c>
      <c r="B28" s="11">
        <f>B12</f>
        <v>0.1</v>
      </c>
    </row>
    <row r="29" spans="1:4" x14ac:dyDescent="0.35">
      <c r="B29" t="s">
        <v>80</v>
      </c>
      <c r="C29" s="16">
        <f>B28/12</f>
        <v>8.3333333333333332E-3</v>
      </c>
    </row>
    <row r="31" spans="1:4" x14ac:dyDescent="0.35">
      <c r="A31" t="s">
        <v>83</v>
      </c>
      <c r="C31" s="14">
        <f>PV(C29,C27,-C23)</f>
        <v>1079423.1113715374</v>
      </c>
    </row>
    <row r="34" spans="1:9" x14ac:dyDescent="0.35">
      <c r="A34" t="s">
        <v>84</v>
      </c>
      <c r="B34" t="s">
        <v>85</v>
      </c>
    </row>
    <row r="36" spans="1:9" x14ac:dyDescent="0.35">
      <c r="A36" t="s">
        <v>86</v>
      </c>
      <c r="C36">
        <f>B13-C6</f>
        <v>15</v>
      </c>
    </row>
    <row r="37" spans="1:9" x14ac:dyDescent="0.35">
      <c r="B37" t="s">
        <v>80</v>
      </c>
      <c r="C37">
        <f>C36*12</f>
        <v>180</v>
      </c>
      <c r="D37" t="s">
        <v>81</v>
      </c>
    </row>
    <row r="39" spans="1:9" x14ac:dyDescent="0.35">
      <c r="A39" t="s">
        <v>88</v>
      </c>
      <c r="C39" s="14">
        <f>PV(C29,C37,-C23)</f>
        <v>969348.32107285911</v>
      </c>
    </row>
    <row r="41" spans="1:9" x14ac:dyDescent="0.35">
      <c r="A41" s="2" t="s">
        <v>89</v>
      </c>
      <c r="B41" s="2" t="s">
        <v>90</v>
      </c>
      <c r="C41" s="2"/>
    </row>
    <row r="44" spans="1:9" x14ac:dyDescent="0.35">
      <c r="A44" t="s">
        <v>24</v>
      </c>
      <c r="C44" s="11">
        <f>C7</f>
        <v>0.03</v>
      </c>
    </row>
    <row r="45" spans="1:9" x14ac:dyDescent="0.35">
      <c r="A45" t="s">
        <v>91</v>
      </c>
      <c r="C45" s="11">
        <f>B8</f>
        <v>0.09</v>
      </c>
    </row>
    <row r="47" spans="1:9" x14ac:dyDescent="0.35">
      <c r="A47" t="s">
        <v>25</v>
      </c>
      <c r="C47" s="8">
        <v>0</v>
      </c>
      <c r="D47" s="8">
        <v>1</v>
      </c>
      <c r="E47" s="8">
        <v>2</v>
      </c>
      <c r="F47" s="8">
        <v>3</v>
      </c>
      <c r="G47" s="8">
        <v>4</v>
      </c>
      <c r="H47" s="8">
        <v>5</v>
      </c>
      <c r="I47" s="8">
        <v>6</v>
      </c>
    </row>
    <row r="49" spans="1:9" x14ac:dyDescent="0.35">
      <c r="A49" t="s">
        <v>17</v>
      </c>
      <c r="D49" s="10">
        <f>C5</f>
        <v>150000</v>
      </c>
      <c r="E49">
        <f>(1+$C$44)*D49</f>
        <v>154500</v>
      </c>
      <c r="F49">
        <f t="shared" ref="F49:I49" si="0">(1+$C$44)*E49</f>
        <v>159135</v>
      </c>
      <c r="G49">
        <f t="shared" si="0"/>
        <v>163909.05000000002</v>
      </c>
      <c r="H49">
        <f t="shared" si="0"/>
        <v>168826.32150000002</v>
      </c>
      <c r="I49">
        <f t="shared" si="0"/>
        <v>173891.11114500003</v>
      </c>
    </row>
    <row r="50" spans="1:9" x14ac:dyDescent="0.35">
      <c r="A50" t="s">
        <v>92</v>
      </c>
    </row>
    <row r="51" spans="1:9" x14ac:dyDescent="0.35">
      <c r="A51" t="s">
        <v>93</v>
      </c>
      <c r="D51" s="37">
        <f>-$C$21</f>
        <v>-125000</v>
      </c>
      <c r="E51" s="37">
        <f t="shared" ref="E51:H51" si="1">-$C$21</f>
        <v>-125000</v>
      </c>
      <c r="F51" s="37">
        <f t="shared" si="1"/>
        <v>-125000</v>
      </c>
      <c r="G51" s="37">
        <f t="shared" si="1"/>
        <v>-125000</v>
      </c>
      <c r="H51" s="37">
        <f t="shared" si="1"/>
        <v>-125000</v>
      </c>
      <c r="I51" s="37"/>
    </row>
    <row r="53" spans="1:9" x14ac:dyDescent="0.35">
      <c r="A53" t="s">
        <v>94</v>
      </c>
      <c r="H53" s="5">
        <f>I49/C45</f>
        <v>1932123.4571666671</v>
      </c>
    </row>
    <row r="54" spans="1:9" x14ac:dyDescent="0.35">
      <c r="A54" t="s">
        <v>95</v>
      </c>
      <c r="D54" s="2"/>
      <c r="E54" s="2"/>
      <c r="F54" s="2"/>
      <c r="G54" s="2"/>
      <c r="H54" s="38">
        <f>-C39</f>
        <v>-969348.32107285911</v>
      </c>
    </row>
    <row r="56" spans="1:9" x14ac:dyDescent="0.35">
      <c r="A56" t="s">
        <v>96</v>
      </c>
      <c r="D56" s="10">
        <f>SUM(D49:D54)</f>
        <v>25000</v>
      </c>
      <c r="E56" s="10">
        <f t="shared" ref="E56:H56" si="2">SUM(E49:E54)</f>
        <v>29500</v>
      </c>
      <c r="F56" s="10">
        <f t="shared" si="2"/>
        <v>34135</v>
      </c>
      <c r="G56" s="10">
        <f t="shared" si="2"/>
        <v>38909.050000000017</v>
      </c>
      <c r="H56" s="10">
        <f t="shared" si="2"/>
        <v>1006601.4575938081</v>
      </c>
    </row>
    <row r="59" spans="1:9" x14ac:dyDescent="0.35">
      <c r="A59" t="s">
        <v>53</v>
      </c>
    </row>
    <row r="60" spans="1:9" x14ac:dyDescent="0.35">
      <c r="A60" t="s">
        <v>97</v>
      </c>
      <c r="C60" s="11">
        <v>0.12</v>
      </c>
    </row>
    <row r="62" spans="1:9" x14ac:dyDescent="0.35">
      <c r="A62" t="s">
        <v>98</v>
      </c>
      <c r="C62" s="14">
        <f>NPV(C60,D56:H56)</f>
        <v>666035.37145106529</v>
      </c>
    </row>
    <row r="64" spans="1:9" x14ac:dyDescent="0.35">
      <c r="A64" t="s">
        <v>99</v>
      </c>
      <c r="B64" t="s">
        <v>100</v>
      </c>
    </row>
    <row r="66" spans="1:3" x14ac:dyDescent="0.35">
      <c r="A66" t="s">
        <v>101</v>
      </c>
      <c r="C66" s="14">
        <f>C31</f>
        <v>1079423.1113715374</v>
      </c>
    </row>
    <row r="67" spans="1:3" x14ac:dyDescent="0.35">
      <c r="A67" t="s">
        <v>102</v>
      </c>
      <c r="C67" s="38">
        <f>C62</f>
        <v>666035.37145106529</v>
      </c>
    </row>
    <row r="68" spans="1:3" x14ac:dyDescent="0.35">
      <c r="A68" t="s">
        <v>103</v>
      </c>
      <c r="C68" s="14">
        <f>SUM(C66:C67)</f>
        <v>1745458.4828226026</v>
      </c>
    </row>
    <row r="70" spans="1:3" x14ac:dyDescent="0.35">
      <c r="A70" t="s">
        <v>104</v>
      </c>
      <c r="B70" t="s">
        <v>105</v>
      </c>
    </row>
    <row r="72" spans="1:3" x14ac:dyDescent="0.35">
      <c r="A72" t="s">
        <v>106</v>
      </c>
      <c r="C72" s="10">
        <f>D49</f>
        <v>150000</v>
      </c>
    </row>
    <row r="73" spans="1:3" x14ac:dyDescent="0.35">
      <c r="A73" t="s">
        <v>107</v>
      </c>
      <c r="C73" s="14">
        <f>C68</f>
        <v>1745458.4828226026</v>
      </c>
    </row>
    <row r="74" spans="1:3" x14ac:dyDescent="0.35">
      <c r="A74" t="s">
        <v>108</v>
      </c>
      <c r="C74" s="16">
        <f>C72/C73</f>
        <v>8.5937306144018469E-2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a75128-a244-4596-877b-f24828e476e2}" enabled="0" method="" siteId="{9ca75128-a244-4596-877b-f24828e476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Direct Capitalization</vt:lpstr>
      <vt:lpstr>Ex 10-8</vt:lpstr>
      <vt:lpstr>GIM</vt:lpstr>
      <vt:lpstr>Cash flow</vt:lpstr>
      <vt:lpstr>highest and best</vt:lpstr>
      <vt:lpstr>Mortgage Eq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>Rahul Kotian</cp:lastModifiedBy>
  <dcterms:created xsi:type="dcterms:W3CDTF">2015-06-05T18:17:20Z</dcterms:created>
  <dcterms:modified xsi:type="dcterms:W3CDTF">2024-07-19T21:28:01Z</dcterms:modified>
</cp:coreProperties>
</file>