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cometmail-my.sharepoint.com/personal/gad075000_utdallas_edu/Documents/_UTD/Courses/Archived/FIN6322 -20F-Online/Selected Solutions/"/>
    </mc:Choice>
  </mc:AlternateContent>
  <xr:revisionPtr revIDLastSave="8" documentId="8_{D5B6F2C8-70CF-49C2-9FEF-029A82CB2CE9}" xr6:coauthVersionLast="46" xr6:coauthVersionMax="46" xr10:uidLastSave="{3B495AA6-B515-4FFD-9BBD-BC37B4E141AD}"/>
  <bookViews>
    <workbookView xWindow="-120" yWindow="-120" windowWidth="25440" windowHeight="15990" xr2:uid="{00000000-000D-0000-FFFF-FFFF00000000}"/>
  </bookViews>
  <sheets>
    <sheet name="11-2Solution (16e and earlier)" sheetId="2" r:id="rId1"/>
    <sheet name="11-2Solution (17e)" sheetId="1" r:id="rId2"/>
  </sheets>
  <calcPr calcId="191029"/>
</workbook>
</file>

<file path=xl/calcChain.xml><?xml version="1.0" encoding="utf-8"?>
<calcChain xmlns="http://schemas.openxmlformats.org/spreadsheetml/2006/main">
  <c r="H39" i="1" l="1"/>
  <c r="G57" i="2"/>
  <c r="E72" i="2" s="1"/>
  <c r="C44" i="2"/>
  <c r="H38" i="2"/>
  <c r="D28" i="2"/>
  <c r="D29" i="2" s="1"/>
  <c r="D30" i="2" s="1"/>
  <c r="C11" i="2"/>
  <c r="C21" i="2" s="1"/>
  <c r="D29" i="1"/>
  <c r="E29" i="1" s="1"/>
  <c r="E30" i="1" s="1"/>
  <c r="E31" i="1" s="1"/>
  <c r="G58" i="1"/>
  <c r="E73" i="1" s="1"/>
  <c r="C45" i="1"/>
  <c r="C11" i="1"/>
  <c r="C22" i="1" s="1"/>
  <c r="D30" i="1" l="1"/>
  <c r="D31" i="1" s="1"/>
  <c r="D33" i="1" s="1"/>
  <c r="D34" i="1" s="1"/>
  <c r="C22" i="2"/>
  <c r="C23" i="2"/>
  <c r="H39" i="2" s="1"/>
  <c r="D32" i="2"/>
  <c r="D33" i="2" s="1"/>
  <c r="E28" i="2"/>
  <c r="C20" i="2"/>
  <c r="F29" i="1"/>
  <c r="G29" i="1" s="1"/>
  <c r="G30" i="1" s="1"/>
  <c r="G31" i="1" s="1"/>
  <c r="E33" i="1"/>
  <c r="E34" i="1" s="1"/>
  <c r="C24" i="1"/>
  <c r="H40" i="1" s="1"/>
  <c r="C23" i="1"/>
  <c r="C21" i="1"/>
  <c r="C52" i="2" l="1"/>
  <c r="D36" i="2"/>
  <c r="D40" i="2" s="1"/>
  <c r="D44" i="2"/>
  <c r="D35" i="2"/>
  <c r="D48" i="2" s="1"/>
  <c r="H35" i="2"/>
  <c r="F35" i="2"/>
  <c r="E35" i="2"/>
  <c r="G35" i="2"/>
  <c r="E68" i="2"/>
  <c r="C40" i="2"/>
  <c r="C57" i="2"/>
  <c r="F28" i="2"/>
  <c r="E29" i="2"/>
  <c r="E30" i="2" s="1"/>
  <c r="F30" i="1"/>
  <c r="F31" i="1" s="1"/>
  <c r="F33" i="1" s="1"/>
  <c r="F34" i="1" s="1"/>
  <c r="H29" i="1"/>
  <c r="D45" i="1"/>
  <c r="C53" i="1"/>
  <c r="E45" i="1"/>
  <c r="G33" i="1"/>
  <c r="G34" i="1" s="1"/>
  <c r="H36" i="1"/>
  <c r="E36" i="1"/>
  <c r="E49" i="1" s="1"/>
  <c r="G36" i="1"/>
  <c r="F36" i="1"/>
  <c r="D36" i="1"/>
  <c r="D37" i="1" s="1"/>
  <c r="D41" i="1" s="1"/>
  <c r="E69" i="1"/>
  <c r="C58" i="1"/>
  <c r="C41" i="1"/>
  <c r="H30" i="1" l="1"/>
  <c r="H31" i="1" s="1"/>
  <c r="I29" i="1"/>
  <c r="E32" i="2"/>
  <c r="E33" i="2" s="1"/>
  <c r="F29" i="2"/>
  <c r="F30" i="2" s="1"/>
  <c r="G28" i="2"/>
  <c r="E37" i="1"/>
  <c r="E41" i="1" s="1"/>
  <c r="F45" i="1"/>
  <c r="F49" i="1"/>
  <c r="F37" i="1"/>
  <c r="F41" i="1" s="1"/>
  <c r="I30" i="1"/>
  <c r="I31" i="1" s="1"/>
  <c r="G37" i="1"/>
  <c r="G41" i="1" s="1"/>
  <c r="G45" i="1"/>
  <c r="G49" i="1"/>
  <c r="D49" i="1"/>
  <c r="H33" i="1"/>
  <c r="H34" i="1" s="1"/>
  <c r="F32" i="2" l="1"/>
  <c r="F33" i="2"/>
  <c r="E36" i="2"/>
  <c r="E40" i="2" s="1"/>
  <c r="E44" i="2"/>
  <c r="E48" i="2"/>
  <c r="H28" i="2"/>
  <c r="G30" i="2"/>
  <c r="G29" i="2"/>
  <c r="H49" i="1"/>
  <c r="H45" i="1"/>
  <c r="G57" i="1" s="1"/>
  <c r="H37" i="1"/>
  <c r="H41" i="1" s="1"/>
  <c r="C57" i="1" s="1"/>
  <c r="C59" i="1" s="1"/>
  <c r="I33" i="1"/>
  <c r="I34" i="1" s="1"/>
  <c r="H51" i="1" s="1"/>
  <c r="F36" i="2" l="1"/>
  <c r="F40" i="2" s="1"/>
  <c r="F44" i="2"/>
  <c r="F48" i="2"/>
  <c r="G32" i="2"/>
  <c r="G33" i="2"/>
  <c r="I28" i="2"/>
  <c r="H29" i="2"/>
  <c r="H30" i="2" s="1"/>
  <c r="G60" i="1"/>
  <c r="H63" i="1" s="1"/>
  <c r="C43" i="1"/>
  <c r="E68" i="1"/>
  <c r="G68" i="1" s="1"/>
  <c r="C60" i="1"/>
  <c r="H62" i="1" s="1"/>
  <c r="G59" i="1"/>
  <c r="E72" i="1"/>
  <c r="G72" i="1" s="1"/>
  <c r="C47" i="1"/>
  <c r="H32" i="2" l="1"/>
  <c r="H33" i="2" s="1"/>
  <c r="I29" i="2"/>
  <c r="I30" i="2"/>
  <c r="G36" i="2"/>
  <c r="G40" i="2" s="1"/>
  <c r="G44" i="2"/>
  <c r="G48" i="2"/>
  <c r="H44" i="2" l="1"/>
  <c r="G59" i="2" s="1"/>
  <c r="H62" i="2" s="1"/>
  <c r="H48" i="2"/>
  <c r="H36" i="2"/>
  <c r="H40" i="2" s="1"/>
  <c r="C59" i="2" s="1"/>
  <c r="H61" i="2" s="1"/>
  <c r="C46" i="2"/>
  <c r="C42" i="2"/>
  <c r="E67" i="2"/>
  <c r="G67" i="2" s="1"/>
  <c r="I32" i="2"/>
  <c r="I33" i="2" s="1"/>
  <c r="H50" i="2" s="1"/>
  <c r="C56" i="2" l="1"/>
  <c r="C58" i="2" s="1"/>
  <c r="G56" i="2"/>
  <c r="E71" i="2" s="1"/>
  <c r="G71" i="2" s="1"/>
  <c r="G5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author>
    <author>George DeCourcy</author>
  </authors>
  <commentList>
    <comment ref="H38" authorId="0" shapeId="0" xr:uid="{7C7F845B-B09F-4AF5-A095-C37B7EC4B047}">
      <text>
        <r>
          <rPr>
            <b/>
            <sz val="9"/>
            <color indexed="81"/>
            <rFont val="Tahoma"/>
            <family val="2"/>
          </rPr>
          <t>George:</t>
        </r>
        <r>
          <rPr>
            <sz val="9"/>
            <color indexed="81"/>
            <rFont val="Tahoma"/>
            <family val="2"/>
          </rPr>
          <t xml:space="preserve">
Problem simply estimates this resale value by escalating purchase price by 3% per year.</t>
        </r>
      </text>
    </comment>
    <comment ref="H39" authorId="1" shapeId="0" xr:uid="{6A8494C4-1D9D-41BF-BFCF-C064E211A8B2}">
      <text>
        <r>
          <rPr>
            <b/>
            <sz val="9"/>
            <color indexed="81"/>
            <rFont val="Tahoma"/>
            <family val="2"/>
          </rPr>
          <t>George DeCourcy:</t>
        </r>
        <r>
          <rPr>
            <sz val="9"/>
            <color indexed="81"/>
            <rFont val="Tahoma"/>
            <family val="2"/>
          </rPr>
          <t xml:space="preserve">
Calculated above in initial calculations
</t>
        </r>
      </text>
    </comment>
    <comment ref="C52" authorId="1" shapeId="0" xr:uid="{6ED9FFD9-AB48-4873-9268-A522E38CDA67}">
      <text>
        <r>
          <rPr>
            <b/>
            <sz val="9"/>
            <color indexed="81"/>
            <rFont val="Tahoma"/>
            <family val="2"/>
          </rPr>
          <t>George DeCourcy:</t>
        </r>
        <r>
          <rPr>
            <sz val="9"/>
            <color indexed="81"/>
            <rFont val="Tahoma"/>
            <family val="2"/>
          </rPr>
          <t xml:space="preserve">
In this model, the going-in cap rate coincidentally is equal to the terminal cap rate. This is really a function of the model itself which has proportionate growth and value estimates parameters built in to our assumptions.</t>
        </r>
      </text>
    </comment>
    <comment ref="C55" authorId="1" shapeId="0" xr:uid="{BC32555E-A221-4BDA-A919-CABCE3A763B1}">
      <text>
        <r>
          <rPr>
            <b/>
            <sz val="9"/>
            <color indexed="81"/>
            <rFont val="Tahoma"/>
            <family val="2"/>
          </rPr>
          <t>George DeCourcy:</t>
        </r>
        <r>
          <rPr>
            <sz val="9"/>
            <color indexed="81"/>
            <rFont val="Tahoma"/>
            <family val="2"/>
          </rPr>
          <t xml:space="preserve">
Given.</t>
        </r>
      </text>
    </comment>
    <comment ref="G55" authorId="0" shapeId="0" xr:uid="{0823F285-30D7-43C7-A7FD-3ECD64A6C493}">
      <text>
        <r>
          <rPr>
            <b/>
            <sz val="9"/>
            <color indexed="81"/>
            <rFont val="Tahoma"/>
            <family val="2"/>
          </rPr>
          <t>George:</t>
        </r>
        <r>
          <rPr>
            <sz val="9"/>
            <color indexed="81"/>
            <rFont val="Tahoma"/>
            <family val="2"/>
          </rPr>
          <t xml:space="preserve">
Rate not given in problem. Assumed to be less than discount rate for leveraged investment.
Solution only Note: This does not reconcile with the theoretical r-g concept of "cap rate". I could have chosen a number that did, but that would have been too convenient and allow shortcuts to cap rate questions above.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author>
    <author>George DeCourcy</author>
  </authors>
  <commentList>
    <comment ref="H39" authorId="0" shapeId="0" xr:uid="{00000000-0006-0000-0000-000001000000}">
      <text>
        <r>
          <rPr>
            <b/>
            <sz val="9"/>
            <color indexed="81"/>
            <rFont val="Tahoma"/>
            <family val="2"/>
          </rPr>
          <t>George:</t>
        </r>
        <r>
          <rPr>
            <sz val="9"/>
            <color indexed="81"/>
            <rFont val="Tahoma"/>
            <family val="2"/>
          </rPr>
          <t xml:space="preserve">
Problem simply estimates this resale value by escalating purchase price by 3% per year.</t>
        </r>
      </text>
    </comment>
    <comment ref="H40" authorId="1" shapeId="0" xr:uid="{00000000-0006-0000-0000-000002000000}">
      <text>
        <r>
          <rPr>
            <b/>
            <sz val="9"/>
            <color indexed="81"/>
            <rFont val="Tahoma"/>
            <family val="2"/>
          </rPr>
          <t>George DeCourcy:</t>
        </r>
        <r>
          <rPr>
            <sz val="9"/>
            <color indexed="81"/>
            <rFont val="Tahoma"/>
            <family val="2"/>
          </rPr>
          <t xml:space="preserve">
Calculated above in initial calculations
</t>
        </r>
      </text>
    </comment>
    <comment ref="C56" authorId="1" shapeId="0" xr:uid="{00000000-0006-0000-0000-000004000000}">
      <text>
        <r>
          <rPr>
            <b/>
            <sz val="9"/>
            <color indexed="81"/>
            <rFont val="Tahoma"/>
            <family val="2"/>
          </rPr>
          <t>George DeCourcy:</t>
        </r>
        <r>
          <rPr>
            <sz val="9"/>
            <color indexed="81"/>
            <rFont val="Tahoma"/>
            <family val="2"/>
          </rPr>
          <t xml:space="preserve">
Given.</t>
        </r>
      </text>
    </comment>
    <comment ref="G56" authorId="0" shapeId="0" xr:uid="{00000000-0006-0000-0000-000005000000}">
      <text>
        <r>
          <rPr>
            <b/>
            <sz val="9"/>
            <color indexed="81"/>
            <rFont val="Tahoma"/>
            <family val="2"/>
          </rPr>
          <t>George:</t>
        </r>
        <r>
          <rPr>
            <sz val="9"/>
            <color indexed="81"/>
            <rFont val="Tahoma"/>
            <family val="2"/>
          </rPr>
          <t xml:space="preserve">
Rate not given in problem. Assumed to be less than discount rate for leveraged investment.
Solution only Note: This does not reconcile with the theoretical r-g concept of "cap rate". I could have chosen a number that did, but that would have been too convenient and allow shortcuts to cap rate questions above.</t>
        </r>
      </text>
    </comment>
  </commentList>
</comments>
</file>

<file path=xl/sharedStrings.xml><?xml version="1.0" encoding="utf-8"?>
<sst xmlns="http://schemas.openxmlformats.org/spreadsheetml/2006/main" count="163" uniqueCount="78">
  <si>
    <t>Asking Price</t>
  </si>
  <si>
    <t>Op. Expenses</t>
  </si>
  <si>
    <t>of EGI</t>
  </si>
  <si>
    <t>Loan LTV</t>
  </si>
  <si>
    <t>Loan Term (yrs)</t>
  </si>
  <si>
    <t>Growth</t>
  </si>
  <si>
    <t>Assumptions</t>
  </si>
  <si>
    <t>Rent</t>
  </si>
  <si>
    <t>Initial Calculations</t>
  </si>
  <si>
    <t>Loan Amount</t>
  </si>
  <si>
    <t>Loan Payments/mo</t>
  </si>
  <si>
    <t>Mtg Payoff Yr 5</t>
  </si>
  <si>
    <t>Holding Period</t>
  </si>
  <si>
    <t>years</t>
  </si>
  <si>
    <t>Vacancy &amp; Coll.</t>
  </si>
  <si>
    <t>EGI</t>
  </si>
  <si>
    <t>Expenses</t>
  </si>
  <si>
    <t>NOI</t>
  </si>
  <si>
    <t>Debt Service</t>
  </si>
  <si>
    <t>Resale Proceeds</t>
  </si>
  <si>
    <t>Less: Debt Payoff</t>
  </si>
  <si>
    <t>Initial Equity</t>
  </si>
  <si>
    <t>a)</t>
  </si>
  <si>
    <t>b)</t>
  </si>
  <si>
    <t>c)</t>
  </si>
  <si>
    <t>d)</t>
  </si>
  <si>
    <t>NPV =</t>
  </si>
  <si>
    <t>Also means we could still get our required return even if we paid an additional</t>
  </si>
  <si>
    <t>e)</t>
  </si>
  <si>
    <t>=</t>
  </si>
  <si>
    <t>PV of CFs</t>
  </si>
  <si>
    <t>Investment</t>
  </si>
  <si>
    <t>Vacancy &amp; Col.</t>
  </si>
  <si>
    <t>IRR on unl deal</t>
  </si>
  <si>
    <t>Going in cap rate:</t>
  </si>
  <si>
    <t>Unlev. CF</t>
  </si>
  <si>
    <t>PV of equity inflow</t>
  </si>
  <si>
    <t>PV of equity out</t>
  </si>
  <si>
    <t>NPV using excel</t>
  </si>
  <si>
    <t>Positive NPV means our IRR (at given price) is greater than our required rate of return</t>
  </si>
  <si>
    <t>Payments (annual)</t>
  </si>
  <si>
    <r>
      <t>NPV</t>
    </r>
    <r>
      <rPr>
        <vertAlign val="subscript"/>
        <sz val="15.4"/>
        <color theme="1"/>
        <rFont val="Calibri"/>
        <family val="2"/>
      </rPr>
      <t>e</t>
    </r>
    <r>
      <rPr>
        <sz val="11"/>
        <color theme="1"/>
        <rFont val="Calibri"/>
        <family val="2"/>
        <scheme val="minor"/>
      </rPr>
      <t xml:space="preserve"> =</t>
    </r>
  </si>
  <si>
    <t>of equity</t>
  </si>
  <si>
    <t>NPV  excel</t>
  </si>
  <si>
    <r>
      <rPr>
        <i/>
        <sz val="15.4"/>
        <color theme="1"/>
        <rFont val="Calibri"/>
        <family val="2"/>
      </rPr>
      <t>r</t>
    </r>
    <r>
      <rPr>
        <sz val="11"/>
        <color theme="1"/>
        <rFont val="Calibri"/>
        <family val="2"/>
        <scheme val="minor"/>
      </rPr>
      <t xml:space="preserve"> =</t>
    </r>
  </si>
  <si>
    <t>of purchase price</t>
  </si>
  <si>
    <t>Loan i rate</t>
  </si>
  <si>
    <t>(amortizing)</t>
  </si>
  <si>
    <t>Leveraged:</t>
  </si>
  <si>
    <t>Unleveraged</t>
  </si>
  <si>
    <t>Profitability index is not always a quality analytic tool here, but provides additional info.</t>
  </si>
  <si>
    <t>Implied (observed) terminal cap rate</t>
  </si>
  <si>
    <t>non-recourse</t>
  </si>
  <si>
    <t>Rents - Year 1</t>
  </si>
  <si>
    <t>USE EXCEL BEST PRACTICES IN FOLLOWING MODEL: Thus avoid "hardcoding" any variables.</t>
  </si>
  <si>
    <t>Resale Value</t>
  </si>
  <si>
    <t>"Assume" value (purchase price) increases at growth rate</t>
  </si>
  <si>
    <t>Discount rate: equity (k)</t>
  </si>
  <si>
    <r>
      <t xml:space="preserve">Analysis on the Equity Level </t>
    </r>
    <r>
      <rPr>
        <b/>
        <u/>
        <sz val="11"/>
        <color theme="1"/>
        <rFont val="Calibri"/>
        <family val="2"/>
        <scheme val="minor"/>
      </rPr>
      <t>(Leveraged)</t>
    </r>
  </si>
  <si>
    <r>
      <t xml:space="preserve">Analysis on the Total </t>
    </r>
    <r>
      <rPr>
        <b/>
        <u/>
        <sz val="11"/>
        <color theme="1"/>
        <rFont val="Calibri"/>
        <family val="2"/>
        <scheme val="minor"/>
      </rPr>
      <t>Unleveraged</t>
    </r>
    <r>
      <rPr>
        <u/>
        <sz val="11"/>
        <color theme="1"/>
        <rFont val="Calibri"/>
        <family val="2"/>
        <scheme val="minor"/>
      </rPr>
      <t xml:space="preserve"> Deal Level</t>
    </r>
  </si>
  <si>
    <t>PV: inflows</t>
  </si>
  <si>
    <t>PV: outflow</t>
  </si>
  <si>
    <t>IRR (on equity)</t>
  </si>
  <si>
    <t>DCR (Year 1)</t>
  </si>
  <si>
    <t>Leveraged and Unleveraged analysis of property</t>
  </si>
  <si>
    <t>Profitability index (or ratio) &gt; 1 means it has a positive NPV and thus meets required return requirements</t>
  </si>
  <si>
    <t>FIRST:</t>
  </si>
  <si>
    <t>BUILD A SIMPLE MODEL</t>
  </si>
  <si>
    <t>BTCF (CF to Equity) from Ops only</t>
  </si>
  <si>
    <t>Total BTCF (Equity)</t>
  </si>
  <si>
    <t>&lt;--  Info here. Not required  beyond year 1</t>
  </si>
  <si>
    <t xml:space="preserve"> (see Solution Note in cell)</t>
  </si>
  <si>
    <t>Price Appreciation</t>
  </si>
  <si>
    <t>Growth of rents</t>
  </si>
  <si>
    <t>(modified somewhat to contrast levereaged and unleveraged analysis)</t>
  </si>
  <si>
    <t>Problem 11-2  (This  is for 16e an earlier; See next tab for 17e)</t>
  </si>
  <si>
    <t>modified somewhat to contrast levereaged and unleveraged analysis</t>
  </si>
  <si>
    <t>Problem 11-2  (Text 17e)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</si>
</sst>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sz val="11"/>
      <color theme="3"/>
      <name val="Calibri"/>
      <family val="2"/>
      <scheme val="minor"/>
    </font>
    <font>
      <vertAlign val="subscript"/>
      <sz val="15.4"/>
      <color theme="1"/>
      <name val="Calibri"/>
      <family val="2"/>
    </font>
    <font>
      <i/>
      <sz val="15.4"/>
      <color theme="1"/>
      <name val="Calibri"/>
      <family val="2"/>
    </font>
    <font>
      <b/>
      <u/>
      <sz val="11"/>
      <color theme="1"/>
      <name val="Calibri"/>
      <family val="2"/>
      <scheme val="minor"/>
    </font>
    <font>
      <i/>
      <sz val="11"/>
      <color theme="3" tint="0.3999755851924192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3" tint="0.79998168889431442"/>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9" fontId="0" fillId="0" borderId="0" xfId="2" applyFont="1"/>
    <xf numFmtId="0" fontId="3" fillId="0" borderId="0" xfId="0" applyFont="1"/>
    <xf numFmtId="37" fontId="0" fillId="0" borderId="0" xfId="0" applyNumberFormat="1"/>
    <xf numFmtId="164" fontId="0" fillId="0" borderId="0" xfId="1" applyNumberFormat="1" applyFont="1"/>
    <xf numFmtId="164" fontId="0" fillId="0" borderId="0" xfId="0" applyNumberFormat="1"/>
    <xf numFmtId="37" fontId="0" fillId="0" borderId="1" xfId="0" applyNumberFormat="1" applyBorder="1"/>
    <xf numFmtId="0" fontId="0" fillId="0" borderId="0" xfId="0" applyFont="1"/>
    <xf numFmtId="10" fontId="0" fillId="2" borderId="0" xfId="0" applyNumberFormat="1" applyFill="1"/>
    <xf numFmtId="2" fontId="0" fillId="0" borderId="0" xfId="0" applyNumberFormat="1"/>
    <xf numFmtId="2" fontId="0" fillId="2" borderId="0" xfId="0" applyNumberFormat="1" applyFill="1"/>
    <xf numFmtId="10" fontId="0" fillId="0" borderId="0" xfId="2" applyNumberFormat="1" applyFont="1"/>
    <xf numFmtId="0" fontId="2" fillId="0" borderId="0" xfId="0" applyFont="1"/>
    <xf numFmtId="10" fontId="0" fillId="0" borderId="0" xfId="0" applyNumberFormat="1" applyFill="1"/>
    <xf numFmtId="164" fontId="7" fillId="0" borderId="0" xfId="1" applyNumberFormat="1" applyFont="1"/>
    <xf numFmtId="9" fontId="7" fillId="0" borderId="0" xfId="2" applyFont="1"/>
    <xf numFmtId="0" fontId="7" fillId="0" borderId="0" xfId="0" applyFont="1"/>
    <xf numFmtId="10" fontId="0" fillId="2" borderId="1" xfId="0" applyNumberFormat="1" applyFill="1" applyBorder="1"/>
    <xf numFmtId="10" fontId="0" fillId="0" borderId="0" xfId="2" applyNumberFormat="1" applyFont="1" applyBorder="1"/>
    <xf numFmtId="164" fontId="0" fillId="0" borderId="1" xfId="0" applyNumberFormat="1" applyBorder="1"/>
    <xf numFmtId="37" fontId="0" fillId="3" borderId="0" xfId="0" applyNumberFormat="1" applyFill="1"/>
    <xf numFmtId="37" fontId="0" fillId="3" borderId="1" xfId="0" applyNumberFormat="1" applyFill="1" applyBorder="1"/>
    <xf numFmtId="0" fontId="0" fillId="4" borderId="0" xfId="0" applyFill="1"/>
    <xf numFmtId="0" fontId="3" fillId="4" borderId="0" xfId="0" applyFont="1" applyFill="1"/>
    <xf numFmtId="10" fontId="0" fillId="4" borderId="0" xfId="2" applyNumberFormat="1" applyFont="1" applyFill="1" applyBorder="1"/>
    <xf numFmtId="37" fontId="0" fillId="4" borderId="0" xfId="0" applyNumberFormat="1" applyFill="1"/>
    <xf numFmtId="164" fontId="0" fillId="4" borderId="0" xfId="0" applyNumberFormat="1" applyFill="1"/>
    <xf numFmtId="164" fontId="0" fillId="4" borderId="1" xfId="0" applyNumberFormat="1" applyFill="1" applyBorder="1"/>
    <xf numFmtId="0" fontId="0" fillId="4" borderId="10" xfId="0" applyFill="1" applyBorder="1"/>
    <xf numFmtId="0" fontId="0" fillId="4" borderId="11" xfId="0" applyFill="1" applyBorder="1"/>
    <xf numFmtId="0" fontId="0" fillId="4" borderId="3" xfId="0" applyFill="1" applyBorder="1"/>
    <xf numFmtId="0" fontId="0" fillId="4" borderId="4" xfId="0" applyFill="1" applyBorder="1"/>
    <xf numFmtId="164" fontId="0" fillId="4" borderId="4" xfId="0" applyNumberFormat="1" applyFill="1" applyBorder="1"/>
    <xf numFmtId="37" fontId="0" fillId="4" borderId="4" xfId="0" applyNumberFormat="1" applyFill="1" applyBorder="1"/>
    <xf numFmtId="37" fontId="0" fillId="4" borderId="5" xfId="0" applyNumberFormat="1" applyFill="1" applyBorder="1"/>
    <xf numFmtId="0" fontId="0" fillId="4" borderId="6" xfId="0" applyFill="1" applyBorder="1"/>
    <xf numFmtId="0" fontId="0" fillId="4" borderId="0" xfId="0" applyFill="1" applyBorder="1"/>
    <xf numFmtId="0" fontId="0" fillId="4" borderId="8" xfId="0" applyFill="1" applyBorder="1"/>
    <xf numFmtId="0" fontId="0" fillId="4" borderId="1" xfId="0" applyFill="1" applyBorder="1"/>
    <xf numFmtId="37" fontId="0" fillId="4" borderId="1" xfId="0" applyNumberFormat="1" applyFill="1" applyBorder="1"/>
    <xf numFmtId="164" fontId="0" fillId="2" borderId="0" xfId="0" applyNumberFormat="1" applyFill="1"/>
    <xf numFmtId="164" fontId="0" fillId="2" borderId="12" xfId="0" applyNumberFormat="1" applyFill="1" applyBorder="1"/>
    <xf numFmtId="0" fontId="0" fillId="0" borderId="0" xfId="0" applyFill="1"/>
    <xf numFmtId="37" fontId="0" fillId="0" borderId="0" xfId="0" applyNumberFormat="1" applyFill="1"/>
    <xf numFmtId="0" fontId="6" fillId="0" borderId="0" xfId="0" applyFont="1" applyFill="1"/>
    <xf numFmtId="0" fontId="0" fillId="0" borderId="1" xfId="0" applyFill="1" applyBorder="1" applyAlignment="1">
      <alignment horizontal="center"/>
    </xf>
    <xf numFmtId="6" fontId="0" fillId="0" borderId="1" xfId="0" applyNumberFormat="1" applyFill="1" applyBorder="1"/>
    <xf numFmtId="0" fontId="0" fillId="0" borderId="0" xfId="0" applyFill="1" applyAlignment="1">
      <alignment horizontal="center"/>
    </xf>
    <xf numFmtId="164" fontId="0" fillId="0" borderId="0" xfId="0" applyNumberFormat="1" applyFill="1"/>
    <xf numFmtId="164" fontId="0" fillId="0" borderId="1" xfId="0" applyNumberFormat="1" applyFill="1" applyBorder="1"/>
    <xf numFmtId="10" fontId="0" fillId="0" borderId="0" xfId="2" applyNumberFormat="1" applyFont="1" applyFill="1"/>
    <xf numFmtId="165" fontId="0" fillId="4" borderId="0" xfId="2" applyNumberFormat="1" applyFont="1" applyFill="1"/>
    <xf numFmtId="164" fontId="0" fillId="0" borderId="0" xfId="1" applyNumberFormat="1" applyFont="1" applyFill="1" applyBorder="1"/>
    <xf numFmtId="164" fontId="0" fillId="2" borderId="2" xfId="0" applyNumberFormat="1" applyFill="1" applyBorder="1"/>
    <xf numFmtId="164" fontId="0" fillId="2" borderId="2" xfId="1" applyNumberFormat="1" applyFont="1" applyFill="1" applyBorder="1"/>
    <xf numFmtId="0" fontId="0" fillId="5" borderId="1" xfId="0" applyFill="1" applyBorder="1"/>
    <xf numFmtId="0" fontId="11" fillId="0" borderId="0" xfId="0" applyFont="1"/>
    <xf numFmtId="37" fontId="11" fillId="0" borderId="0" xfId="0" applyNumberFormat="1" applyFont="1"/>
    <xf numFmtId="9" fontId="11" fillId="0" borderId="0" xfId="2" applyFont="1"/>
    <xf numFmtId="10" fontId="0" fillId="2" borderId="2" xfId="2" applyNumberFormat="1" applyFont="1" applyFill="1" applyBorder="1"/>
    <xf numFmtId="164" fontId="0" fillId="0" borderId="0" xfId="0" applyNumberFormat="1" applyFill="1" applyBorder="1"/>
    <xf numFmtId="37" fontId="0" fillId="0" borderId="0" xfId="0" applyNumberFormat="1" applyFill="1" applyBorder="1"/>
    <xf numFmtId="37" fontId="0" fillId="0" borderId="7" xfId="0" applyNumberFormat="1" applyFill="1" applyBorder="1"/>
    <xf numFmtId="37" fontId="0" fillId="0" borderId="1" xfId="0" applyNumberFormat="1" applyFill="1" applyBorder="1"/>
    <xf numFmtId="37" fontId="0" fillId="0" borderId="9" xfId="0" applyNumberFormat="1" applyFill="1" applyBorder="1"/>
    <xf numFmtId="9" fontId="7" fillId="0" borderId="0" xfId="2" applyNumberFormat="1" applyFont="1"/>
    <xf numFmtId="37" fontId="0" fillId="0" borderId="0" xfId="0" quotePrefix="1" applyNumberFormat="1" applyFill="1" applyAlignment="1">
      <alignment horizontal="center" vertical="center"/>
    </xf>
    <xf numFmtId="39" fontId="0" fillId="2" borderId="0" xfId="0" applyNumberFormat="1" applyFill="1" applyAlignment="1">
      <alignment horizontal="center" vertical="center"/>
    </xf>
    <xf numFmtId="165" fontId="7" fillId="0" borderId="0" xfId="2" applyNumberFormat="1" applyFont="1"/>
  </cellXfs>
  <cellStyles count="3">
    <cellStyle name="Comma" xfId="1" builtinId="3"/>
    <cellStyle name="Normal" xfId="0" builtinId="0"/>
    <cellStyle name="Percent" xfId="2"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571498</xdr:colOff>
      <xdr:row>75</xdr:row>
      <xdr:rowOff>155862</xdr:rowOff>
    </xdr:from>
    <xdr:to>
      <xdr:col>8</xdr:col>
      <xdr:colOff>294409</xdr:colOff>
      <xdr:row>92</xdr:row>
      <xdr:rowOff>17317</xdr:rowOff>
    </xdr:to>
    <xdr:sp macro="" textlink="">
      <xdr:nvSpPr>
        <xdr:cNvPr id="2" name="TextBox 1">
          <a:extLst>
            <a:ext uri="{FF2B5EF4-FFF2-40B4-BE49-F238E27FC236}">
              <a16:creationId xmlns:a16="http://schemas.microsoft.com/office/drawing/2014/main" id="{FF377E52-CA9E-4BB7-88FB-9E39EDF09427}"/>
            </a:ext>
          </a:extLst>
        </xdr:cNvPr>
        <xdr:cNvSpPr txBox="1"/>
      </xdr:nvSpPr>
      <xdr:spPr>
        <a:xfrm>
          <a:off x="571498" y="14262387"/>
          <a:ext cx="6942861" cy="309995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viewing the NPVs, the IRRs and the Profitability Index, what are your conclusions</a:t>
          </a:r>
          <a:r>
            <a:rPr lang="en-US" sz="1100" baseline="0">
              <a:solidFill>
                <a:schemeClr val="dk1"/>
              </a:solidFill>
              <a:effectLst/>
              <a:latin typeface="+mn-lt"/>
              <a:ea typeface="+mn-ea"/>
              <a:cs typeface="+mn-cs"/>
            </a:rPr>
            <a:t> or observations? Proceed? Leveraged or Unleveraged?</a:t>
          </a:r>
          <a:endParaRPr lang="en-US">
            <a:effectLst/>
          </a:endParaRPr>
        </a:p>
        <a:p>
          <a:endParaRPr lang="en-US" sz="1100"/>
        </a:p>
        <a:p>
          <a:r>
            <a:rPr lang="en-US" sz="1100"/>
            <a:t>This is an interesting (advanced) issue as the NPV is greater for unlevered and the IRR is greater for levered. These are mutually exclusive investment opportunities so most finance text books would suggest that NPV should prevail.  However this is an oversimplification as the NPVs are</a:t>
          </a:r>
          <a:r>
            <a:rPr lang="en-US" sz="1100" baseline="0"/>
            <a:t> not comparable due to size. This is one time where we can get some additional info from the profitability index which deals with the size issue.</a:t>
          </a:r>
        </a:p>
        <a:p>
          <a:endParaRPr lang="en-US" sz="1100" baseline="0"/>
        </a:p>
        <a:p>
          <a:r>
            <a:rPr lang="en-US" sz="1100" baseline="0"/>
            <a:t>It is not "clear" whether the increased IRR justifies the increased risk of the leverage. Our only numeric risk measure is a fairly tight 1.15 DCR. The Profitability Index shows the leveraged deal is not really more profitable. So the interpretation of these numbers could go either way. More info would be required, especially relating to the stability of the revenue (lease turnover etc).</a:t>
          </a:r>
          <a:endParaRPr lang="en-US" sz="1100"/>
        </a:p>
      </xdr:txBody>
    </xdr:sp>
    <xdr:clientData/>
  </xdr:twoCellAnchor>
  <xdr:twoCellAnchor>
    <xdr:from>
      <xdr:col>9</xdr:col>
      <xdr:colOff>155863</xdr:colOff>
      <xdr:row>7</xdr:row>
      <xdr:rowOff>121228</xdr:rowOff>
    </xdr:from>
    <xdr:to>
      <xdr:col>12</xdr:col>
      <xdr:colOff>484909</xdr:colOff>
      <xdr:row>11</xdr:row>
      <xdr:rowOff>43296</xdr:rowOff>
    </xdr:to>
    <xdr:sp macro="" textlink="">
      <xdr:nvSpPr>
        <xdr:cNvPr id="3" name="TextBox 2">
          <a:extLst>
            <a:ext uri="{FF2B5EF4-FFF2-40B4-BE49-F238E27FC236}">
              <a16:creationId xmlns:a16="http://schemas.microsoft.com/office/drawing/2014/main" id="{E2E9810E-A98C-47C2-9E41-AFFA89158A58}"/>
            </a:ext>
          </a:extLst>
        </xdr:cNvPr>
        <xdr:cNvSpPr txBox="1"/>
      </xdr:nvSpPr>
      <xdr:spPr>
        <a:xfrm>
          <a:off x="8223538" y="1264228"/>
          <a:ext cx="2157846"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twoCellAnchor>
    <xdr:from>
      <xdr:col>12</xdr:col>
      <xdr:colOff>594013</xdr:colOff>
      <xdr:row>63</xdr:row>
      <xdr:rowOff>48492</xdr:rowOff>
    </xdr:from>
    <xdr:to>
      <xdr:col>16</xdr:col>
      <xdr:colOff>316923</xdr:colOff>
      <xdr:row>66</xdr:row>
      <xdr:rowOff>161060</xdr:rowOff>
    </xdr:to>
    <xdr:sp macro="" textlink="">
      <xdr:nvSpPr>
        <xdr:cNvPr id="4" name="TextBox 3">
          <a:extLst>
            <a:ext uri="{FF2B5EF4-FFF2-40B4-BE49-F238E27FC236}">
              <a16:creationId xmlns:a16="http://schemas.microsoft.com/office/drawing/2014/main" id="{AED68C3F-0841-431B-B922-993E3E6D4C97}"/>
            </a:ext>
          </a:extLst>
        </xdr:cNvPr>
        <xdr:cNvSpPr txBox="1"/>
      </xdr:nvSpPr>
      <xdr:spPr>
        <a:xfrm>
          <a:off x="10490488" y="11869017"/>
          <a:ext cx="2161310"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twoCellAnchor>
    <xdr:from>
      <xdr:col>12</xdr:col>
      <xdr:colOff>512617</xdr:colOff>
      <xdr:row>32</xdr:row>
      <xdr:rowOff>27709</xdr:rowOff>
    </xdr:from>
    <xdr:to>
      <xdr:col>16</xdr:col>
      <xdr:colOff>235527</xdr:colOff>
      <xdr:row>35</xdr:row>
      <xdr:rowOff>140277</xdr:rowOff>
    </xdr:to>
    <xdr:sp macro="" textlink="">
      <xdr:nvSpPr>
        <xdr:cNvPr id="5" name="TextBox 4">
          <a:extLst>
            <a:ext uri="{FF2B5EF4-FFF2-40B4-BE49-F238E27FC236}">
              <a16:creationId xmlns:a16="http://schemas.microsoft.com/office/drawing/2014/main" id="{DFD22F42-C4D7-4A69-92FC-A9644DB86729}"/>
            </a:ext>
          </a:extLst>
        </xdr:cNvPr>
        <xdr:cNvSpPr txBox="1"/>
      </xdr:nvSpPr>
      <xdr:spPr>
        <a:xfrm>
          <a:off x="10409092" y="5933209"/>
          <a:ext cx="2161310"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571498</xdr:colOff>
      <xdr:row>76</xdr:row>
      <xdr:rowOff>155862</xdr:rowOff>
    </xdr:from>
    <xdr:to>
      <xdr:col>8</xdr:col>
      <xdr:colOff>294409</xdr:colOff>
      <xdr:row>93</xdr:row>
      <xdr:rowOff>17317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71498" y="14833021"/>
          <a:ext cx="6070025" cy="309995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viewing the NPVs, the IRRs and the Profitability Index, what are your conclusions</a:t>
          </a:r>
          <a:r>
            <a:rPr lang="en-US" sz="1100" baseline="0">
              <a:solidFill>
                <a:schemeClr val="dk1"/>
              </a:solidFill>
              <a:effectLst/>
              <a:latin typeface="+mn-lt"/>
              <a:ea typeface="+mn-ea"/>
              <a:cs typeface="+mn-cs"/>
            </a:rPr>
            <a:t> or observations? Proceed? Leveraged or Unleveraged?</a:t>
          </a:r>
          <a:endParaRPr lang="en-US">
            <a:effectLst/>
          </a:endParaRPr>
        </a:p>
        <a:p>
          <a:endParaRPr lang="en-US" sz="1100"/>
        </a:p>
        <a:p>
          <a:r>
            <a:rPr lang="en-US" sz="1100"/>
            <a:t>This is an interesting (advanced) issue as the NPV is greater for unlevered and the IRR is greater for levered. These are mutually exclusive investment opportunities so most finance text books would suggest that NPV should prevail.  However this is an oversimplification as the NPVs are</a:t>
          </a:r>
          <a:r>
            <a:rPr lang="en-US" sz="1100" baseline="0"/>
            <a:t> not comparable due to size. This is one time where we can get some additional info from the profitability index which deals with the size issue.</a:t>
          </a:r>
        </a:p>
        <a:p>
          <a:endParaRPr lang="en-US" sz="1100" baseline="0"/>
        </a:p>
        <a:p>
          <a:r>
            <a:rPr lang="en-US" sz="1100" baseline="0"/>
            <a:t>It is not "clear" whether the increased IRR justifies the increased risk of the leverage. Our only numeric risk measure is a fairly the DCR. The Profitability Index shows the leveraged deal is not really more profitable. So the interpretation of these numbers could go either way. More info would be required, especially relating to the stability of the revenue (lease turnover etc).</a:t>
          </a:r>
          <a:endParaRPr lang="en-US" sz="1100"/>
        </a:p>
      </xdr:txBody>
    </xdr:sp>
    <xdr:clientData/>
  </xdr:twoCellAnchor>
  <xdr:twoCellAnchor>
    <xdr:from>
      <xdr:col>9</xdr:col>
      <xdr:colOff>155863</xdr:colOff>
      <xdr:row>7</xdr:row>
      <xdr:rowOff>121228</xdr:rowOff>
    </xdr:from>
    <xdr:to>
      <xdr:col>12</xdr:col>
      <xdr:colOff>484909</xdr:colOff>
      <xdr:row>11</xdr:row>
      <xdr:rowOff>43296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226136" y="1264228"/>
          <a:ext cx="2147455"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twoCellAnchor>
    <xdr:from>
      <xdr:col>12</xdr:col>
      <xdr:colOff>594013</xdr:colOff>
      <xdr:row>64</xdr:row>
      <xdr:rowOff>48492</xdr:rowOff>
    </xdr:from>
    <xdr:to>
      <xdr:col>16</xdr:col>
      <xdr:colOff>316923</xdr:colOff>
      <xdr:row>67</xdr:row>
      <xdr:rowOff>161060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0482695" y="11868151"/>
          <a:ext cx="2147455"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twoCellAnchor>
    <xdr:from>
      <xdr:col>12</xdr:col>
      <xdr:colOff>512617</xdr:colOff>
      <xdr:row>33</xdr:row>
      <xdr:rowOff>27709</xdr:rowOff>
    </xdr:from>
    <xdr:to>
      <xdr:col>16</xdr:col>
      <xdr:colOff>235527</xdr:colOff>
      <xdr:row>36</xdr:row>
      <xdr:rowOff>140277</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0401299" y="5933209"/>
          <a:ext cx="2147455" cy="684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FF0000"/>
              </a:solidFill>
            </a:rPr>
            <a:t>Solution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AC5D8-0CF2-44F5-A3BD-F3140F89F876}">
  <dimension ref="A1:J75"/>
  <sheetViews>
    <sheetView tabSelected="1" zoomScale="110" zoomScaleNormal="110" workbookViewId="0"/>
  </sheetViews>
  <sheetFormatPr defaultRowHeight="15" x14ac:dyDescent="0.25"/>
  <cols>
    <col min="2" max="2" width="22.85546875" customWidth="1"/>
    <col min="3" max="9" width="12.7109375" customWidth="1"/>
  </cols>
  <sheetData>
    <row r="1" spans="1:4" x14ac:dyDescent="0.25">
      <c r="A1" s="12" t="s">
        <v>75</v>
      </c>
    </row>
    <row r="2" spans="1:4" x14ac:dyDescent="0.25">
      <c r="A2" s="12" t="s">
        <v>74</v>
      </c>
    </row>
    <row r="3" spans="1:4" x14ac:dyDescent="0.25">
      <c r="A3" s="12" t="s">
        <v>64</v>
      </c>
    </row>
    <row r="4" spans="1:4" x14ac:dyDescent="0.25">
      <c r="B4" s="2" t="s">
        <v>6</v>
      </c>
    </row>
    <row r="5" spans="1:4" x14ac:dyDescent="0.25">
      <c r="B5" t="s">
        <v>0</v>
      </c>
      <c r="C5" s="14">
        <v>1250000</v>
      </c>
    </row>
    <row r="6" spans="1:4" x14ac:dyDescent="0.25">
      <c r="B6" t="s">
        <v>53</v>
      </c>
      <c r="C6" s="14">
        <v>200000</v>
      </c>
    </row>
    <row r="7" spans="1:4" x14ac:dyDescent="0.25">
      <c r="B7" t="s">
        <v>32</v>
      </c>
      <c r="C7" s="65">
        <v>0.1</v>
      </c>
    </row>
    <row r="8" spans="1:4" x14ac:dyDescent="0.25">
      <c r="B8" t="s">
        <v>1</v>
      </c>
      <c r="C8" s="15">
        <v>0.35</v>
      </c>
      <c r="D8" t="s">
        <v>2</v>
      </c>
    </row>
    <row r="9" spans="1:4" x14ac:dyDescent="0.25">
      <c r="C9" s="16"/>
    </row>
    <row r="10" spans="1:4" x14ac:dyDescent="0.25">
      <c r="B10" t="s">
        <v>3</v>
      </c>
      <c r="C10" s="15">
        <v>0.7</v>
      </c>
    </row>
    <row r="11" spans="1:4" x14ac:dyDescent="0.25">
      <c r="B11" t="s">
        <v>9</v>
      </c>
      <c r="C11" s="4">
        <f>C5*C10</f>
        <v>875000</v>
      </c>
      <c r="D11" t="s">
        <v>52</v>
      </c>
    </row>
    <row r="12" spans="1:4" x14ac:dyDescent="0.25">
      <c r="B12" t="s">
        <v>46</v>
      </c>
      <c r="C12" s="15">
        <v>0.11</v>
      </c>
    </row>
    <row r="13" spans="1:4" x14ac:dyDescent="0.25">
      <c r="B13" t="s">
        <v>4</v>
      </c>
      <c r="C13" s="16">
        <v>30</v>
      </c>
      <c r="D13" t="s">
        <v>47</v>
      </c>
    </row>
    <row r="15" spans="1:4" x14ac:dyDescent="0.25">
      <c r="B15" t="s">
        <v>5</v>
      </c>
      <c r="C15" s="15">
        <v>0.03</v>
      </c>
    </row>
    <row r="16" spans="1:4" x14ac:dyDescent="0.25">
      <c r="B16" t="s">
        <v>12</v>
      </c>
      <c r="C16" s="16">
        <v>5</v>
      </c>
      <c r="D16" t="s">
        <v>13</v>
      </c>
    </row>
    <row r="17" spans="1:9" x14ac:dyDescent="0.25">
      <c r="B17" t="s">
        <v>55</v>
      </c>
      <c r="C17" s="16" t="s">
        <v>56</v>
      </c>
    </row>
    <row r="19" spans="1:9" x14ac:dyDescent="0.25">
      <c r="B19" s="2" t="s">
        <v>8</v>
      </c>
    </row>
    <row r="20" spans="1:9" x14ac:dyDescent="0.25">
      <c r="B20" s="7" t="s">
        <v>21</v>
      </c>
      <c r="C20" s="53">
        <f>C5-C11</f>
        <v>375000</v>
      </c>
    </row>
    <row r="21" spans="1:9" x14ac:dyDescent="0.25">
      <c r="B21" t="s">
        <v>10</v>
      </c>
      <c r="C21" s="54">
        <f>-PMT(C12/12,C13*12,C11)</f>
        <v>8332.8297114072466</v>
      </c>
    </row>
    <row r="22" spans="1:9" x14ac:dyDescent="0.25">
      <c r="B22" t="s">
        <v>40</v>
      </c>
      <c r="C22" s="53">
        <f>C21*12</f>
        <v>99993.956536886952</v>
      </c>
    </row>
    <row r="23" spans="1:9" x14ac:dyDescent="0.25">
      <c r="B23" t="s">
        <v>11</v>
      </c>
      <c r="C23" s="54">
        <f>-PV(C12/12,(C13-C16)*12,C21)</f>
        <v>850190.64714663057</v>
      </c>
    </row>
    <row r="24" spans="1:9" x14ac:dyDescent="0.25">
      <c r="C24" s="52"/>
    </row>
    <row r="25" spans="1:9" x14ac:dyDescent="0.25">
      <c r="A25" t="s">
        <v>66</v>
      </c>
      <c r="B25" t="s">
        <v>67</v>
      </c>
      <c r="C25" s="52"/>
    </row>
    <row r="26" spans="1:9" x14ac:dyDescent="0.25">
      <c r="B26" t="s">
        <v>54</v>
      </c>
    </row>
    <row r="27" spans="1:9" x14ac:dyDescent="0.25">
      <c r="D27" s="55">
        <v>1</v>
      </c>
      <c r="E27" s="55">
        <v>2</v>
      </c>
      <c r="F27" s="55">
        <v>3</v>
      </c>
      <c r="G27" s="55">
        <v>4</v>
      </c>
      <c r="H27" s="55">
        <v>5</v>
      </c>
      <c r="I27" s="55">
        <v>6</v>
      </c>
    </row>
    <row r="28" spans="1:9" x14ac:dyDescent="0.25">
      <c r="B28" t="s">
        <v>7</v>
      </c>
      <c r="D28" s="25">
        <f>C6</f>
        <v>200000</v>
      </c>
      <c r="E28" s="25">
        <f>D28*(1+$C$15)</f>
        <v>206000</v>
      </c>
      <c r="F28" s="25">
        <f t="shared" ref="F28:I28" si="0">E28*(1+$C$15)</f>
        <v>212180</v>
      </c>
      <c r="G28" s="25">
        <f t="shared" si="0"/>
        <v>218545.4</v>
      </c>
      <c r="H28" s="25">
        <f t="shared" si="0"/>
        <v>225101.76199999999</v>
      </c>
      <c r="I28" s="20">
        <f t="shared" si="0"/>
        <v>231854.81485999998</v>
      </c>
    </row>
    <row r="29" spans="1:9" x14ac:dyDescent="0.25">
      <c r="B29" t="s">
        <v>14</v>
      </c>
      <c r="D29" s="39">
        <f>-D28*$C$7</f>
        <v>-20000</v>
      </c>
      <c r="E29" s="39">
        <f t="shared" ref="E29:I29" si="1">-E28*$C$7</f>
        <v>-20600</v>
      </c>
      <c r="F29" s="39">
        <f t="shared" si="1"/>
        <v>-21218</v>
      </c>
      <c r="G29" s="39">
        <f t="shared" si="1"/>
        <v>-21854.54</v>
      </c>
      <c r="H29" s="39">
        <f t="shared" si="1"/>
        <v>-22510.176200000002</v>
      </c>
      <c r="I29" s="21">
        <f t="shared" si="1"/>
        <v>-23185.481486000001</v>
      </c>
    </row>
    <row r="30" spans="1:9" x14ac:dyDescent="0.25">
      <c r="B30" t="s">
        <v>15</v>
      </c>
      <c r="D30" s="25">
        <f>SUM(D28:D29)</f>
        <v>180000</v>
      </c>
      <c r="E30" s="25">
        <f t="shared" ref="E30:I30" si="2">SUM(E28:E29)</f>
        <v>185400</v>
      </c>
      <c r="F30" s="25">
        <f t="shared" si="2"/>
        <v>190962</v>
      </c>
      <c r="G30" s="25">
        <f t="shared" si="2"/>
        <v>196690.86</v>
      </c>
      <c r="H30" s="25">
        <f t="shared" si="2"/>
        <v>202591.5858</v>
      </c>
      <c r="I30" s="20">
        <f t="shared" si="2"/>
        <v>208669.33337399998</v>
      </c>
    </row>
    <row r="31" spans="1:9" x14ac:dyDescent="0.25">
      <c r="D31" s="3"/>
      <c r="E31" s="3"/>
      <c r="F31" s="3"/>
      <c r="G31" s="3"/>
      <c r="H31" s="3"/>
      <c r="I31" s="20"/>
    </row>
    <row r="32" spans="1:9" x14ac:dyDescent="0.25">
      <c r="B32" t="s">
        <v>16</v>
      </c>
      <c r="D32" s="39">
        <f>-D30*$C$8</f>
        <v>-62999.999999999993</v>
      </c>
      <c r="E32" s="39">
        <f t="shared" ref="E32:I32" si="3">-E30*$C$8</f>
        <v>-64889.999999999993</v>
      </c>
      <c r="F32" s="39">
        <f t="shared" si="3"/>
        <v>-66836.7</v>
      </c>
      <c r="G32" s="39">
        <f t="shared" si="3"/>
        <v>-68841.800999999992</v>
      </c>
      <c r="H32" s="39">
        <f t="shared" si="3"/>
        <v>-70907.055029999989</v>
      </c>
      <c r="I32" s="21">
        <f t="shared" si="3"/>
        <v>-73034.266680899993</v>
      </c>
    </row>
    <row r="33" spans="1:10" x14ac:dyDescent="0.25">
      <c r="B33" t="s">
        <v>17</v>
      </c>
      <c r="C33" s="5"/>
      <c r="D33" s="25">
        <f>SUM(D30:D32)</f>
        <v>117000</v>
      </c>
      <c r="E33" s="25">
        <f t="shared" ref="E33:I33" si="4">SUM(E30:E32)</f>
        <v>120510</v>
      </c>
      <c r="F33" s="25">
        <f t="shared" si="4"/>
        <v>124125.3</v>
      </c>
      <c r="G33" s="25">
        <f t="shared" si="4"/>
        <v>127849.05899999999</v>
      </c>
      <c r="H33" s="25">
        <f t="shared" si="4"/>
        <v>131684.53077000001</v>
      </c>
      <c r="I33" s="20">
        <f t="shared" si="4"/>
        <v>135635.06669309997</v>
      </c>
    </row>
    <row r="34" spans="1:10" x14ac:dyDescent="0.25">
      <c r="D34" s="3"/>
      <c r="E34" s="3"/>
      <c r="F34" s="3"/>
      <c r="G34" s="3"/>
      <c r="H34" s="3"/>
      <c r="I34" s="3"/>
    </row>
    <row r="35" spans="1:10" x14ac:dyDescent="0.25">
      <c r="B35" t="s">
        <v>18</v>
      </c>
      <c r="D35" s="39">
        <f>-$C$22</f>
        <v>-99993.956536886952</v>
      </c>
      <c r="E35" s="39">
        <f t="shared" ref="E35:H35" si="5">-$C$22</f>
        <v>-99993.956536886952</v>
      </c>
      <c r="F35" s="39">
        <f t="shared" si="5"/>
        <v>-99993.956536886952</v>
      </c>
      <c r="G35" s="39">
        <f t="shared" si="5"/>
        <v>-99993.956536886952</v>
      </c>
      <c r="H35" s="39">
        <f t="shared" si="5"/>
        <v>-99993.956536886952</v>
      </c>
      <c r="I35" s="3"/>
    </row>
    <row r="36" spans="1:10" x14ac:dyDescent="0.25">
      <c r="B36" t="s">
        <v>68</v>
      </c>
      <c r="D36" s="25">
        <f>SUM(D33:D35)</f>
        <v>17006.043463113048</v>
      </c>
      <c r="E36" s="25">
        <f t="shared" ref="E36:H36" si="6">SUM(E33:E35)</f>
        <v>20516.043463113048</v>
      </c>
      <c r="F36" s="25">
        <f t="shared" si="6"/>
        <v>24131.343463113051</v>
      </c>
      <c r="G36" s="25">
        <f t="shared" si="6"/>
        <v>27855.102463113042</v>
      </c>
      <c r="H36" s="25">
        <f t="shared" si="6"/>
        <v>31690.57423311306</v>
      </c>
      <c r="I36" s="3"/>
    </row>
    <row r="37" spans="1:10" x14ac:dyDescent="0.25">
      <c r="D37" s="3"/>
      <c r="E37" s="3"/>
      <c r="F37" s="3"/>
      <c r="G37" s="3"/>
      <c r="H37" s="3"/>
      <c r="I37" s="3"/>
    </row>
    <row r="38" spans="1:10" x14ac:dyDescent="0.25">
      <c r="B38" t="s">
        <v>19</v>
      </c>
      <c r="D38" s="3"/>
      <c r="E38" s="3"/>
      <c r="F38" s="3"/>
      <c r="G38" s="3"/>
      <c r="H38" s="25">
        <f>C5*(1+C15)^H27</f>
        <v>1449092.5928749999</v>
      </c>
      <c r="I38" s="3"/>
    </row>
    <row r="39" spans="1:10" x14ac:dyDescent="0.25">
      <c r="B39" t="s">
        <v>20</v>
      </c>
      <c r="D39" s="6"/>
      <c r="E39" s="6"/>
      <c r="F39" s="6"/>
      <c r="G39" s="6"/>
      <c r="H39" s="39">
        <f>-C23</f>
        <v>-850190.64714663057</v>
      </c>
      <c r="I39" s="3"/>
    </row>
    <row r="40" spans="1:10" x14ac:dyDescent="0.25">
      <c r="B40" t="s">
        <v>69</v>
      </c>
      <c r="C40" s="26">
        <f>-C20</f>
        <v>-375000</v>
      </c>
      <c r="D40" s="25">
        <f>SUM(D36:D39)</f>
        <v>17006.043463113048</v>
      </c>
      <c r="E40" s="25">
        <f t="shared" ref="E40:H40" si="7">SUM(E36:E39)</f>
        <v>20516.043463113048</v>
      </c>
      <c r="F40" s="25">
        <f t="shared" si="7"/>
        <v>24131.343463113051</v>
      </c>
      <c r="G40" s="25">
        <f t="shared" si="7"/>
        <v>27855.102463113042</v>
      </c>
      <c r="H40" s="25">
        <f t="shared" si="7"/>
        <v>630592.51996148238</v>
      </c>
      <c r="I40" s="3"/>
    </row>
    <row r="41" spans="1:10" x14ac:dyDescent="0.25">
      <c r="C41" s="5"/>
      <c r="D41" s="3"/>
      <c r="E41" s="3"/>
      <c r="F41" s="3"/>
      <c r="G41" s="3"/>
      <c r="H41" s="3"/>
      <c r="I41" s="3"/>
    </row>
    <row r="42" spans="1:10" x14ac:dyDescent="0.25">
      <c r="A42" t="s">
        <v>24</v>
      </c>
      <c r="B42" t="s">
        <v>62</v>
      </c>
      <c r="C42" s="8">
        <f>IRR(C40:H40,0.1)</f>
        <v>0.1504070671661164</v>
      </c>
      <c r="D42" s="3"/>
      <c r="E42" s="3"/>
      <c r="F42" s="3"/>
      <c r="G42" s="3"/>
      <c r="H42" s="11"/>
      <c r="I42" s="3"/>
    </row>
    <row r="43" spans="1:10" x14ac:dyDescent="0.25">
      <c r="C43" s="13"/>
      <c r="D43" s="3"/>
      <c r="E43" s="3"/>
      <c r="F43" s="3"/>
      <c r="G43" s="3"/>
      <c r="H43" s="3"/>
      <c r="I43" s="3"/>
    </row>
    <row r="44" spans="1:10" x14ac:dyDescent="0.25">
      <c r="A44" s="30"/>
      <c r="B44" s="31" t="s">
        <v>35</v>
      </c>
      <c r="C44" s="32">
        <f>-C5</f>
        <v>-1250000</v>
      </c>
      <c r="D44" s="33">
        <f>D33</f>
        <v>117000</v>
      </c>
      <c r="E44" s="33">
        <f t="shared" ref="E44:G44" si="8">E33</f>
        <v>120510</v>
      </c>
      <c r="F44" s="33">
        <f t="shared" si="8"/>
        <v>124125.3</v>
      </c>
      <c r="G44" s="33">
        <f t="shared" si="8"/>
        <v>127849.05899999999</v>
      </c>
      <c r="H44" s="34">
        <f>H33+H38</f>
        <v>1580777.1236449999</v>
      </c>
      <c r="I44" s="3"/>
    </row>
    <row r="45" spans="1:10" x14ac:dyDescent="0.25">
      <c r="A45" s="35"/>
      <c r="B45" s="36"/>
      <c r="C45" s="60"/>
      <c r="D45" s="61"/>
      <c r="E45" s="61"/>
      <c r="F45" s="61"/>
      <c r="G45" s="61"/>
      <c r="H45" s="62"/>
      <c r="I45" s="3"/>
    </row>
    <row r="46" spans="1:10" x14ac:dyDescent="0.25">
      <c r="A46" s="37"/>
      <c r="B46" s="38" t="s">
        <v>33</v>
      </c>
      <c r="C46" s="17">
        <f>IRR(C44:H44,0.1)</f>
        <v>0.12359999999999993</v>
      </c>
      <c r="D46" s="63"/>
      <c r="E46" s="63"/>
      <c r="F46" s="63"/>
      <c r="G46" s="63"/>
      <c r="H46" s="64"/>
      <c r="I46" s="3"/>
    </row>
    <row r="47" spans="1:10" x14ac:dyDescent="0.25">
      <c r="C47" s="13"/>
      <c r="D47" s="3"/>
      <c r="E47" s="3"/>
      <c r="F47" s="3"/>
      <c r="G47" s="3"/>
      <c r="H47" s="3"/>
      <c r="I47" s="3"/>
    </row>
    <row r="48" spans="1:10" x14ac:dyDescent="0.25">
      <c r="A48" t="s">
        <v>22</v>
      </c>
      <c r="B48" t="s">
        <v>63</v>
      </c>
      <c r="D48" s="10">
        <f>-D33/D35</f>
        <v>1.1700707127919241</v>
      </c>
      <c r="E48" s="9">
        <f>-E33/E35</f>
        <v>1.205172834175682</v>
      </c>
      <c r="F48" s="9">
        <f t="shared" ref="F48:H48" si="9">-F33/F35</f>
        <v>1.2413280192009524</v>
      </c>
      <c r="G48" s="9">
        <f t="shared" si="9"/>
        <v>1.278567859776981</v>
      </c>
      <c r="H48" s="9">
        <f t="shared" si="9"/>
        <v>1.3169248955702904</v>
      </c>
      <c r="I48" s="3"/>
      <c r="J48" t="s">
        <v>70</v>
      </c>
    </row>
    <row r="49" spans="1:10" x14ac:dyDescent="0.25">
      <c r="D49" s="3"/>
      <c r="E49" s="3"/>
      <c r="F49" s="3"/>
      <c r="G49" s="3"/>
      <c r="H49" s="3"/>
      <c r="I49" s="3"/>
    </row>
    <row r="50" spans="1:10" x14ac:dyDescent="0.25">
      <c r="A50" t="s">
        <v>23</v>
      </c>
      <c r="B50" t="s">
        <v>51</v>
      </c>
      <c r="D50" s="3"/>
      <c r="E50" s="3"/>
      <c r="F50" s="3"/>
      <c r="G50" s="3"/>
      <c r="H50" s="59">
        <f>I33/H38</f>
        <v>9.3599999999999989E-2</v>
      </c>
      <c r="I50" s="3"/>
    </row>
    <row r="51" spans="1:10" x14ac:dyDescent="0.25">
      <c r="D51" s="3"/>
      <c r="E51" s="3"/>
      <c r="F51" s="3"/>
      <c r="G51" s="3"/>
      <c r="H51" s="50"/>
      <c r="I51" s="3"/>
    </row>
    <row r="52" spans="1:10" x14ac:dyDescent="0.25">
      <c r="A52" s="28"/>
      <c r="B52" s="29" t="s">
        <v>34</v>
      </c>
      <c r="C52" s="59">
        <f>D33/C5</f>
        <v>9.3600000000000003E-2</v>
      </c>
      <c r="D52" s="3"/>
      <c r="E52" s="3"/>
      <c r="F52" s="3"/>
      <c r="G52" s="3"/>
      <c r="H52" s="3"/>
      <c r="I52" s="3"/>
    </row>
    <row r="53" spans="1:10" x14ac:dyDescent="0.25">
      <c r="C53" s="18"/>
      <c r="D53" s="3"/>
      <c r="E53" s="3"/>
      <c r="F53" s="3"/>
      <c r="G53" s="3"/>
      <c r="H53" s="3"/>
      <c r="I53" s="3"/>
    </row>
    <row r="54" spans="1:10" x14ac:dyDescent="0.25">
      <c r="A54" t="s">
        <v>25</v>
      </c>
      <c r="B54" s="2" t="s">
        <v>58</v>
      </c>
      <c r="C54" s="18"/>
      <c r="D54" s="3"/>
      <c r="E54" s="22" t="s">
        <v>25</v>
      </c>
      <c r="F54" s="23" t="s">
        <v>59</v>
      </c>
      <c r="G54" s="24"/>
      <c r="H54" s="25"/>
      <c r="I54" s="25"/>
    </row>
    <row r="55" spans="1:10" ht="15" customHeight="1" x14ac:dyDescent="0.35">
      <c r="B55" t="s">
        <v>57</v>
      </c>
      <c r="C55" s="1">
        <v>0.14000000000000001</v>
      </c>
      <c r="D55" s="3"/>
      <c r="E55" s="22"/>
      <c r="F55" s="22" t="s">
        <v>44</v>
      </c>
      <c r="G55" s="51">
        <v>0.115</v>
      </c>
      <c r="H55" s="25" t="s">
        <v>71</v>
      </c>
      <c r="I55" s="25"/>
    </row>
    <row r="56" spans="1:10" x14ac:dyDescent="0.25">
      <c r="B56" t="s">
        <v>36</v>
      </c>
      <c r="C56" s="5">
        <f>NPV(C55,D40:H40)</f>
        <v>390994.43236824701</v>
      </c>
      <c r="D56" s="3"/>
      <c r="E56" s="22"/>
      <c r="F56" s="22" t="s">
        <v>60</v>
      </c>
      <c r="G56" s="26">
        <f>NPV(G55,D44:H44)</f>
        <v>1291395.7121617582</v>
      </c>
      <c r="H56" s="25"/>
      <c r="I56" s="25"/>
    </row>
    <row r="57" spans="1:10" x14ac:dyDescent="0.25">
      <c r="B57" t="s">
        <v>37</v>
      </c>
      <c r="C57" s="19">
        <f>-C20</f>
        <v>-375000</v>
      </c>
      <c r="D57" s="3"/>
      <c r="E57" s="22"/>
      <c r="F57" s="22" t="s">
        <v>61</v>
      </c>
      <c r="G57" s="27">
        <f>-C5</f>
        <v>-1250000</v>
      </c>
      <c r="H57" s="25"/>
      <c r="I57" s="25"/>
    </row>
    <row r="58" spans="1:10" ht="15.75" customHeight="1" x14ac:dyDescent="0.45">
      <c r="B58" t="s">
        <v>41</v>
      </c>
      <c r="C58" s="40">
        <f>C56+C57</f>
        <v>15994.432368247013</v>
      </c>
      <c r="D58" s="3"/>
      <c r="E58" s="22"/>
      <c r="F58" s="22" t="s">
        <v>26</v>
      </c>
      <c r="G58" s="40">
        <f>G56+G57</f>
        <v>41395.712161758216</v>
      </c>
      <c r="H58" s="25"/>
      <c r="I58" s="25"/>
    </row>
    <row r="59" spans="1:10" x14ac:dyDescent="0.25">
      <c r="A59" s="28"/>
      <c r="B59" s="29" t="s">
        <v>38</v>
      </c>
      <c r="C59" s="41">
        <f>NPV(C55,D40:H40)+C40</f>
        <v>15994.432368247013</v>
      </c>
      <c r="D59" s="3"/>
      <c r="E59" s="28"/>
      <c r="F59" s="29" t="s">
        <v>43</v>
      </c>
      <c r="G59" s="41">
        <f>NPV(G55,D44:H44)-C5</f>
        <v>41395.712161758216</v>
      </c>
      <c r="H59" s="25"/>
      <c r="I59" s="25"/>
    </row>
    <row r="60" spans="1:10" x14ac:dyDescent="0.25">
      <c r="B60" s="56" t="s">
        <v>39</v>
      </c>
      <c r="C60" s="56"/>
      <c r="D60" s="57"/>
      <c r="E60" s="57"/>
      <c r="F60" s="57"/>
      <c r="G60" s="57"/>
      <c r="H60" s="58"/>
      <c r="I60" s="57"/>
      <c r="J60" s="56"/>
    </row>
    <row r="61" spans="1:10" x14ac:dyDescent="0.25">
      <c r="B61" s="56" t="s">
        <v>27</v>
      </c>
      <c r="C61" s="56"/>
      <c r="D61" s="57"/>
      <c r="E61" s="57"/>
      <c r="F61" s="57"/>
      <c r="G61" s="57"/>
      <c r="H61" s="57">
        <f>C59</f>
        <v>15994.432368247013</v>
      </c>
      <c r="I61" s="57" t="s">
        <v>42</v>
      </c>
      <c r="J61" s="56"/>
    </row>
    <row r="62" spans="1:10" x14ac:dyDescent="0.25">
      <c r="B62" s="56" t="s">
        <v>27</v>
      </c>
      <c r="C62" s="56"/>
      <c r="D62" s="57"/>
      <c r="E62" s="57"/>
      <c r="F62" s="57"/>
      <c r="G62" s="57"/>
      <c r="H62" s="57">
        <f>G59</f>
        <v>41395.712161758216</v>
      </c>
      <c r="I62" s="57" t="s">
        <v>45</v>
      </c>
      <c r="J62" s="56"/>
    </row>
    <row r="63" spans="1:10" x14ac:dyDescent="0.25">
      <c r="D63" s="3"/>
      <c r="E63" s="3"/>
      <c r="F63" s="3"/>
      <c r="G63" s="3"/>
      <c r="H63" s="3"/>
      <c r="I63" s="3"/>
    </row>
    <row r="64" spans="1:10" x14ac:dyDescent="0.25">
      <c r="A64" t="s">
        <v>28</v>
      </c>
      <c r="B64" s="42" t="s">
        <v>50</v>
      </c>
      <c r="C64" s="42"/>
      <c r="D64" s="43"/>
      <c r="E64" s="43"/>
      <c r="F64" s="43"/>
      <c r="G64" s="43"/>
      <c r="H64" s="43"/>
      <c r="I64" s="3"/>
    </row>
    <row r="65" spans="2:9" x14ac:dyDescent="0.25">
      <c r="B65" s="42"/>
      <c r="C65" s="42"/>
      <c r="D65" s="43"/>
      <c r="E65" s="43"/>
      <c r="F65" s="43"/>
      <c r="G65" s="43"/>
      <c r="H65" s="43"/>
      <c r="I65" s="3"/>
    </row>
    <row r="66" spans="2:9" x14ac:dyDescent="0.25">
      <c r="B66" s="44"/>
      <c r="C66" s="42"/>
      <c r="D66" s="43"/>
      <c r="E66" s="43"/>
      <c r="F66" s="43"/>
      <c r="G66" s="43"/>
      <c r="H66" s="43"/>
      <c r="I66" s="3"/>
    </row>
    <row r="67" spans="2:9" x14ac:dyDescent="0.25">
      <c r="B67" s="42" t="s">
        <v>48</v>
      </c>
      <c r="C67" s="45" t="s">
        <v>30</v>
      </c>
      <c r="D67" s="66" t="s">
        <v>29</v>
      </c>
      <c r="E67" s="46">
        <f>NPV(C55,D40:H40)</f>
        <v>390994.43236824701</v>
      </c>
      <c r="F67" s="66" t="s">
        <v>29</v>
      </c>
      <c r="G67" s="67">
        <f>E67/E68</f>
        <v>1.0426518196486587</v>
      </c>
      <c r="H67" s="43"/>
      <c r="I67" s="3"/>
    </row>
    <row r="68" spans="2:9" x14ac:dyDescent="0.25">
      <c r="B68" s="42"/>
      <c r="C68" s="47" t="s">
        <v>31</v>
      </c>
      <c r="D68" s="66"/>
      <c r="E68" s="48">
        <f>C20</f>
        <v>375000</v>
      </c>
      <c r="F68" s="66"/>
      <c r="G68" s="67"/>
      <c r="H68" s="43"/>
      <c r="I68" s="3"/>
    </row>
    <row r="69" spans="2:9" x14ac:dyDescent="0.25">
      <c r="B69" s="42"/>
      <c r="C69" s="42"/>
      <c r="D69" s="43"/>
      <c r="E69" s="43"/>
      <c r="F69" s="43"/>
      <c r="G69" s="43"/>
      <c r="H69" s="43"/>
      <c r="I69" s="3"/>
    </row>
    <row r="70" spans="2:9" x14ac:dyDescent="0.25">
      <c r="B70" s="42"/>
      <c r="C70" s="42"/>
      <c r="D70" s="43"/>
      <c r="E70" s="43"/>
      <c r="F70" s="43"/>
      <c r="G70" s="43"/>
      <c r="H70" s="43"/>
      <c r="I70" s="3"/>
    </row>
    <row r="71" spans="2:9" x14ac:dyDescent="0.25">
      <c r="B71" s="42" t="s">
        <v>49</v>
      </c>
      <c r="C71" s="45" t="s">
        <v>30</v>
      </c>
      <c r="D71" s="66" t="s">
        <v>29</v>
      </c>
      <c r="E71" s="49">
        <f>G56</f>
        <v>1291395.7121617582</v>
      </c>
      <c r="F71" s="66" t="s">
        <v>29</v>
      </c>
      <c r="G71" s="67">
        <f>E71/E72</f>
        <v>1.0331165697294065</v>
      </c>
      <c r="H71" s="43"/>
      <c r="I71" s="3"/>
    </row>
    <row r="72" spans="2:9" x14ac:dyDescent="0.25">
      <c r="B72" s="42"/>
      <c r="C72" s="47" t="s">
        <v>31</v>
      </c>
      <c r="D72" s="66"/>
      <c r="E72" s="48">
        <f>-G57</f>
        <v>1250000</v>
      </c>
      <c r="F72" s="66"/>
      <c r="G72" s="67"/>
      <c r="H72" s="43"/>
      <c r="I72" s="3"/>
    </row>
    <row r="73" spans="2:9" x14ac:dyDescent="0.25">
      <c r="B73" s="42"/>
      <c r="C73" s="42"/>
      <c r="D73" s="43"/>
      <c r="E73" s="43"/>
      <c r="F73" s="43"/>
      <c r="G73" s="43"/>
      <c r="H73" s="43"/>
      <c r="I73" s="3"/>
    </row>
    <row r="74" spans="2:9" x14ac:dyDescent="0.25">
      <c r="B74" s="42" t="s">
        <v>65</v>
      </c>
      <c r="C74" s="42"/>
      <c r="D74" s="42"/>
      <c r="E74" s="42"/>
      <c r="F74" s="42"/>
      <c r="G74" s="42"/>
      <c r="H74" s="42"/>
    </row>
    <row r="75" spans="2:9" x14ac:dyDescent="0.25">
      <c r="B75" s="42"/>
      <c r="C75" s="42"/>
      <c r="D75" s="42"/>
      <c r="E75" s="42"/>
      <c r="F75" s="42"/>
      <c r="G75" s="42"/>
      <c r="H75" s="42"/>
    </row>
  </sheetData>
  <mergeCells count="6">
    <mergeCell ref="D67:D68"/>
    <mergeCell ref="F67:F68"/>
    <mergeCell ref="G67:G68"/>
    <mergeCell ref="D71:D72"/>
    <mergeCell ref="F71:F72"/>
    <mergeCell ref="G71:G72"/>
  </mergeCells>
  <pageMargins left="0.7" right="0.7" top="0.75" bottom="0.75" header="0.3" footer="0.3"/>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110" zoomScaleNormal="110" workbookViewId="0">
      <selection activeCell="A2" sqref="A2"/>
    </sheetView>
  </sheetViews>
  <sheetFormatPr defaultRowHeight="15" x14ac:dyDescent="0.25"/>
  <cols>
    <col min="2" max="2" width="22.85546875" customWidth="1"/>
    <col min="3" max="9" width="12.7109375" customWidth="1"/>
  </cols>
  <sheetData>
    <row r="1" spans="1:4" x14ac:dyDescent="0.25">
      <c r="A1" s="12" t="s">
        <v>77</v>
      </c>
    </row>
    <row r="2" spans="1:4" x14ac:dyDescent="0.25">
      <c r="A2" s="12" t="s">
        <v>76</v>
      </c>
    </row>
    <row r="3" spans="1:4" x14ac:dyDescent="0.25">
      <c r="A3" s="12" t="s">
        <v>64</v>
      </c>
    </row>
    <row r="4" spans="1:4" x14ac:dyDescent="0.25">
      <c r="B4" s="2" t="s">
        <v>6</v>
      </c>
    </row>
    <row r="5" spans="1:4" x14ac:dyDescent="0.25">
      <c r="B5" t="s">
        <v>0</v>
      </c>
      <c r="C5" s="14">
        <v>1250000</v>
      </c>
    </row>
    <row r="6" spans="1:4" x14ac:dyDescent="0.25">
      <c r="B6" t="s">
        <v>53</v>
      </c>
      <c r="C6" s="14">
        <v>160000</v>
      </c>
    </row>
    <row r="7" spans="1:4" x14ac:dyDescent="0.25">
      <c r="B7" t="s">
        <v>32</v>
      </c>
      <c r="C7" s="65">
        <v>0.1</v>
      </c>
    </row>
    <row r="8" spans="1:4" x14ac:dyDescent="0.25">
      <c r="B8" t="s">
        <v>1</v>
      </c>
      <c r="C8" s="15">
        <v>0.35</v>
      </c>
      <c r="D8" t="s">
        <v>2</v>
      </c>
    </row>
    <row r="9" spans="1:4" x14ac:dyDescent="0.25">
      <c r="C9" s="16"/>
    </row>
    <row r="10" spans="1:4" x14ac:dyDescent="0.25">
      <c r="B10" t="s">
        <v>3</v>
      </c>
      <c r="C10" s="15">
        <v>0.7</v>
      </c>
    </row>
    <row r="11" spans="1:4" x14ac:dyDescent="0.25">
      <c r="B11" t="s">
        <v>9</v>
      </c>
      <c r="C11" s="4">
        <f>C5*C10</f>
        <v>875000</v>
      </c>
      <c r="D11" t="s">
        <v>52</v>
      </c>
    </row>
    <row r="12" spans="1:4" x14ac:dyDescent="0.25">
      <c r="B12" t="s">
        <v>46</v>
      </c>
      <c r="C12" s="15">
        <v>0.08</v>
      </c>
    </row>
    <row r="13" spans="1:4" x14ac:dyDescent="0.25">
      <c r="B13" t="s">
        <v>4</v>
      </c>
      <c r="C13" s="16">
        <v>30</v>
      </c>
      <c r="D13" t="s">
        <v>47</v>
      </c>
    </row>
    <row r="15" spans="1:4" x14ac:dyDescent="0.25">
      <c r="B15" t="s">
        <v>73</v>
      </c>
      <c r="C15" s="68">
        <v>2.5000000000000001E-2</v>
      </c>
    </row>
    <row r="16" spans="1:4" x14ac:dyDescent="0.25">
      <c r="B16" t="s">
        <v>72</v>
      </c>
      <c r="C16" s="68">
        <v>0.03</v>
      </c>
    </row>
    <row r="17" spans="1:9" x14ac:dyDescent="0.25">
      <c r="B17" t="s">
        <v>12</v>
      </c>
      <c r="C17" s="16">
        <v>5</v>
      </c>
      <c r="D17" t="s">
        <v>13</v>
      </c>
    </row>
    <row r="18" spans="1:9" x14ac:dyDescent="0.25">
      <c r="B18" t="s">
        <v>55</v>
      </c>
      <c r="C18" s="16" t="s">
        <v>56</v>
      </c>
    </row>
    <row r="20" spans="1:9" x14ac:dyDescent="0.25">
      <c r="B20" s="2" t="s">
        <v>8</v>
      </c>
    </row>
    <row r="21" spans="1:9" x14ac:dyDescent="0.25">
      <c r="B21" s="7" t="s">
        <v>21</v>
      </c>
      <c r="C21" s="53">
        <f>C5-C11</f>
        <v>375000</v>
      </c>
    </row>
    <row r="22" spans="1:9" x14ac:dyDescent="0.25">
      <c r="B22" t="s">
        <v>10</v>
      </c>
      <c r="C22" s="54">
        <f>-PMT(C12/12,C13*12,C11)</f>
        <v>6420.4400214445413</v>
      </c>
    </row>
    <row r="23" spans="1:9" x14ac:dyDescent="0.25">
      <c r="B23" t="s">
        <v>40</v>
      </c>
      <c r="C23" s="53">
        <f>C22*12</f>
        <v>77045.280257334496</v>
      </c>
    </row>
    <row r="24" spans="1:9" x14ac:dyDescent="0.25">
      <c r="B24" t="s">
        <v>11</v>
      </c>
      <c r="C24" s="54">
        <f>-PV(C12/12,(C13-C17)*12,C22)</f>
        <v>831861.24627703067</v>
      </c>
    </row>
    <row r="25" spans="1:9" x14ac:dyDescent="0.25">
      <c r="C25" s="52"/>
    </row>
    <row r="26" spans="1:9" x14ac:dyDescent="0.25">
      <c r="A26" t="s">
        <v>66</v>
      </c>
      <c r="B26" t="s">
        <v>67</v>
      </c>
      <c r="C26" s="52"/>
    </row>
    <row r="27" spans="1:9" x14ac:dyDescent="0.25">
      <c r="B27" t="s">
        <v>54</v>
      </c>
    </row>
    <row r="28" spans="1:9" x14ac:dyDescent="0.25">
      <c r="D28" s="55">
        <v>1</v>
      </c>
      <c r="E28" s="55">
        <v>2</v>
      </c>
      <c r="F28" s="55">
        <v>3</v>
      </c>
      <c r="G28" s="55">
        <v>4</v>
      </c>
      <c r="H28" s="55">
        <v>5</v>
      </c>
      <c r="I28" s="55">
        <v>6</v>
      </c>
    </row>
    <row r="29" spans="1:9" x14ac:dyDescent="0.25">
      <c r="B29" t="s">
        <v>7</v>
      </c>
      <c r="D29" s="25">
        <f>C6</f>
        <v>160000</v>
      </c>
      <c r="E29" s="25">
        <f>D29*(1+$C$15)</f>
        <v>164000</v>
      </c>
      <c r="F29" s="25">
        <f>E29*(1+$C$15)</f>
        <v>168099.99999999997</v>
      </c>
      <c r="G29" s="25">
        <f>F29*(1+$C$15)</f>
        <v>172302.49999999994</v>
      </c>
      <c r="H29" s="25">
        <f>G29*(1+$C$15)</f>
        <v>176610.06249999991</v>
      </c>
      <c r="I29" s="20">
        <f>H29*(1+$C$15)</f>
        <v>181025.31406249991</v>
      </c>
    </row>
    <row r="30" spans="1:9" x14ac:dyDescent="0.25">
      <c r="B30" t="s">
        <v>14</v>
      </c>
      <c r="D30" s="39">
        <f>-D29*$C$7</f>
        <v>-16000</v>
      </c>
      <c r="E30" s="39">
        <f t="shared" ref="E30:I30" si="0">-E29*$C$7</f>
        <v>-16400</v>
      </c>
      <c r="F30" s="39">
        <f t="shared" si="0"/>
        <v>-16809.999999999996</v>
      </c>
      <c r="G30" s="39">
        <f t="shared" si="0"/>
        <v>-17230.249999999996</v>
      </c>
      <c r="H30" s="39">
        <f t="shared" si="0"/>
        <v>-17661.006249999991</v>
      </c>
      <c r="I30" s="21">
        <f t="shared" si="0"/>
        <v>-18102.531406249993</v>
      </c>
    </row>
    <row r="31" spans="1:9" x14ac:dyDescent="0.25">
      <c r="B31" t="s">
        <v>15</v>
      </c>
      <c r="D31" s="25">
        <f>SUM(D29:D30)</f>
        <v>144000</v>
      </c>
      <c r="E31" s="25">
        <f t="shared" ref="E31:I31" si="1">SUM(E29:E30)</f>
        <v>147600</v>
      </c>
      <c r="F31" s="25">
        <f t="shared" si="1"/>
        <v>151289.99999999997</v>
      </c>
      <c r="G31" s="25">
        <f t="shared" si="1"/>
        <v>155072.24999999994</v>
      </c>
      <c r="H31" s="25">
        <f t="shared" si="1"/>
        <v>158949.05624999991</v>
      </c>
      <c r="I31" s="20">
        <f t="shared" si="1"/>
        <v>162922.78265624991</v>
      </c>
    </row>
    <row r="32" spans="1:9" x14ac:dyDescent="0.25">
      <c r="D32" s="3"/>
      <c r="E32" s="3"/>
      <c r="F32" s="3"/>
      <c r="G32" s="3"/>
      <c r="H32" s="3"/>
      <c r="I32" s="20"/>
    </row>
    <row r="33" spans="1:9" x14ac:dyDescent="0.25">
      <c r="B33" t="s">
        <v>16</v>
      </c>
      <c r="D33" s="39">
        <f>-D31*$C$8</f>
        <v>-50400</v>
      </c>
      <c r="E33" s="39">
        <f t="shared" ref="E33:I33" si="2">-E31*$C$8</f>
        <v>-51660</v>
      </c>
      <c r="F33" s="39">
        <f t="shared" si="2"/>
        <v>-52951.499999999985</v>
      </c>
      <c r="G33" s="39">
        <f t="shared" si="2"/>
        <v>-54275.287499999977</v>
      </c>
      <c r="H33" s="39">
        <f t="shared" si="2"/>
        <v>-55632.169687499962</v>
      </c>
      <c r="I33" s="21">
        <f t="shared" si="2"/>
        <v>-57022.973929687469</v>
      </c>
    </row>
    <row r="34" spans="1:9" x14ac:dyDescent="0.25">
      <c r="B34" t="s">
        <v>17</v>
      </c>
      <c r="C34" s="5"/>
      <c r="D34" s="25">
        <f>SUM(D31:D33)</f>
        <v>93600</v>
      </c>
      <c r="E34" s="25">
        <f t="shared" ref="E34:I34" si="3">SUM(E31:E33)</f>
        <v>95940</v>
      </c>
      <c r="F34" s="25">
        <f t="shared" si="3"/>
        <v>98338.499999999985</v>
      </c>
      <c r="G34" s="25">
        <f t="shared" si="3"/>
        <v>100796.96249999997</v>
      </c>
      <c r="H34" s="25">
        <f t="shared" si="3"/>
        <v>103316.88656249995</v>
      </c>
      <c r="I34" s="20">
        <f t="shared" si="3"/>
        <v>105899.80872656245</v>
      </c>
    </row>
    <row r="35" spans="1:9" x14ac:dyDescent="0.25">
      <c r="D35" s="3"/>
      <c r="E35" s="3"/>
      <c r="F35" s="3"/>
      <c r="G35" s="3"/>
      <c r="H35" s="3"/>
      <c r="I35" s="3"/>
    </row>
    <row r="36" spans="1:9" x14ac:dyDescent="0.25">
      <c r="B36" t="s">
        <v>18</v>
      </c>
      <c r="D36" s="39">
        <f>-$C$23</f>
        <v>-77045.280257334496</v>
      </c>
      <c r="E36" s="39">
        <f t="shared" ref="E36:H36" si="4">-$C$23</f>
        <v>-77045.280257334496</v>
      </c>
      <c r="F36" s="39">
        <f t="shared" si="4"/>
        <v>-77045.280257334496</v>
      </c>
      <c r="G36" s="39">
        <f t="shared" si="4"/>
        <v>-77045.280257334496</v>
      </c>
      <c r="H36" s="39">
        <f t="shared" si="4"/>
        <v>-77045.280257334496</v>
      </c>
      <c r="I36" s="3"/>
    </row>
    <row r="37" spans="1:9" x14ac:dyDescent="0.25">
      <c r="B37" t="s">
        <v>68</v>
      </c>
      <c r="D37" s="25">
        <f>SUM(D34:D36)</f>
        <v>16554.719742665504</v>
      </c>
      <c r="E37" s="25">
        <f t="shared" ref="E37:H37" si="5">SUM(E34:E36)</f>
        <v>18894.719742665504</v>
      </c>
      <c r="F37" s="25">
        <f t="shared" si="5"/>
        <v>21293.219742665489</v>
      </c>
      <c r="G37" s="25">
        <f t="shared" si="5"/>
        <v>23751.682242665469</v>
      </c>
      <c r="H37" s="25">
        <f t="shared" si="5"/>
        <v>26271.606305165449</v>
      </c>
      <c r="I37" s="3"/>
    </row>
    <row r="38" spans="1:9" x14ac:dyDescent="0.25">
      <c r="D38" s="3"/>
      <c r="E38" s="3"/>
      <c r="F38" s="3"/>
      <c r="G38" s="3"/>
      <c r="H38" s="3"/>
      <c r="I38" s="3"/>
    </row>
    <row r="39" spans="1:9" x14ac:dyDescent="0.25">
      <c r="B39" t="s">
        <v>19</v>
      </c>
      <c r="D39" s="3"/>
      <c r="E39" s="3"/>
      <c r="F39" s="3"/>
      <c r="G39" s="3"/>
      <c r="H39" s="25">
        <f>C5*(1+C16)^H28</f>
        <v>1449092.5928749999</v>
      </c>
      <c r="I39" s="3"/>
    </row>
    <row r="40" spans="1:9" x14ac:dyDescent="0.25">
      <c r="B40" t="s">
        <v>20</v>
      </c>
      <c r="D40" s="6"/>
      <c r="E40" s="6"/>
      <c r="F40" s="6"/>
      <c r="G40" s="6"/>
      <c r="H40" s="39">
        <f>-C24</f>
        <v>-831861.24627703067</v>
      </c>
      <c r="I40" s="3"/>
    </row>
    <row r="41" spans="1:9" x14ac:dyDescent="0.25">
      <c r="B41" t="s">
        <v>69</v>
      </c>
      <c r="C41" s="26">
        <f>-C21</f>
        <v>-375000</v>
      </c>
      <c r="D41" s="25">
        <f>SUM(D37:D40)</f>
        <v>16554.719742665504</v>
      </c>
      <c r="E41" s="25">
        <f t="shared" ref="E41:H41" si="6">SUM(E37:E40)</f>
        <v>18894.719742665504</v>
      </c>
      <c r="F41" s="25">
        <f t="shared" si="6"/>
        <v>21293.219742665489</v>
      </c>
      <c r="G41" s="25">
        <f t="shared" si="6"/>
        <v>23751.682242665469</v>
      </c>
      <c r="H41" s="25">
        <f t="shared" si="6"/>
        <v>643502.95290313463</v>
      </c>
      <c r="I41" s="3"/>
    </row>
    <row r="42" spans="1:9" x14ac:dyDescent="0.25">
      <c r="C42" s="5"/>
      <c r="D42" s="3"/>
      <c r="E42" s="3"/>
      <c r="F42" s="3"/>
      <c r="G42" s="3"/>
      <c r="H42" s="3"/>
      <c r="I42" s="3"/>
    </row>
    <row r="43" spans="1:9" x14ac:dyDescent="0.25">
      <c r="A43" t="s">
        <v>24</v>
      </c>
      <c r="B43" t="s">
        <v>62</v>
      </c>
      <c r="C43" s="8">
        <f>IRR(C41:H41,0.1)</f>
        <v>0.15079382813043751</v>
      </c>
      <c r="D43" s="3"/>
      <c r="E43" s="3"/>
      <c r="F43" s="3"/>
      <c r="G43" s="3"/>
      <c r="H43" s="11"/>
      <c r="I43" s="3"/>
    </row>
    <row r="44" spans="1:9" x14ac:dyDescent="0.25">
      <c r="C44" s="13"/>
      <c r="D44" s="3"/>
      <c r="E44" s="3"/>
      <c r="F44" s="3"/>
      <c r="G44" s="3"/>
      <c r="H44" s="3"/>
      <c r="I44" s="3"/>
    </row>
    <row r="45" spans="1:9" x14ac:dyDescent="0.25">
      <c r="A45" s="30"/>
      <c r="B45" s="31" t="s">
        <v>35</v>
      </c>
      <c r="C45" s="32">
        <f>-C5</f>
        <v>-1250000</v>
      </c>
      <c r="D45" s="33">
        <f>D34</f>
        <v>93600</v>
      </c>
      <c r="E45" s="33">
        <f t="shared" ref="E45:G45" si="7">E34</f>
        <v>95940</v>
      </c>
      <c r="F45" s="33">
        <f t="shared" si="7"/>
        <v>98338.499999999985</v>
      </c>
      <c r="G45" s="33">
        <f t="shared" si="7"/>
        <v>100796.96249999997</v>
      </c>
      <c r="H45" s="34">
        <f>H34+H39</f>
        <v>1552409.4794374998</v>
      </c>
      <c r="I45" s="3"/>
    </row>
    <row r="46" spans="1:9" x14ac:dyDescent="0.25">
      <c r="A46" s="35"/>
      <c r="B46" s="36"/>
      <c r="C46" s="60"/>
      <c r="D46" s="61"/>
      <c r="E46" s="61"/>
      <c r="F46" s="61"/>
      <c r="G46" s="61"/>
      <c r="H46" s="62"/>
      <c r="I46" s="3"/>
    </row>
    <row r="47" spans="1:9" x14ac:dyDescent="0.25">
      <c r="A47" s="37"/>
      <c r="B47" s="38" t="s">
        <v>33</v>
      </c>
      <c r="C47" s="17">
        <f>IRR(C45:H45,0.1)</f>
        <v>0.10420663944954955</v>
      </c>
      <c r="D47" s="63"/>
      <c r="E47" s="63"/>
      <c r="F47" s="63"/>
      <c r="G47" s="63"/>
      <c r="H47" s="64"/>
      <c r="I47" s="3"/>
    </row>
    <row r="48" spans="1:9" x14ac:dyDescent="0.25">
      <c r="C48" s="13"/>
      <c r="D48" s="3"/>
      <c r="E48" s="3"/>
      <c r="F48" s="3"/>
      <c r="G48" s="3"/>
      <c r="H48" s="3"/>
      <c r="I48" s="3"/>
    </row>
    <row r="49" spans="1:10" x14ac:dyDescent="0.25">
      <c r="A49" t="s">
        <v>22</v>
      </c>
      <c r="B49" t="s">
        <v>63</v>
      </c>
      <c r="D49" s="10">
        <f>-D34/D36</f>
        <v>1.2148700048513295</v>
      </c>
      <c r="E49" s="9">
        <f>-E34/E36</f>
        <v>1.2452417549726127</v>
      </c>
      <c r="F49" s="9">
        <f t="shared" ref="F49:H49" si="8">-F34/F36</f>
        <v>1.2763727988469278</v>
      </c>
      <c r="G49" s="9">
        <f t="shared" si="8"/>
        <v>1.3082821188181009</v>
      </c>
      <c r="H49" s="9">
        <f t="shared" si="8"/>
        <v>1.3409891717885531</v>
      </c>
      <c r="I49" s="3"/>
      <c r="J49" t="s">
        <v>70</v>
      </c>
    </row>
    <row r="50" spans="1:10" x14ac:dyDescent="0.25">
      <c r="D50" s="3"/>
      <c r="E50" s="3"/>
      <c r="F50" s="3"/>
      <c r="G50" s="3"/>
      <c r="H50" s="3"/>
      <c r="I50" s="3"/>
    </row>
    <row r="51" spans="1:10" x14ac:dyDescent="0.25">
      <c r="A51" t="s">
        <v>23</v>
      </c>
      <c r="B51" t="s">
        <v>51</v>
      </c>
      <c r="D51" s="3"/>
      <c r="E51" s="3"/>
      <c r="F51" s="3"/>
      <c r="G51" s="3"/>
      <c r="H51" s="59">
        <f>I34/H39</f>
        <v>7.3080084217708424E-2</v>
      </c>
      <c r="I51" s="3"/>
    </row>
    <row r="52" spans="1:10" x14ac:dyDescent="0.25">
      <c r="D52" s="3"/>
      <c r="E52" s="3"/>
      <c r="F52" s="3"/>
      <c r="G52" s="3"/>
      <c r="H52" s="50"/>
      <c r="I52" s="3"/>
    </row>
    <row r="53" spans="1:10" x14ac:dyDescent="0.25">
      <c r="A53" s="28"/>
      <c r="B53" s="29" t="s">
        <v>34</v>
      </c>
      <c r="C53" s="59">
        <f>D34/C5</f>
        <v>7.4880000000000002E-2</v>
      </c>
      <c r="D53" s="3"/>
      <c r="E53" s="3"/>
      <c r="F53" s="3"/>
      <c r="G53" s="3"/>
      <c r="H53" s="3"/>
      <c r="I53" s="3"/>
    </row>
    <row r="54" spans="1:10" x14ac:dyDescent="0.25">
      <c r="C54" s="18"/>
      <c r="D54" s="3"/>
      <c r="E54" s="3"/>
      <c r="F54" s="3"/>
      <c r="G54" s="3"/>
      <c r="H54" s="3"/>
      <c r="I54" s="3"/>
    </row>
    <row r="55" spans="1:10" x14ac:dyDescent="0.25">
      <c r="A55" t="s">
        <v>25</v>
      </c>
      <c r="B55" s="2" t="s">
        <v>58</v>
      </c>
      <c r="C55" s="18"/>
      <c r="D55" s="3"/>
      <c r="E55" s="22" t="s">
        <v>25</v>
      </c>
      <c r="F55" s="23" t="s">
        <v>59</v>
      </c>
      <c r="G55" s="24"/>
      <c r="H55" s="25"/>
      <c r="I55" s="25"/>
    </row>
    <row r="56" spans="1:10" ht="15" customHeight="1" x14ac:dyDescent="0.35">
      <c r="B56" t="s">
        <v>57</v>
      </c>
      <c r="C56" s="1">
        <v>0.14000000000000001</v>
      </c>
      <c r="D56" s="3"/>
      <c r="E56" s="22"/>
      <c r="F56" s="22" t="s">
        <v>44</v>
      </c>
      <c r="G56" s="51">
        <v>9.5000000000000001E-2</v>
      </c>
      <c r="H56" s="25" t="s">
        <v>71</v>
      </c>
      <c r="I56" s="25"/>
    </row>
    <row r="57" spans="1:10" x14ac:dyDescent="0.25">
      <c r="B57" t="s">
        <v>36</v>
      </c>
      <c r="C57" s="5">
        <f>NPV(C56,D41:H41)</f>
        <v>391711.04587199586</v>
      </c>
      <c r="D57" s="3"/>
      <c r="E57" s="22"/>
      <c r="F57" s="22" t="s">
        <v>60</v>
      </c>
      <c r="G57" s="26">
        <f>NPV(G56,D45:H45)</f>
        <v>1296639.586675368</v>
      </c>
      <c r="H57" s="25"/>
      <c r="I57" s="25"/>
    </row>
    <row r="58" spans="1:10" x14ac:dyDescent="0.25">
      <c r="B58" t="s">
        <v>37</v>
      </c>
      <c r="C58" s="19">
        <f>-C21</f>
        <v>-375000</v>
      </c>
      <c r="D58" s="3"/>
      <c r="E58" s="22"/>
      <c r="F58" s="22" t="s">
        <v>61</v>
      </c>
      <c r="G58" s="27">
        <f>-C5</f>
        <v>-1250000</v>
      </c>
      <c r="H58" s="25"/>
      <c r="I58" s="25"/>
    </row>
    <row r="59" spans="1:10" ht="15.75" customHeight="1" x14ac:dyDescent="0.45">
      <c r="B59" t="s">
        <v>41</v>
      </c>
      <c r="C59" s="40">
        <f>C57+C58</f>
        <v>16711.045871995855</v>
      </c>
      <c r="D59" s="3"/>
      <c r="E59" s="22"/>
      <c r="F59" s="22" t="s">
        <v>26</v>
      </c>
      <c r="G59" s="40">
        <f>G57+G58</f>
        <v>46639.586675368017</v>
      </c>
      <c r="H59" s="25"/>
      <c r="I59" s="25"/>
    </row>
    <row r="60" spans="1:10" x14ac:dyDescent="0.25">
      <c r="A60" s="28"/>
      <c r="B60" s="29" t="s">
        <v>38</v>
      </c>
      <c r="C60" s="41">
        <f>NPV(C56,D41:H41)+C41</f>
        <v>16711.045871995855</v>
      </c>
      <c r="D60" s="3"/>
      <c r="E60" s="28"/>
      <c r="F60" s="29" t="s">
        <v>43</v>
      </c>
      <c r="G60" s="41">
        <f>NPV(G56,D45:H45)-C5</f>
        <v>46639.586675368017</v>
      </c>
      <c r="H60" s="25"/>
      <c r="I60" s="25"/>
    </row>
    <row r="61" spans="1:10" x14ac:dyDescent="0.25">
      <c r="B61" s="56" t="s">
        <v>39</v>
      </c>
      <c r="C61" s="56"/>
      <c r="D61" s="57"/>
      <c r="E61" s="57"/>
      <c r="F61" s="57"/>
      <c r="G61" s="57"/>
      <c r="H61" s="58"/>
      <c r="I61" s="57"/>
      <c r="J61" s="56"/>
    </row>
    <row r="62" spans="1:10" x14ac:dyDescent="0.25">
      <c r="B62" s="56" t="s">
        <v>27</v>
      </c>
      <c r="C62" s="56"/>
      <c r="D62" s="57"/>
      <c r="E62" s="57"/>
      <c r="F62" s="57"/>
      <c r="G62" s="57"/>
      <c r="H62" s="57">
        <f>C60</f>
        <v>16711.045871995855</v>
      </c>
      <c r="I62" s="57" t="s">
        <v>42</v>
      </c>
      <c r="J62" s="56"/>
    </row>
    <row r="63" spans="1:10" x14ac:dyDescent="0.25">
      <c r="B63" s="56" t="s">
        <v>27</v>
      </c>
      <c r="C63" s="56"/>
      <c r="D63" s="57"/>
      <c r="E63" s="57"/>
      <c r="F63" s="57"/>
      <c r="G63" s="57"/>
      <c r="H63" s="57">
        <f>G60</f>
        <v>46639.586675368017</v>
      </c>
      <c r="I63" s="57" t="s">
        <v>45</v>
      </c>
      <c r="J63" s="56"/>
    </row>
    <row r="64" spans="1:10" x14ac:dyDescent="0.25">
      <c r="D64" s="3"/>
      <c r="E64" s="3"/>
      <c r="F64" s="3"/>
      <c r="G64" s="3"/>
      <c r="H64" s="3"/>
      <c r="I64" s="3"/>
    </row>
    <row r="65" spans="1:9" x14ac:dyDescent="0.25">
      <c r="A65" t="s">
        <v>28</v>
      </c>
      <c r="B65" s="42" t="s">
        <v>50</v>
      </c>
      <c r="C65" s="42"/>
      <c r="D65" s="43"/>
      <c r="E65" s="43"/>
      <c r="F65" s="43"/>
      <c r="G65" s="43"/>
      <c r="H65" s="43"/>
      <c r="I65" s="3"/>
    </row>
    <row r="66" spans="1:9" x14ac:dyDescent="0.25">
      <c r="B66" s="42"/>
      <c r="C66" s="42"/>
      <c r="D66" s="43"/>
      <c r="E66" s="43"/>
      <c r="F66" s="43"/>
      <c r="G66" s="43"/>
      <c r="H66" s="43"/>
      <c r="I66" s="3"/>
    </row>
    <row r="67" spans="1:9" x14ac:dyDescent="0.25">
      <c r="B67" s="44"/>
      <c r="C67" s="42"/>
      <c r="D67" s="43"/>
      <c r="E67" s="43"/>
      <c r="F67" s="43"/>
      <c r="G67" s="43"/>
      <c r="H67" s="43"/>
      <c r="I67" s="3"/>
    </row>
    <row r="68" spans="1:9" x14ac:dyDescent="0.25">
      <c r="B68" s="42" t="s">
        <v>48</v>
      </c>
      <c r="C68" s="45" t="s">
        <v>30</v>
      </c>
      <c r="D68" s="66" t="s">
        <v>29</v>
      </c>
      <c r="E68" s="46">
        <f>NPV(C56,D41:H41)</f>
        <v>391711.04587199586</v>
      </c>
      <c r="F68" s="66" t="s">
        <v>29</v>
      </c>
      <c r="G68" s="67">
        <f>E68/E69</f>
        <v>1.0445627889919888</v>
      </c>
      <c r="H68" s="43"/>
      <c r="I68" s="3"/>
    </row>
    <row r="69" spans="1:9" x14ac:dyDescent="0.25">
      <c r="B69" s="42"/>
      <c r="C69" s="47" t="s">
        <v>31</v>
      </c>
      <c r="D69" s="66"/>
      <c r="E69" s="48">
        <f>C21</f>
        <v>375000</v>
      </c>
      <c r="F69" s="66"/>
      <c r="G69" s="67"/>
      <c r="H69" s="43"/>
      <c r="I69" s="3"/>
    </row>
    <row r="70" spans="1:9" x14ac:dyDescent="0.25">
      <c r="B70" s="42"/>
      <c r="C70" s="42"/>
      <c r="D70" s="43"/>
      <c r="E70" s="43"/>
      <c r="F70" s="43"/>
      <c r="G70" s="43"/>
      <c r="H70" s="43"/>
      <c r="I70" s="3"/>
    </row>
    <row r="71" spans="1:9" x14ac:dyDescent="0.25">
      <c r="B71" s="42"/>
      <c r="C71" s="42"/>
      <c r="D71" s="43"/>
      <c r="E71" s="43"/>
      <c r="F71" s="43"/>
      <c r="G71" s="43"/>
      <c r="H71" s="43"/>
      <c r="I71" s="3"/>
    </row>
    <row r="72" spans="1:9" x14ac:dyDescent="0.25">
      <c r="B72" s="42" t="s">
        <v>49</v>
      </c>
      <c r="C72" s="45" t="s">
        <v>30</v>
      </c>
      <c r="D72" s="66" t="s">
        <v>29</v>
      </c>
      <c r="E72" s="49">
        <f>G57</f>
        <v>1296639.586675368</v>
      </c>
      <c r="F72" s="66" t="s">
        <v>29</v>
      </c>
      <c r="G72" s="67">
        <f>E72/E73</f>
        <v>1.0373116693402944</v>
      </c>
      <c r="H72" s="43"/>
      <c r="I72" s="3"/>
    </row>
    <row r="73" spans="1:9" x14ac:dyDescent="0.25">
      <c r="B73" s="42"/>
      <c r="C73" s="47" t="s">
        <v>31</v>
      </c>
      <c r="D73" s="66"/>
      <c r="E73" s="48">
        <f>-G58</f>
        <v>1250000</v>
      </c>
      <c r="F73" s="66"/>
      <c r="G73" s="67"/>
      <c r="H73" s="43"/>
      <c r="I73" s="3"/>
    </row>
    <row r="74" spans="1:9" x14ac:dyDescent="0.25">
      <c r="B74" s="42"/>
      <c r="C74" s="42"/>
      <c r="D74" s="43"/>
      <c r="E74" s="43"/>
      <c r="F74" s="43"/>
      <c r="G74" s="43"/>
      <c r="H74" s="43"/>
      <c r="I74" s="3"/>
    </row>
    <row r="75" spans="1:9" x14ac:dyDescent="0.25">
      <c r="B75" s="42" t="s">
        <v>65</v>
      </c>
      <c r="C75" s="42"/>
      <c r="D75" s="42"/>
      <c r="E75" s="42"/>
      <c r="F75" s="42"/>
      <c r="G75" s="42"/>
      <c r="H75" s="42"/>
    </row>
    <row r="76" spans="1:9" x14ac:dyDescent="0.25">
      <c r="B76" s="42"/>
      <c r="C76" s="42"/>
      <c r="D76" s="42"/>
      <c r="E76" s="42"/>
      <c r="F76" s="42"/>
      <c r="G76" s="42"/>
      <c r="H76" s="42"/>
    </row>
  </sheetData>
  <mergeCells count="6">
    <mergeCell ref="D68:D69"/>
    <mergeCell ref="F68:F69"/>
    <mergeCell ref="G68:G69"/>
    <mergeCell ref="D72:D73"/>
    <mergeCell ref="F72:F73"/>
    <mergeCell ref="G72:G73"/>
  </mergeCells>
  <pageMargins left="0.7" right="0.7" top="0.75" bottom="0.75" header="0.3" footer="0.3"/>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11-2Solution (16e and earlier)</vt:lpstr>
      <vt:lpstr>11-2Solution (17e)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DeCourcy, George</cp:lastModifiedBy>
  <cp:lastPrinted>2012-10-03T19:25:55Z</cp:lastPrinted>
  <dcterms:created xsi:type="dcterms:W3CDTF">2011-07-14T20:31:34Z</dcterms:created>
  <dcterms:modified xsi:type="dcterms:W3CDTF">2021-04-26T19:01:16Z</dcterms:modified>
</cp:coreProperties>
</file>