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cometmail-my.sharepoint.com/personal/gad075000_utdallas_edu/Documents/_UTD/Courses/Archived/FIN6322 -20F-Online/Selected Solutions/"/>
    </mc:Choice>
  </mc:AlternateContent>
  <xr:revisionPtr revIDLastSave="1" documentId="8_{365E82D9-B77B-4386-A721-020663376DD0}" xr6:coauthVersionLast="46" xr6:coauthVersionMax="46" xr10:uidLastSave="{41B998DE-2C54-4DC0-AEA0-DCC932234F2B}"/>
  <bookViews>
    <workbookView xWindow="-120" yWindow="-120" windowWidth="25440" windowHeight="15990" xr2:uid="{00000000-000D-0000-FFFF-FFFF00000000}"/>
  </bookViews>
  <sheets>
    <sheet name="P12-1a" sheetId="1" r:id="rId1"/>
    <sheet name="P12-1a (2)" sheetId="2" r:id="rId2"/>
    <sheet name="P12-1cd" sheetId="3" r:id="rId3"/>
    <sheet name="P12-1a (17e)" sheetId="4" r:id="rId4"/>
    <sheet name="P12-1a (2) (17e)" sheetId="5" r:id="rId5"/>
    <sheet name="P12-1cd (17e)" sheetId="6" r:id="rId6"/>
  </sheets>
  <externalReferences>
    <externalReference r:id="rId7"/>
    <externalReference r:id="rId8"/>
    <externalReference r:id="rId9"/>
    <externalReference r:id="rId10"/>
  </externalReferences>
  <definedNames>
    <definedName name="__123Graph_A" hidden="1">'[1]REITs &amp; S&amp;P'!$E$11:$E$31</definedName>
    <definedName name="__123Graph_X" hidden="1">'[1]REITs &amp; S&amp;P'!$D$11:$D$31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4__123Graph_XCHART_1" hidden="1">'[1]REITs &amp; S&amp;P'!$D$11:$D$31</definedName>
    <definedName name="_5__123Graph_XCHART_2" hidden="1">[2]A!$D$171:$D$177</definedName>
    <definedName name="_Table1_In1" hidden="1">[3]A!$F$60</definedName>
    <definedName name="_Table1_Out" hidden="1">[3]A!$C$134:$E$141</definedName>
    <definedName name="Class_A">'[4]Ch20 CMBS'!$K$11</definedName>
    <definedName name="Class_B">'[4]Ch20 CMBS'!$K$16</definedName>
    <definedName name="ClassA_Coupon">'[4]Ch20 CMBS'!$I$11</definedName>
    <definedName name="ClassB_Coupon">'[4]Ch20 CMBS'!$I$16</definedName>
    <definedName name="Default_property_Price">'[4]Ch20 CMBS'!$F$4</definedName>
    <definedName name="Interest_rate">'[4]Ch20 CMBS'!$C$5</definedName>
    <definedName name="Maturity">'[4]Ch20 CMBS'!$C$6</definedName>
    <definedName name="Mortgages">'[4]Ch20 CMBS'!$C$4</definedName>
    <definedName name="Residual">'[4]Ch20 CMBS'!$K$18</definedName>
    <definedName name="Total_Asset">'[4]Ch20 CMBS'!$K$20</definedName>
  </definedNames>
  <calcPr calcId="191029"/>
</workbook>
</file>

<file path=xl/calcChain.xml><?xml version="1.0" encoding="utf-8"?>
<calcChain xmlns="http://schemas.openxmlformats.org/spreadsheetml/2006/main">
  <c r="E57" i="6" l="1"/>
  <c r="D57" i="6"/>
  <c r="E59" i="6"/>
  <c r="D59" i="6"/>
  <c r="E56" i="6"/>
  <c r="D56" i="6"/>
  <c r="D55" i="6"/>
  <c r="E55" i="6"/>
  <c r="C55" i="6"/>
  <c r="C14" i="6"/>
  <c r="C13" i="6"/>
  <c r="C10" i="6"/>
  <c r="C9" i="6"/>
  <c r="C11" i="6" s="1"/>
  <c r="C6" i="6"/>
  <c r="C5" i="6"/>
  <c r="E79" i="5"/>
  <c r="E78" i="5"/>
  <c r="E82" i="4"/>
  <c r="E80" i="4"/>
  <c r="E79" i="4"/>
  <c r="E62" i="1"/>
  <c r="C31" i="4"/>
  <c r="C30" i="6"/>
  <c r="D9" i="6"/>
  <c r="C100" i="5"/>
  <c r="C96" i="5"/>
  <c r="C73" i="5"/>
  <c r="D69" i="5"/>
  <c r="E62" i="5"/>
  <c r="G55" i="5"/>
  <c r="F55" i="5"/>
  <c r="E55" i="5"/>
  <c r="D55" i="5"/>
  <c r="C55" i="5"/>
  <c r="G53" i="5"/>
  <c r="F53" i="5"/>
  <c r="E53" i="5"/>
  <c r="D53" i="5"/>
  <c r="C53" i="5"/>
  <c r="C74" i="5" s="1"/>
  <c r="D75" i="5" s="1"/>
  <c r="G46" i="5"/>
  <c r="F46" i="5"/>
  <c r="E46" i="5"/>
  <c r="D46" i="5"/>
  <c r="C46" i="5"/>
  <c r="C44" i="5"/>
  <c r="D36" i="5"/>
  <c r="E33" i="5"/>
  <c r="C30" i="5"/>
  <c r="C31" i="5" s="1"/>
  <c r="C29" i="5"/>
  <c r="C89" i="5" s="1"/>
  <c r="C101" i="4"/>
  <c r="C97" i="4"/>
  <c r="C90" i="4"/>
  <c r="C74" i="4"/>
  <c r="D70" i="4"/>
  <c r="E62" i="4"/>
  <c r="E63" i="4" s="1"/>
  <c r="E66" i="4" s="1"/>
  <c r="D72" i="4" s="1"/>
  <c r="G55" i="4"/>
  <c r="F55" i="4"/>
  <c r="E55" i="4"/>
  <c r="D55" i="4"/>
  <c r="C55" i="4"/>
  <c r="G53" i="4"/>
  <c r="F53" i="4"/>
  <c r="E53" i="4"/>
  <c r="D53" i="4"/>
  <c r="C53" i="4"/>
  <c r="C75" i="4" s="1"/>
  <c r="G46" i="4"/>
  <c r="F46" i="4"/>
  <c r="E46" i="4"/>
  <c r="D46" i="4"/>
  <c r="C46" i="4"/>
  <c r="C44" i="4"/>
  <c r="D36" i="4"/>
  <c r="E36" i="4" s="1"/>
  <c r="E33" i="4"/>
  <c r="C30" i="4"/>
  <c r="C29" i="4"/>
  <c r="C86" i="4" s="1"/>
  <c r="C30" i="3"/>
  <c r="D9" i="3"/>
  <c r="C24" i="3" s="1"/>
  <c r="C99" i="2"/>
  <c r="C95" i="2"/>
  <c r="C73" i="2"/>
  <c r="D69" i="2"/>
  <c r="E62" i="2"/>
  <c r="G55" i="2"/>
  <c r="F55" i="2"/>
  <c r="E55" i="2"/>
  <c r="D55" i="2"/>
  <c r="C55" i="2"/>
  <c r="G53" i="2"/>
  <c r="F53" i="2"/>
  <c r="E53" i="2"/>
  <c r="D53" i="2"/>
  <c r="C53" i="2"/>
  <c r="C74" i="2" s="1"/>
  <c r="G46" i="2"/>
  <c r="F46" i="2"/>
  <c r="E46" i="2"/>
  <c r="D46" i="2"/>
  <c r="C46" i="2"/>
  <c r="C44" i="2"/>
  <c r="D95" i="2" s="1"/>
  <c r="D36" i="2"/>
  <c r="E36" i="2" s="1"/>
  <c r="E33" i="2"/>
  <c r="C30" i="2"/>
  <c r="C108" i="2" s="1"/>
  <c r="C116" i="2" s="1"/>
  <c r="C29" i="2"/>
  <c r="C84" i="2" s="1"/>
  <c r="C100" i="1"/>
  <c r="C96" i="1"/>
  <c r="C74" i="1"/>
  <c r="D70" i="1"/>
  <c r="E63" i="1"/>
  <c r="D71" i="1" s="1"/>
  <c r="G55" i="1"/>
  <c r="F55" i="1"/>
  <c r="E55" i="1"/>
  <c r="D55" i="1"/>
  <c r="C55" i="1"/>
  <c r="G53" i="1"/>
  <c r="F53" i="1"/>
  <c r="E53" i="1"/>
  <c r="D53" i="1"/>
  <c r="C53" i="1"/>
  <c r="C75" i="1" s="1"/>
  <c r="G46" i="1"/>
  <c r="F46" i="1"/>
  <c r="E46" i="1"/>
  <c r="D46" i="1"/>
  <c r="C46" i="1"/>
  <c r="C44" i="1"/>
  <c r="D100" i="1" s="1"/>
  <c r="D36" i="1"/>
  <c r="E36" i="1" s="1"/>
  <c r="F36" i="1" s="1"/>
  <c r="E33" i="1"/>
  <c r="C30" i="1"/>
  <c r="C29" i="1"/>
  <c r="C89" i="1" s="1"/>
  <c r="C15" i="6" l="1"/>
  <c r="C27" i="6" s="1"/>
  <c r="C7" i="6"/>
  <c r="C25" i="6" s="1"/>
  <c r="C85" i="5"/>
  <c r="C109" i="5"/>
  <c r="C110" i="5" s="1"/>
  <c r="C34" i="6"/>
  <c r="C35" i="6" s="1"/>
  <c r="C26" i="6"/>
  <c r="C24" i="6"/>
  <c r="E37" i="5"/>
  <c r="C33" i="5"/>
  <c r="D37" i="5"/>
  <c r="F37" i="5"/>
  <c r="C37" i="5"/>
  <c r="C38" i="5"/>
  <c r="C39" i="5" s="1"/>
  <c r="C52" i="5" s="1"/>
  <c r="G37" i="5"/>
  <c r="D38" i="5"/>
  <c r="E36" i="5"/>
  <c r="D44" i="5"/>
  <c r="D100" i="5"/>
  <c r="C48" i="5"/>
  <c r="C54" i="5" s="1"/>
  <c r="D108" i="5" s="1"/>
  <c r="E63" i="5"/>
  <c r="D96" i="5"/>
  <c r="C51" i="5"/>
  <c r="D76" i="4"/>
  <c r="F37" i="4"/>
  <c r="E37" i="4"/>
  <c r="C33" i="4"/>
  <c r="C37" i="4"/>
  <c r="G37" i="4"/>
  <c r="D37" i="4"/>
  <c r="C38" i="4"/>
  <c r="E38" i="4"/>
  <c r="F36" i="4"/>
  <c r="D44" i="4"/>
  <c r="D38" i="4"/>
  <c r="D71" i="4"/>
  <c r="D97" i="4"/>
  <c r="C110" i="4"/>
  <c r="D101" i="4"/>
  <c r="C48" i="4"/>
  <c r="C54" i="4" s="1"/>
  <c r="D109" i="4" s="1"/>
  <c r="C51" i="4"/>
  <c r="C5" i="3"/>
  <c r="C31" i="1"/>
  <c r="C10" i="3" s="1"/>
  <c r="C6" i="3"/>
  <c r="C109" i="2"/>
  <c r="D75" i="2"/>
  <c r="C31" i="2"/>
  <c r="F36" i="2"/>
  <c r="C48" i="2"/>
  <c r="C54" i="2" s="1"/>
  <c r="D107" i="2" s="1"/>
  <c r="C51" i="2"/>
  <c r="C88" i="2"/>
  <c r="D99" i="2"/>
  <c r="D44" i="2"/>
  <c r="E63" i="2"/>
  <c r="D70" i="2" s="1"/>
  <c r="D44" i="1"/>
  <c r="E100" i="1" s="1"/>
  <c r="D96" i="1"/>
  <c r="E66" i="1"/>
  <c r="D72" i="1" s="1"/>
  <c r="C85" i="1"/>
  <c r="D76" i="1"/>
  <c r="G36" i="1"/>
  <c r="C109" i="1"/>
  <c r="C48" i="1"/>
  <c r="C54" i="1" s="1"/>
  <c r="D108" i="1" s="1"/>
  <c r="C51" i="1"/>
  <c r="C20" i="6" l="1"/>
  <c r="C21" i="6" s="1"/>
  <c r="C37" i="6"/>
  <c r="C39" i="6" s="1"/>
  <c r="E39" i="4"/>
  <c r="E52" i="4" s="1"/>
  <c r="D78" i="1"/>
  <c r="E79" i="1" s="1"/>
  <c r="C117" i="5"/>
  <c r="D39" i="4"/>
  <c r="D52" i="4" s="1"/>
  <c r="C39" i="4"/>
  <c r="C52" i="4" s="1"/>
  <c r="C56" i="4" s="1"/>
  <c r="C57" i="4" s="1"/>
  <c r="D78" i="4"/>
  <c r="E66" i="5"/>
  <c r="D71" i="5" s="1"/>
  <c r="D70" i="5"/>
  <c r="F36" i="5"/>
  <c r="E38" i="5"/>
  <c r="E39" i="5" s="1"/>
  <c r="C56" i="5"/>
  <c r="C57" i="5" s="1"/>
  <c r="D39" i="5"/>
  <c r="D52" i="5" s="1"/>
  <c r="D45" i="5"/>
  <c r="E106" i="5" s="1"/>
  <c r="C40" i="5"/>
  <c r="C45" i="5"/>
  <c r="G45" i="5"/>
  <c r="H106" i="5" s="1"/>
  <c r="F45" i="5"/>
  <c r="G106" i="5" s="1"/>
  <c r="E45" i="5"/>
  <c r="F106" i="5" s="1"/>
  <c r="E96" i="5"/>
  <c r="E100" i="5"/>
  <c r="E44" i="5"/>
  <c r="D48" i="5"/>
  <c r="D54" i="5" s="1"/>
  <c r="E108" i="5" s="1"/>
  <c r="D51" i="5"/>
  <c r="D51" i="4"/>
  <c r="D48" i="4"/>
  <c r="D54" i="4" s="1"/>
  <c r="E109" i="4" s="1"/>
  <c r="E97" i="4"/>
  <c r="E101" i="4"/>
  <c r="E44" i="4"/>
  <c r="D40" i="4"/>
  <c r="F38" i="4"/>
  <c r="G36" i="4"/>
  <c r="G38" i="4" s="1"/>
  <c r="E64" i="4" s="1"/>
  <c r="E45" i="4"/>
  <c r="F107" i="4" s="1"/>
  <c r="D45" i="4"/>
  <c r="E107" i="4" s="1"/>
  <c r="G45" i="4"/>
  <c r="H107" i="4" s="1"/>
  <c r="F45" i="4"/>
  <c r="G107" i="4" s="1"/>
  <c r="C45" i="4"/>
  <c r="C111" i="4"/>
  <c r="C118" i="4"/>
  <c r="E40" i="4"/>
  <c r="C7" i="3"/>
  <c r="C37" i="3" s="1"/>
  <c r="D38" i="1"/>
  <c r="E37" i="1"/>
  <c r="D48" i="1"/>
  <c r="D54" i="1" s="1"/>
  <c r="E108" i="1" s="1"/>
  <c r="E44" i="1"/>
  <c r="E38" i="1"/>
  <c r="C33" i="1"/>
  <c r="G38" i="1"/>
  <c r="E64" i="1" s="1"/>
  <c r="D37" i="1"/>
  <c r="E38" i="2"/>
  <c r="C9" i="3"/>
  <c r="C11" i="3" s="1"/>
  <c r="F38" i="1"/>
  <c r="F37" i="1"/>
  <c r="E96" i="1"/>
  <c r="C38" i="1"/>
  <c r="C39" i="1" s="1"/>
  <c r="C52" i="1" s="1"/>
  <c r="C56" i="1" s="1"/>
  <c r="C57" i="1" s="1"/>
  <c r="C37" i="1"/>
  <c r="F45" i="1" s="1"/>
  <c r="G106" i="1" s="1"/>
  <c r="G37" i="1"/>
  <c r="C25" i="3"/>
  <c r="G36" i="2"/>
  <c r="G38" i="2" s="1"/>
  <c r="F38" i="2"/>
  <c r="F39" i="2" s="1"/>
  <c r="F52" i="2" s="1"/>
  <c r="E99" i="2"/>
  <c r="D51" i="2"/>
  <c r="D48" i="2"/>
  <c r="D54" i="2" s="1"/>
  <c r="E107" i="2" s="1"/>
  <c r="E95" i="2"/>
  <c r="E44" i="2"/>
  <c r="C38" i="2"/>
  <c r="F37" i="2"/>
  <c r="D37" i="2"/>
  <c r="G37" i="2"/>
  <c r="E37" i="2"/>
  <c r="C37" i="2"/>
  <c r="C33" i="2"/>
  <c r="E66" i="2"/>
  <c r="D71" i="2" s="1"/>
  <c r="D77" i="2" s="1"/>
  <c r="E78" i="2" s="1"/>
  <c r="D38" i="2"/>
  <c r="E39" i="2" s="1"/>
  <c r="E52" i="2" s="1"/>
  <c r="D51" i="1"/>
  <c r="E39" i="1"/>
  <c r="E52" i="1" s="1"/>
  <c r="F100" i="1"/>
  <c r="E51" i="1"/>
  <c r="E48" i="1"/>
  <c r="E54" i="1" s="1"/>
  <c r="F108" i="1" s="1"/>
  <c r="F96" i="1"/>
  <c r="F44" i="1"/>
  <c r="D39" i="1"/>
  <c r="D52" i="1" s="1"/>
  <c r="E40" i="1"/>
  <c r="C110" i="1"/>
  <c r="C117" i="1"/>
  <c r="D45" i="1"/>
  <c r="D59" i="1" s="1"/>
  <c r="G45" i="1"/>
  <c r="H106" i="1" s="1"/>
  <c r="E45" i="1"/>
  <c r="F106" i="1" s="1"/>
  <c r="C45" i="1"/>
  <c r="C59" i="1" s="1"/>
  <c r="D59" i="3" s="1"/>
  <c r="C40" i="1"/>
  <c r="C40" i="4" l="1"/>
  <c r="D47" i="5"/>
  <c r="D49" i="5" s="1"/>
  <c r="E85" i="5" s="1"/>
  <c r="D56" i="5"/>
  <c r="D57" i="5" s="1"/>
  <c r="D56" i="4"/>
  <c r="D57" i="4" s="1"/>
  <c r="E52" i="5"/>
  <c r="E40" i="5"/>
  <c r="C147" i="5"/>
  <c r="D59" i="5"/>
  <c r="E48" i="5"/>
  <c r="E54" i="5" s="1"/>
  <c r="F108" i="5" s="1"/>
  <c r="C152" i="5" s="1"/>
  <c r="F100" i="5"/>
  <c r="F44" i="5"/>
  <c r="F96" i="5"/>
  <c r="E47" i="5"/>
  <c r="E59" i="5"/>
  <c r="E51" i="5"/>
  <c r="D106" i="5"/>
  <c r="C47" i="5"/>
  <c r="C49" i="5" s="1"/>
  <c r="C59" i="5"/>
  <c r="G36" i="5"/>
  <c r="G38" i="5" s="1"/>
  <c r="E64" i="5" s="1"/>
  <c r="F38" i="5"/>
  <c r="C137" i="5"/>
  <c r="C133" i="5"/>
  <c r="C136" i="5"/>
  <c r="E110" i="5"/>
  <c r="C134" i="5"/>
  <c r="C141" i="5"/>
  <c r="C135" i="5"/>
  <c r="C138" i="5"/>
  <c r="C140" i="5"/>
  <c r="C132" i="5"/>
  <c r="C139" i="5"/>
  <c r="C131" i="5"/>
  <c r="C130" i="5"/>
  <c r="D40" i="5"/>
  <c r="D77" i="5"/>
  <c r="H108" i="4"/>
  <c r="E65" i="4"/>
  <c r="E67" i="4" s="1"/>
  <c r="D47" i="4"/>
  <c r="D49" i="4" s="1"/>
  <c r="C139" i="4"/>
  <c r="C131" i="4"/>
  <c r="C137" i="4"/>
  <c r="C140" i="4"/>
  <c r="C138" i="4"/>
  <c r="E111" i="4"/>
  <c r="C136" i="4"/>
  <c r="C132" i="4"/>
  <c r="C135" i="4"/>
  <c r="C142" i="4"/>
  <c r="C134" i="4"/>
  <c r="C141" i="4"/>
  <c r="C133" i="4"/>
  <c r="F39" i="4"/>
  <c r="G39" i="4"/>
  <c r="D107" i="4"/>
  <c r="C59" i="4"/>
  <c r="C47" i="4"/>
  <c r="C49" i="4" s="1"/>
  <c r="D59" i="4"/>
  <c r="F97" i="4"/>
  <c r="E47" i="4"/>
  <c r="E48" i="4"/>
  <c r="E54" i="4" s="1"/>
  <c r="F109" i="4" s="1"/>
  <c r="C153" i="4" s="1"/>
  <c r="E59" i="4"/>
  <c r="E51" i="4"/>
  <c r="F101" i="4"/>
  <c r="F44" i="4"/>
  <c r="F39" i="1"/>
  <c r="G39" i="1"/>
  <c r="C14" i="3"/>
  <c r="F52" i="1"/>
  <c r="F40" i="1"/>
  <c r="D56" i="1"/>
  <c r="D57" i="1" s="1"/>
  <c r="C34" i="3"/>
  <c r="C35" i="3" s="1"/>
  <c r="C39" i="3" s="1"/>
  <c r="C26" i="3"/>
  <c r="C146" i="1"/>
  <c r="C150" i="1"/>
  <c r="C142" i="1"/>
  <c r="C143" i="1"/>
  <c r="C147" i="1"/>
  <c r="C151" i="1"/>
  <c r="C144" i="1"/>
  <c r="C148" i="1"/>
  <c r="C152" i="1"/>
  <c r="C145" i="1"/>
  <c r="C149" i="1"/>
  <c r="C153" i="1"/>
  <c r="E64" i="2"/>
  <c r="C13" i="3"/>
  <c r="C15" i="3" s="1"/>
  <c r="E59" i="1"/>
  <c r="F59" i="1"/>
  <c r="H107" i="1"/>
  <c r="E65" i="1"/>
  <c r="E67" i="1" s="1"/>
  <c r="E81" i="1" s="1"/>
  <c r="D39" i="2"/>
  <c r="D52" i="2" s="1"/>
  <c r="G45" i="2"/>
  <c r="H105" i="2" s="1"/>
  <c r="E45" i="2"/>
  <c r="F105" i="2" s="1"/>
  <c r="C45" i="2"/>
  <c r="C59" i="2" s="1"/>
  <c r="E59" i="3" s="1"/>
  <c r="F45" i="2"/>
  <c r="G105" i="2" s="1"/>
  <c r="D45" i="2"/>
  <c r="D59" i="2" s="1"/>
  <c r="F95" i="2"/>
  <c r="F44" i="2"/>
  <c r="F99" i="2"/>
  <c r="E51" i="2"/>
  <c r="E48" i="2"/>
  <c r="E54" i="2" s="1"/>
  <c r="F107" i="2" s="1"/>
  <c r="D40" i="2"/>
  <c r="E40" i="2"/>
  <c r="C39" i="2"/>
  <c r="C52" i="2" s="1"/>
  <c r="C56" i="2" s="1"/>
  <c r="C57" i="2" s="1"/>
  <c r="G39" i="2"/>
  <c r="G52" i="2" s="1"/>
  <c r="F40" i="2"/>
  <c r="D56" i="2"/>
  <c r="D57" i="2" s="1"/>
  <c r="H106" i="2"/>
  <c r="E65" i="2"/>
  <c r="E67" i="2" s="1"/>
  <c r="E80" i="2" s="1"/>
  <c r="D40" i="1"/>
  <c r="F110" i="1"/>
  <c r="E56" i="1"/>
  <c r="E57" i="1" s="1"/>
  <c r="E106" i="1"/>
  <c r="D47" i="1"/>
  <c r="D49" i="1" s="1"/>
  <c r="D106" i="1"/>
  <c r="C47" i="1"/>
  <c r="C49" i="1" s="1"/>
  <c r="E47" i="1"/>
  <c r="E49" i="1" s="1"/>
  <c r="G96" i="1"/>
  <c r="F47" i="1"/>
  <c r="G44" i="1"/>
  <c r="G59" i="1" s="1"/>
  <c r="G100" i="1"/>
  <c r="F51" i="1"/>
  <c r="F48" i="1"/>
  <c r="F54" i="1" s="1"/>
  <c r="G108" i="1" s="1"/>
  <c r="G110" i="1" s="1"/>
  <c r="C151" i="5" l="1"/>
  <c r="E49" i="5"/>
  <c r="F85" i="5" s="1"/>
  <c r="C146" i="5"/>
  <c r="C149" i="5"/>
  <c r="C145" i="5"/>
  <c r="D58" i="5"/>
  <c r="E89" i="5" s="1"/>
  <c r="G39" i="5"/>
  <c r="G40" i="5" s="1"/>
  <c r="H107" i="5"/>
  <c r="E65" i="5"/>
  <c r="E67" i="5" s="1"/>
  <c r="E81" i="5" s="1"/>
  <c r="C148" i="5"/>
  <c r="C142" i="5"/>
  <c r="F39" i="5"/>
  <c r="F47" i="5"/>
  <c r="F48" i="5"/>
  <c r="F54" i="5" s="1"/>
  <c r="G108" i="5" s="1"/>
  <c r="G96" i="5"/>
  <c r="G100" i="5"/>
  <c r="G44" i="5"/>
  <c r="F59" i="5"/>
  <c r="F51" i="5"/>
  <c r="C143" i="5"/>
  <c r="F110" i="5"/>
  <c r="D85" i="5"/>
  <c r="C58" i="5"/>
  <c r="D89" i="5" s="1"/>
  <c r="C150" i="5"/>
  <c r="C153" i="5"/>
  <c r="C129" i="5"/>
  <c r="C121" i="5"/>
  <c r="C126" i="5"/>
  <c r="C122" i="5"/>
  <c r="C128" i="5"/>
  <c r="C120" i="5"/>
  <c r="C118" i="5"/>
  <c r="C125" i="5"/>
  <c r="C127" i="5"/>
  <c r="C119" i="5"/>
  <c r="D110" i="5"/>
  <c r="C124" i="5"/>
  <c r="C123" i="5"/>
  <c r="C144" i="5"/>
  <c r="E56" i="5"/>
  <c r="E57" i="5" s="1"/>
  <c r="C147" i="4"/>
  <c r="G52" i="4"/>
  <c r="G40" i="4"/>
  <c r="C152" i="4"/>
  <c r="C151" i="4"/>
  <c r="C123" i="4"/>
  <c r="C121" i="4"/>
  <c r="C120" i="4"/>
  <c r="C130" i="4"/>
  <c r="C122" i="4"/>
  <c r="C129" i="4"/>
  <c r="C128" i="4"/>
  <c r="D111" i="4"/>
  <c r="C127" i="4"/>
  <c r="C119" i="4"/>
  <c r="C126" i="4"/>
  <c r="C125" i="4"/>
  <c r="C124" i="4"/>
  <c r="F52" i="4"/>
  <c r="F40" i="4"/>
  <c r="C148" i="4"/>
  <c r="C146" i="4"/>
  <c r="E49" i="4"/>
  <c r="F111" i="4"/>
  <c r="C149" i="4"/>
  <c r="C154" i="4"/>
  <c r="C144" i="4"/>
  <c r="F48" i="4"/>
  <c r="F54" i="4" s="1"/>
  <c r="G109" i="4" s="1"/>
  <c r="G97" i="4"/>
  <c r="F51" i="4"/>
  <c r="G44" i="4"/>
  <c r="F59" i="4"/>
  <c r="G101" i="4"/>
  <c r="F47" i="4"/>
  <c r="E56" i="4"/>
  <c r="E57" i="4" s="1"/>
  <c r="C150" i="4"/>
  <c r="C145" i="4"/>
  <c r="E86" i="4"/>
  <c r="D58" i="4"/>
  <c r="E90" i="4" s="1"/>
  <c r="C58" i="4"/>
  <c r="D90" i="4" s="1"/>
  <c r="D86" i="4"/>
  <c r="C143" i="4"/>
  <c r="F59" i="2"/>
  <c r="G52" i="1"/>
  <c r="G40" i="1"/>
  <c r="C27" i="3"/>
  <c r="C20" i="3"/>
  <c r="C21" i="3" s="1"/>
  <c r="E110" i="1"/>
  <c r="C134" i="1"/>
  <c r="C138" i="1"/>
  <c r="C130" i="1"/>
  <c r="C131" i="1"/>
  <c r="C135" i="1"/>
  <c r="C139" i="1"/>
  <c r="C132" i="1"/>
  <c r="C136" i="1"/>
  <c r="C140" i="1"/>
  <c r="C133" i="1"/>
  <c r="C137" i="1"/>
  <c r="C141" i="1"/>
  <c r="E47" i="2"/>
  <c r="C165" i="1"/>
  <c r="C160" i="1"/>
  <c r="C155" i="1"/>
  <c r="E59" i="2"/>
  <c r="C152" i="2"/>
  <c r="C148" i="2"/>
  <c r="C144" i="2"/>
  <c r="C151" i="2"/>
  <c r="C147" i="2"/>
  <c r="C143" i="2"/>
  <c r="C150" i="2"/>
  <c r="C146" i="2"/>
  <c r="C142" i="2"/>
  <c r="C149" i="2"/>
  <c r="C145" i="2"/>
  <c r="C141" i="2"/>
  <c r="C161" i="1"/>
  <c r="C156" i="1"/>
  <c r="C154" i="1"/>
  <c r="C157" i="1"/>
  <c r="C163" i="1"/>
  <c r="C162" i="1"/>
  <c r="D110" i="1"/>
  <c r="C122" i="1"/>
  <c r="C126" i="1"/>
  <c r="C118" i="1"/>
  <c r="C119" i="1"/>
  <c r="C123" i="1"/>
  <c r="C127" i="1"/>
  <c r="C120" i="1"/>
  <c r="C124" i="1"/>
  <c r="C128" i="1"/>
  <c r="C121" i="1"/>
  <c r="C125" i="1"/>
  <c r="C129" i="1"/>
  <c r="C164" i="1"/>
  <c r="C159" i="1"/>
  <c r="C158" i="1"/>
  <c r="G40" i="2"/>
  <c r="C40" i="2"/>
  <c r="G99" i="2"/>
  <c r="F51" i="2"/>
  <c r="F48" i="2"/>
  <c r="F54" i="2" s="1"/>
  <c r="G107" i="2" s="1"/>
  <c r="G109" i="2" s="1"/>
  <c r="G95" i="2"/>
  <c r="F47" i="2"/>
  <c r="G44" i="2"/>
  <c r="G59" i="2" s="1"/>
  <c r="D105" i="2"/>
  <c r="C47" i="2"/>
  <c r="C49" i="2" s="1"/>
  <c r="E56" i="2"/>
  <c r="E57" i="2" s="1"/>
  <c r="E105" i="2"/>
  <c r="D47" i="2"/>
  <c r="D49" i="2" s="1"/>
  <c r="E49" i="2"/>
  <c r="F109" i="2"/>
  <c r="D85" i="1"/>
  <c r="C58" i="1"/>
  <c r="D89" i="1" s="1"/>
  <c r="D58" i="1"/>
  <c r="E89" i="1" s="1"/>
  <c r="E85" i="1"/>
  <c r="H100" i="1"/>
  <c r="C101" i="1" s="1"/>
  <c r="G51" i="1"/>
  <c r="G48" i="1"/>
  <c r="H96" i="1"/>
  <c r="C97" i="1" s="1"/>
  <c r="G47" i="1"/>
  <c r="F85" i="1"/>
  <c r="E58" i="1"/>
  <c r="F89" i="1" s="1"/>
  <c r="F49" i="1"/>
  <c r="F56" i="1"/>
  <c r="F57" i="1" s="1"/>
  <c r="E58" i="5" l="1"/>
  <c r="F89" i="5" s="1"/>
  <c r="F56" i="4"/>
  <c r="F57" i="4" s="1"/>
  <c r="G52" i="5"/>
  <c r="G110" i="5"/>
  <c r="C165" i="5"/>
  <c r="C164" i="5"/>
  <c r="C160" i="5"/>
  <c r="C156" i="5"/>
  <c r="C158" i="5"/>
  <c r="C163" i="5"/>
  <c r="C159" i="5"/>
  <c r="C155" i="5"/>
  <c r="C161" i="5"/>
  <c r="C157" i="5"/>
  <c r="C154" i="5"/>
  <c r="C162" i="5"/>
  <c r="F49" i="5"/>
  <c r="F52" i="5"/>
  <c r="F40" i="5"/>
  <c r="F56" i="5"/>
  <c r="F57" i="5" s="1"/>
  <c r="H96" i="5"/>
  <c r="C97" i="5" s="1"/>
  <c r="G59" i="5"/>
  <c r="H100" i="5"/>
  <c r="C101" i="5" s="1"/>
  <c r="G47" i="5"/>
  <c r="G51" i="5"/>
  <c r="G48" i="5"/>
  <c r="C163" i="4"/>
  <c r="C166" i="4"/>
  <c r="C165" i="4"/>
  <c r="C164" i="4"/>
  <c r="C159" i="4"/>
  <c r="C155" i="4"/>
  <c r="C158" i="4"/>
  <c r="G111" i="4"/>
  <c r="C162" i="4"/>
  <c r="C161" i="4"/>
  <c r="C157" i="4"/>
  <c r="C160" i="4"/>
  <c r="C156" i="4"/>
  <c r="F49" i="4"/>
  <c r="H97" i="4"/>
  <c r="C98" i="4" s="1"/>
  <c r="H101" i="4"/>
  <c r="C102" i="4" s="1"/>
  <c r="G48" i="4"/>
  <c r="G47" i="4"/>
  <c r="G49" i="4" s="1"/>
  <c r="G59" i="4"/>
  <c r="G51" i="4"/>
  <c r="F86" i="4"/>
  <c r="E58" i="4"/>
  <c r="F90" i="4" s="1"/>
  <c r="F49" i="2"/>
  <c r="C156" i="2"/>
  <c r="C157" i="2"/>
  <c r="C162" i="2"/>
  <c r="G49" i="1"/>
  <c r="H85" i="1" s="1"/>
  <c r="E109" i="2"/>
  <c r="C140" i="2"/>
  <c r="C136" i="2"/>
  <c r="C132" i="2"/>
  <c r="C139" i="2"/>
  <c r="C135" i="2"/>
  <c r="C131" i="2"/>
  <c r="C138" i="2"/>
  <c r="C134" i="2"/>
  <c r="C130" i="2"/>
  <c r="C137" i="2"/>
  <c r="C133" i="2"/>
  <c r="C129" i="2"/>
  <c r="G54" i="1"/>
  <c r="H108" i="1" s="1"/>
  <c r="H110" i="1" s="1"/>
  <c r="C173" i="1"/>
  <c r="C174" i="1"/>
  <c r="C168" i="1"/>
  <c r="C166" i="1"/>
  <c r="C167" i="1"/>
  <c r="C172" i="1"/>
  <c r="C177" i="1"/>
  <c r="C171" i="1"/>
  <c r="C176" i="1"/>
  <c r="C169" i="1"/>
  <c r="C170" i="1"/>
  <c r="C175" i="1"/>
  <c r="C154" i="2"/>
  <c r="C159" i="2"/>
  <c r="C164" i="2"/>
  <c r="D109" i="2"/>
  <c r="C128" i="2"/>
  <c r="C124" i="2"/>
  <c r="C120" i="2"/>
  <c r="C127" i="2"/>
  <c r="C123" i="2"/>
  <c r="C119" i="2"/>
  <c r="C126" i="2"/>
  <c r="C122" i="2"/>
  <c r="C118" i="2"/>
  <c r="C125" i="2"/>
  <c r="C121" i="2"/>
  <c r="C117" i="2"/>
  <c r="C153" i="2"/>
  <c r="C158" i="2"/>
  <c r="C163" i="2"/>
  <c r="C161" i="2"/>
  <c r="C155" i="2"/>
  <c r="C160" i="2"/>
  <c r="D55" i="3"/>
  <c r="C55" i="3"/>
  <c r="E55" i="3"/>
  <c r="E58" i="2"/>
  <c r="F88" i="2" s="1"/>
  <c r="F84" i="2"/>
  <c r="C58" i="2"/>
  <c r="D88" i="2" s="1"/>
  <c r="D84" i="2"/>
  <c r="H95" i="2"/>
  <c r="C96" i="2" s="1"/>
  <c r="G47" i="2"/>
  <c r="H99" i="2"/>
  <c r="C100" i="2" s="1"/>
  <c r="G51" i="2"/>
  <c r="G48" i="2"/>
  <c r="F56" i="2"/>
  <c r="F57" i="2" s="1"/>
  <c r="F58" i="2" s="1"/>
  <c r="G88" i="2" s="1"/>
  <c r="E84" i="2"/>
  <c r="D58" i="2"/>
  <c r="E88" i="2" s="1"/>
  <c r="G84" i="2"/>
  <c r="F58" i="1"/>
  <c r="G89" i="1" s="1"/>
  <c r="G85" i="1"/>
  <c r="C179" i="1"/>
  <c r="G56" i="1"/>
  <c r="G57" i="1" s="1"/>
  <c r="G58" i="1" s="1"/>
  <c r="H89" i="1" s="1"/>
  <c r="G49" i="5" l="1"/>
  <c r="H85" i="5" s="1"/>
  <c r="G54" i="5"/>
  <c r="H108" i="5" s="1"/>
  <c r="H110" i="5" s="1"/>
  <c r="C176" i="5"/>
  <c r="C168" i="5"/>
  <c r="C170" i="5"/>
  <c r="C173" i="5"/>
  <c r="C175" i="5"/>
  <c r="C166" i="5"/>
  <c r="C171" i="5"/>
  <c r="C167" i="5"/>
  <c r="C177" i="5"/>
  <c r="C174" i="5"/>
  <c r="C169" i="5"/>
  <c r="C172" i="5"/>
  <c r="G85" i="5"/>
  <c r="F58" i="5"/>
  <c r="G89" i="5" s="1"/>
  <c r="G86" i="4"/>
  <c r="F58" i="4"/>
  <c r="G90" i="4" s="1"/>
  <c r="H86" i="4"/>
  <c r="G54" i="4"/>
  <c r="H109" i="4" s="1"/>
  <c r="H111" i="4" s="1"/>
  <c r="C171" i="4"/>
  <c r="C168" i="4"/>
  <c r="C172" i="4"/>
  <c r="C176" i="4"/>
  <c r="C175" i="4"/>
  <c r="C173" i="4"/>
  <c r="C169" i="4"/>
  <c r="C167" i="4"/>
  <c r="C177" i="4"/>
  <c r="C178" i="4"/>
  <c r="C174" i="4"/>
  <c r="C170" i="4"/>
  <c r="G49" i="2"/>
  <c r="G54" i="2"/>
  <c r="H107" i="2" s="1"/>
  <c r="H109" i="2" s="1"/>
  <c r="C172" i="2"/>
  <c r="C167" i="2"/>
  <c r="C173" i="2"/>
  <c r="C175" i="2"/>
  <c r="C170" i="2"/>
  <c r="C165" i="2"/>
  <c r="C174" i="2"/>
  <c r="C176" i="2"/>
  <c r="C171" i="2"/>
  <c r="C166" i="2"/>
  <c r="C168" i="2"/>
  <c r="C169" i="2"/>
  <c r="G56" i="2"/>
  <c r="G57" i="2" s="1"/>
  <c r="G58" i="2" s="1"/>
  <c r="H88" i="2" s="1"/>
  <c r="C89" i="2" s="1"/>
  <c r="E57" i="3" s="1"/>
  <c r="C111" i="1"/>
  <c r="C90" i="1"/>
  <c r="H84" i="2"/>
  <c r="C178" i="2"/>
  <c r="C110" i="2" s="1"/>
  <c r="C85" i="2"/>
  <c r="E56" i="3" s="1"/>
  <c r="C86" i="1"/>
  <c r="D57" i="3" l="1"/>
  <c r="C87" i="4"/>
  <c r="C86" i="5"/>
  <c r="G56" i="4"/>
  <c r="C179" i="5"/>
  <c r="C111" i="5" s="1"/>
  <c r="C180" i="4"/>
  <c r="C112" i="4" s="1"/>
  <c r="G56" i="5"/>
  <c r="G57" i="5" s="1"/>
  <c r="G58" i="5" s="1"/>
  <c r="H89" i="5" s="1"/>
  <c r="C90" i="5" s="1"/>
  <c r="C91" i="1"/>
  <c r="D56" i="3"/>
  <c r="C90" i="2"/>
  <c r="G57" i="4" l="1"/>
  <c r="G58" i="4" s="1"/>
  <c r="H90" i="4" s="1"/>
  <c r="C91" i="4" s="1"/>
  <c r="C92" i="4" s="1"/>
  <c r="C9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DeCourcy</author>
  </authors>
  <commentList>
    <comment ref="F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George DeCourcy:</t>
        </r>
        <r>
          <rPr>
            <sz val="9"/>
            <color indexed="81"/>
            <rFont val="Tahoma"/>
            <family val="2"/>
          </rPr>
          <t xml:space="preserve">
Normally, gains on sale would be subject to special tax rules. The text problem specifically says to use 36% for cap gains as well.</t>
        </r>
      </text>
    </comment>
    <comment ref="E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George DeCourcy:</t>
        </r>
        <r>
          <rPr>
            <sz val="9"/>
            <color indexed="81"/>
            <rFont val="Tahoma"/>
            <family val="2"/>
          </rPr>
          <t xml:space="preserve">
Note that problem specifies 36% rate for this even though this gain should use more favorable rates.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DeCourcy</author>
  </authors>
  <commentList>
    <comment ref="C8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George DeCourcy:</t>
        </r>
        <r>
          <rPr>
            <sz val="9"/>
            <color indexed="81"/>
            <rFont val="Tahoma"/>
            <charset val="1"/>
          </rPr>
          <t xml:space="preserve">
Compare this to the Leveraged IRR on the 70% borrowing (prior tab).
We are using more leverage here at 80% - so why isn't this IRR higher?
Even though we are using more leverage, the positive financial leverage (spread) is not as great at the 11% cost of funds here as it was in the prior tab (10%).  Thus this rate is being adusted in two opposite directions simultaneously - which results in an IRR that is not changed much.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DeCourcy</author>
  </authors>
  <commentList>
    <comment ref="C86" authorId="0" shapeId="0" xr:uid="{5317BCD7-5CA3-40C9-9C79-3E431754C7B3}">
      <text>
        <r>
          <rPr>
            <b/>
            <sz val="9"/>
            <color indexed="81"/>
            <rFont val="Tahoma"/>
            <charset val="1"/>
          </rPr>
          <t>George DeCourcy:</t>
        </r>
        <r>
          <rPr>
            <sz val="9"/>
            <color indexed="81"/>
            <rFont val="Tahoma"/>
            <charset val="1"/>
          </rPr>
          <t xml:space="preserve">
Compare this to the Leveraged IRR on the 70% borrowing (prior tab).
We are using more leverage here at 80% - so why isn't this IRR higher?
Even though we are using more leverage, the positive financial leverage (spread) is not as great at the 11% cost of funds here as it was in the prior tab (10%).  Thus this rate is being adusted in two opposite directions simultaneously - which results in an IRR that is not changed much.</t>
        </r>
      </text>
    </comment>
  </commentList>
</comments>
</file>

<file path=xl/sharedStrings.xml><?xml version="1.0" encoding="utf-8"?>
<sst xmlns="http://schemas.openxmlformats.org/spreadsheetml/2006/main" count="532" uniqueCount="157">
  <si>
    <t>No passive activity loss limitations (PALL) considered. Set all data cells that do not apply to zero.</t>
  </si>
  <si>
    <t>Data Input Box:</t>
  </si>
  <si>
    <t>Purchase</t>
  </si>
  <si>
    <t>Tax Considerations:</t>
  </si>
  <si>
    <t>NOI year 1</t>
  </si>
  <si>
    <t>Building Value</t>
  </si>
  <si>
    <t>Growth-NOI</t>
  </si>
  <si>
    <t>Depreciation</t>
  </si>
  <si>
    <t>years</t>
  </si>
  <si>
    <t>Loan-to-Value</t>
  </si>
  <si>
    <t>Tax rate</t>
  </si>
  <si>
    <t>Loan Interest (Payment)</t>
  </si>
  <si>
    <t>Loan Interest (Accural)</t>
  </si>
  <si>
    <t>Loan Amortization Term</t>
  </si>
  <si>
    <t>Loan Due</t>
  </si>
  <si>
    <t>Payments per year</t>
  </si>
  <si>
    <t>Equity Participation</t>
  </si>
  <si>
    <t>of NOI</t>
  </si>
  <si>
    <t>Partic. on Excess over</t>
  </si>
  <si>
    <t>of sales gain</t>
  </si>
  <si>
    <t>Land Lease Payment</t>
  </si>
  <si>
    <t>Appreciation rate</t>
  </si>
  <si>
    <t>Lender's Equity Ownership</t>
  </si>
  <si>
    <t>Holding Period</t>
  </si>
  <si>
    <t>Selling costs</t>
  </si>
  <si>
    <t>of sale price</t>
  </si>
  <si>
    <t>Equity</t>
  </si>
  <si>
    <t>Loan</t>
  </si>
  <si>
    <t>Annual Loan Payment</t>
  </si>
  <si>
    <t>Annual Accrual Amount</t>
  </si>
  <si>
    <t>Mortgage Balance</t>
  </si>
  <si>
    <t>year</t>
  </si>
  <si>
    <t>SUMMARY LOAN INFORMATION:</t>
  </si>
  <si>
    <t>End of Year</t>
  </si>
  <si>
    <t>Payment</t>
  </si>
  <si>
    <t>Interest</t>
  </si>
  <si>
    <t>Principal</t>
  </si>
  <si>
    <t>SUMMARY CASH FLOW INFORMATION:</t>
  </si>
  <si>
    <t>Year</t>
  </si>
  <si>
    <t>NOI</t>
  </si>
  <si>
    <t>Less Debt Service</t>
  </si>
  <si>
    <t>Less Land Lease Payment</t>
  </si>
  <si>
    <t>Before-tax Cash Flow</t>
  </si>
  <si>
    <t>Before-Tax Cash Flow</t>
  </si>
  <si>
    <t>Less: Interest</t>
  </si>
  <si>
    <t xml:space="preserve">         Depreciation</t>
  </si>
  <si>
    <t xml:space="preserve">         Participation</t>
  </si>
  <si>
    <t>Taxable Income</t>
  </si>
  <si>
    <t>Tax (Savings)</t>
  </si>
  <si>
    <t>After-Tax Cash Flow</t>
  </si>
  <si>
    <t>CASH FLOW FROM SALE:</t>
  </si>
  <si>
    <t>Sale Price</t>
  </si>
  <si>
    <t>Sales costs</t>
  </si>
  <si>
    <t>Participation in Gain</t>
  </si>
  <si>
    <t>Before-tax cash flow</t>
  </si>
  <si>
    <t>Sales Costs</t>
  </si>
  <si>
    <t>Participation</t>
  </si>
  <si>
    <t>Original Cost Basis</t>
  </si>
  <si>
    <t>Accumulated Depreciation</t>
  </si>
  <si>
    <t>Adjusted Basis</t>
  </si>
  <si>
    <t>Capital Gain</t>
  </si>
  <si>
    <t>Tax from Sale</t>
  </si>
  <si>
    <t>After-Tax Cash Flow from Sale</t>
  </si>
  <si>
    <t>EQUITY ANALYSIS:</t>
  </si>
  <si>
    <t>BTCF after Participation</t>
  </si>
  <si>
    <t>BTIRR on Equity</t>
  </si>
  <si>
    <t>ATCF</t>
  </si>
  <si>
    <t>ATIRR on Equity</t>
  </si>
  <si>
    <t>Effective Tax Rate</t>
  </si>
  <si>
    <t>BTIRR on Property</t>
  </si>
  <si>
    <t>ATCF-no loan</t>
  </si>
  <si>
    <t>ATIRR on Property</t>
  </si>
  <si>
    <t>Lender's Yield:</t>
  </si>
  <si>
    <t>Debt service</t>
  </si>
  <si>
    <t>Loan balance</t>
  </si>
  <si>
    <t>Loan amount</t>
  </si>
  <si>
    <t>Cash flows to lender</t>
  </si>
  <si>
    <t>Lender's IRR</t>
  </si>
  <si>
    <t>Calculation of Lender's IRR:</t>
  </si>
  <si>
    <t>Month</t>
  </si>
  <si>
    <t>Cash flow</t>
  </si>
  <si>
    <t>IRR</t>
  </si>
  <si>
    <t xml:space="preserve"> (all income types)</t>
  </si>
  <si>
    <t>Loan @ 80%</t>
  </si>
  <si>
    <t>Loan @ 70%</t>
  </si>
  <si>
    <t>Incremental financing</t>
  </si>
  <si>
    <t>Payment @ 80%</t>
  </si>
  <si>
    <t>Payment @ 70%</t>
  </si>
  <si>
    <t>Incremental Payment</t>
  </si>
  <si>
    <t>Loan Payoff @ 80%</t>
  </si>
  <si>
    <t>Incremental payoff</t>
  </si>
  <si>
    <t>Calculate yield implied</t>
  </si>
  <si>
    <t>Excel</t>
  </si>
  <si>
    <t>months</t>
  </si>
  <si>
    <t>monthly</t>
  </si>
  <si>
    <t xml:space="preserve">    Annual implied rate</t>
  </si>
  <si>
    <t>Calculator</t>
  </si>
  <si>
    <t>PV</t>
  </si>
  <si>
    <t>PMT</t>
  </si>
  <si>
    <t>N</t>
  </si>
  <si>
    <t>FV</t>
  </si>
  <si>
    <t>Cpt    I/Y</t>
  </si>
  <si>
    <t>Annual implied rate</t>
  </si>
  <si>
    <t>%</t>
  </si>
  <si>
    <t>Marginal monthly cost</t>
  </si>
  <si>
    <t>Marginal annual cost</t>
  </si>
  <si>
    <t>Marginal funds provided:</t>
  </si>
  <si>
    <t>(A)</t>
  </si>
  <si>
    <t>(B)</t>
  </si>
  <si>
    <t>Approx marginal rate:</t>
  </si>
  <si>
    <t>(A) / (B)</t>
  </si>
  <si>
    <t>Analysis</t>
  </si>
  <si>
    <t>d)</t>
  </si>
  <si>
    <t>c)</t>
  </si>
  <si>
    <t xml:space="preserve">DCR </t>
  </si>
  <si>
    <t>Simple Leverage Example 70%  Financing - No participation</t>
  </si>
  <si>
    <t>Simple Leverage Example with 80% LTV and bump in interest rate</t>
  </si>
  <si>
    <t>100% UNLEVERAGED PROPERTY ANALYSIS:</t>
  </si>
  <si>
    <t>Recap</t>
  </si>
  <si>
    <t>Property IRR</t>
  </si>
  <si>
    <t>Leveraged IRR</t>
  </si>
  <si>
    <t>Leverage</t>
  </si>
  <si>
    <t>-</t>
  </si>
  <si>
    <t>Gain</t>
  </si>
  <si>
    <t>Before-tax Cash Flow from Sale</t>
  </si>
  <si>
    <t>Before-tax Cash Flow from Sale (pre-participation)</t>
  </si>
  <si>
    <t>Tax Calculation</t>
  </si>
  <si>
    <t xml:space="preserve"> (all income types per problem)</t>
  </si>
  <si>
    <t>BTCF</t>
  </si>
  <si>
    <t>Equity at Risk</t>
  </si>
  <si>
    <t>Risk of loss of equity</t>
  </si>
  <si>
    <t>moderate</t>
  </si>
  <si>
    <t>very high</t>
  </si>
  <si>
    <t>very low</t>
  </si>
  <si>
    <t>True Finance Model</t>
  </si>
  <si>
    <t>DCR</t>
  </si>
  <si>
    <t>70% or 80% Leverage Alternatives (3rd tab is analysis)</t>
  </si>
  <si>
    <t>What is "marginal cost" for the additional leverage of the 80% loan?</t>
  </si>
  <si>
    <t>Problem Restatement:</t>
  </si>
  <si>
    <t>You have opportunity to buy a $2 million apartment complex and must decide whether to use a 70% LTV loan at 10% (this tab) or an 80% loan at 11% (next tab).  Analysis is on third tab.</t>
  </si>
  <si>
    <t>Shortcut "Back of envelope" Model (with approximate answer)</t>
  </si>
  <si>
    <t>AfterTax IRR</t>
  </si>
  <si>
    <r>
      <t>Spreadsheet limitations</t>
    </r>
    <r>
      <rPr>
        <b/>
        <sz val="9"/>
        <color theme="2" tint="-0.249977111117893"/>
        <rFont val="Arial"/>
        <family val="2"/>
      </rPr>
      <t xml:space="preserve">: </t>
    </r>
    <r>
      <rPr>
        <sz val="9"/>
        <color theme="2" tint="-0.249977111117893"/>
        <rFont val="Arial"/>
        <family val="2"/>
      </rPr>
      <t xml:space="preserve">5 year holding period.  Assumes passive losses used in year they are incurred. </t>
    </r>
  </si>
  <si>
    <t>You have opportunity to buy a $2.2 million apartment complex and must decide whether to use a 70% LTV loan at 4% (this tab) or an 80% loan at 5% (next tab).  Analysis is on last tab.</t>
  </si>
  <si>
    <t xml:space="preserve">   Ordinary</t>
  </si>
  <si>
    <t xml:space="preserve">   Dep'n recap</t>
  </si>
  <si>
    <t xml:space="preserve">   Cap Gain</t>
  </si>
  <si>
    <t>P12-1a (Part 1)  FIRST 3 TABS ARE FOR TEXT VERSION 16e; LAST 3 TABS for 17e</t>
  </si>
  <si>
    <t>P12-1a (Part B)  16e</t>
  </si>
  <si>
    <t>P12-1c and d  (16e)</t>
  </si>
  <si>
    <t>Tax from Sale Dep'n Recapture</t>
  </si>
  <si>
    <t>Tax from Sale Cap Gain</t>
  </si>
  <si>
    <t>Shortcut "Back of envelope" Model (with approximate answer - but not as accurate at low interest rates and short amortization)</t>
  </si>
  <si>
    <t>70% or 80% Leverage Alternatives (last tab is analysis)</t>
  </si>
  <si>
    <t>P12-1a (Part 1) for 17th Edition of text</t>
  </si>
  <si>
    <t>P12-1a (Part B)    (17th edition)</t>
  </si>
  <si>
    <t>P12-1c and d  (17th Edition)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</si>
</sst>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_)"/>
    <numFmt numFmtId="165" formatCode="0.00_)"/>
    <numFmt numFmtId="166" formatCode="_(* #,##0_);_(* \(#,##0\);_(* &quot;-&quot;??_);_(@_)"/>
  </numFmts>
  <fonts count="28"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 MT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2" tint="-0.249977111117893"/>
      <name val="Arial"/>
      <family val="2"/>
    </font>
    <font>
      <b/>
      <u/>
      <sz val="9"/>
      <color theme="2" tint="-0.249977111117893"/>
      <name val="Arial"/>
      <family val="2"/>
    </font>
    <font>
      <b/>
      <sz val="9"/>
      <color theme="2" tint="-0.249977111117893"/>
      <name val="Arial"/>
      <family val="2"/>
    </font>
    <font>
      <sz val="9"/>
      <color theme="2" tint="-0.249977111117893"/>
      <name val="Arial"/>
      <family val="2"/>
    </font>
    <font>
      <u/>
      <sz val="9"/>
      <color theme="2" tint="-0.249977111117893"/>
      <name val="Arial"/>
      <family val="2"/>
    </font>
    <font>
      <b/>
      <u/>
      <sz val="9"/>
      <color rgb="FFC00000"/>
      <name val="Arial"/>
      <family val="2"/>
    </font>
    <font>
      <u/>
      <sz val="9"/>
      <color rgb="FFC00000"/>
      <name val="Arial"/>
      <family val="2"/>
    </font>
    <font>
      <sz val="9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49" fontId="6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10" fillId="0" borderId="4" xfId="0" applyNumberFormat="1" applyFont="1" applyBorder="1"/>
    <xf numFmtId="0" fontId="10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5" borderId="0" xfId="0" applyFill="1" applyBorder="1"/>
    <xf numFmtId="0" fontId="0" fillId="0" borderId="0" xfId="0" applyBorder="1"/>
    <xf numFmtId="0" fontId="11" fillId="4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0" fillId="0" borderId="11" xfId="0" applyBorder="1"/>
    <xf numFmtId="10" fontId="10" fillId="0" borderId="0" xfId="0" applyNumberFormat="1" applyFont="1" applyBorder="1" applyProtection="1"/>
    <xf numFmtId="49" fontId="1" fillId="0" borderId="12" xfId="0" applyNumberFormat="1" applyFont="1" applyBorder="1" applyAlignment="1">
      <alignment horizontal="left"/>
    </xf>
    <xf numFmtId="37" fontId="1" fillId="0" borderId="7" xfId="0" applyNumberFormat="1" applyFont="1" applyBorder="1" applyProtection="1"/>
    <xf numFmtId="37" fontId="1" fillId="0" borderId="8" xfId="0" applyNumberFormat="1" applyFont="1" applyBorder="1" applyProtection="1"/>
    <xf numFmtId="49" fontId="1" fillId="0" borderId="4" xfId="0" applyNumberFormat="1" applyFont="1" applyBorder="1" applyAlignment="1">
      <alignment horizontal="left"/>
    </xf>
    <xf numFmtId="38" fontId="1" fillId="0" borderId="0" xfId="0" applyNumberFormat="1" applyFont="1" applyBorder="1" applyProtection="1"/>
    <xf numFmtId="37" fontId="1" fillId="0" borderId="0" xfId="0" applyNumberFormat="1" applyFont="1" applyBorder="1" applyProtection="1"/>
    <xf numFmtId="37" fontId="1" fillId="0" borderId="5" xfId="0" applyNumberFormat="1" applyFont="1" applyBorder="1" applyProtection="1"/>
    <xf numFmtId="49" fontId="1" fillId="0" borderId="9" xfId="0" applyNumberFormat="1" applyFont="1" applyBorder="1" applyAlignment="1">
      <alignment horizontal="left"/>
    </xf>
    <xf numFmtId="38" fontId="1" fillId="0" borderId="10" xfId="0" applyNumberFormat="1" applyFont="1" applyBorder="1" applyProtection="1"/>
    <xf numFmtId="49" fontId="1" fillId="0" borderId="10" xfId="0" applyNumberFormat="1" applyFont="1" applyBorder="1" applyAlignment="1">
      <alignment horizontal="right"/>
    </xf>
    <xf numFmtId="0" fontId="1" fillId="0" borderId="11" xfId="0" applyNumberFormat="1" applyFont="1" applyBorder="1"/>
    <xf numFmtId="49" fontId="1" fillId="0" borderId="4" xfId="0" applyNumberFormat="1" applyFont="1" applyBorder="1"/>
    <xf numFmtId="49" fontId="12" fillId="0" borderId="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38" fontId="1" fillId="0" borderId="5" xfId="0" applyNumberFormat="1" applyFont="1" applyBorder="1" applyProtection="1"/>
    <xf numFmtId="37" fontId="1" fillId="0" borderId="10" xfId="0" applyNumberFormat="1" applyFont="1" applyBorder="1" applyProtection="1"/>
    <xf numFmtId="37" fontId="1" fillId="0" borderId="11" xfId="0" applyNumberFormat="1" applyFont="1" applyBorder="1" applyProtection="1"/>
    <xf numFmtId="0" fontId="1" fillId="0" borderId="4" xfId="0" applyFont="1" applyBorder="1"/>
    <xf numFmtId="0" fontId="11" fillId="4" borderId="6" xfId="0" applyFont="1" applyFill="1" applyBorder="1" applyAlignment="1" applyProtection="1">
      <alignment horizontal="center"/>
    </xf>
    <xf numFmtId="49" fontId="10" fillId="0" borderId="4" xfId="0" applyNumberFormat="1" applyFont="1" applyBorder="1" applyAlignment="1">
      <alignment horizontal="left"/>
    </xf>
    <xf numFmtId="38" fontId="10" fillId="0" borderId="13" xfId="0" applyNumberFormat="1" applyFont="1" applyBorder="1" applyProtection="1"/>
    <xf numFmtId="38" fontId="10" fillId="0" borderId="14" xfId="0" applyNumberFormat="1" applyFont="1" applyBorder="1" applyProtection="1"/>
    <xf numFmtId="49" fontId="10" fillId="0" borderId="9" xfId="0" applyNumberFormat="1" applyFont="1" applyBorder="1" applyAlignment="1">
      <alignment horizontal="left"/>
    </xf>
    <xf numFmtId="38" fontId="10" fillId="0" borderId="15" xfId="0" applyNumberFormat="1" applyFont="1" applyBorder="1" applyProtection="1"/>
    <xf numFmtId="38" fontId="10" fillId="0" borderId="16" xfId="0" applyNumberFormat="1" applyFont="1" applyBorder="1" applyProtection="1"/>
    <xf numFmtId="49" fontId="1" fillId="0" borderId="17" xfId="0" applyNumberFormat="1" applyFont="1" applyBorder="1"/>
    <xf numFmtId="38" fontId="1" fillId="0" borderId="18" xfId="0" applyNumberFormat="1" applyFont="1" applyBorder="1"/>
    <xf numFmtId="38" fontId="1" fillId="0" borderId="0" xfId="0" applyNumberFormat="1" applyFont="1" applyBorder="1"/>
    <xf numFmtId="38" fontId="1" fillId="0" borderId="19" xfId="0" applyNumberFormat="1" applyFont="1" applyBorder="1" applyProtection="1"/>
    <xf numFmtId="38" fontId="1" fillId="0" borderId="5" xfId="0" applyNumberFormat="1" applyFont="1" applyBorder="1"/>
    <xf numFmtId="38" fontId="1" fillId="0" borderId="18" xfId="0" applyNumberFormat="1" applyFont="1" applyBorder="1" applyProtection="1"/>
    <xf numFmtId="38" fontId="10" fillId="0" borderId="10" xfId="0" applyNumberFormat="1" applyFont="1" applyBorder="1" applyProtection="1"/>
    <xf numFmtId="38" fontId="10" fillId="0" borderId="10" xfId="0" applyNumberFormat="1" applyFont="1" applyBorder="1"/>
    <xf numFmtId="38" fontId="10" fillId="0" borderId="11" xfId="0" applyNumberFormat="1" applyFont="1" applyBorder="1" applyProtection="1"/>
    <xf numFmtId="49" fontId="13" fillId="0" borderId="4" xfId="0" applyNumberFormat="1" applyFont="1" applyBorder="1" applyAlignment="1">
      <alignment horizontal="left"/>
    </xf>
    <xf numFmtId="10" fontId="11" fillId="7" borderId="6" xfId="0" applyNumberFormat="1" applyFont="1" applyFill="1" applyBorder="1" applyProtection="1"/>
    <xf numFmtId="10" fontId="10" fillId="0" borderId="10" xfId="0" applyNumberFormat="1" applyFont="1" applyBorder="1" applyProtection="1"/>
    <xf numFmtId="0" fontId="1" fillId="0" borderId="10" xfId="0" applyFont="1" applyBorder="1"/>
    <xf numFmtId="0" fontId="1" fillId="0" borderId="11" xfId="0" applyFont="1" applyBorder="1"/>
    <xf numFmtId="37" fontId="1" fillId="0" borderId="0" xfId="0" applyNumberFormat="1" applyFont="1" applyBorder="1"/>
    <xf numFmtId="49" fontId="13" fillId="0" borderId="9" xfId="0" applyNumberFormat="1" applyFont="1" applyBorder="1" applyAlignment="1">
      <alignment horizontal="left"/>
    </xf>
    <xf numFmtId="10" fontId="13" fillId="0" borderId="10" xfId="0" applyNumberFormat="1" applyFont="1" applyBorder="1" applyProtection="1"/>
    <xf numFmtId="3" fontId="0" fillId="0" borderId="0" xfId="0" applyNumberFormat="1" applyBorder="1"/>
    <xf numFmtId="3" fontId="0" fillId="0" borderId="5" xfId="0" applyNumberFormat="1" applyBorder="1"/>
    <xf numFmtId="3" fontId="1" fillId="0" borderId="0" xfId="0" applyNumberFormat="1" applyFont="1" applyBorder="1"/>
    <xf numFmtId="3" fontId="1" fillId="0" borderId="5" xfId="0" applyNumberFormat="1" applyFont="1" applyBorder="1"/>
    <xf numFmtId="0" fontId="10" fillId="0" borderId="9" xfId="0" applyFont="1" applyBorder="1"/>
    <xf numFmtId="3" fontId="1" fillId="0" borderId="10" xfId="0" applyNumberFormat="1" applyFont="1" applyBorder="1"/>
    <xf numFmtId="3" fontId="1" fillId="0" borderId="11" xfId="0" applyNumberFormat="1" applyFont="1" applyBorder="1"/>
    <xf numFmtId="0" fontId="0" fillId="0" borderId="0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0" fillId="0" borderId="4" xfId="0" applyBorder="1" applyProtection="1"/>
    <xf numFmtId="164" fontId="0" fillId="0" borderId="5" xfId="0" applyNumberFormat="1" applyBorder="1" applyProtection="1"/>
    <xf numFmtId="0" fontId="0" fillId="0" borderId="0" xfId="0" applyBorder="1" applyProtection="1"/>
    <xf numFmtId="165" fontId="0" fillId="0" borderId="0" xfId="0" applyNumberFormat="1" applyBorder="1" applyProtection="1"/>
    <xf numFmtId="164" fontId="0" fillId="0" borderId="0" xfId="0" applyNumberFormat="1" applyBorder="1" applyProtection="1"/>
    <xf numFmtId="37" fontId="0" fillId="5" borderId="0" xfId="0" applyNumberFormat="1" applyFill="1" applyBorder="1"/>
    <xf numFmtId="9" fontId="0" fillId="5" borderId="0" xfId="2" applyFont="1" applyFill="1" applyBorder="1"/>
    <xf numFmtId="37" fontId="0" fillId="0" borderId="0" xfId="0" applyNumberFormat="1" applyBorder="1" applyProtection="1"/>
    <xf numFmtId="38" fontId="0" fillId="0" borderId="0" xfId="0" applyNumberFormat="1"/>
    <xf numFmtId="38" fontId="0" fillId="0" borderId="18" xfId="0" applyNumberFormat="1" applyBorder="1"/>
    <xf numFmtId="0" fontId="14" fillId="0" borderId="0" xfId="0" applyFont="1"/>
    <xf numFmtId="10" fontId="0" fillId="0" borderId="0" xfId="0" applyNumberFormat="1"/>
    <xf numFmtId="0" fontId="10" fillId="0" borderId="0" xfId="0" applyFont="1"/>
    <xf numFmtId="166" fontId="0" fillId="0" borderId="0" xfId="1" applyNumberFormat="1" applyFont="1"/>
    <xf numFmtId="0" fontId="0" fillId="0" borderId="0" xfId="0" quotePrefix="1"/>
    <xf numFmtId="10" fontId="0" fillId="8" borderId="0" xfId="2" applyNumberFormat="1" applyFont="1" applyFill="1"/>
    <xf numFmtId="1" fontId="0" fillId="5" borderId="0" xfId="0" applyNumberFormat="1" applyFill="1" applyBorder="1"/>
    <xf numFmtId="38" fontId="1" fillId="0" borderId="0" xfId="0" applyNumberFormat="1" applyFont="1" applyFill="1" applyBorder="1" applyProtection="1"/>
    <xf numFmtId="49" fontId="10" fillId="8" borderId="4" xfId="0" applyNumberFormat="1" applyFont="1" applyFill="1" applyBorder="1" applyAlignment="1">
      <alignment horizontal="left"/>
    </xf>
    <xf numFmtId="40" fontId="10" fillId="8" borderId="0" xfId="0" applyNumberFormat="1" applyFont="1" applyFill="1" applyBorder="1" applyProtection="1"/>
    <xf numFmtId="0" fontId="0" fillId="8" borderId="0" xfId="0" applyFill="1" applyBorder="1"/>
    <xf numFmtId="49" fontId="13" fillId="0" borderId="4" xfId="0" applyNumberFormat="1" applyFont="1" applyFill="1" applyBorder="1" applyAlignment="1">
      <alignment horizontal="left"/>
    </xf>
    <xf numFmtId="10" fontId="11" fillId="7" borderId="20" xfId="0" applyNumberFormat="1" applyFont="1" applyFill="1" applyBorder="1" applyProtection="1"/>
    <xf numFmtId="2" fontId="0" fillId="0" borderId="0" xfId="0" applyNumberFormat="1"/>
    <xf numFmtId="9" fontId="0" fillId="8" borderId="21" xfId="2" applyFont="1" applyFill="1" applyBorder="1"/>
    <xf numFmtId="8" fontId="0" fillId="0" borderId="0" xfId="0" applyNumberFormat="1"/>
    <xf numFmtId="9" fontId="10" fillId="8" borderId="18" xfId="0" applyNumberFormat="1" applyFont="1" applyFill="1" applyBorder="1"/>
    <xf numFmtId="0" fontId="0" fillId="0" borderId="0" xfId="0" applyAlignment="1">
      <alignment horizontal="center"/>
    </xf>
    <xf numFmtId="43" fontId="0" fillId="0" borderId="5" xfId="1" applyFont="1" applyBorder="1" applyProtection="1"/>
    <xf numFmtId="166" fontId="1" fillId="0" borderId="0" xfId="1" applyNumberFormat="1" applyFont="1" applyBorder="1"/>
    <xf numFmtId="49" fontId="14" fillId="0" borderId="4" xfId="0" applyNumberFormat="1" applyFont="1" applyBorder="1"/>
    <xf numFmtId="0" fontId="10" fillId="0" borderId="4" xfId="0" applyFont="1" applyBorder="1"/>
    <xf numFmtId="0" fontId="17" fillId="0" borderId="0" xfId="0" applyFont="1" applyAlignment="1">
      <alignment horizontal="center"/>
    </xf>
    <xf numFmtId="38" fontId="10" fillId="0" borderId="22" xfId="0" applyNumberFormat="1" applyFont="1" applyBorder="1" applyProtection="1"/>
    <xf numFmtId="40" fontId="10" fillId="9" borderId="21" xfId="0" applyNumberFormat="1" applyFont="1" applyFill="1" applyBorder="1" applyProtection="1"/>
    <xf numFmtId="6" fontId="1" fillId="8" borderId="21" xfId="0" applyNumberFormat="1" applyFont="1" applyFill="1" applyBorder="1" applyProtection="1"/>
    <xf numFmtId="43" fontId="0" fillId="0" borderId="0" xfId="1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0" fontId="20" fillId="0" borderId="0" xfId="0" applyNumberFormat="1" applyFont="1" applyFill="1"/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11" fillId="4" borderId="1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49" fontId="25" fillId="0" borderId="4" xfId="0" applyNumberFormat="1" applyFont="1" applyBorder="1" applyAlignment="1">
      <alignment horizontal="left"/>
    </xf>
    <xf numFmtId="49" fontId="26" fillId="0" borderId="0" xfId="0" applyNumberFormat="1" applyFont="1" applyBorder="1" applyAlignment="1">
      <alignment horizontal="left"/>
    </xf>
    <xf numFmtId="49" fontId="26" fillId="0" borderId="5" xfId="0" applyNumberFormat="1" applyFont="1" applyBorder="1" applyAlignment="1">
      <alignment horizontal="left"/>
    </xf>
    <xf numFmtId="49" fontId="27" fillId="0" borderId="4" xfId="0" applyNumberFormat="1" applyFont="1" applyBorder="1" applyAlignment="1">
      <alignment horizontal="left" vertical="top" wrapText="1"/>
    </xf>
    <xf numFmtId="49" fontId="27" fillId="0" borderId="0" xfId="0" applyNumberFormat="1" applyFont="1" applyBorder="1" applyAlignment="1">
      <alignment horizontal="left" vertical="top" wrapText="1"/>
    </xf>
    <xf numFmtId="49" fontId="27" fillId="0" borderId="5" xfId="0" applyNumberFormat="1" applyFont="1" applyBorder="1" applyAlignment="1">
      <alignment horizontal="left" vertical="top" wrapText="1"/>
    </xf>
    <xf numFmtId="0" fontId="11" fillId="4" borderId="1" xfId="0" applyFont="1" applyFill="1" applyBorder="1" applyAlignment="1" applyProtection="1">
      <alignment horizontal="center"/>
    </xf>
    <xf numFmtId="49" fontId="11" fillId="6" borderId="1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21" fillId="0" borderId="4" xfId="0" applyNumberFormat="1" applyFont="1" applyBorder="1" applyAlignment="1">
      <alignment horizontal="left"/>
    </xf>
    <xf numFmtId="49" fontId="24" fillId="0" borderId="0" xfId="0" applyNumberFormat="1" applyFont="1" applyBorder="1" applyAlignment="1">
      <alignment horizontal="left"/>
    </xf>
    <xf numFmtId="49" fontId="24" fillId="0" borderId="5" xfId="0" applyNumberFormat="1" applyFont="1" applyBorder="1" applyAlignment="1">
      <alignment horizontal="left"/>
    </xf>
    <xf numFmtId="49" fontId="23" fillId="0" borderId="4" xfId="0" applyNumberFormat="1" applyFont="1" applyBorder="1" applyAlignment="1">
      <alignment horizontal="left"/>
    </xf>
    <xf numFmtId="49" fontId="23" fillId="0" borderId="0" xfId="0" applyNumberFormat="1" applyFont="1" applyBorder="1" applyAlignment="1">
      <alignment horizontal="left"/>
    </xf>
    <xf numFmtId="49" fontId="23" fillId="0" borderId="5" xfId="0" applyNumberFormat="1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8" borderId="18" xfId="0" applyFill="1" applyBorder="1" applyAlignment="1">
      <alignment horizontal="center"/>
    </xf>
    <xf numFmtId="9" fontId="0" fillId="0" borderId="0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85</xdr:row>
      <xdr:rowOff>9525</xdr:rowOff>
    </xdr:from>
    <xdr:to>
      <xdr:col>0</xdr:col>
      <xdr:colOff>390525</xdr:colOff>
      <xdr:row>86</xdr:row>
      <xdr:rowOff>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2400" y="13992225"/>
          <a:ext cx="23812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196361</xdr:colOff>
      <xdr:row>96</xdr:row>
      <xdr:rowOff>12456</xdr:rowOff>
    </xdr:from>
    <xdr:to>
      <xdr:col>0</xdr:col>
      <xdr:colOff>434486</xdr:colOff>
      <xdr:row>97</xdr:row>
      <xdr:rowOff>2931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361" y="15904552"/>
          <a:ext cx="238125" cy="1589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131885</xdr:colOff>
      <xdr:row>84</xdr:row>
      <xdr:rowOff>14654</xdr:rowOff>
    </xdr:from>
    <xdr:to>
      <xdr:col>0</xdr:col>
      <xdr:colOff>370010</xdr:colOff>
      <xdr:row>85</xdr:row>
      <xdr:rowOff>5128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1885" y="13891846"/>
          <a:ext cx="238125" cy="1589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203689</xdr:colOff>
      <xdr:row>95</xdr:row>
      <xdr:rowOff>5861</xdr:rowOff>
    </xdr:from>
    <xdr:to>
      <xdr:col>0</xdr:col>
      <xdr:colOff>441814</xdr:colOff>
      <xdr:row>95</xdr:row>
      <xdr:rowOff>164855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3689" y="15736765"/>
          <a:ext cx="238125" cy="1589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152400</xdr:colOff>
      <xdr:row>57</xdr:row>
      <xdr:rowOff>159726</xdr:rowOff>
    </xdr:from>
    <xdr:to>
      <xdr:col>0</xdr:col>
      <xdr:colOff>390525</xdr:colOff>
      <xdr:row>58</xdr:row>
      <xdr:rowOff>150201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52400" y="9626111"/>
          <a:ext cx="238125" cy="1589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42</xdr:row>
      <xdr:rowOff>142875</xdr:rowOff>
    </xdr:from>
    <xdr:to>
      <xdr:col>7</xdr:col>
      <xdr:colOff>352425</xdr:colOff>
      <xdr:row>48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66725" y="6781800"/>
          <a:ext cx="496252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Going</a:t>
          </a:r>
          <a:r>
            <a:rPr lang="en-US" sz="1100" baseline="0"/>
            <a:t> from a 70% loan to an 80% loan, the marginal rate on the extra $200,000 is really 17.8%. This is because the 11% (bump of 1%) is being applied to the entire loan - not just the increment.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4010</xdr:colOff>
      <xdr:row>61</xdr:row>
      <xdr:rowOff>119311</xdr:rowOff>
    </xdr:from>
    <xdr:to>
      <xdr:col>7</xdr:col>
      <xdr:colOff>319768</xdr:colOff>
      <xdr:row>77</xdr:row>
      <xdr:rowOff>6803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96564" y="9916454"/>
          <a:ext cx="5105472" cy="2500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Each</a:t>
          </a:r>
          <a:r>
            <a:rPr lang="en-US" sz="1100" baseline="0"/>
            <a:t> of the loan alternatives offers positive financial leverage overall (though the incremental piece does not). The  70% loan is much less risky and provides similar IRRs as the 80% loan. Thus recommendation would be for the lower leverage 70% deal.  </a:t>
          </a:r>
        </a:p>
        <a:p>
          <a:endParaRPr lang="en-US" sz="1100" baseline="0"/>
        </a:p>
        <a:p>
          <a:r>
            <a:rPr lang="en-US" sz="1100" baseline="0"/>
            <a:t>Alternatively, if the down payment is an issue and the extra $200K really helps, ($400K versus $600K) the high marginal cost does not hurt the overall deal that much </a:t>
          </a:r>
          <a:r>
            <a:rPr lang="en-US" sz="1100" u="sng" baseline="0"/>
            <a:t>if</a:t>
          </a:r>
          <a:r>
            <a:rPr lang="en-US" sz="1100" baseline="0"/>
            <a:t> the investor can live with this higher risk. This is a big "if" however as the investor should have a higher expected return at this higher risk level. Given the DCR of 1.01 (vs. 1.24), the 80% loan is significantly more risky.</a:t>
          </a:r>
        </a:p>
        <a:p>
          <a:endParaRPr lang="en-US" sz="1100" baseline="0"/>
        </a:p>
        <a:p>
          <a:r>
            <a:rPr lang="en-US" sz="1100" baseline="0"/>
            <a:t>Note that the ATIRR actually goes up - suggesting leverage is still working for us due to the tax advantages of deductible interest. There are a lot of assumptions built in to this conclusion however.</a:t>
          </a:r>
          <a:endParaRPr lang="en-US" sz="1100"/>
        </a:p>
      </xdr:txBody>
    </xdr:sp>
    <xdr:clientData/>
  </xdr:twoCellAnchor>
  <xdr:twoCellAnchor>
    <xdr:from>
      <xdr:col>5</xdr:col>
      <xdr:colOff>250657</xdr:colOff>
      <xdr:row>55</xdr:row>
      <xdr:rowOff>20052</xdr:rowOff>
    </xdr:from>
    <xdr:to>
      <xdr:col>5</xdr:col>
      <xdr:colOff>250657</xdr:colOff>
      <xdr:row>55</xdr:row>
      <xdr:rowOff>140368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110789" y="8682789"/>
          <a:ext cx="0" cy="120316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330868</xdr:colOff>
      <xdr:row>56</xdr:row>
      <xdr:rowOff>10025</xdr:rowOff>
    </xdr:from>
    <xdr:to>
      <xdr:col>5</xdr:col>
      <xdr:colOff>330868</xdr:colOff>
      <xdr:row>56</xdr:row>
      <xdr:rowOff>140367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4191000" y="8833183"/>
          <a:ext cx="0" cy="13034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86</xdr:row>
      <xdr:rowOff>9525</xdr:rowOff>
    </xdr:from>
    <xdr:to>
      <xdr:col>0</xdr:col>
      <xdr:colOff>390525</xdr:colOff>
      <xdr:row>87</xdr:row>
      <xdr:rowOff>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239E754B-7ACE-4CE1-BDEA-1AE25FF9F6FC}"/>
            </a:ext>
          </a:extLst>
        </xdr:cNvPr>
        <xdr:cNvSpPr/>
      </xdr:nvSpPr>
      <xdr:spPr>
        <a:xfrm>
          <a:off x="152400" y="14154150"/>
          <a:ext cx="23812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196361</xdr:colOff>
      <xdr:row>97</xdr:row>
      <xdr:rowOff>12456</xdr:rowOff>
    </xdr:from>
    <xdr:to>
      <xdr:col>0</xdr:col>
      <xdr:colOff>434486</xdr:colOff>
      <xdr:row>98</xdr:row>
      <xdr:rowOff>2931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424C4C77-C186-4A0D-AD5E-86CCD905FFEF}"/>
            </a:ext>
          </a:extLst>
        </xdr:cNvPr>
        <xdr:cNvSpPr/>
      </xdr:nvSpPr>
      <xdr:spPr>
        <a:xfrm>
          <a:off x="196361" y="16043031"/>
          <a:ext cx="23812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131885</xdr:colOff>
      <xdr:row>85</xdr:row>
      <xdr:rowOff>14654</xdr:rowOff>
    </xdr:from>
    <xdr:to>
      <xdr:col>0</xdr:col>
      <xdr:colOff>370010</xdr:colOff>
      <xdr:row>86</xdr:row>
      <xdr:rowOff>5128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9E9532A3-950A-4D46-9015-8B93EB42B0CE}"/>
            </a:ext>
          </a:extLst>
        </xdr:cNvPr>
        <xdr:cNvSpPr/>
      </xdr:nvSpPr>
      <xdr:spPr>
        <a:xfrm>
          <a:off x="131885" y="13997354"/>
          <a:ext cx="238125" cy="1619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203689</xdr:colOff>
      <xdr:row>96</xdr:row>
      <xdr:rowOff>5861</xdr:rowOff>
    </xdr:from>
    <xdr:to>
      <xdr:col>0</xdr:col>
      <xdr:colOff>441814</xdr:colOff>
      <xdr:row>96</xdr:row>
      <xdr:rowOff>164855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D5B26470-ECAD-4267-AC35-4EEF6DC63E2B}"/>
            </a:ext>
          </a:extLst>
        </xdr:cNvPr>
        <xdr:cNvSpPr/>
      </xdr:nvSpPr>
      <xdr:spPr>
        <a:xfrm>
          <a:off x="203689" y="15874511"/>
          <a:ext cx="238125" cy="1589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152400</xdr:colOff>
      <xdr:row>57</xdr:row>
      <xdr:rowOff>159726</xdr:rowOff>
    </xdr:from>
    <xdr:to>
      <xdr:col>0</xdr:col>
      <xdr:colOff>390525</xdr:colOff>
      <xdr:row>58</xdr:row>
      <xdr:rowOff>150201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35D29714-DF06-4F8A-A271-EBD46ADC0C0C}"/>
            </a:ext>
          </a:extLst>
        </xdr:cNvPr>
        <xdr:cNvSpPr/>
      </xdr:nvSpPr>
      <xdr:spPr>
        <a:xfrm>
          <a:off x="152400" y="9694251"/>
          <a:ext cx="238125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42</xdr:row>
      <xdr:rowOff>142875</xdr:rowOff>
    </xdr:from>
    <xdr:to>
      <xdr:col>7</xdr:col>
      <xdr:colOff>352425</xdr:colOff>
      <xdr:row>48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208689-36A0-4310-A83B-539B7D29FB11}"/>
            </a:ext>
          </a:extLst>
        </xdr:cNvPr>
        <xdr:cNvSpPr txBox="1"/>
      </xdr:nvSpPr>
      <xdr:spPr>
        <a:xfrm>
          <a:off x="466725" y="6943725"/>
          <a:ext cx="4962525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Going</a:t>
          </a:r>
          <a:r>
            <a:rPr lang="en-US" sz="1100" baseline="0"/>
            <a:t> from a 70% loan to an 80% loan, the marginal rate on the extra $220,000 is really 17.8%. This is because the 5% (bump of 1%) is being applied to the entire loan - not just the increment.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4010</xdr:colOff>
      <xdr:row>61</xdr:row>
      <xdr:rowOff>119311</xdr:rowOff>
    </xdr:from>
    <xdr:to>
      <xdr:col>7</xdr:col>
      <xdr:colOff>319768</xdr:colOff>
      <xdr:row>77</xdr:row>
      <xdr:rowOff>6803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487A6B-4D44-42E6-92EF-90C3C0419BFA}"/>
            </a:ext>
          </a:extLst>
        </xdr:cNvPr>
        <xdr:cNvSpPr txBox="1"/>
      </xdr:nvSpPr>
      <xdr:spPr>
        <a:xfrm>
          <a:off x="299285" y="9996736"/>
          <a:ext cx="5097308" cy="2478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Each</a:t>
          </a:r>
          <a:r>
            <a:rPr lang="en-US" sz="1100" baseline="0"/>
            <a:t> of the loan alternatives offers positive financial leverage overall (though the incremental piece does not). The  70% loan is much less risky and provides similar IRRs as the 80% loan. Thus recommendation would be for the lower leverage 70% deal.  </a:t>
          </a:r>
        </a:p>
        <a:p>
          <a:endParaRPr lang="en-US" sz="1100" baseline="0"/>
        </a:p>
        <a:p>
          <a:r>
            <a:rPr lang="en-US" sz="1100" baseline="0"/>
            <a:t>Alternatively, if the down payment is an issue and the extra $220K really helps, ($440K versus $660K) the high marginal cost does not hurt the overall deal that much </a:t>
          </a:r>
          <a:r>
            <a:rPr lang="en-US" sz="1100" u="sng" baseline="0"/>
            <a:t>if</a:t>
          </a:r>
          <a:r>
            <a:rPr lang="en-US" sz="1100" baseline="0"/>
            <a:t> the investor can live with this higher risk. This is a big "if" however as the investor should have a higher expected return at this higher risk level. Given the DCR of 1.08 (vs. 1.34), the 80% loan is significantly more risky.</a:t>
          </a:r>
        </a:p>
        <a:p>
          <a:endParaRPr lang="en-US" sz="1100" baseline="0"/>
        </a:p>
        <a:p>
          <a:r>
            <a:rPr lang="en-US" sz="1100" baseline="0"/>
            <a:t>Note that the ATIRR actually goes up - suggesting leverage is still working for us due to the tax advantages of deductible interest. There are a lot of assumptions built in to this conclusion however.</a:t>
          </a:r>
          <a:endParaRPr lang="en-US" sz="1100"/>
        </a:p>
      </xdr:txBody>
    </xdr:sp>
    <xdr:clientData/>
  </xdr:twoCellAnchor>
  <xdr:twoCellAnchor>
    <xdr:from>
      <xdr:col>5</xdr:col>
      <xdr:colOff>330868</xdr:colOff>
      <xdr:row>56</xdr:row>
      <xdr:rowOff>10025</xdr:rowOff>
    </xdr:from>
    <xdr:to>
      <xdr:col>5</xdr:col>
      <xdr:colOff>330868</xdr:colOff>
      <xdr:row>56</xdr:row>
      <xdr:rowOff>140367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9A9FF54-C4B2-4650-9B8A-55B7719B6211}"/>
            </a:ext>
          </a:extLst>
        </xdr:cNvPr>
        <xdr:cNvCxnSpPr/>
      </xdr:nvCxnSpPr>
      <xdr:spPr>
        <a:xfrm flipV="1">
          <a:off x="4188493" y="9077825"/>
          <a:ext cx="0" cy="130342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55</xdr:row>
      <xdr:rowOff>13608</xdr:rowOff>
    </xdr:from>
    <xdr:to>
      <xdr:col>5</xdr:col>
      <xdr:colOff>190500</xdr:colOff>
      <xdr:row>55</xdr:row>
      <xdr:rowOff>156482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57A7B6-AE3D-420E-BF5D-96D1E34BE679}"/>
            </a:ext>
          </a:extLst>
        </xdr:cNvPr>
        <xdr:cNvCxnSpPr/>
      </xdr:nvCxnSpPr>
      <xdr:spPr>
        <a:xfrm flipV="1">
          <a:off x="4361089" y="8994322"/>
          <a:ext cx="0" cy="142874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diana.edu/~cres/R510/download/Ex20_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diana.edu/~cres/R510/download/Finance/10th%20edition/Chapters/Chapter%2019%20templates/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diana.edu/~cres/R510/download/Finance/10th%20edition/Chapters/Chapter%2019%20templates/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d075000/Documents/_UTD/Courses/FIN6322%20-F15/Selected%20Solutions/14e_Excel_GD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</sheetNames>
    <sheetDataSet>
      <sheetData sheetId="0"/>
      <sheetData sheetId="1">
        <row r="11">
          <cell r="D11">
            <v>0.10256580965724643</v>
          </cell>
          <cell r="E11">
            <v>3.9374304347826114E-2</v>
          </cell>
          <cell r="F11">
            <v>3.9374304347826112</v>
          </cell>
        </row>
        <row r="12">
          <cell r="D12">
            <v>9.9699466842594398E-2</v>
          </cell>
          <cell r="E12">
            <v>3.9434344565217411E-2</v>
          </cell>
          <cell r="F12">
            <v>3.9434344565217412</v>
          </cell>
        </row>
        <row r="13">
          <cell r="D13">
            <v>9.6926697633896594E-2</v>
          </cell>
          <cell r="E13">
            <v>3.9494384782608721E-2</v>
          </cell>
          <cell r="F13">
            <v>3.949438478260872</v>
          </cell>
        </row>
        <row r="14">
          <cell r="D14">
            <v>9.4255760498720725E-2</v>
          </cell>
          <cell r="E14">
            <v>3.9554425000000018E-2</v>
          </cell>
          <cell r="F14">
            <v>3.955442500000002</v>
          </cell>
        </row>
        <row r="15">
          <cell r="D15">
            <v>9.1695554459503378E-2</v>
          </cell>
          <cell r="E15">
            <v>3.9614465217391329E-2</v>
          </cell>
          <cell r="F15">
            <v>3.9614465217391328</v>
          </cell>
        </row>
        <row r="16">
          <cell r="D16">
            <v>8.9255608650344487E-2</v>
          </cell>
          <cell r="E16">
            <v>3.9674505434782625E-2</v>
          </cell>
          <cell r="F16">
            <v>3.9674505434782628</v>
          </cell>
        </row>
        <row r="17">
          <cell r="D17">
            <v>8.6946048161577236E-2</v>
          </cell>
          <cell r="E17">
            <v>3.9734545652173922E-2</v>
          </cell>
          <cell r="F17">
            <v>3.9734545652173923</v>
          </cell>
        </row>
        <row r="18">
          <cell r="D18">
            <v>8.4777529769104062E-2</v>
          </cell>
          <cell r="E18">
            <v>3.9794585869565233E-2</v>
          </cell>
          <cell r="F18">
            <v>3.9794585869565231</v>
          </cell>
        </row>
        <row r="19">
          <cell r="D19">
            <v>8.2761141026761451E-2</v>
          </cell>
          <cell r="E19">
            <v>3.9854626086956536E-2</v>
          </cell>
          <cell r="F19">
            <v>3.9854626086956535</v>
          </cell>
        </row>
        <row r="20">
          <cell r="D20">
            <v>8.0908256821018112E-2</v>
          </cell>
          <cell r="E20">
            <v>3.991466630434784E-2</v>
          </cell>
          <cell r="F20">
            <v>3.9914666304347839</v>
          </cell>
        </row>
        <row r="21">
          <cell r="D21">
            <v>7.9230349153871005E-2</v>
          </cell>
          <cell r="E21">
            <v>3.9974706521739137E-2</v>
          </cell>
          <cell r="F21">
            <v>3.9974706521739138</v>
          </cell>
        </row>
        <row r="22">
          <cell r="D22">
            <v>7.7738748894852619E-2</v>
          </cell>
          <cell r="E22">
            <v>4.0034746739130447E-2</v>
          </cell>
          <cell r="F22">
            <v>4.0034746739130451</v>
          </cell>
        </row>
        <row r="23">
          <cell r="D23">
            <v>7.6444362642995103E-2</v>
          </cell>
          <cell r="E23">
            <v>4.0094786956521744E-2</v>
          </cell>
          <cell r="F23">
            <v>4.0094786956521746</v>
          </cell>
        </row>
        <row r="24">
          <cell r="D24">
            <v>7.5357353506573591E-2</v>
          </cell>
          <cell r="E24">
            <v>4.0154827173913048E-2</v>
          </cell>
          <cell r="F24">
            <v>4.015482717391305</v>
          </cell>
        </row>
        <row r="25">
          <cell r="D25">
            <v>7.4486800995879857E-2</v>
          </cell>
          <cell r="E25">
            <v>4.0214867391304351E-2</v>
          </cell>
          <cell r="F25">
            <v>4.0214867391304354</v>
          </cell>
        </row>
        <row r="26">
          <cell r="D26">
            <v>7.3840361355759068E-2</v>
          </cell>
          <cell r="E26">
            <v>4.0274907608695655E-2</v>
          </cell>
          <cell r="F26">
            <v>4.0274907608695658</v>
          </cell>
        </row>
        <row r="27">
          <cell r="D27">
            <v>7.3423954232678723E-2</v>
          </cell>
          <cell r="E27">
            <v>4.0334947826086959E-2</v>
          </cell>
          <cell r="F27">
            <v>4.0334947826086962</v>
          </cell>
        </row>
        <row r="28">
          <cell r="D28">
            <v>7.3241503211226341E-2</v>
          </cell>
          <cell r="E28">
            <v>4.0394988043478255E-2</v>
          </cell>
          <cell r="F28">
            <v>4.0394988043478257</v>
          </cell>
        </row>
        <row r="29">
          <cell r="D29">
            <v>7.329475545754835E-2</v>
          </cell>
          <cell r="E29">
            <v>4.0455028260869566E-2</v>
          </cell>
          <cell r="F29">
            <v>4.045502826086957</v>
          </cell>
        </row>
        <row r="30">
          <cell r="D30">
            <v>7.358319923724238E-2</v>
          </cell>
          <cell r="E30">
            <v>4.0515068478260863E-2</v>
          </cell>
          <cell r="F30">
            <v>4.0515068478260865</v>
          </cell>
        </row>
        <row r="31">
          <cell r="D31">
            <v>7.4104088212849348E-2</v>
          </cell>
          <cell r="E31">
            <v>4.0575108695652173E-2</v>
          </cell>
          <cell r="F31">
            <v>4.0575108695652169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h20 CMBS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h20 CMBS"/>
    </sheetNames>
    <sheetDataSet>
      <sheetData sheetId="0">
        <row r="60">
          <cell r="F60">
            <v>0.2</v>
          </cell>
        </row>
        <row r="134">
          <cell r="C134" t="str">
            <v>Prepayment</v>
          </cell>
          <cell r="D134">
            <v>399.74017857832689</v>
          </cell>
          <cell r="E134">
            <v>358.11775557400102</v>
          </cell>
        </row>
        <row r="135">
          <cell r="C135">
            <v>0</v>
          </cell>
          <cell r="D135">
            <v>0.30004894282811623</v>
          </cell>
          <cell r="E135">
            <v>5.3792676242975117E-2</v>
          </cell>
        </row>
        <row r="136">
          <cell r="C136">
            <v>0.05</v>
          </cell>
          <cell r="D136">
            <v>0.25320354178881338</v>
          </cell>
          <cell r="E136">
            <v>6.5681770075035173E-2</v>
          </cell>
        </row>
        <row r="137">
          <cell r="C137">
            <v>0.1</v>
          </cell>
          <cell r="D137">
            <v>0.20622497798526063</v>
          </cell>
          <cell r="E137">
            <v>7.9037589924664753E-2</v>
          </cell>
        </row>
        <row r="138">
          <cell r="C138">
            <v>0.15000000000000002</v>
          </cell>
          <cell r="D138">
            <v>0.15911549935311234</v>
          </cell>
          <cell r="E138">
            <v>9.3672789192370182E-2</v>
          </cell>
        </row>
        <row r="139">
          <cell r="C139">
            <v>0.2</v>
          </cell>
          <cell r="D139">
            <v>0.11187787934534389</v>
          </cell>
          <cell r="E139">
            <v>0.10935888548657445</v>
          </cell>
        </row>
        <row r="140">
          <cell r="C140">
            <v>0.25</v>
          </cell>
          <cell r="D140">
            <v>6.4515379452903615E-2</v>
          </cell>
          <cell r="E140">
            <v>0.12586561470778773</v>
          </cell>
        </row>
        <row r="141">
          <cell r="C141">
            <v>0.3</v>
          </cell>
          <cell r="D141">
            <v>1.7031669609579192E-2</v>
          </cell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h4 Eff Cost"/>
      <sheetName val="Ch4 Eff Cost Simple"/>
      <sheetName val="Ch4 CAM"/>
      <sheetName val="Ch4 GPM"/>
      <sheetName val="Ch5 ARM No Caps"/>
      <sheetName val="Ch5 ARM Int Cap"/>
      <sheetName val="Ch5 ARM Pmt Cap"/>
      <sheetName val="Ch5 PLAM"/>
      <sheetName val="Ch5 PLAM Graphs"/>
      <sheetName val="Ch5 SAM"/>
      <sheetName val="Ch6 Incremental Cost"/>
      <sheetName val="Ch6 Combined Cost 2 loans"/>
      <sheetName val="Ch7 Rent vs Own"/>
      <sheetName val="Ch9 Eff.Rent -see alt."/>
      <sheetName val="Ch10 Mort Eq Cap"/>
      <sheetName val="Ch10 H&amp;BU"/>
      <sheetName val="Ch 10 Oakwood"/>
      <sheetName val="Ch11 Market Anal"/>
      <sheetName val="Ch11 Lease"/>
      <sheetName val="Ch11 Basic Investment Anal"/>
      <sheetName val="Ch11 ATIRR"/>
      <sheetName val="Ch12 Leverage"/>
      <sheetName val="Ch12 Participation"/>
      <sheetName val="Ch12 Sale Leaseback of Land"/>
      <sheetName val="Ch12 Accrual Loan"/>
      <sheetName val="Ch12 Convertible Mortgage"/>
      <sheetName val="Ch13 Risk"/>
      <sheetName val="Ch 13 Risk and Leverage"/>
      <sheetName val="Ch13 Retail"/>
      <sheetName val="Ch13 Retail (Pess)"/>
      <sheetName val="Ch13 Industrial"/>
      <sheetName val="Ch14 Return if Held"/>
      <sheetName val="Ch14 MRR"/>
      <sheetName val="Ch14 Return with Refinancing"/>
      <sheetName val="Ch14 Renovation"/>
      <sheetName val="Ch14 Installment Sale"/>
      <sheetName val="Ch 14 Exchange"/>
      <sheetName val="Ch15 Lease_Own"/>
      <sheetName val="Ch15 Prob. 1"/>
      <sheetName val="Ch16 Const"/>
      <sheetName val="Ch17 Land Dev"/>
      <sheetName val="Ch18 IRR Pref"/>
      <sheetName val="Ch18 IRR Lookback"/>
      <sheetName val="Ch18 Partner"/>
      <sheetName val="Ch19 MPS"/>
      <sheetName val="Ch20 CMO"/>
      <sheetName val="Ch20 Floater"/>
      <sheetName val="CH20 IO_PO"/>
      <sheetName val="Ch20 CMBS"/>
      <sheetName val="Ch22_Front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">
          <cell r="C4">
            <v>10000000</v>
          </cell>
          <cell r="F4">
            <v>8000000</v>
          </cell>
        </row>
        <row r="5">
          <cell r="C5">
            <v>0.1</v>
          </cell>
        </row>
        <row r="6">
          <cell r="C6">
            <v>5</v>
          </cell>
        </row>
        <row r="11">
          <cell r="I11">
            <v>0.08</v>
          </cell>
          <cell r="K11">
            <v>6000000</v>
          </cell>
        </row>
        <row r="16">
          <cell r="I16">
            <v>0.1</v>
          </cell>
          <cell r="K16">
            <v>3000000</v>
          </cell>
        </row>
        <row r="18">
          <cell r="K18">
            <v>1000000</v>
          </cell>
        </row>
        <row r="20">
          <cell r="K20">
            <v>10000000</v>
          </cell>
        </row>
      </sheetData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179"/>
  <sheetViews>
    <sheetView tabSelected="1" zoomScale="130" zoomScaleNormal="130" workbookViewId="0"/>
  </sheetViews>
  <sheetFormatPr defaultRowHeight="12.75"/>
  <cols>
    <col min="2" max="2" width="31" customWidth="1"/>
    <col min="3" max="3" width="13.7109375" customWidth="1"/>
    <col min="4" max="4" width="12.42578125" bestFit="1" customWidth="1"/>
    <col min="5" max="5" width="18.7109375" customWidth="1"/>
    <col min="6" max="6" width="9.85546875" customWidth="1"/>
    <col min="7" max="7" width="10.42578125" customWidth="1"/>
    <col min="8" max="8" width="10.5703125" customWidth="1"/>
  </cols>
  <sheetData>
    <row r="1" spans="1:8" ht="13.5" thickBot="1">
      <c r="A1" s="89" t="s">
        <v>147</v>
      </c>
    </row>
    <row r="2" spans="1:8" ht="18.75" thickBot="1">
      <c r="B2" s="123" t="s">
        <v>136</v>
      </c>
      <c r="C2" s="124"/>
      <c r="D2" s="124"/>
      <c r="E2" s="124"/>
      <c r="F2" s="124"/>
      <c r="G2" s="124"/>
      <c r="H2" s="125"/>
    </row>
    <row r="3" spans="1:8" ht="16.5" thickBot="1">
      <c r="B3" s="126" t="s">
        <v>115</v>
      </c>
      <c r="C3" s="127"/>
      <c r="D3" s="127"/>
      <c r="E3" s="127"/>
      <c r="F3" s="127"/>
      <c r="G3" s="127"/>
      <c r="H3" s="128"/>
    </row>
    <row r="4" spans="1:8" ht="15.75">
      <c r="B4" s="1"/>
      <c r="C4" s="2"/>
      <c r="D4" s="2"/>
      <c r="E4" s="3"/>
      <c r="F4" s="2"/>
      <c r="G4" s="2"/>
      <c r="H4" s="4"/>
    </row>
    <row r="5" spans="1:8">
      <c r="B5" s="129" t="s">
        <v>138</v>
      </c>
      <c r="C5" s="130"/>
      <c r="D5" s="130"/>
      <c r="E5" s="130"/>
      <c r="F5" s="130"/>
      <c r="G5" s="130"/>
      <c r="H5" s="131"/>
    </row>
    <row r="6" spans="1:8" ht="12.75" customHeight="1">
      <c r="B6" s="132" t="s">
        <v>139</v>
      </c>
      <c r="C6" s="133"/>
      <c r="D6" s="133"/>
      <c r="E6" s="133"/>
      <c r="F6" s="133"/>
      <c r="G6" s="133"/>
      <c r="H6" s="134"/>
    </row>
    <row r="7" spans="1:8">
      <c r="B7" s="132"/>
      <c r="C7" s="133"/>
      <c r="D7" s="133"/>
      <c r="E7" s="133"/>
      <c r="F7" s="133"/>
      <c r="G7" s="133"/>
      <c r="H7" s="134"/>
    </row>
    <row r="8" spans="1:8">
      <c r="B8" s="5"/>
      <c r="C8" s="6"/>
      <c r="D8" s="6"/>
      <c r="E8" s="6"/>
      <c r="F8" s="6"/>
      <c r="G8" s="6"/>
      <c r="H8" s="7"/>
    </row>
    <row r="9" spans="1:8" ht="13.5" thickBot="1">
      <c r="B9" s="8"/>
      <c r="C9" s="9"/>
      <c r="D9" s="9"/>
      <c r="E9" s="10"/>
      <c r="F9" s="10"/>
      <c r="G9" s="10"/>
      <c r="H9" s="11"/>
    </row>
    <row r="10" spans="1:8" ht="13.5" thickBot="1">
      <c r="B10" s="120" t="s">
        <v>1</v>
      </c>
      <c r="C10" s="121"/>
      <c r="D10" s="121"/>
      <c r="E10" s="121"/>
      <c r="F10" s="121"/>
      <c r="G10" s="122"/>
      <c r="H10" s="11"/>
    </row>
    <row r="11" spans="1:8" ht="13.5" thickBot="1">
      <c r="B11" s="12" t="s">
        <v>2</v>
      </c>
      <c r="C11" s="82">
        <v>2000000</v>
      </c>
      <c r="D11" s="14"/>
      <c r="E11" s="15" t="s">
        <v>3</v>
      </c>
      <c r="F11" s="16"/>
      <c r="G11" s="17"/>
      <c r="H11" s="11"/>
    </row>
    <row r="12" spans="1:8">
      <c r="B12" s="12" t="s">
        <v>4</v>
      </c>
      <c r="C12" s="82">
        <v>190000</v>
      </c>
      <c r="D12" s="14"/>
      <c r="E12" s="12" t="s">
        <v>5</v>
      </c>
      <c r="F12" s="82">
        <v>1600000</v>
      </c>
      <c r="G12" s="18"/>
      <c r="H12" s="11"/>
    </row>
    <row r="13" spans="1:8">
      <c r="B13" s="12" t="s">
        <v>6</v>
      </c>
      <c r="C13" s="83">
        <v>0.03</v>
      </c>
      <c r="D13" s="14"/>
      <c r="E13" s="12" t="s">
        <v>7</v>
      </c>
      <c r="F13" s="13">
        <v>27.5</v>
      </c>
      <c r="G13" s="18" t="s">
        <v>8</v>
      </c>
      <c r="H13" s="11"/>
    </row>
    <row r="14" spans="1:8">
      <c r="B14" s="12" t="s">
        <v>9</v>
      </c>
      <c r="C14" s="101">
        <v>0.7</v>
      </c>
      <c r="D14" s="14"/>
      <c r="E14" s="12" t="s">
        <v>10</v>
      </c>
      <c r="F14" s="83">
        <v>0.36</v>
      </c>
      <c r="G14" s="18"/>
      <c r="H14" s="11"/>
    </row>
    <row r="15" spans="1:8">
      <c r="B15" s="12" t="s">
        <v>11</v>
      </c>
      <c r="C15" s="101">
        <v>0.1</v>
      </c>
      <c r="D15" s="14"/>
      <c r="E15" s="108" t="s">
        <v>127</v>
      </c>
      <c r="F15" s="14"/>
      <c r="G15" s="18"/>
      <c r="H15" s="11"/>
    </row>
    <row r="16" spans="1:8">
      <c r="B16" s="12" t="s">
        <v>12</v>
      </c>
      <c r="C16" s="93">
        <v>0</v>
      </c>
      <c r="D16" s="14"/>
      <c r="E16" s="12"/>
      <c r="F16" s="14"/>
      <c r="G16" s="18"/>
      <c r="H16" s="11"/>
    </row>
    <row r="17" spans="2:8">
      <c r="B17" s="12" t="s">
        <v>13</v>
      </c>
      <c r="C17" s="13">
        <v>25</v>
      </c>
      <c r="D17" s="14" t="s">
        <v>8</v>
      </c>
      <c r="E17" s="12"/>
      <c r="F17" s="14"/>
      <c r="G17" s="18"/>
      <c r="H17" s="11"/>
    </row>
    <row r="18" spans="2:8">
      <c r="B18" s="12" t="s">
        <v>14</v>
      </c>
      <c r="C18" s="13">
        <v>25</v>
      </c>
      <c r="D18" s="14" t="s">
        <v>8</v>
      </c>
      <c r="E18" s="12"/>
      <c r="F18" s="14"/>
      <c r="G18" s="18"/>
      <c r="H18" s="11"/>
    </row>
    <row r="19" spans="2:8">
      <c r="B19" s="12" t="s">
        <v>15</v>
      </c>
      <c r="C19" s="13">
        <v>12</v>
      </c>
      <c r="D19" s="14"/>
      <c r="E19" s="12"/>
      <c r="F19" s="14"/>
      <c r="G19" s="18"/>
      <c r="H19" s="11"/>
    </row>
    <row r="20" spans="2:8">
      <c r="B20" s="12" t="s">
        <v>16</v>
      </c>
      <c r="C20" s="13">
        <v>0</v>
      </c>
      <c r="D20" s="14" t="s">
        <v>17</v>
      </c>
      <c r="E20" s="12"/>
      <c r="F20" s="14"/>
      <c r="G20" s="18"/>
      <c r="H20" s="11"/>
    </row>
    <row r="21" spans="2:8">
      <c r="B21" s="12" t="s">
        <v>18</v>
      </c>
      <c r="C21" s="13">
        <v>0</v>
      </c>
      <c r="D21" s="14"/>
      <c r="E21" s="12"/>
      <c r="F21" s="14"/>
      <c r="G21" s="18"/>
      <c r="H21" s="11"/>
    </row>
    <row r="22" spans="2:8">
      <c r="B22" s="12" t="s">
        <v>16</v>
      </c>
      <c r="C22" s="13">
        <v>0</v>
      </c>
      <c r="D22" s="14" t="s">
        <v>19</v>
      </c>
      <c r="E22" s="12"/>
      <c r="F22" s="14"/>
      <c r="G22" s="18"/>
      <c r="H22" s="11"/>
    </row>
    <row r="23" spans="2:8">
      <c r="B23" s="12" t="s">
        <v>20</v>
      </c>
      <c r="C23" s="13">
        <v>0</v>
      </c>
      <c r="D23" s="14"/>
      <c r="E23" s="12"/>
      <c r="F23" s="14"/>
      <c r="G23" s="18"/>
      <c r="H23" s="11"/>
    </row>
    <row r="24" spans="2:8">
      <c r="B24" s="12" t="s">
        <v>21</v>
      </c>
      <c r="C24" s="83">
        <v>0.03</v>
      </c>
      <c r="D24" s="14"/>
      <c r="E24" s="12"/>
      <c r="F24" s="14"/>
      <c r="G24" s="18"/>
      <c r="H24" s="11"/>
    </row>
    <row r="25" spans="2:8">
      <c r="B25" s="12" t="s">
        <v>22</v>
      </c>
      <c r="C25" s="13">
        <v>0</v>
      </c>
      <c r="D25" s="14"/>
      <c r="E25" s="12"/>
      <c r="F25" s="14"/>
      <c r="G25" s="18"/>
      <c r="H25" s="11"/>
    </row>
    <row r="26" spans="2:8">
      <c r="B26" s="12" t="s">
        <v>23</v>
      </c>
      <c r="C26" s="13">
        <v>5</v>
      </c>
      <c r="D26" s="14" t="s">
        <v>8</v>
      </c>
      <c r="E26" s="12"/>
      <c r="F26" s="14"/>
      <c r="G26" s="18"/>
      <c r="H26" s="11"/>
    </row>
    <row r="27" spans="2:8" ht="13.5" thickBot="1">
      <c r="B27" s="19" t="s">
        <v>24</v>
      </c>
      <c r="C27" s="20">
        <v>0</v>
      </c>
      <c r="D27" s="21" t="s">
        <v>25</v>
      </c>
      <c r="E27" s="19"/>
      <c r="F27" s="21"/>
      <c r="G27" s="22"/>
      <c r="H27" s="11"/>
    </row>
    <row r="28" spans="2:8" ht="13.5" thickBot="1">
      <c r="B28" s="8"/>
      <c r="C28" s="23"/>
      <c r="D28" s="10"/>
      <c r="E28" s="10"/>
      <c r="F28" s="10"/>
      <c r="G28" s="10"/>
      <c r="H28" s="11"/>
    </row>
    <row r="29" spans="2:8">
      <c r="B29" s="24" t="s">
        <v>26</v>
      </c>
      <c r="C29" s="112">
        <f>IF(C23&gt;0,(1-C14)*F12,(1-C14)*C11)</f>
        <v>600000.00000000012</v>
      </c>
      <c r="D29" s="25"/>
      <c r="E29" s="26"/>
      <c r="F29" s="10"/>
      <c r="G29" s="10"/>
      <c r="H29" s="11"/>
    </row>
    <row r="30" spans="2:8">
      <c r="B30" s="27" t="s">
        <v>27</v>
      </c>
      <c r="C30" s="28">
        <f>IF(C23&gt;0,F12*C14,C14*C11)</f>
        <v>1400000</v>
      </c>
      <c r="D30" s="29"/>
      <c r="E30" s="30"/>
      <c r="F30" s="10"/>
      <c r="G30" s="10"/>
      <c r="H30" s="11"/>
    </row>
    <row r="31" spans="2:8">
      <c r="B31" s="27" t="s">
        <v>28</v>
      </c>
      <c r="C31" s="28">
        <f>PMT(C15/C19,C17*C19,-C30)*C19</f>
        <v>152661.72525073017</v>
      </c>
      <c r="D31" s="29"/>
      <c r="E31" s="30"/>
      <c r="F31" s="10"/>
      <c r="G31" s="10"/>
      <c r="H31" s="11"/>
    </row>
    <row r="32" spans="2:8">
      <c r="B32" s="27" t="s">
        <v>29</v>
      </c>
      <c r="C32" s="94"/>
      <c r="D32" s="84"/>
      <c r="E32" s="30"/>
      <c r="F32" s="10"/>
      <c r="G32" s="10"/>
      <c r="H32" s="11"/>
    </row>
    <row r="33" spans="2:8" ht="13.5" thickBot="1">
      <c r="B33" s="31" t="s">
        <v>30</v>
      </c>
      <c r="C33" s="32">
        <f>IF(C15&lt;C16,(FV(C16/C19,C26*C19,C31/C19,-C30)),PV(C15/C19,(C17-C26)*C19,-(C31/C19)))</f>
        <v>1318292.7556599199</v>
      </c>
      <c r="D33" s="33" t="s">
        <v>31</v>
      </c>
      <c r="E33" s="34">
        <f>C26</f>
        <v>5</v>
      </c>
      <c r="F33" s="10"/>
      <c r="G33" s="10"/>
      <c r="H33" s="11"/>
    </row>
    <row r="34" spans="2:8" ht="13.5" thickBot="1">
      <c r="B34" s="35"/>
      <c r="C34" s="10"/>
      <c r="D34" s="10"/>
      <c r="E34" s="10"/>
      <c r="F34" s="10"/>
      <c r="G34" s="10"/>
      <c r="H34" s="11"/>
    </row>
    <row r="35" spans="2:8" ht="13.5" thickBot="1">
      <c r="B35" s="136" t="s">
        <v>32</v>
      </c>
      <c r="C35" s="137"/>
      <c r="D35" s="137"/>
      <c r="E35" s="137"/>
      <c r="F35" s="137"/>
      <c r="G35" s="138"/>
      <c r="H35" s="11"/>
    </row>
    <row r="36" spans="2:8">
      <c r="B36" s="36" t="s">
        <v>33</v>
      </c>
      <c r="C36" s="37">
        <v>1</v>
      </c>
      <c r="D36" s="37">
        <f>(1+C36)</f>
        <v>2</v>
      </c>
      <c r="E36" s="37">
        <f>(1+D36)</f>
        <v>3</v>
      </c>
      <c r="F36" s="37">
        <f>(1+E36)</f>
        <v>4</v>
      </c>
      <c r="G36" s="38">
        <f>(1+F36)</f>
        <v>5</v>
      </c>
      <c r="H36" s="11"/>
    </row>
    <row r="37" spans="2:8">
      <c r="B37" s="27" t="s">
        <v>34</v>
      </c>
      <c r="C37" s="28">
        <f>$C$31</f>
        <v>152661.72525073017</v>
      </c>
      <c r="D37" s="28">
        <f>$C$31</f>
        <v>152661.72525073017</v>
      </c>
      <c r="E37" s="28">
        <f>$C$31</f>
        <v>152661.72525073017</v>
      </c>
      <c r="F37" s="28">
        <f>$C$31</f>
        <v>152661.72525073017</v>
      </c>
      <c r="G37" s="39">
        <f>$C$31</f>
        <v>152661.72525073017</v>
      </c>
      <c r="H37" s="30"/>
    </row>
    <row r="38" spans="2:8">
      <c r="B38" s="27" t="s">
        <v>30</v>
      </c>
      <c r="C38" s="28">
        <f>IF($C$15&lt;$C$16,FV($C$16/$C$19,C36*$C$19,$C$31/$C$19,-$C$30),IF($C$17&gt;C36-$C36+1,(($C31/$C$19)/PMT($C$15/($C$19),($C$17-(C36-$C36+1))*$C$19,-1)),0))</f>
        <v>1386741.519098971</v>
      </c>
      <c r="D38" s="28">
        <f>IF($C$15&lt;$C$16,FV($C$16/$C$19,D36*$C$19,$C$31/$C$19,-$C$30),IF($C$17&gt;D36-$C36+1,(($C31/$C$19)/PMT($C$15/($C$19),($C$17-(D36-$C36+1))*$C$19,-1)),0))</f>
        <v>1372094.7019931839</v>
      </c>
      <c r="E38" s="28">
        <f>IF($C$15&lt;$C$16,FV($C$16/$C$19,E36*$C$19,$C$31/$C$19,-$C$30),IF($C$17&gt;E36-$C36+1,(($C31/$C$19)/PMT($C$15/($C$19),($C$17-(E36-$C36+1))*$C$19,-1)),0))</f>
        <v>1355914.1717399978</v>
      </c>
      <c r="F38" s="28">
        <f>IF($C$15&lt;$C$16,FV($C$16/$C$19,F36*$C$19,$C$31/$C$19,-$C$30),IF($C$17&gt;F36-$C36+1,(($C31/$C$19)/PMT($C$15/($C$19),($C$17-(F36-$C36+1))*$C$19,-1)),0))</f>
        <v>1338039.3285311738</v>
      </c>
      <c r="G38" s="39">
        <f>IF($C$15&lt;$C$16,FV($C$16/$C$19,G36*$C$19,$C$31/$C$19,-$C$30),IF($C$17&gt;G36-$C36+1,(($C31/$C$19)/PMT($C$15/($C$19),($C$17-(G36-$C36+1))*$C$19,-1)),0))</f>
        <v>1318292.7556599218</v>
      </c>
      <c r="H38" s="30"/>
    </row>
    <row r="39" spans="2:8">
      <c r="B39" s="27" t="s">
        <v>35</v>
      </c>
      <c r="C39" s="28">
        <f>($C$31-(C30-C38))</f>
        <v>139403.24434970121</v>
      </c>
      <c r="D39" s="28">
        <f>($C$31-(C38-D38))</f>
        <v>138014.90814494307</v>
      </c>
      <c r="E39" s="28">
        <f>($C$31-(D38-E38))</f>
        <v>136481.19499754405</v>
      </c>
      <c r="F39" s="28">
        <f>($C$31-(E38-F38))</f>
        <v>134786.88204190612</v>
      </c>
      <c r="G39" s="39">
        <f>($C$31-(F38-G38))</f>
        <v>132915.15237947821</v>
      </c>
      <c r="H39" s="30"/>
    </row>
    <row r="40" spans="2:8" ht="13.5" thickBot="1">
      <c r="B40" s="31" t="s">
        <v>36</v>
      </c>
      <c r="C40" s="40">
        <f>C37-C39</f>
        <v>13258.480901028961</v>
      </c>
      <c r="D40" s="40">
        <f>D37-D39</f>
        <v>14646.817105787108</v>
      </c>
      <c r="E40" s="40">
        <f>E37-E39</f>
        <v>16180.530253186123</v>
      </c>
      <c r="F40" s="40">
        <f>F37-F39</f>
        <v>17874.843208824052</v>
      </c>
      <c r="G40" s="41">
        <f>G37-G39</f>
        <v>19746.572871251963</v>
      </c>
      <c r="H40" s="30"/>
    </row>
    <row r="41" spans="2:8" ht="13.5" thickBot="1">
      <c r="B41" s="42"/>
      <c r="C41" s="28"/>
      <c r="D41" s="28"/>
      <c r="E41" s="28"/>
      <c r="F41" s="28"/>
      <c r="G41" s="28"/>
      <c r="H41" s="30"/>
    </row>
    <row r="42" spans="2:8" ht="13.5" thickBot="1">
      <c r="B42" s="136" t="s">
        <v>37</v>
      </c>
      <c r="C42" s="137"/>
      <c r="D42" s="137"/>
      <c r="E42" s="137"/>
      <c r="F42" s="137"/>
      <c r="G42" s="138"/>
      <c r="H42" s="30"/>
    </row>
    <row r="43" spans="2:8" ht="13.5" thickBot="1">
      <c r="B43" s="43" t="s">
        <v>38</v>
      </c>
      <c r="C43" s="43">
        <v>1</v>
      </c>
      <c r="D43" s="43">
        <v>2</v>
      </c>
      <c r="E43" s="43">
        <v>3</v>
      </c>
      <c r="F43" s="43">
        <v>4</v>
      </c>
      <c r="G43" s="43">
        <v>5</v>
      </c>
      <c r="H43" s="30"/>
    </row>
    <row r="44" spans="2:8">
      <c r="B44" s="27" t="s">
        <v>39</v>
      </c>
      <c r="C44" s="28">
        <f>C12</f>
        <v>190000</v>
      </c>
      <c r="D44" s="28">
        <f>C44*(1+$C$13)</f>
        <v>195700</v>
      </c>
      <c r="E44" s="28">
        <f>D44*(1+$C$13)</f>
        <v>201571</v>
      </c>
      <c r="F44" s="28">
        <f>E44*(1+$C$13)</f>
        <v>207618.13</v>
      </c>
      <c r="G44" s="39">
        <f>F44*(1+$C$13)</f>
        <v>213846.67390000002</v>
      </c>
      <c r="H44" s="30"/>
    </row>
    <row r="45" spans="2:8">
      <c r="B45" s="27" t="s">
        <v>40</v>
      </c>
      <c r="C45" s="28">
        <f>$C$37</f>
        <v>152661.72525073017</v>
      </c>
      <c r="D45" s="28">
        <f>$C$37</f>
        <v>152661.72525073017</v>
      </c>
      <c r="E45" s="28">
        <f>$C$37</f>
        <v>152661.72525073017</v>
      </c>
      <c r="F45" s="28">
        <f>$C$37</f>
        <v>152661.72525073017</v>
      </c>
      <c r="G45" s="39">
        <f>$C$37</f>
        <v>152661.72525073017</v>
      </c>
      <c r="H45" s="30"/>
    </row>
    <row r="46" spans="2:8">
      <c r="B46" s="27" t="s">
        <v>41</v>
      </c>
      <c r="C46" s="28">
        <f>$C$23</f>
        <v>0</v>
      </c>
      <c r="D46" s="28">
        <f>$C$23</f>
        <v>0</v>
      </c>
      <c r="E46" s="28">
        <f>$C$23</f>
        <v>0</v>
      </c>
      <c r="F46" s="28">
        <f>$C$23</f>
        <v>0</v>
      </c>
      <c r="G46" s="39">
        <f>$C$23</f>
        <v>0</v>
      </c>
      <c r="H46" s="30"/>
    </row>
    <row r="47" spans="2:8">
      <c r="B47" s="27" t="s">
        <v>42</v>
      </c>
      <c r="C47" s="28">
        <f>C44-C45-C46</f>
        <v>37338.274749269825</v>
      </c>
      <c r="D47" s="28">
        <f>D44-D45-D46</f>
        <v>43038.274749269825</v>
      </c>
      <c r="E47" s="28">
        <f>E44-E45-E46</f>
        <v>48909.274749269825</v>
      </c>
      <c r="F47" s="28">
        <f>F44-F45-F46</f>
        <v>54956.40474926983</v>
      </c>
      <c r="G47" s="39">
        <f>G44-G45-G46</f>
        <v>61184.948649269849</v>
      </c>
      <c r="H47" s="30"/>
    </row>
    <row r="48" spans="2:8">
      <c r="B48" s="27" t="s">
        <v>16</v>
      </c>
      <c r="C48" s="28">
        <f>IF(C44-$C$21&gt;0,$C$20*(C44-$C$21),0)</f>
        <v>0</v>
      </c>
      <c r="D48" s="28">
        <f>IF(D44-$C$21&gt;0,$C$20*(D44-$C$21),0)</f>
        <v>0</v>
      </c>
      <c r="E48" s="28">
        <f>IF(E44-$C$21&gt;0,$C$20*(E44-$C$21),0)</f>
        <v>0</v>
      </c>
      <c r="F48" s="28">
        <f>IF(F44-$C$21&gt;0,$C$20*(F44-$C$21),0)</f>
        <v>0</v>
      </c>
      <c r="G48" s="39">
        <f>IF(G44-$C$21&gt;0,$C$20*(G44-$C$21),0)</f>
        <v>0</v>
      </c>
      <c r="H48" s="11"/>
    </row>
    <row r="49" spans="2:8" ht="13.5" thickBot="1">
      <c r="B49" s="44" t="s">
        <v>43</v>
      </c>
      <c r="C49" s="45">
        <f>C47-C48</f>
        <v>37338.274749269825</v>
      </c>
      <c r="D49" s="45">
        <f>D47-D48</f>
        <v>43038.274749269825</v>
      </c>
      <c r="E49" s="45">
        <f>E47-E48</f>
        <v>48909.274749269825</v>
      </c>
      <c r="F49" s="45">
        <f>F47-F48</f>
        <v>54956.40474926983</v>
      </c>
      <c r="G49" s="46">
        <f>G47-G48</f>
        <v>61184.948649269849</v>
      </c>
      <c r="H49" s="11"/>
    </row>
    <row r="50" spans="2:8" ht="13.5" thickTop="1">
      <c r="B50" s="35"/>
      <c r="C50" s="28"/>
      <c r="D50" s="28"/>
      <c r="E50" s="28"/>
      <c r="F50" s="28"/>
      <c r="G50" s="39"/>
      <c r="H50" s="11"/>
    </row>
    <row r="51" spans="2:8">
      <c r="B51" s="27" t="s">
        <v>39</v>
      </c>
      <c r="C51" s="28">
        <f>C44</f>
        <v>190000</v>
      </c>
      <c r="D51" s="28">
        <f>D44</f>
        <v>195700</v>
      </c>
      <c r="E51" s="28">
        <f>E44</f>
        <v>201571</v>
      </c>
      <c r="F51" s="28">
        <f>F44</f>
        <v>207618.13</v>
      </c>
      <c r="G51" s="39">
        <f>G44</f>
        <v>213846.67390000002</v>
      </c>
      <c r="H51" s="30"/>
    </row>
    <row r="52" spans="2:8">
      <c r="B52" s="27" t="s">
        <v>44</v>
      </c>
      <c r="C52" s="28">
        <f>C39</f>
        <v>139403.24434970121</v>
      </c>
      <c r="D52" s="28">
        <f>D39</f>
        <v>138014.90814494307</v>
      </c>
      <c r="E52" s="28">
        <f>E39</f>
        <v>136481.19499754405</v>
      </c>
      <c r="F52" s="28">
        <f>F39</f>
        <v>134786.88204190612</v>
      </c>
      <c r="G52" s="39">
        <f>G39</f>
        <v>132915.15237947821</v>
      </c>
      <c r="H52" s="30"/>
    </row>
    <row r="53" spans="2:8">
      <c r="B53" s="27" t="s">
        <v>45</v>
      </c>
      <c r="C53" s="28">
        <f>$F$12/$F$13</f>
        <v>58181.818181818184</v>
      </c>
      <c r="D53" s="28">
        <f>$F$12/$F$13</f>
        <v>58181.818181818184</v>
      </c>
      <c r="E53" s="28">
        <f>$F$12/$F$13</f>
        <v>58181.818181818184</v>
      </c>
      <c r="F53" s="28">
        <f>$F$12/$F$13</f>
        <v>58181.818181818184</v>
      </c>
      <c r="G53" s="39">
        <f>$F$12/$F$13</f>
        <v>58181.818181818184</v>
      </c>
      <c r="H53" s="30"/>
    </row>
    <row r="54" spans="2:8">
      <c r="B54" s="27" t="s">
        <v>46</v>
      </c>
      <c r="C54" s="28">
        <f>C48</f>
        <v>0</v>
      </c>
      <c r="D54" s="28">
        <f>D48</f>
        <v>0</v>
      </c>
      <c r="E54" s="28">
        <f>E48</f>
        <v>0</v>
      </c>
      <c r="F54" s="28">
        <f>F48</f>
        <v>0</v>
      </c>
      <c r="G54" s="39">
        <f>G48</f>
        <v>0</v>
      </c>
      <c r="H54" s="11"/>
    </row>
    <row r="55" spans="2:8">
      <c r="B55" s="27" t="s">
        <v>41</v>
      </c>
      <c r="C55" s="55">
        <f>$C$23</f>
        <v>0</v>
      </c>
      <c r="D55" s="55">
        <f>$C$23</f>
        <v>0</v>
      </c>
      <c r="E55" s="55">
        <f>$C$23</f>
        <v>0</v>
      </c>
      <c r="F55" s="55">
        <f>$C$23</f>
        <v>0</v>
      </c>
      <c r="G55" s="53">
        <f>$C$23</f>
        <v>0</v>
      </c>
      <c r="H55" s="11"/>
    </row>
    <row r="56" spans="2:8">
      <c r="B56" s="27" t="s">
        <v>47</v>
      </c>
      <c r="C56" s="28">
        <f>C51-C52-C53-C54-C55</f>
        <v>-7585.0625315193975</v>
      </c>
      <c r="D56" s="28">
        <f>D51-D52-D53-D54-D55</f>
        <v>-496.72632676125068</v>
      </c>
      <c r="E56" s="28">
        <f>E51-E52-E53-E54-E55</f>
        <v>6907.986820637765</v>
      </c>
      <c r="F56" s="28">
        <f>F51-F52-F53-F54-F55</f>
        <v>14649.429776275698</v>
      </c>
      <c r="G56" s="39">
        <f>G51-G52-G53-G54-G55</f>
        <v>22749.703338703628</v>
      </c>
      <c r="H56" s="30"/>
    </row>
    <row r="57" spans="2:8">
      <c r="B57" s="27" t="s">
        <v>48</v>
      </c>
      <c r="C57" s="28">
        <f>C56*$F$14</f>
        <v>-2730.6225113469832</v>
      </c>
      <c r="D57" s="28">
        <f>D56*$F$14</f>
        <v>-178.82147763405024</v>
      </c>
      <c r="E57" s="28">
        <f>E56*$F$14</f>
        <v>2486.8752554295952</v>
      </c>
      <c r="F57" s="28">
        <f>F56*$F$14</f>
        <v>5273.7947194592507</v>
      </c>
      <c r="G57" s="39">
        <f>G56*$F$14</f>
        <v>8189.893201933306</v>
      </c>
      <c r="H57" s="30"/>
    </row>
    <row r="58" spans="2:8" ht="13.5" thickBot="1">
      <c r="B58" s="47" t="s">
        <v>49</v>
      </c>
      <c r="C58" s="48">
        <f>C49-C57</f>
        <v>40068.89726061681</v>
      </c>
      <c r="D58" s="48">
        <f>D49-D57</f>
        <v>43217.096226903879</v>
      </c>
      <c r="E58" s="48">
        <f>E49-E57</f>
        <v>46422.399493840232</v>
      </c>
      <c r="F58" s="48">
        <f>F49-F57</f>
        <v>49682.610029810581</v>
      </c>
      <c r="G58" s="49">
        <f>G49-G57</f>
        <v>52995.055447336541</v>
      </c>
      <c r="H58" s="30"/>
    </row>
    <row r="59" spans="2:8">
      <c r="B59" s="95" t="s">
        <v>114</v>
      </c>
      <c r="C59" s="96">
        <f>C44/C45</f>
        <v>1.2445817685339648</v>
      </c>
      <c r="D59" s="96">
        <f t="shared" ref="D59:G59" si="0">D44/D45</f>
        <v>1.2819192215899837</v>
      </c>
      <c r="E59" s="96">
        <f t="shared" si="0"/>
        <v>1.3203767982376833</v>
      </c>
      <c r="F59" s="96">
        <f t="shared" si="0"/>
        <v>1.3599881021848139</v>
      </c>
      <c r="G59" s="96">
        <f t="shared" si="0"/>
        <v>1.4007877452503583</v>
      </c>
      <c r="H59" s="30"/>
    </row>
    <row r="60" spans="2:8" ht="13.5" thickBot="1">
      <c r="B60" s="50"/>
      <c r="C60" s="51"/>
      <c r="D60" s="51"/>
      <c r="E60" s="51"/>
      <c r="F60" s="14"/>
      <c r="G60" s="14"/>
      <c r="H60" s="11"/>
    </row>
    <row r="61" spans="2:8" ht="13.5" thickBot="1">
      <c r="B61" s="136" t="s">
        <v>50</v>
      </c>
      <c r="C61" s="139"/>
      <c r="D61" s="139"/>
      <c r="E61" s="140"/>
      <c r="F61" s="14"/>
      <c r="G61" s="14"/>
      <c r="H61" s="11"/>
    </row>
    <row r="62" spans="2:8">
      <c r="B62" s="27" t="s">
        <v>51</v>
      </c>
      <c r="C62" s="52"/>
      <c r="D62" s="52"/>
      <c r="E62" s="39">
        <f>IF(C23&gt;0,(1-C25)*(F12*(1+C24)^C26),(1-C25)*(C11*(1+C24)^C26))</f>
        <v>2318548.1485999995</v>
      </c>
      <c r="F62" s="14"/>
      <c r="G62" s="14"/>
      <c r="H62" s="11"/>
    </row>
    <row r="63" spans="2:8">
      <c r="B63" s="27" t="s">
        <v>52</v>
      </c>
      <c r="C63" s="52"/>
      <c r="D63" s="52"/>
      <c r="E63" s="39">
        <f>C27*E62</f>
        <v>0</v>
      </c>
      <c r="F63" s="28"/>
      <c r="G63" s="52"/>
      <c r="H63" s="11"/>
    </row>
    <row r="64" spans="2:8">
      <c r="B64" s="27" t="s">
        <v>30</v>
      </c>
      <c r="C64" s="28"/>
      <c r="D64" s="52"/>
      <c r="E64" s="53">
        <f>IF(C25&gt;0,0,G38)</f>
        <v>1318292.7556599218</v>
      </c>
      <c r="F64" s="28"/>
      <c r="G64" s="52"/>
      <c r="H64" s="11"/>
    </row>
    <row r="65" spans="2:8">
      <c r="B65" s="27" t="s">
        <v>125</v>
      </c>
      <c r="C65" s="28"/>
      <c r="D65" s="52"/>
      <c r="E65" s="39">
        <f>E62-E63-E64</f>
        <v>1000255.3929400777</v>
      </c>
      <c r="F65" s="28"/>
      <c r="G65" s="52"/>
      <c r="H65" s="11"/>
    </row>
    <row r="66" spans="2:8">
      <c r="B66" s="27" t="s">
        <v>53</v>
      </c>
      <c r="C66" s="52"/>
      <c r="D66" s="52"/>
      <c r="E66" s="53">
        <f>IF((E62-E63-C11)&gt;0,(E62-E63-C11)*C22,0)</f>
        <v>0</v>
      </c>
      <c r="F66" s="52"/>
      <c r="G66" s="52"/>
      <c r="H66" s="11"/>
    </row>
    <row r="67" spans="2:8">
      <c r="B67" s="27" t="s">
        <v>124</v>
      </c>
      <c r="C67" s="52"/>
      <c r="D67" s="52"/>
      <c r="E67" s="39">
        <f>E65-E66</f>
        <v>1000255.3929400777</v>
      </c>
      <c r="F67" s="52"/>
      <c r="G67" s="52"/>
      <c r="H67" s="11"/>
    </row>
    <row r="68" spans="2:8">
      <c r="B68" s="27"/>
      <c r="C68" s="52"/>
      <c r="D68" s="52"/>
      <c r="E68" s="39"/>
      <c r="F68" s="52"/>
      <c r="G68" s="52"/>
      <c r="H68" s="11"/>
    </row>
    <row r="69" spans="2:8">
      <c r="B69" s="107" t="s">
        <v>126</v>
      </c>
      <c r="C69" s="52"/>
      <c r="D69" s="52"/>
      <c r="E69" s="54"/>
      <c r="F69" s="52"/>
      <c r="G69" s="52"/>
      <c r="H69" s="11"/>
    </row>
    <row r="70" spans="2:8">
      <c r="B70" s="27" t="s">
        <v>51</v>
      </c>
      <c r="C70" s="52"/>
      <c r="D70" s="52">
        <f>IF(C23&gt;0,F12*(1+C24)^C26,C11*(1+C24)^C26)</f>
        <v>2318548.1485999995</v>
      </c>
      <c r="E70" s="54"/>
      <c r="F70" s="52"/>
      <c r="G70" s="52"/>
      <c r="H70" s="11"/>
    </row>
    <row r="71" spans="2:8">
      <c r="B71" s="27" t="s">
        <v>55</v>
      </c>
      <c r="C71" s="52"/>
      <c r="D71" s="52">
        <f>E63</f>
        <v>0</v>
      </c>
      <c r="E71" s="54"/>
      <c r="F71" s="52"/>
      <c r="G71" s="52"/>
      <c r="H71" s="11"/>
    </row>
    <row r="72" spans="2:8">
      <c r="B72" s="27" t="s">
        <v>56</v>
      </c>
      <c r="C72" s="52"/>
      <c r="D72" s="52">
        <f>E66</f>
        <v>0</v>
      </c>
      <c r="E72" s="54"/>
      <c r="F72" s="52"/>
      <c r="G72" s="52"/>
      <c r="H72" s="11"/>
    </row>
    <row r="73" spans="2:8">
      <c r="B73" s="35"/>
      <c r="C73" s="28"/>
      <c r="D73" s="28"/>
      <c r="E73" s="39"/>
      <c r="F73" s="28"/>
      <c r="G73" s="52"/>
      <c r="H73" s="11"/>
    </row>
    <row r="74" spans="2:8">
      <c r="B74" s="27" t="s">
        <v>57</v>
      </c>
      <c r="C74" s="28">
        <f>IF(C23&gt;0,F12,C11)</f>
        <v>2000000</v>
      </c>
      <c r="D74" s="28"/>
      <c r="E74" s="54"/>
      <c r="F74" s="52"/>
      <c r="G74" s="52"/>
      <c r="H74" s="11"/>
    </row>
    <row r="75" spans="2:8">
      <c r="B75" s="27" t="s">
        <v>58</v>
      </c>
      <c r="C75" s="55">
        <f>C26*C53</f>
        <v>290909.09090909094</v>
      </c>
      <c r="D75" s="28"/>
      <c r="E75" s="54"/>
      <c r="F75" s="52"/>
      <c r="G75" s="52"/>
      <c r="H75" s="11"/>
    </row>
    <row r="76" spans="2:8">
      <c r="B76" s="27" t="s">
        <v>59</v>
      </c>
      <c r="C76" s="52"/>
      <c r="D76" s="55">
        <f>C74-C75</f>
        <v>1709090.9090909092</v>
      </c>
      <c r="E76" s="54"/>
      <c r="F76" s="52"/>
      <c r="G76" s="52"/>
      <c r="H76" s="11"/>
    </row>
    <row r="77" spans="2:8">
      <c r="B77" s="35"/>
      <c r="C77" s="28"/>
      <c r="D77" s="28"/>
      <c r="E77" s="54"/>
      <c r="F77" s="52"/>
      <c r="G77" s="52"/>
      <c r="H77" s="11"/>
    </row>
    <row r="78" spans="2:8">
      <c r="B78" s="27" t="s">
        <v>123</v>
      </c>
      <c r="C78" s="52"/>
      <c r="D78" s="28">
        <f>D70-D71-D72-D76</f>
        <v>609457.23950909032</v>
      </c>
      <c r="E78" s="54"/>
      <c r="F78" s="52"/>
      <c r="G78" s="52"/>
      <c r="H78" s="11"/>
    </row>
    <row r="79" spans="2:8">
      <c r="B79" s="27" t="s">
        <v>61</v>
      </c>
      <c r="C79" s="28"/>
      <c r="D79" s="52"/>
      <c r="E79" s="53">
        <f>F14*D78</f>
        <v>219404.60622327251</v>
      </c>
      <c r="F79" s="52"/>
      <c r="G79" s="52"/>
      <c r="H79" s="11"/>
    </row>
    <row r="80" spans="2:8">
      <c r="B80" s="35"/>
      <c r="C80" s="28"/>
      <c r="D80" s="28"/>
      <c r="E80" s="54"/>
      <c r="F80" s="14"/>
      <c r="G80" s="14"/>
      <c r="H80" s="18"/>
    </row>
    <row r="81" spans="2:8" ht="13.5" thickBot="1">
      <c r="B81" s="47" t="s">
        <v>62</v>
      </c>
      <c r="C81" s="56"/>
      <c r="D81" s="57"/>
      <c r="E81" s="58">
        <f>E67-E79</f>
        <v>780850.78671680519</v>
      </c>
      <c r="F81" s="14"/>
      <c r="G81" s="14"/>
      <c r="H81" s="18"/>
    </row>
    <row r="82" spans="2:8" ht="13.5" thickBot="1">
      <c r="B82" s="35"/>
      <c r="C82" s="29"/>
      <c r="D82" s="29"/>
      <c r="E82" s="10"/>
      <c r="F82" s="14"/>
      <c r="G82" s="14"/>
      <c r="H82" s="18"/>
    </row>
    <row r="83" spans="2:8" ht="13.5" thickBot="1">
      <c r="B83" s="136" t="s">
        <v>63</v>
      </c>
      <c r="C83" s="137"/>
      <c r="D83" s="137"/>
      <c r="E83" s="137"/>
      <c r="F83" s="137"/>
      <c r="G83" s="137"/>
      <c r="H83" s="138"/>
    </row>
    <row r="84" spans="2:8" ht="13.5" thickBot="1">
      <c r="B84" s="43" t="s">
        <v>38</v>
      </c>
      <c r="C84" s="43">
        <v>0</v>
      </c>
      <c r="D84" s="43">
        <v>1</v>
      </c>
      <c r="E84" s="43">
        <v>2</v>
      </c>
      <c r="F84" s="43">
        <v>3</v>
      </c>
      <c r="G84" s="43">
        <v>4</v>
      </c>
      <c r="H84" s="43">
        <v>5</v>
      </c>
    </row>
    <row r="85" spans="2:8" ht="13.5" thickBot="1">
      <c r="B85" s="27" t="s">
        <v>128</v>
      </c>
      <c r="C85" s="29">
        <f>-C29</f>
        <v>-600000.00000000012</v>
      </c>
      <c r="D85" s="28">
        <f>C49</f>
        <v>37338.274749269825</v>
      </c>
      <c r="E85" s="28">
        <f>D49</f>
        <v>43038.274749269825</v>
      </c>
      <c r="F85" s="28">
        <f>E49</f>
        <v>48909.274749269825</v>
      </c>
      <c r="G85" s="28">
        <f>F49</f>
        <v>54956.40474926983</v>
      </c>
      <c r="H85" s="39">
        <f>G49+E67</f>
        <v>1061440.3415893475</v>
      </c>
    </row>
    <row r="86" spans="2:8" ht="13.5" thickBot="1">
      <c r="B86" s="59" t="s">
        <v>65</v>
      </c>
      <c r="C86" s="99">
        <f>IRR(C85:H85,0.1)</f>
        <v>0.17318255778125935</v>
      </c>
      <c r="D86" s="29"/>
      <c r="E86" s="29"/>
      <c r="F86" s="29"/>
      <c r="G86" s="10"/>
      <c r="H86" s="11"/>
    </row>
    <row r="87" spans="2:8" ht="13.5" thickBot="1">
      <c r="B87" s="35"/>
      <c r="C87" s="10"/>
      <c r="D87" s="10"/>
      <c r="E87" s="10"/>
      <c r="F87" s="10"/>
      <c r="G87" s="10"/>
      <c r="H87" s="11"/>
    </row>
    <row r="88" spans="2:8" ht="13.5" thickBot="1">
      <c r="B88" s="43" t="s">
        <v>38</v>
      </c>
      <c r="C88" s="43">
        <v>0</v>
      </c>
      <c r="D88" s="43">
        <v>1</v>
      </c>
      <c r="E88" s="43">
        <v>2</v>
      </c>
      <c r="F88" s="43">
        <v>3</v>
      </c>
      <c r="G88" s="43">
        <v>4</v>
      </c>
      <c r="H88" s="43">
        <v>5</v>
      </c>
    </row>
    <row r="89" spans="2:8" ht="13.5" thickBot="1">
      <c r="B89" s="27" t="s">
        <v>66</v>
      </c>
      <c r="C89" s="29">
        <f>-C29</f>
        <v>-600000.00000000012</v>
      </c>
      <c r="D89" s="28">
        <f>C58</f>
        <v>40068.89726061681</v>
      </c>
      <c r="E89" s="28">
        <f>D58</f>
        <v>43217.096226903879</v>
      </c>
      <c r="F89" s="28">
        <f>E58</f>
        <v>46422.399493840232</v>
      </c>
      <c r="G89" s="28">
        <f>F58</f>
        <v>49682.610029810581</v>
      </c>
      <c r="H89" s="39">
        <f>G58+E81</f>
        <v>833845.84216414171</v>
      </c>
    </row>
    <row r="90" spans="2:8" ht="13.5" thickBot="1">
      <c r="B90" s="59" t="s">
        <v>67</v>
      </c>
      <c r="C90" s="60">
        <f>IRR(C89:H89,0.1)</f>
        <v>0.12334868916031239</v>
      </c>
      <c r="D90" s="29"/>
      <c r="E90" s="29"/>
      <c r="F90" s="29"/>
      <c r="G90" s="29"/>
      <c r="H90" s="30"/>
    </row>
    <row r="91" spans="2:8" ht="13.5" thickBot="1">
      <c r="B91" s="44" t="s">
        <v>68</v>
      </c>
      <c r="C91" s="60">
        <f>(C86-C90)/C86</f>
        <v>0.28775339306334952</v>
      </c>
      <c r="D91" s="10"/>
      <c r="E91" s="10"/>
      <c r="F91" s="10"/>
      <c r="G91" s="10"/>
      <c r="H91" s="11"/>
    </row>
    <row r="92" spans="2:8" ht="13.5" thickBot="1">
      <c r="B92" s="47"/>
      <c r="C92" s="61"/>
      <c r="D92" s="62"/>
      <c r="E92" s="62"/>
      <c r="F92" s="62"/>
      <c r="G92" s="62"/>
      <c r="H92" s="63"/>
    </row>
    <row r="93" spans="2:8" ht="13.5" thickBot="1">
      <c r="B93" s="8"/>
      <c r="C93" s="9"/>
      <c r="D93" s="10"/>
      <c r="E93" s="10"/>
      <c r="F93" s="10"/>
      <c r="G93" s="10"/>
      <c r="H93" s="11"/>
    </row>
    <row r="94" spans="2:8" ht="13.5" thickBot="1">
      <c r="B94" s="136" t="s">
        <v>117</v>
      </c>
      <c r="C94" s="137"/>
      <c r="D94" s="137"/>
      <c r="E94" s="137"/>
      <c r="F94" s="137"/>
      <c r="G94" s="137"/>
      <c r="H94" s="138"/>
    </row>
    <row r="95" spans="2:8" ht="13.5" thickBot="1">
      <c r="B95" s="43" t="s">
        <v>38</v>
      </c>
      <c r="C95" s="43">
        <v>0</v>
      </c>
      <c r="D95" s="43">
        <v>1</v>
      </c>
      <c r="E95" s="43">
        <v>2</v>
      </c>
      <c r="F95" s="43">
        <v>3</v>
      </c>
      <c r="G95" s="43">
        <v>4</v>
      </c>
      <c r="H95" s="43">
        <v>5</v>
      </c>
    </row>
    <row r="96" spans="2:8" ht="13.5" thickBot="1">
      <c r="B96" s="27" t="s">
        <v>39</v>
      </c>
      <c r="C96" s="29">
        <f>-C11</f>
        <v>-2000000</v>
      </c>
      <c r="D96" s="28">
        <f>C44</f>
        <v>190000</v>
      </c>
      <c r="E96" s="28">
        <f>D44</f>
        <v>195700</v>
      </c>
      <c r="F96" s="28">
        <f>E44</f>
        <v>201571</v>
      </c>
      <c r="G96" s="28">
        <f>F44</f>
        <v>207618.13</v>
      </c>
      <c r="H96" s="39">
        <f>G44+E62-E63</f>
        <v>2532394.8224999993</v>
      </c>
    </row>
    <row r="97" spans="2:8" ht="13.5" thickBot="1">
      <c r="B97" s="59" t="s">
        <v>69</v>
      </c>
      <c r="C97" s="99">
        <f>IRR(C96:H96,0.1)</f>
        <v>0.125</v>
      </c>
      <c r="D97" s="10"/>
      <c r="E97" s="10"/>
      <c r="F97" s="10"/>
      <c r="G97" s="10"/>
      <c r="H97" s="11"/>
    </row>
    <row r="98" spans="2:8" ht="13.5" thickBot="1">
      <c r="B98" s="35"/>
      <c r="C98" s="10"/>
      <c r="D98" s="10"/>
      <c r="E98" s="10"/>
      <c r="F98" s="10"/>
      <c r="G98" s="10"/>
      <c r="H98" s="11"/>
    </row>
    <row r="99" spans="2:8" ht="13.5" thickBot="1">
      <c r="B99" s="43" t="s">
        <v>38</v>
      </c>
      <c r="C99" s="43">
        <v>0</v>
      </c>
      <c r="D99" s="43">
        <v>1</v>
      </c>
      <c r="E99" s="43">
        <v>2</v>
      </c>
      <c r="F99" s="43">
        <v>3</v>
      </c>
      <c r="G99" s="43">
        <v>4</v>
      </c>
      <c r="H99" s="43">
        <v>5</v>
      </c>
    </row>
    <row r="100" spans="2:8" ht="13.5" thickBot="1">
      <c r="B100" s="27" t="s">
        <v>70</v>
      </c>
      <c r="C100" s="64">
        <f>-C11</f>
        <v>-2000000</v>
      </c>
      <c r="D100" s="28">
        <f>C44-((C44-C53)*$F$14)</f>
        <v>142545.45454545453</v>
      </c>
      <c r="E100" s="28">
        <f>D44-((D44-D53)*$F$14)</f>
        <v>146193.45454545453</v>
      </c>
      <c r="F100" s="28">
        <f>E44-((E44-E53)*$F$14)</f>
        <v>149950.89454545453</v>
      </c>
      <c r="G100" s="28">
        <f>F44-((F44-F53)*$F$14)</f>
        <v>153821.05774545454</v>
      </c>
      <c r="H100" s="39">
        <f>G44-((G44-G53)*$F$14)+(E62-E63-E79)</f>
        <v>2256950.8682181817</v>
      </c>
    </row>
    <row r="101" spans="2:8" ht="13.5" thickBot="1">
      <c r="B101" s="59" t="s">
        <v>71</v>
      </c>
      <c r="C101" s="60">
        <f>IRR(C100:H100,0.1)</f>
        <v>8.3125600567111713E-2</v>
      </c>
      <c r="D101" s="10"/>
      <c r="E101" s="10"/>
      <c r="F101" s="10"/>
      <c r="G101" s="10"/>
      <c r="H101" s="11"/>
    </row>
    <row r="102" spans="2:8" ht="13.5" thickBot="1">
      <c r="B102" s="65"/>
      <c r="C102" s="66"/>
      <c r="D102" s="62"/>
      <c r="E102" s="62"/>
      <c r="F102" s="62"/>
      <c r="G102" s="62"/>
      <c r="H102" s="63"/>
    </row>
    <row r="103" spans="2:8" ht="13.5" thickBot="1">
      <c r="B103" s="42"/>
      <c r="C103" s="10"/>
      <c r="D103" s="29"/>
      <c r="E103" s="29"/>
      <c r="F103" s="29"/>
      <c r="G103" s="29"/>
      <c r="H103" s="30"/>
    </row>
    <row r="104" spans="2:8" ht="13.5" thickBot="1">
      <c r="B104" s="136" t="s">
        <v>72</v>
      </c>
      <c r="C104" s="137"/>
      <c r="D104" s="137"/>
      <c r="E104" s="137"/>
      <c r="F104" s="137"/>
      <c r="G104" s="137"/>
      <c r="H104" s="138"/>
    </row>
    <row r="105" spans="2:8" ht="13.5" thickBot="1">
      <c r="B105" s="43" t="s">
        <v>38</v>
      </c>
      <c r="C105" s="43">
        <v>0</v>
      </c>
      <c r="D105" s="43">
        <v>1</v>
      </c>
      <c r="E105" s="43">
        <v>2</v>
      </c>
      <c r="F105" s="43">
        <v>3</v>
      </c>
      <c r="G105" s="43">
        <v>4</v>
      </c>
      <c r="H105" s="43">
        <v>5</v>
      </c>
    </row>
    <row r="106" spans="2:8">
      <c r="B106" s="42" t="s">
        <v>73</v>
      </c>
      <c r="C106" s="14"/>
      <c r="D106" s="67">
        <f>+C45</f>
        <v>152661.72525073017</v>
      </c>
      <c r="E106" s="67">
        <f>+D45</f>
        <v>152661.72525073017</v>
      </c>
      <c r="F106" s="67">
        <f>+E45</f>
        <v>152661.72525073017</v>
      </c>
      <c r="G106" s="67">
        <f>+F45</f>
        <v>152661.72525073017</v>
      </c>
      <c r="H106" s="68">
        <f>+G45</f>
        <v>152661.72525073017</v>
      </c>
    </row>
    <row r="107" spans="2:8">
      <c r="B107" s="42" t="s">
        <v>74</v>
      </c>
      <c r="C107" s="10"/>
      <c r="D107" s="69"/>
      <c r="E107" s="69"/>
      <c r="F107" s="69"/>
      <c r="G107" s="69"/>
      <c r="H107" s="70">
        <f>+E64</f>
        <v>1318292.7556599218</v>
      </c>
    </row>
    <row r="108" spans="2:8">
      <c r="B108" s="42" t="s">
        <v>56</v>
      </c>
      <c r="C108" s="10"/>
      <c r="D108" s="69">
        <f>+C54</f>
        <v>0</v>
      </c>
      <c r="E108" s="69">
        <f>+D54</f>
        <v>0</v>
      </c>
      <c r="F108" s="69">
        <f>+E54</f>
        <v>0</v>
      </c>
      <c r="G108" s="69">
        <f>+F54</f>
        <v>0</v>
      </c>
      <c r="H108" s="70">
        <f>+G54+E66</f>
        <v>0</v>
      </c>
    </row>
    <row r="109" spans="2:8">
      <c r="B109" s="42" t="s">
        <v>75</v>
      </c>
      <c r="C109" s="64">
        <f>-C30</f>
        <v>-1400000</v>
      </c>
      <c r="D109" s="69"/>
      <c r="E109" s="69"/>
      <c r="F109" s="69"/>
      <c r="G109" s="69"/>
      <c r="H109" s="70"/>
    </row>
    <row r="110" spans="2:8" ht="13.5" thickBot="1">
      <c r="B110" s="42" t="s">
        <v>76</v>
      </c>
      <c r="C110" s="64">
        <f t="shared" ref="C110:H110" si="1">+C106+C107+C108+C109</f>
        <v>-1400000</v>
      </c>
      <c r="D110" s="69">
        <f t="shared" si="1"/>
        <v>152661.72525073017</v>
      </c>
      <c r="E110" s="69">
        <f t="shared" si="1"/>
        <v>152661.72525073017</v>
      </c>
      <c r="F110" s="69">
        <f t="shared" si="1"/>
        <v>152661.72525073017</v>
      </c>
      <c r="G110" s="69">
        <f t="shared" si="1"/>
        <v>152661.72525073017</v>
      </c>
      <c r="H110" s="70">
        <f t="shared" si="1"/>
        <v>1470954.4809106519</v>
      </c>
    </row>
    <row r="111" spans="2:8" ht="13.5" thickBot="1">
      <c r="B111" s="71" t="s">
        <v>77</v>
      </c>
      <c r="C111" s="99">
        <f>C179</f>
        <v>9.999999999999698E-2</v>
      </c>
      <c r="D111" s="72"/>
      <c r="E111" s="72"/>
      <c r="F111" s="72"/>
      <c r="G111" s="72"/>
      <c r="H111" s="73"/>
    </row>
    <row r="112" spans="2:8">
      <c r="B112" s="42"/>
      <c r="C112" s="10"/>
      <c r="D112" s="10"/>
      <c r="E112" s="10"/>
      <c r="F112" s="10"/>
      <c r="G112" s="10"/>
      <c r="H112" s="11"/>
    </row>
    <row r="113" spans="2:8" ht="13.5" thickBot="1">
      <c r="B113" s="42"/>
      <c r="C113" s="10"/>
      <c r="D113" s="10"/>
      <c r="E113" s="10"/>
      <c r="F113" s="10"/>
      <c r="G113" s="10"/>
      <c r="H113" s="11"/>
    </row>
    <row r="114" spans="2:8" ht="13.5" thickBot="1">
      <c r="B114" s="135" t="s">
        <v>78</v>
      </c>
      <c r="C114" s="122"/>
      <c r="D114" s="74"/>
      <c r="E114" s="74"/>
      <c r="F114" s="74"/>
      <c r="G114" s="74"/>
      <c r="H114" s="75"/>
    </row>
    <row r="115" spans="2:8" ht="13.5" thickBot="1">
      <c r="B115" s="12"/>
      <c r="C115" s="18"/>
      <c r="D115" s="14"/>
      <c r="E115" s="14"/>
      <c r="F115" s="14"/>
      <c r="G115" s="14"/>
      <c r="H115" s="18"/>
    </row>
    <row r="116" spans="2:8" ht="13.5" thickBot="1">
      <c r="B116" s="43" t="s">
        <v>79</v>
      </c>
      <c r="C116" s="43" t="s">
        <v>80</v>
      </c>
      <c r="D116" s="76"/>
      <c r="E116" s="76"/>
      <c r="F116" s="76"/>
      <c r="G116" s="76"/>
      <c r="H116" s="75"/>
    </row>
    <row r="117" spans="2:8">
      <c r="B117" s="77">
        <v>0</v>
      </c>
      <c r="C117" s="105">
        <f>C109</f>
        <v>-1400000</v>
      </c>
      <c r="D117" s="14"/>
      <c r="E117" s="14"/>
      <c r="F117" s="14"/>
      <c r="G117" s="14"/>
      <c r="H117" s="18"/>
    </row>
    <row r="118" spans="2:8">
      <c r="B118" s="77">
        <v>1</v>
      </c>
      <c r="C118" s="105">
        <f>($D$106+$D$108)/12</f>
        <v>12721.810437560847</v>
      </c>
      <c r="D118" s="79"/>
      <c r="E118" s="80"/>
      <c r="F118" s="80"/>
      <c r="G118" s="80"/>
      <c r="H118" s="78"/>
    </row>
    <row r="119" spans="2:8">
      <c r="B119" s="77">
        <v>2</v>
      </c>
      <c r="C119" s="105">
        <f t="shared" ref="C119:C129" si="2">($D$106+$D$108)/12</f>
        <v>12721.810437560847</v>
      </c>
      <c r="D119" s="81"/>
      <c r="E119" s="80"/>
      <c r="F119" s="80"/>
      <c r="G119" s="80"/>
      <c r="H119" s="78"/>
    </row>
    <row r="120" spans="2:8">
      <c r="B120" s="77">
        <v>3</v>
      </c>
      <c r="C120" s="105">
        <f t="shared" si="2"/>
        <v>12721.810437560847</v>
      </c>
      <c r="D120" s="81"/>
      <c r="E120" s="80"/>
      <c r="F120" s="80"/>
      <c r="G120" s="80"/>
      <c r="H120" s="78"/>
    </row>
    <row r="121" spans="2:8">
      <c r="B121" s="77">
        <v>4</v>
      </c>
      <c r="C121" s="105">
        <f t="shared" si="2"/>
        <v>12721.810437560847</v>
      </c>
      <c r="D121" s="81"/>
      <c r="E121" s="80"/>
      <c r="F121" s="80"/>
      <c r="G121" s="80"/>
      <c r="H121" s="78"/>
    </row>
    <row r="122" spans="2:8">
      <c r="B122" s="77">
        <v>5</v>
      </c>
      <c r="C122" s="105">
        <f t="shared" si="2"/>
        <v>12721.810437560847</v>
      </c>
      <c r="D122" s="81"/>
      <c r="E122" s="80"/>
      <c r="F122" s="80"/>
      <c r="G122" s="80"/>
      <c r="H122" s="78"/>
    </row>
    <row r="123" spans="2:8">
      <c r="B123" s="77">
        <v>6</v>
      </c>
      <c r="C123" s="105">
        <f t="shared" si="2"/>
        <v>12721.810437560847</v>
      </c>
      <c r="D123" s="81"/>
      <c r="E123" s="80"/>
      <c r="F123" s="80"/>
      <c r="G123" s="80"/>
      <c r="H123" s="78"/>
    </row>
    <row r="124" spans="2:8">
      <c r="B124" s="77">
        <v>7</v>
      </c>
      <c r="C124" s="105">
        <f t="shared" si="2"/>
        <v>12721.810437560847</v>
      </c>
      <c r="D124" s="81"/>
      <c r="E124" s="80"/>
      <c r="F124" s="80"/>
      <c r="G124" s="80"/>
      <c r="H124" s="78"/>
    </row>
    <row r="125" spans="2:8">
      <c r="B125" s="77">
        <v>8</v>
      </c>
      <c r="C125" s="105">
        <f t="shared" si="2"/>
        <v>12721.810437560847</v>
      </c>
      <c r="D125" s="81"/>
      <c r="E125" s="80"/>
      <c r="F125" s="80"/>
      <c r="G125" s="80"/>
      <c r="H125" s="78"/>
    </row>
    <row r="126" spans="2:8">
      <c r="B126" s="77">
        <v>9</v>
      </c>
      <c r="C126" s="105">
        <f t="shared" si="2"/>
        <v>12721.810437560847</v>
      </c>
      <c r="D126" s="81"/>
      <c r="E126" s="80"/>
      <c r="F126" s="80"/>
      <c r="G126" s="80"/>
      <c r="H126" s="78"/>
    </row>
    <row r="127" spans="2:8">
      <c r="B127" s="77">
        <v>10</v>
      </c>
      <c r="C127" s="105">
        <f t="shared" si="2"/>
        <v>12721.810437560847</v>
      </c>
      <c r="D127" s="81"/>
      <c r="E127" s="80"/>
      <c r="F127" s="80"/>
      <c r="G127" s="80"/>
      <c r="H127" s="78"/>
    </row>
    <row r="128" spans="2:8">
      <c r="B128" s="77">
        <v>11</v>
      </c>
      <c r="C128" s="105">
        <f t="shared" si="2"/>
        <v>12721.810437560847</v>
      </c>
      <c r="D128" s="81"/>
      <c r="E128" s="80"/>
      <c r="F128" s="80"/>
      <c r="G128" s="80"/>
      <c r="H128" s="78"/>
    </row>
    <row r="129" spans="2:8">
      <c r="B129" s="77">
        <v>12</v>
      </c>
      <c r="C129" s="105">
        <f t="shared" si="2"/>
        <v>12721.810437560847</v>
      </c>
      <c r="D129" s="81"/>
      <c r="E129" s="80"/>
      <c r="F129" s="80"/>
      <c r="G129" s="80"/>
      <c r="H129" s="78"/>
    </row>
    <row r="130" spans="2:8">
      <c r="B130" s="77">
        <v>13</v>
      </c>
      <c r="C130" s="105">
        <f>($E$106+$E$108)/12</f>
        <v>12721.810437560847</v>
      </c>
      <c r="D130" s="81"/>
      <c r="E130" s="80"/>
      <c r="F130" s="80"/>
      <c r="G130" s="80"/>
      <c r="H130" s="78"/>
    </row>
    <row r="131" spans="2:8">
      <c r="B131" s="77">
        <v>14</v>
      </c>
      <c r="C131" s="105">
        <f t="shared" ref="C131:C141" si="3">($E$106+$E$108)/12</f>
        <v>12721.810437560847</v>
      </c>
      <c r="D131" s="81"/>
      <c r="E131" s="80"/>
      <c r="F131" s="80"/>
      <c r="G131" s="80"/>
      <c r="H131" s="78"/>
    </row>
    <row r="132" spans="2:8">
      <c r="B132" s="77">
        <v>15</v>
      </c>
      <c r="C132" s="105">
        <f t="shared" si="3"/>
        <v>12721.810437560847</v>
      </c>
      <c r="D132" s="81"/>
      <c r="E132" s="80"/>
      <c r="F132" s="80"/>
      <c r="G132" s="80"/>
      <c r="H132" s="78"/>
    </row>
    <row r="133" spans="2:8">
      <c r="B133" s="77">
        <v>16</v>
      </c>
      <c r="C133" s="105">
        <f t="shared" si="3"/>
        <v>12721.810437560847</v>
      </c>
      <c r="D133" s="81"/>
      <c r="E133" s="80"/>
      <c r="F133" s="80"/>
      <c r="G133" s="80"/>
      <c r="H133" s="78"/>
    </row>
    <row r="134" spans="2:8">
      <c r="B134" s="77">
        <v>17</v>
      </c>
      <c r="C134" s="105">
        <f t="shared" si="3"/>
        <v>12721.810437560847</v>
      </c>
      <c r="D134" s="81"/>
      <c r="E134" s="80"/>
      <c r="F134" s="80"/>
      <c r="G134" s="80"/>
      <c r="H134" s="78"/>
    </row>
    <row r="135" spans="2:8">
      <c r="B135" s="77">
        <v>18</v>
      </c>
      <c r="C135" s="105">
        <f t="shared" si="3"/>
        <v>12721.810437560847</v>
      </c>
      <c r="D135" s="81"/>
      <c r="E135" s="80"/>
      <c r="F135" s="80"/>
      <c r="G135" s="80"/>
      <c r="H135" s="78"/>
    </row>
    <row r="136" spans="2:8">
      <c r="B136" s="77">
        <v>19</v>
      </c>
      <c r="C136" s="105">
        <f t="shared" si="3"/>
        <v>12721.810437560847</v>
      </c>
      <c r="D136" s="81"/>
      <c r="E136" s="80"/>
      <c r="F136" s="80"/>
      <c r="G136" s="80"/>
      <c r="H136" s="78"/>
    </row>
    <row r="137" spans="2:8">
      <c r="B137" s="77">
        <v>20</v>
      </c>
      <c r="C137" s="105">
        <f t="shared" si="3"/>
        <v>12721.810437560847</v>
      </c>
      <c r="D137" s="81"/>
      <c r="E137" s="80"/>
      <c r="F137" s="80"/>
      <c r="G137" s="80"/>
      <c r="H137" s="78"/>
    </row>
    <row r="138" spans="2:8">
      <c r="B138" s="77">
        <v>21</v>
      </c>
      <c r="C138" s="105">
        <f t="shared" si="3"/>
        <v>12721.810437560847</v>
      </c>
      <c r="D138" s="81"/>
      <c r="E138" s="80"/>
      <c r="F138" s="80"/>
      <c r="G138" s="80"/>
      <c r="H138" s="78"/>
    </row>
    <row r="139" spans="2:8">
      <c r="B139" s="77">
        <v>22</v>
      </c>
      <c r="C139" s="105">
        <f t="shared" si="3"/>
        <v>12721.810437560847</v>
      </c>
      <c r="D139" s="81"/>
      <c r="E139" s="80"/>
      <c r="F139" s="80"/>
      <c r="G139" s="80"/>
      <c r="H139" s="78"/>
    </row>
    <row r="140" spans="2:8">
      <c r="B140" s="77">
        <v>23</v>
      </c>
      <c r="C140" s="105">
        <f t="shared" si="3"/>
        <v>12721.810437560847</v>
      </c>
      <c r="D140" s="81"/>
      <c r="E140" s="80"/>
      <c r="F140" s="80"/>
      <c r="G140" s="80"/>
      <c r="H140" s="78"/>
    </row>
    <row r="141" spans="2:8">
      <c r="B141" s="77">
        <v>24</v>
      </c>
      <c r="C141" s="105">
        <f t="shared" si="3"/>
        <v>12721.810437560847</v>
      </c>
      <c r="D141" s="81"/>
      <c r="E141" s="80"/>
      <c r="F141" s="80"/>
      <c r="G141" s="80"/>
      <c r="H141" s="78"/>
    </row>
    <row r="142" spans="2:8">
      <c r="B142" s="77">
        <v>25</v>
      </c>
      <c r="C142" s="105">
        <f>($F$106+$F$108)/12</f>
        <v>12721.810437560847</v>
      </c>
      <c r="D142" s="81"/>
      <c r="E142" s="80"/>
      <c r="F142" s="80"/>
      <c r="G142" s="80"/>
      <c r="H142" s="78"/>
    </row>
    <row r="143" spans="2:8">
      <c r="B143" s="77">
        <v>26</v>
      </c>
      <c r="C143" s="105">
        <f t="shared" ref="C143:C153" si="4">($F$106+$F$108)/12</f>
        <v>12721.810437560847</v>
      </c>
      <c r="D143" s="81"/>
      <c r="E143" s="80"/>
      <c r="F143" s="80"/>
      <c r="G143" s="80"/>
      <c r="H143" s="78"/>
    </row>
    <row r="144" spans="2:8">
      <c r="B144" s="77">
        <v>27</v>
      </c>
      <c r="C144" s="105">
        <f t="shared" si="4"/>
        <v>12721.810437560847</v>
      </c>
      <c r="D144" s="81"/>
      <c r="E144" s="80"/>
      <c r="F144" s="80"/>
      <c r="G144" s="80"/>
      <c r="H144" s="78"/>
    </row>
    <row r="145" spans="2:8">
      <c r="B145" s="77">
        <v>28</v>
      </c>
      <c r="C145" s="105">
        <f t="shared" si="4"/>
        <v>12721.810437560847</v>
      </c>
      <c r="D145" s="81"/>
      <c r="E145" s="80"/>
      <c r="F145" s="80"/>
      <c r="G145" s="80"/>
      <c r="H145" s="78"/>
    </row>
    <row r="146" spans="2:8">
      <c r="B146" s="77">
        <v>29</v>
      </c>
      <c r="C146" s="105">
        <f t="shared" si="4"/>
        <v>12721.810437560847</v>
      </c>
      <c r="D146" s="81"/>
      <c r="E146" s="80"/>
      <c r="F146" s="80"/>
      <c r="G146" s="80"/>
      <c r="H146" s="78"/>
    </row>
    <row r="147" spans="2:8">
      <c r="B147" s="77">
        <v>30</v>
      </c>
      <c r="C147" s="105">
        <f t="shared" si="4"/>
        <v>12721.810437560847</v>
      </c>
      <c r="D147" s="81"/>
      <c r="E147" s="80"/>
      <c r="F147" s="80"/>
      <c r="G147" s="80"/>
      <c r="H147" s="78"/>
    </row>
    <row r="148" spans="2:8">
      <c r="B148" s="77">
        <v>31</v>
      </c>
      <c r="C148" s="105">
        <f t="shared" si="4"/>
        <v>12721.810437560847</v>
      </c>
      <c r="D148" s="81"/>
      <c r="E148" s="80"/>
      <c r="F148" s="80"/>
      <c r="G148" s="80"/>
      <c r="H148" s="78"/>
    </row>
    <row r="149" spans="2:8">
      <c r="B149" s="77">
        <v>32</v>
      </c>
      <c r="C149" s="105">
        <f t="shared" si="4"/>
        <v>12721.810437560847</v>
      </c>
      <c r="D149" s="81"/>
      <c r="E149" s="80"/>
      <c r="F149" s="80"/>
      <c r="G149" s="80"/>
      <c r="H149" s="78"/>
    </row>
    <row r="150" spans="2:8">
      <c r="B150" s="77">
        <v>33</v>
      </c>
      <c r="C150" s="105">
        <f t="shared" si="4"/>
        <v>12721.810437560847</v>
      </c>
      <c r="D150" s="81"/>
      <c r="E150" s="80"/>
      <c r="F150" s="80"/>
      <c r="G150" s="80"/>
      <c r="H150" s="78"/>
    </row>
    <row r="151" spans="2:8">
      <c r="B151" s="77">
        <v>34</v>
      </c>
      <c r="C151" s="105">
        <f t="shared" si="4"/>
        <v>12721.810437560847</v>
      </c>
      <c r="D151" s="81"/>
      <c r="E151" s="80"/>
      <c r="F151" s="80"/>
      <c r="G151" s="80"/>
      <c r="H151" s="78"/>
    </row>
    <row r="152" spans="2:8">
      <c r="B152" s="77">
        <v>35</v>
      </c>
      <c r="C152" s="105">
        <f t="shared" si="4"/>
        <v>12721.810437560847</v>
      </c>
      <c r="D152" s="81"/>
      <c r="E152" s="80"/>
      <c r="F152" s="80"/>
      <c r="G152" s="80"/>
      <c r="H152" s="78"/>
    </row>
    <row r="153" spans="2:8">
      <c r="B153" s="77">
        <v>36</v>
      </c>
      <c r="C153" s="105">
        <f t="shared" si="4"/>
        <v>12721.810437560847</v>
      </c>
      <c r="D153" s="81"/>
      <c r="E153" s="80"/>
      <c r="F153" s="80"/>
      <c r="G153" s="80"/>
      <c r="H153" s="78"/>
    </row>
    <row r="154" spans="2:8">
      <c r="B154" s="77">
        <v>37</v>
      </c>
      <c r="C154" s="105">
        <f>($G$106+$G$108)/12</f>
        <v>12721.810437560847</v>
      </c>
      <c r="D154" s="81"/>
      <c r="E154" s="80"/>
      <c r="F154" s="80"/>
      <c r="G154" s="80"/>
      <c r="H154" s="78"/>
    </row>
    <row r="155" spans="2:8">
      <c r="B155" s="77">
        <v>38</v>
      </c>
      <c r="C155" s="105">
        <f t="shared" ref="C155:C165" si="5">($G$106+$G$108)/12</f>
        <v>12721.810437560847</v>
      </c>
      <c r="D155" s="81"/>
      <c r="E155" s="80"/>
      <c r="F155" s="80"/>
      <c r="G155" s="80"/>
      <c r="H155" s="78"/>
    </row>
    <row r="156" spans="2:8">
      <c r="B156" s="77">
        <v>39</v>
      </c>
      <c r="C156" s="105">
        <f t="shared" si="5"/>
        <v>12721.810437560847</v>
      </c>
      <c r="D156" s="81"/>
      <c r="E156" s="80"/>
      <c r="F156" s="80"/>
      <c r="G156" s="80"/>
      <c r="H156" s="78"/>
    </row>
    <row r="157" spans="2:8">
      <c r="B157" s="77">
        <v>40</v>
      </c>
      <c r="C157" s="105">
        <f t="shared" si="5"/>
        <v>12721.810437560847</v>
      </c>
      <c r="D157" s="81"/>
      <c r="E157" s="80"/>
      <c r="F157" s="80"/>
      <c r="G157" s="80"/>
      <c r="H157" s="78"/>
    </row>
    <row r="158" spans="2:8">
      <c r="B158" s="77">
        <v>41</v>
      </c>
      <c r="C158" s="105">
        <f t="shared" si="5"/>
        <v>12721.810437560847</v>
      </c>
      <c r="D158" s="81"/>
      <c r="E158" s="80"/>
      <c r="F158" s="80"/>
      <c r="G158" s="80"/>
      <c r="H158" s="78"/>
    </row>
    <row r="159" spans="2:8">
      <c r="B159" s="77">
        <v>42</v>
      </c>
      <c r="C159" s="105">
        <f t="shared" si="5"/>
        <v>12721.810437560847</v>
      </c>
      <c r="D159" s="81"/>
      <c r="E159" s="80"/>
      <c r="F159" s="80"/>
      <c r="G159" s="80"/>
      <c r="H159" s="78"/>
    </row>
    <row r="160" spans="2:8">
      <c r="B160" s="77">
        <v>43</v>
      </c>
      <c r="C160" s="105">
        <f t="shared" si="5"/>
        <v>12721.810437560847</v>
      </c>
      <c r="D160" s="81"/>
      <c r="E160" s="80"/>
      <c r="F160" s="80"/>
      <c r="G160" s="80"/>
      <c r="H160" s="78"/>
    </row>
    <row r="161" spans="2:8">
      <c r="B161" s="77">
        <v>44</v>
      </c>
      <c r="C161" s="105">
        <f t="shared" si="5"/>
        <v>12721.810437560847</v>
      </c>
      <c r="D161" s="81"/>
      <c r="E161" s="80"/>
      <c r="F161" s="80"/>
      <c r="G161" s="80"/>
      <c r="H161" s="78"/>
    </row>
    <row r="162" spans="2:8">
      <c r="B162" s="77">
        <v>45</v>
      </c>
      <c r="C162" s="105">
        <f t="shared" si="5"/>
        <v>12721.810437560847</v>
      </c>
      <c r="D162" s="81"/>
      <c r="E162" s="80"/>
      <c r="F162" s="80"/>
      <c r="G162" s="80"/>
      <c r="H162" s="78"/>
    </row>
    <row r="163" spans="2:8">
      <c r="B163" s="77">
        <v>46</v>
      </c>
      <c r="C163" s="105">
        <f t="shared" si="5"/>
        <v>12721.810437560847</v>
      </c>
      <c r="D163" s="81"/>
      <c r="E163" s="80"/>
      <c r="F163" s="80"/>
      <c r="G163" s="80"/>
      <c r="H163" s="78"/>
    </row>
    <row r="164" spans="2:8">
      <c r="B164" s="77">
        <v>47</v>
      </c>
      <c r="C164" s="105">
        <f t="shared" si="5"/>
        <v>12721.810437560847</v>
      </c>
      <c r="D164" s="81"/>
      <c r="E164" s="80"/>
      <c r="F164" s="80"/>
      <c r="G164" s="80"/>
      <c r="H164" s="78"/>
    </row>
    <row r="165" spans="2:8">
      <c r="B165" s="77">
        <v>48</v>
      </c>
      <c r="C165" s="105">
        <f t="shared" si="5"/>
        <v>12721.810437560847</v>
      </c>
      <c r="D165" s="81"/>
      <c r="E165" s="80"/>
      <c r="F165" s="80"/>
      <c r="G165" s="80"/>
      <c r="H165" s="78"/>
    </row>
    <row r="166" spans="2:8">
      <c r="B166" s="77">
        <v>49</v>
      </c>
      <c r="C166" s="105">
        <f>($H$106+$G$48)/12</f>
        <v>12721.810437560847</v>
      </c>
      <c r="D166" s="81"/>
      <c r="E166" s="80"/>
      <c r="F166" s="80"/>
      <c r="G166" s="80"/>
      <c r="H166" s="78"/>
    </row>
    <row r="167" spans="2:8">
      <c r="B167" s="77">
        <v>50</v>
      </c>
      <c r="C167" s="105">
        <f t="shared" ref="C167:C176" si="6">($H$106+$G$48)/12</f>
        <v>12721.810437560847</v>
      </c>
      <c r="D167" s="81"/>
      <c r="E167" s="80"/>
      <c r="F167" s="80"/>
      <c r="G167" s="80"/>
      <c r="H167" s="78"/>
    </row>
    <row r="168" spans="2:8">
      <c r="B168" s="77">
        <v>51</v>
      </c>
      <c r="C168" s="105">
        <f t="shared" si="6"/>
        <v>12721.810437560847</v>
      </c>
      <c r="D168" s="81"/>
      <c r="E168" s="80"/>
      <c r="F168" s="80"/>
      <c r="G168" s="80"/>
      <c r="H168" s="78"/>
    </row>
    <row r="169" spans="2:8">
      <c r="B169" s="77">
        <v>52</v>
      </c>
      <c r="C169" s="105">
        <f t="shared" si="6"/>
        <v>12721.810437560847</v>
      </c>
      <c r="D169" s="81"/>
      <c r="E169" s="80"/>
      <c r="F169" s="80"/>
      <c r="G169" s="80"/>
      <c r="H169" s="78"/>
    </row>
    <row r="170" spans="2:8">
      <c r="B170" s="77">
        <v>53</v>
      </c>
      <c r="C170" s="105">
        <f t="shared" si="6"/>
        <v>12721.810437560847</v>
      </c>
      <c r="D170" s="81"/>
      <c r="E170" s="80"/>
      <c r="F170" s="80"/>
      <c r="G170" s="80"/>
      <c r="H170" s="78"/>
    </row>
    <row r="171" spans="2:8">
      <c r="B171" s="77">
        <v>54</v>
      </c>
      <c r="C171" s="105">
        <f t="shared" si="6"/>
        <v>12721.810437560847</v>
      </c>
      <c r="D171" s="81"/>
      <c r="E171" s="80"/>
      <c r="F171" s="80"/>
      <c r="G171" s="80"/>
      <c r="H171" s="78"/>
    </row>
    <row r="172" spans="2:8">
      <c r="B172" s="77">
        <v>55</v>
      </c>
      <c r="C172" s="105">
        <f t="shared" si="6"/>
        <v>12721.810437560847</v>
      </c>
      <c r="D172" s="81"/>
      <c r="E172" s="80"/>
      <c r="F172" s="80"/>
      <c r="G172" s="80"/>
      <c r="H172" s="78"/>
    </row>
    <row r="173" spans="2:8">
      <c r="B173" s="77">
        <v>56</v>
      </c>
      <c r="C173" s="105">
        <f t="shared" si="6"/>
        <v>12721.810437560847</v>
      </c>
      <c r="D173" s="81"/>
      <c r="E173" s="80"/>
      <c r="F173" s="80"/>
      <c r="G173" s="80"/>
      <c r="H173" s="78"/>
    </row>
    <row r="174" spans="2:8">
      <c r="B174" s="77">
        <v>57</v>
      </c>
      <c r="C174" s="105">
        <f t="shared" si="6"/>
        <v>12721.810437560847</v>
      </c>
      <c r="D174" s="81"/>
      <c r="E174" s="80"/>
      <c r="F174" s="80"/>
      <c r="G174" s="80"/>
      <c r="H174" s="78"/>
    </row>
    <row r="175" spans="2:8">
      <c r="B175" s="77">
        <v>58</v>
      </c>
      <c r="C175" s="105">
        <f t="shared" si="6"/>
        <v>12721.810437560847</v>
      </c>
      <c r="D175" s="81"/>
      <c r="E175" s="80"/>
      <c r="F175" s="80"/>
      <c r="G175" s="80"/>
      <c r="H175" s="78"/>
    </row>
    <row r="176" spans="2:8">
      <c r="B176" s="77">
        <v>59</v>
      </c>
      <c r="C176" s="105">
        <f t="shared" si="6"/>
        <v>12721.810437560847</v>
      </c>
      <c r="D176" s="81"/>
      <c r="E176" s="80"/>
      <c r="F176" s="80"/>
      <c r="G176" s="80"/>
      <c r="H176" s="78"/>
    </row>
    <row r="177" spans="2:8">
      <c r="B177" s="77">
        <v>60</v>
      </c>
      <c r="C177" s="105">
        <f>($H$106+$G$48)/12+E66+H107</f>
        <v>1331014.5660974826</v>
      </c>
      <c r="D177" s="81"/>
      <c r="E177" s="80"/>
      <c r="F177" s="80"/>
      <c r="G177" s="80"/>
      <c r="H177" s="78"/>
    </row>
    <row r="178" spans="2:8" ht="13.5" thickBot="1">
      <c r="B178" s="12"/>
      <c r="C178" s="18"/>
      <c r="D178" s="14"/>
      <c r="E178" s="14"/>
      <c r="F178" s="14"/>
      <c r="G178" s="14"/>
      <c r="H178" s="18"/>
    </row>
    <row r="179" spans="2:8" ht="13.5" thickBot="1">
      <c r="B179" s="60" t="s">
        <v>81</v>
      </c>
      <c r="C179" s="60">
        <f>IRR(C117:C177,0.1/12)*12</f>
        <v>9.999999999999698E-2</v>
      </c>
      <c r="D179" s="21"/>
      <c r="E179" s="21"/>
      <c r="F179" s="21"/>
      <c r="G179" s="21"/>
      <c r="H179" s="22"/>
    </row>
  </sheetData>
  <mergeCells count="12">
    <mergeCell ref="B114:C114"/>
    <mergeCell ref="B35:G35"/>
    <mergeCell ref="B42:G42"/>
    <mergeCell ref="B61:E61"/>
    <mergeCell ref="B83:H83"/>
    <mergeCell ref="B94:H94"/>
    <mergeCell ref="B104:H104"/>
    <mergeCell ref="B10:G10"/>
    <mergeCell ref="B2:H2"/>
    <mergeCell ref="B3:H3"/>
    <mergeCell ref="B5:H5"/>
    <mergeCell ref="B6:H7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K178"/>
  <sheetViews>
    <sheetView zoomScale="130" zoomScaleNormal="130" workbookViewId="0"/>
  </sheetViews>
  <sheetFormatPr defaultRowHeight="12.75"/>
  <cols>
    <col min="2" max="2" width="31" customWidth="1"/>
    <col min="3" max="3" width="13.85546875" customWidth="1"/>
    <col min="4" max="4" width="12.42578125" bestFit="1" customWidth="1"/>
    <col min="5" max="5" width="18.7109375" customWidth="1"/>
    <col min="6" max="6" width="9.85546875" customWidth="1"/>
    <col min="7" max="7" width="10.42578125" customWidth="1"/>
    <col min="8" max="8" width="10.5703125" customWidth="1"/>
    <col min="11" max="11" width="9.7109375" customWidth="1"/>
  </cols>
  <sheetData>
    <row r="1" spans="1:8" ht="13.5" thickBot="1">
      <c r="A1" s="89" t="s">
        <v>148</v>
      </c>
    </row>
    <row r="2" spans="1:8" ht="18.75" thickBot="1">
      <c r="B2" s="123"/>
      <c r="C2" s="124"/>
      <c r="D2" s="124"/>
      <c r="E2" s="124"/>
      <c r="F2" s="124"/>
      <c r="G2" s="124"/>
      <c r="H2" s="125"/>
    </row>
    <row r="3" spans="1:8" ht="16.5" thickBot="1">
      <c r="B3" s="126" t="s">
        <v>116</v>
      </c>
      <c r="C3" s="127"/>
      <c r="D3" s="127"/>
      <c r="E3" s="127"/>
      <c r="F3" s="127"/>
      <c r="G3" s="127"/>
      <c r="H3" s="128"/>
    </row>
    <row r="4" spans="1:8" ht="15.75">
      <c r="B4" s="1"/>
      <c r="C4" s="2"/>
      <c r="D4" s="2"/>
      <c r="E4" s="3"/>
      <c r="F4" s="2"/>
      <c r="G4" s="2"/>
      <c r="H4" s="4"/>
    </row>
    <row r="5" spans="1:8">
      <c r="B5" s="141" t="s">
        <v>142</v>
      </c>
      <c r="C5" s="142"/>
      <c r="D5" s="142"/>
      <c r="E5" s="142"/>
      <c r="F5" s="142"/>
      <c r="G5" s="142"/>
      <c r="H5" s="143"/>
    </row>
    <row r="6" spans="1:8">
      <c r="B6" s="144" t="s">
        <v>0</v>
      </c>
      <c r="C6" s="145"/>
      <c r="D6" s="145"/>
      <c r="E6" s="145"/>
      <c r="F6" s="145"/>
      <c r="G6" s="145"/>
      <c r="H6" s="146"/>
    </row>
    <row r="7" spans="1:8">
      <c r="B7" s="147"/>
      <c r="C7" s="148"/>
      <c r="D7" s="148"/>
      <c r="E7" s="148"/>
      <c r="F7" s="148"/>
      <c r="G7" s="148"/>
      <c r="H7" s="149"/>
    </row>
    <row r="8" spans="1:8">
      <c r="B8" s="5"/>
      <c r="C8" s="6"/>
      <c r="D8" s="6"/>
      <c r="E8" s="6"/>
      <c r="F8" s="6"/>
      <c r="G8" s="6"/>
      <c r="H8" s="7"/>
    </row>
    <row r="9" spans="1:8" ht="13.5" thickBot="1">
      <c r="B9" s="8"/>
      <c r="C9" s="9"/>
      <c r="D9" s="9"/>
      <c r="E9" s="10"/>
      <c r="F9" s="10"/>
      <c r="G9" s="10"/>
      <c r="H9" s="11"/>
    </row>
    <row r="10" spans="1:8" ht="13.5" thickBot="1">
      <c r="B10" s="120" t="s">
        <v>1</v>
      </c>
      <c r="C10" s="121"/>
      <c r="D10" s="121"/>
      <c r="E10" s="121"/>
      <c r="F10" s="121"/>
      <c r="G10" s="122"/>
      <c r="H10" s="11"/>
    </row>
    <row r="11" spans="1:8" ht="13.5" thickBot="1">
      <c r="B11" s="12" t="s">
        <v>2</v>
      </c>
      <c r="C11" s="82">
        <v>2000000</v>
      </c>
      <c r="D11" s="14"/>
      <c r="E11" s="15" t="s">
        <v>3</v>
      </c>
      <c r="F11" s="16"/>
      <c r="G11" s="17"/>
      <c r="H11" s="11"/>
    </row>
    <row r="12" spans="1:8">
      <c r="B12" s="12" t="s">
        <v>4</v>
      </c>
      <c r="C12" s="82">
        <v>190000</v>
      </c>
      <c r="D12" s="14"/>
      <c r="E12" s="12" t="s">
        <v>5</v>
      </c>
      <c r="F12" s="82">
        <v>1600000</v>
      </c>
      <c r="G12" s="18"/>
      <c r="H12" s="11"/>
    </row>
    <row r="13" spans="1:8">
      <c r="B13" s="12" t="s">
        <v>6</v>
      </c>
      <c r="C13" s="83">
        <v>0.03</v>
      </c>
      <c r="D13" s="14"/>
      <c r="E13" s="12" t="s">
        <v>7</v>
      </c>
      <c r="F13" s="13">
        <v>27.5</v>
      </c>
      <c r="G13" s="18" t="s">
        <v>8</v>
      </c>
      <c r="H13" s="11"/>
    </row>
    <row r="14" spans="1:8">
      <c r="B14" s="12" t="s">
        <v>9</v>
      </c>
      <c r="C14" s="101">
        <v>0.8</v>
      </c>
      <c r="D14" s="14"/>
      <c r="E14" s="12" t="s">
        <v>10</v>
      </c>
      <c r="F14" s="83">
        <v>0.36</v>
      </c>
      <c r="G14" s="18"/>
      <c r="H14" s="11"/>
    </row>
    <row r="15" spans="1:8">
      <c r="B15" s="12" t="s">
        <v>11</v>
      </c>
      <c r="C15" s="101">
        <v>0.11</v>
      </c>
      <c r="D15" s="14"/>
      <c r="E15" s="12" t="s">
        <v>82</v>
      </c>
      <c r="F15" s="14"/>
      <c r="G15" s="18"/>
      <c r="H15" s="11"/>
    </row>
    <row r="16" spans="1:8">
      <c r="B16" s="12" t="s">
        <v>12</v>
      </c>
      <c r="C16" s="13">
        <v>0</v>
      </c>
      <c r="D16" s="14"/>
      <c r="E16" s="12"/>
      <c r="F16" s="14"/>
      <c r="G16" s="18"/>
      <c r="H16" s="11"/>
    </row>
    <row r="17" spans="2:8">
      <c r="B17" s="12" t="s">
        <v>13</v>
      </c>
      <c r="C17" s="13">
        <v>25</v>
      </c>
      <c r="D17" s="14" t="s">
        <v>8</v>
      </c>
      <c r="E17" s="12"/>
      <c r="F17" s="14"/>
      <c r="G17" s="18"/>
      <c r="H17" s="11"/>
    </row>
    <row r="18" spans="2:8">
      <c r="B18" s="12" t="s">
        <v>14</v>
      </c>
      <c r="C18" s="13">
        <v>25</v>
      </c>
      <c r="D18" s="14" t="s">
        <v>8</v>
      </c>
      <c r="E18" s="12"/>
      <c r="F18" s="14"/>
      <c r="G18" s="18"/>
      <c r="H18" s="11"/>
    </row>
    <row r="19" spans="2:8">
      <c r="B19" s="12" t="s">
        <v>15</v>
      </c>
      <c r="C19" s="13">
        <v>12</v>
      </c>
      <c r="D19" s="14"/>
      <c r="E19" s="12"/>
      <c r="F19" s="14"/>
      <c r="G19" s="18"/>
      <c r="H19" s="11"/>
    </row>
    <row r="20" spans="2:8">
      <c r="B20" s="12" t="s">
        <v>16</v>
      </c>
      <c r="C20" s="97">
        <v>0</v>
      </c>
      <c r="D20" s="14" t="s">
        <v>17</v>
      </c>
      <c r="E20" s="12"/>
      <c r="F20" s="14"/>
      <c r="G20" s="18"/>
      <c r="H20" s="11"/>
    </row>
    <row r="21" spans="2:8">
      <c r="B21" s="12" t="s">
        <v>18</v>
      </c>
      <c r="C21" s="13">
        <v>0</v>
      </c>
      <c r="D21" s="14"/>
      <c r="E21" s="12"/>
      <c r="F21" s="14"/>
      <c r="G21" s="18"/>
      <c r="H21" s="11"/>
    </row>
    <row r="22" spans="2:8">
      <c r="B22" s="12" t="s">
        <v>16</v>
      </c>
      <c r="C22" s="13">
        <v>0</v>
      </c>
      <c r="D22" s="14" t="s">
        <v>19</v>
      </c>
      <c r="E22" s="12"/>
      <c r="F22" s="14"/>
      <c r="G22" s="18"/>
      <c r="H22" s="11"/>
    </row>
    <row r="23" spans="2:8">
      <c r="B23" s="12" t="s">
        <v>20</v>
      </c>
      <c r="C23" s="13">
        <v>0</v>
      </c>
      <c r="D23" s="14"/>
      <c r="E23" s="12"/>
      <c r="F23" s="14"/>
      <c r="G23" s="18"/>
      <c r="H23" s="11"/>
    </row>
    <row r="24" spans="2:8">
      <c r="B24" s="12" t="s">
        <v>21</v>
      </c>
      <c r="C24" s="83">
        <v>0.03</v>
      </c>
      <c r="D24" s="14"/>
      <c r="E24" s="12"/>
      <c r="F24" s="14"/>
      <c r="G24" s="18"/>
      <c r="H24" s="11"/>
    </row>
    <row r="25" spans="2:8">
      <c r="B25" s="12" t="s">
        <v>22</v>
      </c>
      <c r="C25" s="13">
        <v>0</v>
      </c>
      <c r="D25" s="14"/>
      <c r="E25" s="12"/>
      <c r="F25" s="14"/>
      <c r="G25" s="18"/>
      <c r="H25" s="11"/>
    </row>
    <row r="26" spans="2:8">
      <c r="B26" s="12" t="s">
        <v>23</v>
      </c>
      <c r="C26" s="13">
        <v>5</v>
      </c>
      <c r="D26" s="14" t="s">
        <v>8</v>
      </c>
      <c r="E26" s="12"/>
      <c r="F26" s="14"/>
      <c r="G26" s="18"/>
      <c r="H26" s="11"/>
    </row>
    <row r="27" spans="2:8" ht="13.5" thickBot="1">
      <c r="B27" s="19" t="s">
        <v>24</v>
      </c>
      <c r="C27" s="20">
        <v>0</v>
      </c>
      <c r="D27" s="21" t="s">
        <v>25</v>
      </c>
      <c r="E27" s="19"/>
      <c r="F27" s="21"/>
      <c r="G27" s="22"/>
      <c r="H27" s="11"/>
    </row>
    <row r="28" spans="2:8" ht="13.5" thickBot="1">
      <c r="B28" s="8"/>
      <c r="C28" s="23"/>
      <c r="D28" s="10"/>
      <c r="E28" s="10"/>
      <c r="F28" s="10"/>
      <c r="G28" s="10"/>
      <c r="H28" s="11"/>
    </row>
    <row r="29" spans="2:8">
      <c r="B29" s="24" t="s">
        <v>26</v>
      </c>
      <c r="C29" s="112">
        <f>IF(C23&gt;0,(1-C14)*F12,(1-C14)*C11)</f>
        <v>399999.99999999988</v>
      </c>
      <c r="D29" s="25"/>
      <c r="E29" s="26"/>
      <c r="F29" s="10"/>
      <c r="G29" s="10"/>
      <c r="H29" s="11"/>
    </row>
    <row r="30" spans="2:8">
      <c r="B30" s="27" t="s">
        <v>27</v>
      </c>
      <c r="C30" s="28">
        <f>IF(C23&gt;0,F12*C14,C14*C11)</f>
        <v>1600000</v>
      </c>
      <c r="D30" s="29"/>
      <c r="E30" s="30"/>
      <c r="F30" s="10"/>
      <c r="G30" s="10"/>
      <c r="H30" s="11"/>
    </row>
    <row r="31" spans="2:8">
      <c r="B31" s="27" t="s">
        <v>28</v>
      </c>
      <c r="C31" s="28">
        <f>PMT(C15/C19,C17*C19,-C30)*C19</f>
        <v>188181.71076801582</v>
      </c>
      <c r="D31" s="29"/>
      <c r="E31" s="30"/>
      <c r="F31" s="10"/>
      <c r="G31" s="10"/>
      <c r="H31" s="11"/>
    </row>
    <row r="32" spans="2:8">
      <c r="B32" s="27"/>
      <c r="C32" s="94"/>
      <c r="D32" s="84"/>
      <c r="E32" s="30"/>
      <c r="F32" s="10"/>
      <c r="G32" s="10"/>
      <c r="H32" s="11"/>
    </row>
    <row r="33" spans="2:11" ht="13.5" thickBot="1">
      <c r="B33" s="31" t="s">
        <v>30</v>
      </c>
      <c r="C33" s="32">
        <f>IF(C15&lt;C16,(FV(C16/C19,C26*C19,C31/C19,-C30)),PV(C15/C19,(C17-C26)*C19,-(C31/C19)))</f>
        <v>1519277.8127032726</v>
      </c>
      <c r="D33" s="33" t="s">
        <v>31</v>
      </c>
      <c r="E33" s="34">
        <f>C26</f>
        <v>5</v>
      </c>
      <c r="F33" s="10"/>
      <c r="G33" s="10"/>
      <c r="H33" s="11"/>
    </row>
    <row r="34" spans="2:11" ht="13.5" thickBot="1">
      <c r="B34" s="35"/>
      <c r="C34" s="10"/>
      <c r="D34" s="10"/>
      <c r="E34" s="10"/>
      <c r="F34" s="10"/>
      <c r="G34" s="10"/>
      <c r="H34" s="11"/>
    </row>
    <row r="35" spans="2:11" ht="13.5" thickBot="1">
      <c r="B35" s="136" t="s">
        <v>32</v>
      </c>
      <c r="C35" s="137"/>
      <c r="D35" s="137"/>
      <c r="E35" s="137"/>
      <c r="F35" s="137"/>
      <c r="G35" s="138"/>
      <c r="H35" s="11"/>
    </row>
    <row r="36" spans="2:11">
      <c r="B36" s="36" t="s">
        <v>33</v>
      </c>
      <c r="C36" s="37">
        <v>1</v>
      </c>
      <c r="D36" s="37">
        <f>(1+C36)</f>
        <v>2</v>
      </c>
      <c r="E36" s="37">
        <f>(1+D36)</f>
        <v>3</v>
      </c>
      <c r="F36" s="37">
        <f>(1+E36)</f>
        <v>4</v>
      </c>
      <c r="G36" s="38">
        <f>(1+F36)</f>
        <v>5</v>
      </c>
      <c r="H36" s="11"/>
    </row>
    <row r="37" spans="2:11">
      <c r="B37" s="27" t="s">
        <v>34</v>
      </c>
      <c r="C37" s="28">
        <f>$C$31</f>
        <v>188181.71076801582</v>
      </c>
      <c r="D37" s="28">
        <f>$C$31</f>
        <v>188181.71076801582</v>
      </c>
      <c r="E37" s="28">
        <f>$C$31</f>
        <v>188181.71076801582</v>
      </c>
      <c r="F37" s="28">
        <f>$C$31</f>
        <v>188181.71076801582</v>
      </c>
      <c r="G37" s="39">
        <f>$C$31</f>
        <v>188181.71076801582</v>
      </c>
      <c r="H37" s="30"/>
    </row>
    <row r="38" spans="2:11">
      <c r="B38" s="27" t="s">
        <v>30</v>
      </c>
      <c r="C38" s="28">
        <f>IF($C$15&lt;$C$16,FV($C$16/$C$19,C36*$C$19,$C$31/$C$19,-$C$30),IF($C$17&gt;C36-$C36+1,(($C31/$C$19)/PMT($C$15/($C$19),($C$17-(C36-$C36+1))*$C$19,-1)),0))</f>
        <v>1587184.9691550771</v>
      </c>
      <c r="D38" s="28">
        <f>IF($C$15&lt;$C$16,FV($C$16/$C$19,D36*$C$19,$C$31/$C$19,-$C$30),IF($C$17&gt;D36-$C36+1,(($C31/$C$19)/PMT($C$15/($C$19),($C$17-(D36-$C36+1))*$C$19,-1)),0))</f>
        <v>1572886.9978549744</v>
      </c>
      <c r="E38" s="28">
        <f>IF($C$15&lt;$C$16,FV($C$16/$C$19,E36*$C$19,$C$31/$C$19,-$C$30),IF($C$17&gt;E36-$C36+1,(($C31/$C$19)/PMT($C$15/($C$19),($C$17-(E36-$C36+1))*$C$19,-1)),0))</f>
        <v>1556934.481956071</v>
      </c>
      <c r="F38" s="28">
        <f>IF($C$15&lt;$C$16,FV($C$16/$C$19,F36*$C$19,$C$31/$C$19,-$C$30),IF($C$17&gt;F36-$C36+1,(($C31/$C$19)/PMT($C$15/($C$19),($C$17-(F36-$C36+1))*$C$19,-1)),0))</f>
        <v>1539135.9594829611</v>
      </c>
      <c r="G38" s="39">
        <f>IF($C$15&lt;$C$16,FV($C$16/$C$19,G36*$C$19,$C$31/$C$19,-$C$30),IF($C$17&gt;G36-$C36+1,(($C31/$C$19)/PMT($C$15/($C$19),($C$17-(G36-$C36+1))*$C$19,-1)),0))</f>
        <v>1519277.8127032686</v>
      </c>
      <c r="H38" s="30"/>
      <c r="K38" s="102"/>
    </row>
    <row r="39" spans="2:11">
      <c r="B39" s="27" t="s">
        <v>35</v>
      </c>
      <c r="C39" s="28">
        <f>($C$31-(C30-C38))</f>
        <v>175366.67992309295</v>
      </c>
      <c r="D39" s="28">
        <f>($C$31-(C38-D38))</f>
        <v>173883.73946791305</v>
      </c>
      <c r="E39" s="28">
        <f>($C$31-(D38-E38))</f>
        <v>172229.19486911246</v>
      </c>
      <c r="F39" s="28">
        <f>($C$31-(E38-F38))</f>
        <v>170383.18829490594</v>
      </c>
      <c r="G39" s="39">
        <f>($C$31-(F38-G38))</f>
        <v>168323.56398832332</v>
      </c>
      <c r="H39" s="30"/>
    </row>
    <row r="40" spans="2:11" ht="13.5" thickBot="1">
      <c r="B40" s="31" t="s">
        <v>36</v>
      </c>
      <c r="C40" s="40">
        <f>C37-C39</f>
        <v>12815.030844922876</v>
      </c>
      <c r="D40" s="40">
        <f>D37-D39</f>
        <v>14297.97130010277</v>
      </c>
      <c r="E40" s="40">
        <f>E37-E39</f>
        <v>15952.515898903366</v>
      </c>
      <c r="F40" s="40">
        <f>F37-F39</f>
        <v>17798.522473109886</v>
      </c>
      <c r="G40" s="41">
        <f>G37-G39</f>
        <v>19858.146779692499</v>
      </c>
      <c r="H40" s="30"/>
    </row>
    <row r="41" spans="2:11" ht="13.5" thickBot="1">
      <c r="B41" s="42"/>
      <c r="C41" s="28"/>
      <c r="D41" s="28"/>
      <c r="E41" s="28"/>
      <c r="F41" s="28"/>
      <c r="G41" s="28"/>
      <c r="H41" s="30"/>
    </row>
    <row r="42" spans="2:11" ht="13.5" thickBot="1">
      <c r="B42" s="136" t="s">
        <v>37</v>
      </c>
      <c r="C42" s="137"/>
      <c r="D42" s="137"/>
      <c r="E42" s="137"/>
      <c r="F42" s="137"/>
      <c r="G42" s="138"/>
      <c r="H42" s="30"/>
    </row>
    <row r="43" spans="2:11" ht="13.5" thickBot="1">
      <c r="B43" s="43" t="s">
        <v>38</v>
      </c>
      <c r="C43" s="43">
        <v>1</v>
      </c>
      <c r="D43" s="43">
        <v>2</v>
      </c>
      <c r="E43" s="43">
        <v>3</v>
      </c>
      <c r="F43" s="43">
        <v>4</v>
      </c>
      <c r="G43" s="43">
        <v>5</v>
      </c>
      <c r="H43" s="30"/>
    </row>
    <row r="44" spans="2:11">
      <c r="B44" s="27" t="s">
        <v>39</v>
      </c>
      <c r="C44" s="28">
        <f>C12</f>
        <v>190000</v>
      </c>
      <c r="D44" s="28">
        <f>C44*(1+$C$13)</f>
        <v>195700</v>
      </c>
      <c r="E44" s="28">
        <f>D44*(1+$C$13)</f>
        <v>201571</v>
      </c>
      <c r="F44" s="28">
        <f>E44*(1+$C$13)</f>
        <v>207618.13</v>
      </c>
      <c r="G44" s="39">
        <f>F44*(1+$C$13)</f>
        <v>213846.67390000002</v>
      </c>
      <c r="H44" s="30"/>
    </row>
    <row r="45" spans="2:11">
      <c r="B45" s="27" t="s">
        <v>40</v>
      </c>
      <c r="C45" s="28">
        <f>$C$37</f>
        <v>188181.71076801582</v>
      </c>
      <c r="D45" s="28">
        <f>$C$37</f>
        <v>188181.71076801582</v>
      </c>
      <c r="E45" s="28">
        <f>$C$37</f>
        <v>188181.71076801582</v>
      </c>
      <c r="F45" s="28">
        <f>$C$37</f>
        <v>188181.71076801582</v>
      </c>
      <c r="G45" s="39">
        <f>$C$37</f>
        <v>188181.71076801582</v>
      </c>
      <c r="H45" s="30"/>
    </row>
    <row r="46" spans="2:11">
      <c r="B46" s="27" t="s">
        <v>41</v>
      </c>
      <c r="C46" s="28">
        <f>$C$23</f>
        <v>0</v>
      </c>
      <c r="D46" s="28">
        <f>$C$23</f>
        <v>0</v>
      </c>
      <c r="E46" s="28">
        <f>$C$23</f>
        <v>0</v>
      </c>
      <c r="F46" s="28">
        <f>$C$23</f>
        <v>0</v>
      </c>
      <c r="G46" s="39">
        <f>$C$23</f>
        <v>0</v>
      </c>
      <c r="H46" s="30"/>
    </row>
    <row r="47" spans="2:11">
      <c r="B47" s="27" t="s">
        <v>42</v>
      </c>
      <c r="C47" s="28">
        <f>C44-C45-C46</f>
        <v>1818.2892319841776</v>
      </c>
      <c r="D47" s="28">
        <f>D44-D45-D46</f>
        <v>7518.2892319841776</v>
      </c>
      <c r="E47" s="28">
        <f>E44-E45-E46</f>
        <v>13389.289231984178</v>
      </c>
      <c r="F47" s="28">
        <f>F44-F45-F46</f>
        <v>19436.419231984182</v>
      </c>
      <c r="G47" s="39">
        <f>G44-G45-G46</f>
        <v>25664.963131984201</v>
      </c>
      <c r="H47" s="30"/>
    </row>
    <row r="48" spans="2:11">
      <c r="B48" s="27" t="s">
        <v>16</v>
      </c>
      <c r="C48" s="28">
        <f>IF(C44-$C$21&gt;0,$C$20*(C44-$C$21),0)</f>
        <v>0</v>
      </c>
      <c r="D48" s="28">
        <f>IF(D44-$C$21&gt;0,$C$20*(D44-$C$21),0)</f>
        <v>0</v>
      </c>
      <c r="E48" s="28">
        <f>IF(E44-$C$21&gt;0,$C$20*(E44-$C$21),0)</f>
        <v>0</v>
      </c>
      <c r="F48" s="28">
        <f>IF(F44-$C$21&gt;0,$C$20*(F44-$C$21),0)</f>
        <v>0</v>
      </c>
      <c r="G48" s="39">
        <f>IF(G44-$C$21&gt;0,$C$20*(G44-$C$21),0)</f>
        <v>0</v>
      </c>
      <c r="H48" s="11"/>
    </row>
    <row r="49" spans="2:8" ht="13.5" thickBot="1">
      <c r="B49" s="44" t="s">
        <v>43</v>
      </c>
      <c r="C49" s="45">
        <f>C47-C48</f>
        <v>1818.2892319841776</v>
      </c>
      <c r="D49" s="45">
        <f>D47-D48</f>
        <v>7518.2892319841776</v>
      </c>
      <c r="E49" s="45">
        <f>E47-E48</f>
        <v>13389.289231984178</v>
      </c>
      <c r="F49" s="45">
        <f>F47-F48</f>
        <v>19436.419231984182</v>
      </c>
      <c r="G49" s="46">
        <f>G47-G48</f>
        <v>25664.963131984201</v>
      </c>
      <c r="H49" s="11"/>
    </row>
    <row r="50" spans="2:8" ht="13.5" thickTop="1">
      <c r="B50" s="35"/>
      <c r="C50" s="28"/>
      <c r="D50" s="28"/>
      <c r="E50" s="28"/>
      <c r="F50" s="28"/>
      <c r="G50" s="39"/>
      <c r="H50" s="11"/>
    </row>
    <row r="51" spans="2:8">
      <c r="B51" s="27" t="s">
        <v>39</v>
      </c>
      <c r="C51" s="28">
        <f>C44</f>
        <v>190000</v>
      </c>
      <c r="D51" s="28">
        <f>D44</f>
        <v>195700</v>
      </c>
      <c r="E51" s="28">
        <f>E44</f>
        <v>201571</v>
      </c>
      <c r="F51" s="28">
        <f>F44</f>
        <v>207618.13</v>
      </c>
      <c r="G51" s="39">
        <f>G44</f>
        <v>213846.67390000002</v>
      </c>
      <c r="H51" s="30"/>
    </row>
    <row r="52" spans="2:8">
      <c r="B52" s="27" t="s">
        <v>44</v>
      </c>
      <c r="C52" s="28">
        <f>C39</f>
        <v>175366.67992309295</v>
      </c>
      <c r="D52" s="28">
        <f>D39</f>
        <v>173883.73946791305</v>
      </c>
      <c r="E52" s="28">
        <f>E39</f>
        <v>172229.19486911246</v>
      </c>
      <c r="F52" s="28">
        <f>F39</f>
        <v>170383.18829490594</v>
      </c>
      <c r="G52" s="39">
        <f>G39</f>
        <v>168323.56398832332</v>
      </c>
      <c r="H52" s="30"/>
    </row>
    <row r="53" spans="2:8">
      <c r="B53" s="27" t="s">
        <v>45</v>
      </c>
      <c r="C53" s="28">
        <f>$F$12/$F$13</f>
        <v>58181.818181818184</v>
      </c>
      <c r="D53" s="28">
        <f>$F$12/$F$13</f>
        <v>58181.818181818184</v>
      </c>
      <c r="E53" s="28">
        <f>$F$12/$F$13</f>
        <v>58181.818181818184</v>
      </c>
      <c r="F53" s="28">
        <f>$F$12/$F$13</f>
        <v>58181.818181818184</v>
      </c>
      <c r="G53" s="39">
        <f>$F$12/$F$13</f>
        <v>58181.818181818184</v>
      </c>
      <c r="H53" s="30"/>
    </row>
    <row r="54" spans="2:8">
      <c r="B54" s="27" t="s">
        <v>46</v>
      </c>
      <c r="C54" s="28">
        <f>C48</f>
        <v>0</v>
      </c>
      <c r="D54" s="28">
        <f>D48</f>
        <v>0</v>
      </c>
      <c r="E54" s="28">
        <f>E48</f>
        <v>0</v>
      </c>
      <c r="F54" s="28">
        <f>F48</f>
        <v>0</v>
      </c>
      <c r="G54" s="39">
        <f>G48</f>
        <v>0</v>
      </c>
      <c r="H54" s="11"/>
    </row>
    <row r="55" spans="2:8">
      <c r="B55" s="27" t="s">
        <v>41</v>
      </c>
      <c r="C55" s="28">
        <f>$C$23</f>
        <v>0</v>
      </c>
      <c r="D55" s="28">
        <f>$C$23</f>
        <v>0</v>
      </c>
      <c r="E55" s="28">
        <f>$C$23</f>
        <v>0</v>
      </c>
      <c r="F55" s="28">
        <f>$C$23</f>
        <v>0</v>
      </c>
      <c r="G55" s="39">
        <f>$C$23</f>
        <v>0</v>
      </c>
      <c r="H55" s="11"/>
    </row>
    <row r="56" spans="2:8">
      <c r="B56" s="27" t="s">
        <v>47</v>
      </c>
      <c r="C56" s="28">
        <f>C51-C52-C53-C54-C55</f>
        <v>-43548.49810491113</v>
      </c>
      <c r="D56" s="28">
        <f>D51-D52-D53-D54-D55</f>
        <v>-36365.557649731236</v>
      </c>
      <c r="E56" s="28">
        <f>E51-E52-E53-E54-E55</f>
        <v>-28840.01305093064</v>
      </c>
      <c r="F56" s="28">
        <f>F51-F52-F53-F54-F55</f>
        <v>-20946.876476724115</v>
      </c>
      <c r="G56" s="39">
        <f>G51-G52-G53-G54-G55</f>
        <v>-12658.708270141484</v>
      </c>
      <c r="H56" s="30"/>
    </row>
    <row r="57" spans="2:8">
      <c r="B57" s="27" t="s">
        <v>48</v>
      </c>
      <c r="C57" s="28">
        <f>C56*$F$14</f>
        <v>-15677.459317768007</v>
      </c>
      <c r="D57" s="28">
        <f>D56*$F$14</f>
        <v>-13091.600753903245</v>
      </c>
      <c r="E57" s="28">
        <f>E56*$F$14</f>
        <v>-10382.404698335031</v>
      </c>
      <c r="F57" s="28">
        <f>F56*$F$14</f>
        <v>-7540.8755316206816</v>
      </c>
      <c r="G57" s="39">
        <f>G56*$F$14</f>
        <v>-4557.1349772509338</v>
      </c>
      <c r="H57" s="30"/>
    </row>
    <row r="58" spans="2:8" ht="13.5" thickBot="1">
      <c r="B58" s="47" t="s">
        <v>49</v>
      </c>
      <c r="C58" s="110">
        <f>C49-C57</f>
        <v>17495.748549752185</v>
      </c>
      <c r="D58" s="48">
        <f>D49-D57</f>
        <v>20609.889985887421</v>
      </c>
      <c r="E58" s="48">
        <f>E49-E57</f>
        <v>23771.693930319208</v>
      </c>
      <c r="F58" s="48">
        <f>F49-F57</f>
        <v>26977.294763604863</v>
      </c>
      <c r="G58" s="49">
        <f>G49-G57</f>
        <v>30222.098109235136</v>
      </c>
      <c r="H58" s="30"/>
    </row>
    <row r="59" spans="2:8">
      <c r="B59" s="95" t="s">
        <v>114</v>
      </c>
      <c r="C59" s="111">
        <f>C44/C45</f>
        <v>1.0096624120620612</v>
      </c>
      <c r="D59" s="96">
        <f t="shared" ref="D59:G59" si="0">D44/D45</f>
        <v>1.0399522844239231</v>
      </c>
      <c r="E59" s="96">
        <f t="shared" si="0"/>
        <v>1.0711508529566407</v>
      </c>
      <c r="F59" s="96">
        <f t="shared" si="0"/>
        <v>1.1032853785453398</v>
      </c>
      <c r="G59" s="96">
        <f t="shared" si="0"/>
        <v>1.1363839399017002</v>
      </c>
      <c r="H59" s="30"/>
    </row>
    <row r="60" spans="2:8" ht="13.5" thickBot="1">
      <c r="B60" s="50"/>
      <c r="C60" s="51"/>
      <c r="D60" s="51"/>
      <c r="E60" s="51"/>
      <c r="F60" s="14"/>
      <c r="G60" s="14"/>
      <c r="H60" s="11"/>
    </row>
    <row r="61" spans="2:8" ht="13.5" thickBot="1">
      <c r="B61" s="136" t="s">
        <v>50</v>
      </c>
      <c r="C61" s="139"/>
      <c r="D61" s="139"/>
      <c r="E61" s="140"/>
      <c r="F61" s="14"/>
      <c r="G61" s="14"/>
      <c r="H61" s="11"/>
    </row>
    <row r="62" spans="2:8">
      <c r="B62" s="27" t="s">
        <v>51</v>
      </c>
      <c r="C62" s="52"/>
      <c r="D62" s="52"/>
      <c r="E62" s="39">
        <f>IF(C23&gt;0,(1-C25)*(F12*(1+C24)^C26),(1-C25)*(C11*(1+C24)^C26))</f>
        <v>2318548.1485999995</v>
      </c>
      <c r="F62" s="14"/>
      <c r="G62" s="14"/>
      <c r="H62" s="11"/>
    </row>
    <row r="63" spans="2:8">
      <c r="B63" s="27" t="s">
        <v>52</v>
      </c>
      <c r="C63" s="52"/>
      <c r="D63" s="52"/>
      <c r="E63" s="39">
        <f>C27*E62</f>
        <v>0</v>
      </c>
      <c r="F63" s="28"/>
      <c r="G63" s="52"/>
      <c r="H63" s="11"/>
    </row>
    <row r="64" spans="2:8">
      <c r="B64" s="27" t="s">
        <v>30</v>
      </c>
      <c r="C64" s="28"/>
      <c r="D64" s="52"/>
      <c r="E64" s="53">
        <f>IF(C25&gt;0,0,G38)</f>
        <v>1519277.8127032686</v>
      </c>
      <c r="F64" s="28"/>
      <c r="G64" s="52"/>
      <c r="H64" s="11"/>
    </row>
    <row r="65" spans="2:8">
      <c r="B65" s="27" t="s">
        <v>42</v>
      </c>
      <c r="C65" s="28"/>
      <c r="D65" s="52"/>
      <c r="E65" s="39">
        <f>E62-E63-E64</f>
        <v>799270.33589673089</v>
      </c>
      <c r="F65" s="28"/>
      <c r="G65" s="52"/>
      <c r="H65" s="11"/>
    </row>
    <row r="66" spans="2:8">
      <c r="B66" s="27" t="s">
        <v>53</v>
      </c>
      <c r="C66" s="52"/>
      <c r="D66" s="52"/>
      <c r="E66" s="53">
        <f>IF((E62-E63-C11)&gt;0,(E62-E63-C11)*C22,0)</f>
        <v>0</v>
      </c>
      <c r="F66" s="52"/>
      <c r="G66" s="52"/>
      <c r="H66" s="11"/>
    </row>
    <row r="67" spans="2:8">
      <c r="B67" s="27" t="s">
        <v>54</v>
      </c>
      <c r="C67" s="52"/>
      <c r="D67" s="52"/>
      <c r="E67" s="39">
        <f>E65-E66</f>
        <v>799270.33589673089</v>
      </c>
      <c r="F67" s="52"/>
      <c r="G67" s="52"/>
      <c r="H67" s="11"/>
    </row>
    <row r="68" spans="2:8">
      <c r="B68" s="35"/>
      <c r="C68" s="52"/>
      <c r="D68" s="52"/>
      <c r="E68" s="54"/>
      <c r="F68" s="52"/>
      <c r="G68" s="52"/>
      <c r="H68" s="11"/>
    </row>
    <row r="69" spans="2:8">
      <c r="B69" s="27" t="s">
        <v>51</v>
      </c>
      <c r="C69" s="52"/>
      <c r="D69" s="52">
        <f>IF(C23&gt;0,F12*(1+C24)^C26,C11*(1+C24)^C26)</f>
        <v>2318548.1485999995</v>
      </c>
      <c r="E69" s="54"/>
      <c r="F69" s="52"/>
      <c r="G69" s="52"/>
      <c r="H69" s="11"/>
    </row>
    <row r="70" spans="2:8">
      <c r="B70" s="27" t="s">
        <v>55</v>
      </c>
      <c r="C70" s="52"/>
      <c r="D70" s="52">
        <f>E63</f>
        <v>0</v>
      </c>
      <c r="E70" s="54"/>
      <c r="F70" s="52"/>
      <c r="G70" s="52"/>
      <c r="H70" s="11"/>
    </row>
    <row r="71" spans="2:8">
      <c r="B71" s="27" t="s">
        <v>56</v>
      </c>
      <c r="C71" s="52"/>
      <c r="D71" s="52">
        <f>E66</f>
        <v>0</v>
      </c>
      <c r="E71" s="54"/>
      <c r="F71" s="52"/>
      <c r="G71" s="52"/>
      <c r="H71" s="11"/>
    </row>
    <row r="72" spans="2:8">
      <c r="B72" s="35"/>
      <c r="C72" s="28"/>
      <c r="D72" s="28"/>
      <c r="E72" s="39"/>
      <c r="F72" s="28"/>
      <c r="G72" s="52"/>
      <c r="H72" s="11"/>
    </row>
    <row r="73" spans="2:8">
      <c r="B73" s="27" t="s">
        <v>57</v>
      </c>
      <c r="C73" s="28">
        <f>IF(C23&gt;0,F12,C11)</f>
        <v>2000000</v>
      </c>
      <c r="D73" s="28"/>
      <c r="E73" s="54"/>
      <c r="F73" s="52"/>
      <c r="G73" s="52"/>
      <c r="H73" s="11"/>
    </row>
    <row r="74" spans="2:8">
      <c r="B74" s="27" t="s">
        <v>58</v>
      </c>
      <c r="C74" s="55">
        <f>C26*C53</f>
        <v>290909.09090909094</v>
      </c>
      <c r="D74" s="28"/>
      <c r="E74" s="54"/>
      <c r="F74" s="52"/>
      <c r="G74" s="52"/>
      <c r="H74" s="11"/>
    </row>
    <row r="75" spans="2:8">
      <c r="B75" s="27" t="s">
        <v>59</v>
      </c>
      <c r="C75" s="52"/>
      <c r="D75" s="55">
        <f>C73-C74</f>
        <v>1709090.9090909092</v>
      </c>
      <c r="E75" s="54"/>
      <c r="F75" s="52"/>
      <c r="G75" s="52"/>
      <c r="H75" s="11"/>
    </row>
    <row r="76" spans="2:8">
      <c r="B76" s="35"/>
      <c r="C76" s="28"/>
      <c r="D76" s="28"/>
      <c r="E76" s="54"/>
      <c r="F76" s="52"/>
      <c r="G76" s="52"/>
      <c r="H76" s="11"/>
    </row>
    <row r="77" spans="2:8">
      <c r="B77" s="27" t="s">
        <v>60</v>
      </c>
      <c r="C77" s="52"/>
      <c r="D77" s="28">
        <f>D69-D70-D71-D75</f>
        <v>609457.23950909032</v>
      </c>
      <c r="E77" s="54"/>
      <c r="F77" s="52"/>
      <c r="G77" s="52"/>
      <c r="H77" s="11"/>
    </row>
    <row r="78" spans="2:8">
      <c r="B78" s="27" t="s">
        <v>61</v>
      </c>
      <c r="C78" s="28"/>
      <c r="D78" s="52"/>
      <c r="E78" s="53">
        <f>F14*D77</f>
        <v>219404.60622327251</v>
      </c>
      <c r="F78" s="52"/>
      <c r="G78" s="52"/>
      <c r="H78" s="11"/>
    </row>
    <row r="79" spans="2:8">
      <c r="B79" s="35"/>
      <c r="C79" s="28"/>
      <c r="D79" s="28"/>
      <c r="E79" s="54"/>
      <c r="F79" s="14"/>
      <c r="G79" s="14"/>
      <c r="H79" s="18"/>
    </row>
    <row r="80" spans="2:8" ht="13.5" thickBot="1">
      <c r="B80" s="47" t="s">
        <v>62</v>
      </c>
      <c r="C80" s="56"/>
      <c r="D80" s="57"/>
      <c r="E80" s="58">
        <f>E67-E78</f>
        <v>579865.72967345838</v>
      </c>
      <c r="F80" s="14"/>
      <c r="G80" s="14"/>
      <c r="H80" s="18"/>
    </row>
    <row r="81" spans="2:8" ht="13.5" thickBot="1">
      <c r="B81" s="35"/>
      <c r="C81" s="29"/>
      <c r="D81" s="29"/>
      <c r="E81" s="10"/>
      <c r="F81" s="14"/>
      <c r="G81" s="14"/>
      <c r="H81" s="18"/>
    </row>
    <row r="82" spans="2:8" ht="13.5" thickBot="1">
      <c r="B82" s="136" t="s">
        <v>63</v>
      </c>
      <c r="C82" s="137"/>
      <c r="D82" s="137"/>
      <c r="E82" s="137"/>
      <c r="F82" s="137"/>
      <c r="G82" s="137"/>
      <c r="H82" s="138"/>
    </row>
    <row r="83" spans="2:8" ht="13.5" thickBot="1">
      <c r="B83" s="43" t="s">
        <v>38</v>
      </c>
      <c r="C83" s="43">
        <v>0</v>
      </c>
      <c r="D83" s="43">
        <v>1</v>
      </c>
      <c r="E83" s="43">
        <v>2</v>
      </c>
      <c r="F83" s="43">
        <v>3</v>
      </c>
      <c r="G83" s="43">
        <v>4</v>
      </c>
      <c r="H83" s="43">
        <v>5</v>
      </c>
    </row>
    <row r="84" spans="2:8" ht="13.5" thickBot="1">
      <c r="B84" s="27" t="s">
        <v>64</v>
      </c>
      <c r="C84" s="29">
        <f>-C29</f>
        <v>-399999.99999999988</v>
      </c>
      <c r="D84" s="28">
        <f>C49</f>
        <v>1818.2892319841776</v>
      </c>
      <c r="E84" s="28">
        <f>D49</f>
        <v>7518.2892319841776</v>
      </c>
      <c r="F84" s="28">
        <f>E49</f>
        <v>13389.289231984178</v>
      </c>
      <c r="G84" s="28">
        <f>F49</f>
        <v>19436.419231984182</v>
      </c>
      <c r="H84" s="39">
        <f>G49+E67</f>
        <v>824935.29902871512</v>
      </c>
    </row>
    <row r="85" spans="2:8" ht="13.5" thickBot="1">
      <c r="B85" s="98" t="s">
        <v>65</v>
      </c>
      <c r="C85" s="99">
        <f>IRR(C84:H84,0.1)</f>
        <v>0.17122164004024243</v>
      </c>
      <c r="D85" s="29"/>
      <c r="E85" s="29"/>
      <c r="F85" s="29"/>
      <c r="G85" s="10"/>
      <c r="H85" s="11"/>
    </row>
    <row r="86" spans="2:8" ht="13.5" thickBot="1">
      <c r="B86" s="35"/>
      <c r="C86" s="10"/>
      <c r="D86" s="10"/>
      <c r="E86" s="10"/>
      <c r="F86" s="10"/>
      <c r="G86" s="10"/>
      <c r="H86" s="11"/>
    </row>
    <row r="87" spans="2:8" ht="13.5" thickBot="1">
      <c r="B87" s="43" t="s">
        <v>38</v>
      </c>
      <c r="C87" s="43">
        <v>0</v>
      </c>
      <c r="D87" s="43">
        <v>1</v>
      </c>
      <c r="E87" s="43">
        <v>2</v>
      </c>
      <c r="F87" s="43">
        <v>3</v>
      </c>
      <c r="G87" s="43">
        <v>4</v>
      </c>
      <c r="H87" s="43">
        <v>5</v>
      </c>
    </row>
    <row r="88" spans="2:8" ht="13.5" thickBot="1">
      <c r="B88" s="27" t="s">
        <v>66</v>
      </c>
      <c r="C88" s="29">
        <f>-C29</f>
        <v>-399999.99999999988</v>
      </c>
      <c r="D88" s="28">
        <f>C58</f>
        <v>17495.748549752185</v>
      </c>
      <c r="E88" s="28">
        <f>D58</f>
        <v>20609.889985887421</v>
      </c>
      <c r="F88" s="28">
        <f>E58</f>
        <v>23771.693930319208</v>
      </c>
      <c r="G88" s="28">
        <f>F58</f>
        <v>26977.294763604863</v>
      </c>
      <c r="H88" s="39">
        <f>G58+E80</f>
        <v>610087.82778269355</v>
      </c>
    </row>
    <row r="89" spans="2:8" ht="13.5" thickBot="1">
      <c r="B89" s="59" t="s">
        <v>67</v>
      </c>
      <c r="C89" s="60">
        <f>IRR(C88:H88,0.1)</f>
        <v>0.12739324125899665</v>
      </c>
      <c r="D89" s="29"/>
      <c r="E89" s="29"/>
      <c r="F89" s="29"/>
      <c r="G89" s="29"/>
      <c r="H89" s="30"/>
    </row>
    <row r="90" spans="2:8" ht="13.5" thickBot="1">
      <c r="B90" s="44" t="s">
        <v>68</v>
      </c>
      <c r="C90" s="60">
        <f>(C85-C89)/C85</f>
        <v>0.25597464649295931</v>
      </c>
      <c r="D90" s="10"/>
      <c r="E90" s="10"/>
      <c r="F90" s="10"/>
      <c r="G90" s="10"/>
      <c r="H90" s="11"/>
    </row>
    <row r="91" spans="2:8" ht="13.5" thickBot="1">
      <c r="B91" s="47"/>
      <c r="C91" s="61"/>
      <c r="D91" s="62"/>
      <c r="E91" s="62"/>
      <c r="F91" s="62"/>
      <c r="G91" s="62"/>
      <c r="H91" s="63"/>
    </row>
    <row r="92" spans="2:8" ht="13.5" thickBot="1">
      <c r="B92" s="8"/>
      <c r="C92" s="9"/>
      <c r="D92" s="10"/>
      <c r="E92" s="10"/>
      <c r="F92" s="10"/>
      <c r="G92" s="10"/>
      <c r="H92" s="11"/>
    </row>
    <row r="93" spans="2:8" ht="13.5" thickBot="1">
      <c r="B93" s="136" t="s">
        <v>117</v>
      </c>
      <c r="C93" s="137"/>
      <c r="D93" s="137"/>
      <c r="E93" s="137"/>
      <c r="F93" s="137"/>
      <c r="G93" s="137"/>
      <c r="H93" s="138"/>
    </row>
    <row r="94" spans="2:8" ht="13.5" thickBot="1">
      <c r="B94" s="43" t="s">
        <v>38</v>
      </c>
      <c r="C94" s="43">
        <v>0</v>
      </c>
      <c r="D94" s="43">
        <v>1</v>
      </c>
      <c r="E94" s="43">
        <v>2</v>
      </c>
      <c r="F94" s="43">
        <v>3</v>
      </c>
      <c r="G94" s="43">
        <v>4</v>
      </c>
      <c r="H94" s="43">
        <v>5</v>
      </c>
    </row>
    <row r="95" spans="2:8" ht="13.5" thickBot="1">
      <c r="B95" s="27" t="s">
        <v>39</v>
      </c>
      <c r="C95" s="29">
        <f>-C11</f>
        <v>-2000000</v>
      </c>
      <c r="D95" s="28">
        <f>C44</f>
        <v>190000</v>
      </c>
      <c r="E95" s="28">
        <f>D44</f>
        <v>195700</v>
      </c>
      <c r="F95" s="28">
        <f>E44</f>
        <v>201571</v>
      </c>
      <c r="G95" s="28">
        <f>F44</f>
        <v>207618.13</v>
      </c>
      <c r="H95" s="39">
        <f>G44+E62-E63</f>
        <v>2532394.8224999993</v>
      </c>
    </row>
    <row r="96" spans="2:8" ht="13.5" thickBot="1">
      <c r="B96" s="59" t="s">
        <v>69</v>
      </c>
      <c r="C96" s="99">
        <f>IRR(C95:H95,0.1)</f>
        <v>0.125</v>
      </c>
      <c r="D96" s="10"/>
      <c r="E96" s="10"/>
      <c r="F96" s="10"/>
      <c r="G96" s="10"/>
      <c r="H96" s="11"/>
    </row>
    <row r="97" spans="2:8" ht="13.5" thickBot="1">
      <c r="B97" s="35"/>
      <c r="C97" s="10"/>
      <c r="D97" s="10"/>
      <c r="E97" s="10"/>
      <c r="F97" s="10"/>
      <c r="G97" s="10"/>
      <c r="H97" s="11"/>
    </row>
    <row r="98" spans="2:8" ht="13.5" thickBot="1">
      <c r="B98" s="43" t="s">
        <v>38</v>
      </c>
      <c r="C98" s="43">
        <v>0</v>
      </c>
      <c r="D98" s="43">
        <v>1</v>
      </c>
      <c r="E98" s="43">
        <v>2</v>
      </c>
      <c r="F98" s="43">
        <v>3</v>
      </c>
      <c r="G98" s="43">
        <v>4</v>
      </c>
      <c r="H98" s="43">
        <v>5</v>
      </c>
    </row>
    <row r="99" spans="2:8" ht="13.5" thickBot="1">
      <c r="B99" s="27" t="s">
        <v>70</v>
      </c>
      <c r="C99" s="64">
        <f>-C11</f>
        <v>-2000000</v>
      </c>
      <c r="D99" s="28">
        <f>C44-((C44-C53)*$F$14)</f>
        <v>142545.45454545453</v>
      </c>
      <c r="E99" s="28">
        <f>D44-((D44-D53)*$F$14)</f>
        <v>146193.45454545453</v>
      </c>
      <c r="F99" s="28">
        <f>E44-((E44-E53)*$F$14)</f>
        <v>149950.89454545453</v>
      </c>
      <c r="G99" s="28">
        <f>F44-((F44-F53)*$F$14)</f>
        <v>153821.05774545454</v>
      </c>
      <c r="H99" s="39">
        <f>G44-((G44-G53)*$F$14)+(E62-E63-E78)</f>
        <v>2256950.8682181817</v>
      </c>
    </row>
    <row r="100" spans="2:8" ht="13.5" thickBot="1">
      <c r="B100" s="59" t="s">
        <v>71</v>
      </c>
      <c r="C100" s="60">
        <f>IRR(C99:H99,0.1)</f>
        <v>8.3125600567111713E-2</v>
      </c>
      <c r="D100" s="10"/>
      <c r="E100" s="10"/>
      <c r="F100" s="10"/>
      <c r="G100" s="10"/>
      <c r="H100" s="11"/>
    </row>
    <row r="101" spans="2:8" ht="13.5" thickBot="1">
      <c r="B101" s="65"/>
      <c r="C101" s="66"/>
      <c r="D101" s="62"/>
      <c r="E101" s="62"/>
      <c r="F101" s="62"/>
      <c r="G101" s="62"/>
      <c r="H101" s="63"/>
    </row>
    <row r="102" spans="2:8" ht="13.5" thickBot="1">
      <c r="B102" s="42"/>
      <c r="C102" s="10"/>
      <c r="D102" s="29"/>
      <c r="E102" s="29"/>
      <c r="F102" s="29"/>
      <c r="G102" s="29"/>
      <c r="H102" s="30"/>
    </row>
    <row r="103" spans="2:8" ht="13.5" thickBot="1">
      <c r="B103" s="136" t="s">
        <v>72</v>
      </c>
      <c r="C103" s="137"/>
      <c r="D103" s="137"/>
      <c r="E103" s="137"/>
      <c r="F103" s="137"/>
      <c r="G103" s="137"/>
      <c r="H103" s="138"/>
    </row>
    <row r="104" spans="2:8" ht="13.5" thickBot="1">
      <c r="B104" s="43" t="s">
        <v>38</v>
      </c>
      <c r="C104" s="43">
        <v>0</v>
      </c>
      <c r="D104" s="43">
        <v>1</v>
      </c>
      <c r="E104" s="43">
        <v>2</v>
      </c>
      <c r="F104" s="43">
        <v>3</v>
      </c>
      <c r="G104" s="43">
        <v>4</v>
      </c>
      <c r="H104" s="43">
        <v>5</v>
      </c>
    </row>
    <row r="105" spans="2:8">
      <c r="B105" s="42" t="s">
        <v>73</v>
      </c>
      <c r="C105" s="14"/>
      <c r="D105" s="67">
        <f>+C45</f>
        <v>188181.71076801582</v>
      </c>
      <c r="E105" s="67">
        <f>+D45</f>
        <v>188181.71076801582</v>
      </c>
      <c r="F105" s="67">
        <f>+E45</f>
        <v>188181.71076801582</v>
      </c>
      <c r="G105" s="67">
        <f>+F45</f>
        <v>188181.71076801582</v>
      </c>
      <c r="H105" s="68">
        <f>+G45</f>
        <v>188181.71076801582</v>
      </c>
    </row>
    <row r="106" spans="2:8">
      <c r="B106" s="42" t="s">
        <v>74</v>
      </c>
      <c r="C106" s="10"/>
      <c r="D106" s="69"/>
      <c r="E106" s="69"/>
      <c r="F106" s="69"/>
      <c r="G106" s="69"/>
      <c r="H106" s="70">
        <f>+E64</f>
        <v>1519277.8127032686</v>
      </c>
    </row>
    <row r="107" spans="2:8">
      <c r="B107" s="42" t="s">
        <v>56</v>
      </c>
      <c r="C107" s="10"/>
      <c r="D107" s="69">
        <f>+C54</f>
        <v>0</v>
      </c>
      <c r="E107" s="69">
        <f>+D54</f>
        <v>0</v>
      </c>
      <c r="F107" s="69">
        <f>+E54</f>
        <v>0</v>
      </c>
      <c r="G107" s="69">
        <f>+F54</f>
        <v>0</v>
      </c>
      <c r="H107" s="70">
        <f>+G54+E66</f>
        <v>0</v>
      </c>
    </row>
    <row r="108" spans="2:8">
      <c r="B108" s="42" t="s">
        <v>75</v>
      </c>
      <c r="C108" s="106">
        <f>-C30</f>
        <v>-1600000</v>
      </c>
      <c r="D108" s="69"/>
      <c r="E108" s="69"/>
      <c r="F108" s="69"/>
      <c r="G108" s="69"/>
      <c r="H108" s="70"/>
    </row>
    <row r="109" spans="2:8" ht="13.5" thickBot="1">
      <c r="B109" s="42" t="s">
        <v>76</v>
      </c>
      <c r="C109" s="106">
        <f t="shared" ref="C109:H109" si="1">+C105+C106+C107+C108</f>
        <v>-1600000</v>
      </c>
      <c r="D109" s="69">
        <f t="shared" si="1"/>
        <v>188181.71076801582</v>
      </c>
      <c r="E109" s="69">
        <f t="shared" si="1"/>
        <v>188181.71076801582</v>
      </c>
      <c r="F109" s="69">
        <f t="shared" si="1"/>
        <v>188181.71076801582</v>
      </c>
      <c r="G109" s="69">
        <f t="shared" si="1"/>
        <v>188181.71076801582</v>
      </c>
      <c r="H109" s="70">
        <f t="shared" si="1"/>
        <v>1707459.5234712844</v>
      </c>
    </row>
    <row r="110" spans="2:8" ht="13.5" thickBot="1">
      <c r="B110" s="71" t="s">
        <v>77</v>
      </c>
      <c r="C110" s="99">
        <f>C178</f>
        <v>0.11000000000000121</v>
      </c>
      <c r="D110" s="72"/>
      <c r="E110" s="72"/>
      <c r="F110" s="72"/>
      <c r="G110" s="72"/>
      <c r="H110" s="73"/>
    </row>
    <row r="111" spans="2:8">
      <c r="B111" s="42"/>
      <c r="C111" s="10"/>
      <c r="D111" s="10"/>
      <c r="E111" s="10"/>
      <c r="F111" s="10"/>
      <c r="G111" s="10"/>
      <c r="H111" s="11"/>
    </row>
    <row r="112" spans="2:8" ht="13.5" thickBot="1">
      <c r="B112" s="42"/>
      <c r="C112" s="10"/>
      <c r="D112" s="10"/>
      <c r="E112" s="10"/>
      <c r="F112" s="10"/>
      <c r="G112" s="10"/>
      <c r="H112" s="11"/>
    </row>
    <row r="113" spans="2:8" ht="13.5" thickBot="1">
      <c r="B113" s="135" t="s">
        <v>78</v>
      </c>
      <c r="C113" s="122"/>
      <c r="D113" s="74"/>
      <c r="E113" s="74"/>
      <c r="F113" s="74"/>
      <c r="G113" s="74"/>
      <c r="H113" s="75"/>
    </row>
    <row r="114" spans="2:8" ht="13.5" thickBot="1">
      <c r="B114" s="12"/>
      <c r="C114" s="18"/>
      <c r="D114" s="14"/>
      <c r="E114" s="14"/>
      <c r="F114" s="14"/>
      <c r="G114" s="14"/>
      <c r="H114" s="18"/>
    </row>
    <row r="115" spans="2:8" ht="13.5" thickBot="1">
      <c r="B115" s="43" t="s">
        <v>79</v>
      </c>
      <c r="C115" s="43" t="s">
        <v>80</v>
      </c>
      <c r="D115" s="76"/>
      <c r="E115" s="76"/>
      <c r="F115" s="76"/>
      <c r="G115" s="76"/>
      <c r="H115" s="75"/>
    </row>
    <row r="116" spans="2:8">
      <c r="B116" s="77">
        <v>0</v>
      </c>
      <c r="C116" s="105">
        <f>C108</f>
        <v>-1600000</v>
      </c>
      <c r="D116" s="14"/>
      <c r="E116" s="14"/>
      <c r="F116" s="14"/>
      <c r="G116" s="14"/>
      <c r="H116" s="18"/>
    </row>
    <row r="117" spans="2:8">
      <c r="B117" s="77">
        <v>1</v>
      </c>
      <c r="C117" s="105">
        <f>($D$105+$D$107)/12</f>
        <v>15681.809230667985</v>
      </c>
      <c r="D117" s="79"/>
      <c r="E117" s="80"/>
      <c r="F117" s="80"/>
      <c r="G117" s="80"/>
      <c r="H117" s="78"/>
    </row>
    <row r="118" spans="2:8">
      <c r="B118" s="77">
        <v>2</v>
      </c>
      <c r="C118" s="105">
        <f t="shared" ref="C118:C128" si="2">($D$105+$D$107)/12</f>
        <v>15681.809230667985</v>
      </c>
      <c r="D118" s="81"/>
      <c r="E118" s="80"/>
      <c r="F118" s="80"/>
      <c r="G118" s="80"/>
      <c r="H118" s="78"/>
    </row>
    <row r="119" spans="2:8">
      <c r="B119" s="77">
        <v>3</v>
      </c>
      <c r="C119" s="105">
        <f t="shared" si="2"/>
        <v>15681.809230667985</v>
      </c>
      <c r="D119" s="81"/>
      <c r="E119" s="80"/>
      <c r="F119" s="80"/>
      <c r="G119" s="80"/>
      <c r="H119" s="78"/>
    </row>
    <row r="120" spans="2:8">
      <c r="B120" s="77">
        <v>4</v>
      </c>
      <c r="C120" s="105">
        <f t="shared" si="2"/>
        <v>15681.809230667985</v>
      </c>
      <c r="D120" s="81"/>
      <c r="E120" s="80"/>
      <c r="F120" s="80"/>
      <c r="G120" s="80"/>
      <c r="H120" s="78"/>
    </row>
    <row r="121" spans="2:8">
      <c r="B121" s="77">
        <v>5</v>
      </c>
      <c r="C121" s="105">
        <f t="shared" si="2"/>
        <v>15681.809230667985</v>
      </c>
      <c r="D121" s="81"/>
      <c r="E121" s="80"/>
      <c r="F121" s="80"/>
      <c r="G121" s="80"/>
      <c r="H121" s="78"/>
    </row>
    <row r="122" spans="2:8">
      <c r="B122" s="77">
        <v>6</v>
      </c>
      <c r="C122" s="105">
        <f t="shared" si="2"/>
        <v>15681.809230667985</v>
      </c>
      <c r="D122" s="81"/>
      <c r="E122" s="80"/>
      <c r="F122" s="80"/>
      <c r="G122" s="80"/>
      <c r="H122" s="78"/>
    </row>
    <row r="123" spans="2:8">
      <c r="B123" s="77">
        <v>7</v>
      </c>
      <c r="C123" s="105">
        <f t="shared" si="2"/>
        <v>15681.809230667985</v>
      </c>
      <c r="D123" s="81"/>
      <c r="E123" s="80"/>
      <c r="F123" s="80"/>
      <c r="G123" s="80"/>
      <c r="H123" s="78"/>
    </row>
    <row r="124" spans="2:8">
      <c r="B124" s="77">
        <v>8</v>
      </c>
      <c r="C124" s="105">
        <f t="shared" si="2"/>
        <v>15681.809230667985</v>
      </c>
      <c r="D124" s="81"/>
      <c r="E124" s="80"/>
      <c r="F124" s="80"/>
      <c r="G124" s="80"/>
      <c r="H124" s="78"/>
    </row>
    <row r="125" spans="2:8">
      <c r="B125" s="77">
        <v>9</v>
      </c>
      <c r="C125" s="105">
        <f t="shared" si="2"/>
        <v>15681.809230667985</v>
      </c>
      <c r="D125" s="81"/>
      <c r="E125" s="80"/>
      <c r="F125" s="80"/>
      <c r="G125" s="80"/>
      <c r="H125" s="78"/>
    </row>
    <row r="126" spans="2:8">
      <c r="B126" s="77">
        <v>10</v>
      </c>
      <c r="C126" s="105">
        <f t="shared" si="2"/>
        <v>15681.809230667985</v>
      </c>
      <c r="D126" s="81"/>
      <c r="E126" s="80"/>
      <c r="F126" s="80"/>
      <c r="G126" s="80"/>
      <c r="H126" s="78"/>
    </row>
    <row r="127" spans="2:8">
      <c r="B127" s="77">
        <v>11</v>
      </c>
      <c r="C127" s="105">
        <f t="shared" si="2"/>
        <v>15681.809230667985</v>
      </c>
      <c r="D127" s="81"/>
      <c r="E127" s="80"/>
      <c r="F127" s="80"/>
      <c r="G127" s="80"/>
      <c r="H127" s="78"/>
    </row>
    <row r="128" spans="2:8">
      <c r="B128" s="77">
        <v>12</v>
      </c>
      <c r="C128" s="105">
        <f t="shared" si="2"/>
        <v>15681.809230667985</v>
      </c>
      <c r="D128" s="81"/>
      <c r="E128" s="80"/>
      <c r="F128" s="80"/>
      <c r="G128" s="80"/>
      <c r="H128" s="78"/>
    </row>
    <row r="129" spans="2:8">
      <c r="B129" s="77">
        <v>13</v>
      </c>
      <c r="C129" s="105">
        <f>($E$105+$E$107)/12</f>
        <v>15681.809230667985</v>
      </c>
      <c r="D129" s="81"/>
      <c r="E129" s="80"/>
      <c r="F129" s="80"/>
      <c r="G129" s="80"/>
      <c r="H129" s="78"/>
    </row>
    <row r="130" spans="2:8">
      <c r="B130" s="77">
        <v>14</v>
      </c>
      <c r="C130" s="105">
        <f t="shared" ref="C130:C140" si="3">($E$105+$E$107)/12</f>
        <v>15681.809230667985</v>
      </c>
      <c r="D130" s="81"/>
      <c r="E130" s="80"/>
      <c r="F130" s="80"/>
      <c r="G130" s="80"/>
      <c r="H130" s="78"/>
    </row>
    <row r="131" spans="2:8">
      <c r="B131" s="77">
        <v>15</v>
      </c>
      <c r="C131" s="105">
        <f t="shared" si="3"/>
        <v>15681.809230667985</v>
      </c>
      <c r="D131" s="81"/>
      <c r="E131" s="80"/>
      <c r="F131" s="80"/>
      <c r="G131" s="80"/>
      <c r="H131" s="78"/>
    </row>
    <row r="132" spans="2:8">
      <c r="B132" s="77">
        <v>16</v>
      </c>
      <c r="C132" s="105">
        <f t="shared" si="3"/>
        <v>15681.809230667985</v>
      </c>
      <c r="D132" s="81"/>
      <c r="E132" s="80"/>
      <c r="F132" s="80"/>
      <c r="G132" s="80"/>
      <c r="H132" s="78"/>
    </row>
    <row r="133" spans="2:8">
      <c r="B133" s="77">
        <v>17</v>
      </c>
      <c r="C133" s="105">
        <f t="shared" si="3"/>
        <v>15681.809230667985</v>
      </c>
      <c r="D133" s="81"/>
      <c r="E133" s="80"/>
      <c r="F133" s="80"/>
      <c r="G133" s="80"/>
      <c r="H133" s="78"/>
    </row>
    <row r="134" spans="2:8">
      <c r="B134" s="77">
        <v>18</v>
      </c>
      <c r="C134" s="105">
        <f t="shared" si="3"/>
        <v>15681.809230667985</v>
      </c>
      <c r="D134" s="81"/>
      <c r="E134" s="80"/>
      <c r="F134" s="80"/>
      <c r="G134" s="80"/>
      <c r="H134" s="78"/>
    </row>
    <row r="135" spans="2:8">
      <c r="B135" s="77">
        <v>19</v>
      </c>
      <c r="C135" s="105">
        <f t="shared" si="3"/>
        <v>15681.809230667985</v>
      </c>
      <c r="D135" s="81"/>
      <c r="E135" s="80"/>
      <c r="F135" s="80"/>
      <c r="G135" s="80"/>
      <c r="H135" s="78"/>
    </row>
    <row r="136" spans="2:8">
      <c r="B136" s="77">
        <v>20</v>
      </c>
      <c r="C136" s="105">
        <f t="shared" si="3"/>
        <v>15681.809230667985</v>
      </c>
      <c r="D136" s="81"/>
      <c r="E136" s="80"/>
      <c r="F136" s="80"/>
      <c r="G136" s="80"/>
      <c r="H136" s="78"/>
    </row>
    <row r="137" spans="2:8">
      <c r="B137" s="77">
        <v>21</v>
      </c>
      <c r="C137" s="105">
        <f t="shared" si="3"/>
        <v>15681.809230667985</v>
      </c>
      <c r="D137" s="81"/>
      <c r="E137" s="80"/>
      <c r="F137" s="80"/>
      <c r="G137" s="80"/>
      <c r="H137" s="78"/>
    </row>
    <row r="138" spans="2:8">
      <c r="B138" s="77">
        <v>22</v>
      </c>
      <c r="C138" s="105">
        <f t="shared" si="3"/>
        <v>15681.809230667985</v>
      </c>
      <c r="D138" s="81"/>
      <c r="E138" s="80"/>
      <c r="F138" s="80"/>
      <c r="G138" s="80"/>
      <c r="H138" s="78"/>
    </row>
    <row r="139" spans="2:8">
      <c r="B139" s="77">
        <v>23</v>
      </c>
      <c r="C139" s="105">
        <f t="shared" si="3"/>
        <v>15681.809230667985</v>
      </c>
      <c r="D139" s="81"/>
      <c r="E139" s="80"/>
      <c r="F139" s="80"/>
      <c r="G139" s="80"/>
      <c r="H139" s="78"/>
    </row>
    <row r="140" spans="2:8">
      <c r="B140" s="77">
        <v>24</v>
      </c>
      <c r="C140" s="105">
        <f t="shared" si="3"/>
        <v>15681.809230667985</v>
      </c>
      <c r="D140" s="81"/>
      <c r="E140" s="80"/>
      <c r="F140" s="80"/>
      <c r="G140" s="80"/>
      <c r="H140" s="78"/>
    </row>
    <row r="141" spans="2:8">
      <c r="B141" s="77">
        <v>25</v>
      </c>
      <c r="C141" s="105">
        <f>($F$105+$F$107)/12</f>
        <v>15681.809230667985</v>
      </c>
      <c r="D141" s="81"/>
      <c r="E141" s="80"/>
      <c r="F141" s="80"/>
      <c r="G141" s="80"/>
      <c r="H141" s="78"/>
    </row>
    <row r="142" spans="2:8">
      <c r="B142" s="77">
        <v>26</v>
      </c>
      <c r="C142" s="105">
        <f t="shared" ref="C142:C152" si="4">($F$105+$F$107)/12</f>
        <v>15681.809230667985</v>
      </c>
      <c r="D142" s="81"/>
      <c r="E142" s="80"/>
      <c r="F142" s="80"/>
      <c r="G142" s="80"/>
      <c r="H142" s="78"/>
    </row>
    <row r="143" spans="2:8">
      <c r="B143" s="77">
        <v>27</v>
      </c>
      <c r="C143" s="105">
        <f t="shared" si="4"/>
        <v>15681.809230667985</v>
      </c>
      <c r="D143" s="81"/>
      <c r="E143" s="80"/>
      <c r="F143" s="80"/>
      <c r="G143" s="80"/>
      <c r="H143" s="78"/>
    </row>
    <row r="144" spans="2:8">
      <c r="B144" s="77">
        <v>28</v>
      </c>
      <c r="C144" s="105">
        <f t="shared" si="4"/>
        <v>15681.809230667985</v>
      </c>
      <c r="D144" s="81"/>
      <c r="E144" s="80"/>
      <c r="F144" s="80"/>
      <c r="G144" s="80"/>
      <c r="H144" s="78"/>
    </row>
    <row r="145" spans="2:8">
      <c r="B145" s="77">
        <v>29</v>
      </c>
      <c r="C145" s="105">
        <f t="shared" si="4"/>
        <v>15681.809230667985</v>
      </c>
      <c r="D145" s="81"/>
      <c r="E145" s="80"/>
      <c r="F145" s="80"/>
      <c r="G145" s="80"/>
      <c r="H145" s="78"/>
    </row>
    <row r="146" spans="2:8">
      <c r="B146" s="77">
        <v>30</v>
      </c>
      <c r="C146" s="105">
        <f t="shared" si="4"/>
        <v>15681.809230667985</v>
      </c>
      <c r="D146" s="81"/>
      <c r="E146" s="80"/>
      <c r="F146" s="80"/>
      <c r="G146" s="80"/>
      <c r="H146" s="78"/>
    </row>
    <row r="147" spans="2:8">
      <c r="B147" s="77">
        <v>31</v>
      </c>
      <c r="C147" s="105">
        <f t="shared" si="4"/>
        <v>15681.809230667985</v>
      </c>
      <c r="D147" s="81"/>
      <c r="E147" s="80"/>
      <c r="F147" s="80"/>
      <c r="G147" s="80"/>
      <c r="H147" s="78"/>
    </row>
    <row r="148" spans="2:8">
      <c r="B148" s="77">
        <v>32</v>
      </c>
      <c r="C148" s="105">
        <f t="shared" si="4"/>
        <v>15681.809230667985</v>
      </c>
      <c r="D148" s="81"/>
      <c r="E148" s="80"/>
      <c r="F148" s="80"/>
      <c r="G148" s="80"/>
      <c r="H148" s="78"/>
    </row>
    <row r="149" spans="2:8">
      <c r="B149" s="77">
        <v>33</v>
      </c>
      <c r="C149" s="105">
        <f t="shared" si="4"/>
        <v>15681.809230667985</v>
      </c>
      <c r="D149" s="81"/>
      <c r="E149" s="80"/>
      <c r="F149" s="80"/>
      <c r="G149" s="80"/>
      <c r="H149" s="78"/>
    </row>
    <row r="150" spans="2:8">
      <c r="B150" s="77">
        <v>34</v>
      </c>
      <c r="C150" s="105">
        <f t="shared" si="4"/>
        <v>15681.809230667985</v>
      </c>
      <c r="D150" s="81"/>
      <c r="E150" s="80"/>
      <c r="F150" s="80"/>
      <c r="G150" s="80"/>
      <c r="H150" s="78"/>
    </row>
    <row r="151" spans="2:8">
      <c r="B151" s="77">
        <v>35</v>
      </c>
      <c r="C151" s="105">
        <f t="shared" si="4"/>
        <v>15681.809230667985</v>
      </c>
      <c r="D151" s="81"/>
      <c r="E151" s="80"/>
      <c r="F151" s="80"/>
      <c r="G151" s="80"/>
      <c r="H151" s="78"/>
    </row>
    <row r="152" spans="2:8">
      <c r="B152" s="77">
        <v>36</v>
      </c>
      <c r="C152" s="105">
        <f t="shared" si="4"/>
        <v>15681.809230667985</v>
      </c>
      <c r="D152" s="81"/>
      <c r="E152" s="80"/>
      <c r="F152" s="80"/>
      <c r="G152" s="80"/>
      <c r="H152" s="78"/>
    </row>
    <row r="153" spans="2:8">
      <c r="B153" s="77">
        <v>37</v>
      </c>
      <c r="C153" s="105">
        <f>($G$105+$G$107)/12</f>
        <v>15681.809230667985</v>
      </c>
      <c r="D153" s="81"/>
      <c r="E153" s="80"/>
      <c r="F153" s="80"/>
      <c r="G153" s="80"/>
      <c r="H153" s="78"/>
    </row>
    <row r="154" spans="2:8">
      <c r="B154" s="77">
        <v>38</v>
      </c>
      <c r="C154" s="105">
        <f t="shared" ref="C154:C164" si="5">($G$105+$G$107)/12</f>
        <v>15681.809230667985</v>
      </c>
      <c r="D154" s="81"/>
      <c r="E154" s="80"/>
      <c r="F154" s="80"/>
      <c r="G154" s="80"/>
      <c r="H154" s="78"/>
    </row>
    <row r="155" spans="2:8">
      <c r="B155" s="77">
        <v>39</v>
      </c>
      <c r="C155" s="105">
        <f t="shared" si="5"/>
        <v>15681.809230667985</v>
      </c>
      <c r="D155" s="81"/>
      <c r="E155" s="80"/>
      <c r="F155" s="80"/>
      <c r="G155" s="80"/>
      <c r="H155" s="78"/>
    </row>
    <row r="156" spans="2:8">
      <c r="B156" s="77">
        <v>40</v>
      </c>
      <c r="C156" s="105">
        <f t="shared" si="5"/>
        <v>15681.809230667985</v>
      </c>
      <c r="D156" s="81"/>
      <c r="E156" s="80"/>
      <c r="F156" s="80"/>
      <c r="G156" s="80"/>
      <c r="H156" s="78"/>
    </row>
    <row r="157" spans="2:8">
      <c r="B157" s="77">
        <v>41</v>
      </c>
      <c r="C157" s="105">
        <f t="shared" si="5"/>
        <v>15681.809230667985</v>
      </c>
      <c r="D157" s="81"/>
      <c r="E157" s="80"/>
      <c r="F157" s="80"/>
      <c r="G157" s="80"/>
      <c r="H157" s="78"/>
    </row>
    <row r="158" spans="2:8">
      <c r="B158" s="77">
        <v>42</v>
      </c>
      <c r="C158" s="105">
        <f t="shared" si="5"/>
        <v>15681.809230667985</v>
      </c>
      <c r="D158" s="81"/>
      <c r="E158" s="80"/>
      <c r="F158" s="80"/>
      <c r="G158" s="80"/>
      <c r="H158" s="78"/>
    </row>
    <row r="159" spans="2:8">
      <c r="B159" s="77">
        <v>43</v>
      </c>
      <c r="C159" s="105">
        <f t="shared" si="5"/>
        <v>15681.809230667985</v>
      </c>
      <c r="D159" s="81"/>
      <c r="E159" s="80"/>
      <c r="F159" s="80"/>
      <c r="G159" s="80"/>
      <c r="H159" s="78"/>
    </row>
    <row r="160" spans="2:8">
      <c r="B160" s="77">
        <v>44</v>
      </c>
      <c r="C160" s="105">
        <f t="shared" si="5"/>
        <v>15681.809230667985</v>
      </c>
      <c r="D160" s="81"/>
      <c r="E160" s="80"/>
      <c r="F160" s="80"/>
      <c r="G160" s="80"/>
      <c r="H160" s="78"/>
    </row>
    <row r="161" spans="2:8">
      <c r="B161" s="77">
        <v>45</v>
      </c>
      <c r="C161" s="105">
        <f t="shared" si="5"/>
        <v>15681.809230667985</v>
      </c>
      <c r="D161" s="81"/>
      <c r="E161" s="80"/>
      <c r="F161" s="80"/>
      <c r="G161" s="80"/>
      <c r="H161" s="78"/>
    </row>
    <row r="162" spans="2:8">
      <c r="B162" s="77">
        <v>46</v>
      </c>
      <c r="C162" s="105">
        <f t="shared" si="5"/>
        <v>15681.809230667985</v>
      </c>
      <c r="D162" s="81"/>
      <c r="E162" s="80"/>
      <c r="F162" s="80"/>
      <c r="G162" s="80"/>
      <c r="H162" s="78"/>
    </row>
    <row r="163" spans="2:8">
      <c r="B163" s="77">
        <v>47</v>
      </c>
      <c r="C163" s="105">
        <f t="shared" si="5"/>
        <v>15681.809230667985</v>
      </c>
      <c r="D163" s="81"/>
      <c r="E163" s="80"/>
      <c r="F163" s="80"/>
      <c r="G163" s="80"/>
      <c r="H163" s="78"/>
    </row>
    <row r="164" spans="2:8">
      <c r="B164" s="77">
        <v>48</v>
      </c>
      <c r="C164" s="105">
        <f t="shared" si="5"/>
        <v>15681.809230667985</v>
      </c>
      <c r="D164" s="81"/>
      <c r="E164" s="80"/>
      <c r="F164" s="80"/>
      <c r="G164" s="80"/>
      <c r="H164" s="78"/>
    </row>
    <row r="165" spans="2:8">
      <c r="B165" s="77">
        <v>49</v>
      </c>
      <c r="C165" s="105">
        <f>($H$105+$G$48)/12</f>
        <v>15681.809230667985</v>
      </c>
      <c r="D165" s="81"/>
      <c r="E165" s="80"/>
      <c r="F165" s="80"/>
      <c r="G165" s="80"/>
      <c r="H165" s="78"/>
    </row>
    <row r="166" spans="2:8">
      <c r="B166" s="77">
        <v>50</v>
      </c>
      <c r="C166" s="105">
        <f t="shared" ref="C166:C175" si="6">($H$105+$G$48)/12</f>
        <v>15681.809230667985</v>
      </c>
      <c r="D166" s="81"/>
      <c r="E166" s="80"/>
      <c r="F166" s="80"/>
      <c r="G166" s="80"/>
      <c r="H166" s="78"/>
    </row>
    <row r="167" spans="2:8">
      <c r="B167" s="77">
        <v>51</v>
      </c>
      <c r="C167" s="105">
        <f t="shared" si="6"/>
        <v>15681.809230667985</v>
      </c>
      <c r="D167" s="81"/>
      <c r="E167" s="80"/>
      <c r="F167" s="80"/>
      <c r="G167" s="80"/>
      <c r="H167" s="78"/>
    </row>
    <row r="168" spans="2:8">
      <c r="B168" s="77">
        <v>52</v>
      </c>
      <c r="C168" s="105">
        <f t="shared" si="6"/>
        <v>15681.809230667985</v>
      </c>
      <c r="D168" s="81"/>
      <c r="E168" s="80"/>
      <c r="F168" s="80"/>
      <c r="G168" s="80"/>
      <c r="H168" s="78"/>
    </row>
    <row r="169" spans="2:8">
      <c r="B169" s="77">
        <v>53</v>
      </c>
      <c r="C169" s="105">
        <f t="shared" si="6"/>
        <v>15681.809230667985</v>
      </c>
      <c r="D169" s="81"/>
      <c r="E169" s="80"/>
      <c r="F169" s="80"/>
      <c r="G169" s="80"/>
      <c r="H169" s="78"/>
    </row>
    <row r="170" spans="2:8">
      <c r="B170" s="77">
        <v>54</v>
      </c>
      <c r="C170" s="105">
        <f t="shared" si="6"/>
        <v>15681.809230667985</v>
      </c>
      <c r="D170" s="81"/>
      <c r="E170" s="80"/>
      <c r="F170" s="80"/>
      <c r="G170" s="80"/>
      <c r="H170" s="78"/>
    </row>
    <row r="171" spans="2:8">
      <c r="B171" s="77">
        <v>55</v>
      </c>
      <c r="C171" s="105">
        <f t="shared" si="6"/>
        <v>15681.809230667985</v>
      </c>
      <c r="D171" s="81"/>
      <c r="E171" s="80"/>
      <c r="F171" s="80"/>
      <c r="G171" s="80"/>
      <c r="H171" s="78"/>
    </row>
    <row r="172" spans="2:8">
      <c r="B172" s="77">
        <v>56</v>
      </c>
      <c r="C172" s="105">
        <f t="shared" si="6"/>
        <v>15681.809230667985</v>
      </c>
      <c r="D172" s="81"/>
      <c r="E172" s="80"/>
      <c r="F172" s="80"/>
      <c r="G172" s="80"/>
      <c r="H172" s="78"/>
    </row>
    <row r="173" spans="2:8">
      <c r="B173" s="77">
        <v>57</v>
      </c>
      <c r="C173" s="105">
        <f t="shared" si="6"/>
        <v>15681.809230667985</v>
      </c>
      <c r="D173" s="81"/>
      <c r="E173" s="80"/>
      <c r="F173" s="80"/>
      <c r="G173" s="80"/>
      <c r="H173" s="78"/>
    </row>
    <row r="174" spans="2:8">
      <c r="B174" s="77">
        <v>58</v>
      </c>
      <c r="C174" s="105">
        <f t="shared" si="6"/>
        <v>15681.809230667985</v>
      </c>
      <c r="D174" s="81"/>
      <c r="E174" s="80"/>
      <c r="F174" s="80"/>
      <c r="G174" s="80"/>
      <c r="H174" s="78"/>
    </row>
    <row r="175" spans="2:8">
      <c r="B175" s="77">
        <v>59</v>
      </c>
      <c r="C175" s="105">
        <f t="shared" si="6"/>
        <v>15681.809230667985</v>
      </c>
      <c r="D175" s="81"/>
      <c r="E175" s="80"/>
      <c r="F175" s="80"/>
      <c r="G175" s="80"/>
      <c r="H175" s="78"/>
    </row>
    <row r="176" spans="2:8">
      <c r="B176" s="77">
        <v>60</v>
      </c>
      <c r="C176" s="105">
        <f>($H$105+$G$48)/12+E66+H106</f>
        <v>1534959.6219339366</v>
      </c>
      <c r="D176" s="81"/>
      <c r="E176" s="80"/>
      <c r="F176" s="80"/>
      <c r="G176" s="80"/>
      <c r="H176" s="78"/>
    </row>
    <row r="177" spans="2:8" ht="13.5" thickBot="1">
      <c r="B177" s="12"/>
      <c r="C177" s="18"/>
      <c r="D177" s="14"/>
      <c r="E177" s="14"/>
      <c r="F177" s="14"/>
      <c r="G177" s="14"/>
      <c r="H177" s="18"/>
    </row>
    <row r="178" spans="2:8" ht="13.5" thickBot="1">
      <c r="B178" s="60" t="s">
        <v>81</v>
      </c>
      <c r="C178" s="60">
        <f>IRR(C116:C176,0.1/12)*12</f>
        <v>0.11000000000000121</v>
      </c>
      <c r="D178" s="21"/>
      <c r="E178" s="21"/>
      <c r="F178" s="21"/>
      <c r="G178" s="21"/>
      <c r="H178" s="22"/>
    </row>
  </sheetData>
  <mergeCells count="13">
    <mergeCell ref="B113:C113"/>
    <mergeCell ref="B35:G35"/>
    <mergeCell ref="B42:G42"/>
    <mergeCell ref="B61:E61"/>
    <mergeCell ref="B82:H82"/>
    <mergeCell ref="B93:H93"/>
    <mergeCell ref="B103:H103"/>
    <mergeCell ref="B10:G10"/>
    <mergeCell ref="B2:H2"/>
    <mergeCell ref="B3:H3"/>
    <mergeCell ref="B5:H5"/>
    <mergeCell ref="B6:H6"/>
    <mergeCell ref="B7:H7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zoomScale="140" zoomScaleNormal="140" workbookViewId="0"/>
  </sheetViews>
  <sheetFormatPr defaultRowHeight="12.75"/>
  <cols>
    <col min="1" max="1" width="4.42578125" customWidth="1"/>
    <col min="2" max="2" width="22.28515625" customWidth="1"/>
    <col min="3" max="3" width="12.85546875" customWidth="1"/>
  </cols>
  <sheetData>
    <row r="1" spans="1:5">
      <c r="A1" s="89" t="s">
        <v>149</v>
      </c>
    </row>
    <row r="2" spans="1:5">
      <c r="A2" s="89"/>
    </row>
    <row r="3" spans="1:5">
      <c r="A3" s="89" t="s">
        <v>113</v>
      </c>
      <c r="B3" t="s">
        <v>137</v>
      </c>
    </row>
    <row r="4" spans="1:5">
      <c r="A4" s="87" t="s">
        <v>134</v>
      </c>
    </row>
    <row r="5" spans="1:5">
      <c r="B5" t="s">
        <v>83</v>
      </c>
      <c r="C5" s="85">
        <f>'P12-1a (2)'!C30</f>
        <v>1600000</v>
      </c>
    </row>
    <row r="6" spans="1:5">
      <c r="B6" t="s">
        <v>84</v>
      </c>
      <c r="C6" s="86">
        <f>'P12-1a'!C30</f>
        <v>1400000</v>
      </c>
    </row>
    <row r="7" spans="1:5">
      <c r="B7" t="s">
        <v>85</v>
      </c>
      <c r="C7" s="85">
        <f>C5-C6</f>
        <v>200000</v>
      </c>
    </row>
    <row r="9" spans="1:5">
      <c r="B9" t="s">
        <v>86</v>
      </c>
      <c r="C9" s="85">
        <f>'P12-1a (2)'!C31/12</f>
        <v>15681.809230667985</v>
      </c>
      <c r="D9">
        <f>5*12</f>
        <v>60</v>
      </c>
      <c r="E9" t="s">
        <v>93</v>
      </c>
    </row>
    <row r="10" spans="1:5">
      <c r="B10" t="s">
        <v>87</v>
      </c>
      <c r="C10" s="86">
        <f>'P12-1a'!C31/12</f>
        <v>12721.810437560847</v>
      </c>
    </row>
    <row r="11" spans="1:5">
      <c r="B11" t="s">
        <v>88</v>
      </c>
      <c r="C11" s="85">
        <f>C9-C10</f>
        <v>2959.9987931071373</v>
      </c>
    </row>
    <row r="13" spans="1:5">
      <c r="B13" t="s">
        <v>89</v>
      </c>
      <c r="C13" s="85">
        <f>'P12-1a (2)'!G38</f>
        <v>1519277.8127032686</v>
      </c>
    </row>
    <row r="14" spans="1:5">
      <c r="B14" t="s">
        <v>84</v>
      </c>
      <c r="C14" s="86">
        <f>'P12-1a'!G38</f>
        <v>1318292.7556599218</v>
      </c>
    </row>
    <row r="15" spans="1:5">
      <c r="B15" t="s">
        <v>90</v>
      </c>
      <c r="C15" s="85">
        <f>C13-C14</f>
        <v>200985.05704334681</v>
      </c>
    </row>
    <row r="18" spans="1:4">
      <c r="B18" s="87" t="s">
        <v>91</v>
      </c>
    </row>
    <row r="20" spans="1:4">
      <c r="B20" s="87" t="s">
        <v>92</v>
      </c>
      <c r="C20" s="88">
        <f>RATE(D9,C11,-C7,C15)</f>
        <v>1.4851439100815525E-2</v>
      </c>
      <c r="D20" t="s">
        <v>94</v>
      </c>
    </row>
    <row r="21" spans="1:4">
      <c r="B21" t="s">
        <v>95</v>
      </c>
      <c r="C21" s="92">
        <f>C20*12</f>
        <v>0.17821726920978631</v>
      </c>
    </row>
    <row r="23" spans="1:4">
      <c r="B23" s="87" t="s">
        <v>96</v>
      </c>
    </row>
    <row r="24" spans="1:4">
      <c r="B24" t="s">
        <v>99</v>
      </c>
      <c r="C24">
        <f>D9</f>
        <v>60</v>
      </c>
    </row>
    <row r="25" spans="1:4">
      <c r="B25" t="s">
        <v>97</v>
      </c>
      <c r="C25" s="85">
        <f>-C7</f>
        <v>-200000</v>
      </c>
    </row>
    <row r="26" spans="1:4">
      <c r="B26" t="s">
        <v>98</v>
      </c>
      <c r="C26" s="85">
        <f>C11</f>
        <v>2959.9987931071373</v>
      </c>
    </row>
    <row r="27" spans="1:4">
      <c r="B27" t="s">
        <v>100</v>
      </c>
      <c r="C27" s="85">
        <f>C15</f>
        <v>200985.05704334681</v>
      </c>
    </row>
    <row r="29" spans="1:4">
      <c r="B29" t="s">
        <v>101</v>
      </c>
      <c r="C29" s="100">
        <v>1.4851399999999999</v>
      </c>
      <c r="D29" t="s">
        <v>103</v>
      </c>
    </row>
    <row r="30" spans="1:4">
      <c r="B30" t="s">
        <v>102</v>
      </c>
      <c r="C30" s="92">
        <f>C29*12/100</f>
        <v>0.17821680000000001</v>
      </c>
    </row>
    <row r="32" spans="1:4">
      <c r="A32" s="87" t="s">
        <v>140</v>
      </c>
    </row>
    <row r="34" spans="1:4">
      <c r="B34" t="s">
        <v>104</v>
      </c>
      <c r="C34" s="85">
        <f>C11</f>
        <v>2959.9987931071373</v>
      </c>
    </row>
    <row r="35" spans="1:4">
      <c r="B35" t="s">
        <v>105</v>
      </c>
      <c r="C35" s="90">
        <f>C34*12</f>
        <v>35519.985517285648</v>
      </c>
      <c r="D35" s="91" t="s">
        <v>107</v>
      </c>
    </row>
    <row r="37" spans="1:4">
      <c r="B37" t="s">
        <v>106</v>
      </c>
      <c r="C37" s="85">
        <f>C7</f>
        <v>200000</v>
      </c>
      <c r="D37" s="91" t="s">
        <v>108</v>
      </c>
    </row>
    <row r="39" spans="1:4">
      <c r="B39" t="s">
        <v>109</v>
      </c>
      <c r="C39" s="92">
        <f>C35/C37</f>
        <v>0.17759992758642823</v>
      </c>
      <c r="D39" s="91" t="s">
        <v>110</v>
      </c>
    </row>
    <row r="42" spans="1:4">
      <c r="A42" s="87" t="s">
        <v>111</v>
      </c>
    </row>
    <row r="52" spans="1:5">
      <c r="A52" s="89" t="s">
        <v>112</v>
      </c>
      <c r="D52" s="150" t="s">
        <v>121</v>
      </c>
      <c r="E52" s="150"/>
    </row>
    <row r="53" spans="1:5">
      <c r="B53" t="s">
        <v>118</v>
      </c>
      <c r="C53" s="103">
        <v>0</v>
      </c>
      <c r="D53" s="103">
        <v>0.7</v>
      </c>
      <c r="E53" s="103">
        <v>0.8</v>
      </c>
    </row>
    <row r="55" spans="1:5">
      <c r="B55" t="s">
        <v>119</v>
      </c>
      <c r="C55" s="88">
        <f>'P12-1a'!$C$97</f>
        <v>0.125</v>
      </c>
      <c r="D55" s="88">
        <f>'P12-1a'!$C$97</f>
        <v>0.125</v>
      </c>
      <c r="E55" s="88">
        <f>'P12-1a'!$C$97</f>
        <v>0.125</v>
      </c>
    </row>
    <row r="56" spans="1:5">
      <c r="B56" t="s">
        <v>120</v>
      </c>
      <c r="C56" s="104" t="s">
        <v>122</v>
      </c>
      <c r="D56" s="88">
        <f>'P12-1a'!C86</f>
        <v>0.17318255778125935</v>
      </c>
      <c r="E56" s="88">
        <f>'P12-1a (2)'!C85</f>
        <v>0.17122164004024243</v>
      </c>
    </row>
    <row r="57" spans="1:5">
      <c r="B57" s="114" t="s">
        <v>141</v>
      </c>
      <c r="C57" s="115" t="s">
        <v>122</v>
      </c>
      <c r="D57" s="116">
        <f>'P12-1a'!C90</f>
        <v>0.12334868916031239</v>
      </c>
      <c r="E57" s="116">
        <f>'P12-1a (2)'!C89</f>
        <v>0.12739324125899665</v>
      </c>
    </row>
    <row r="58" spans="1:5">
      <c r="B58" t="s">
        <v>129</v>
      </c>
      <c r="C58" s="90">
        <v>2000000</v>
      </c>
      <c r="D58" s="90">
        <v>600000</v>
      </c>
      <c r="E58" s="90">
        <v>400000</v>
      </c>
    </row>
    <row r="59" spans="1:5">
      <c r="B59" t="s">
        <v>135</v>
      </c>
      <c r="C59" s="109" t="s">
        <v>122</v>
      </c>
      <c r="D59" s="113">
        <f>'P12-1a'!C59</f>
        <v>1.2445817685339648</v>
      </c>
      <c r="E59" s="113">
        <f>'P12-1a (2)'!C59</f>
        <v>1.0096624120620612</v>
      </c>
    </row>
    <row r="60" spans="1:5">
      <c r="B60" t="s">
        <v>130</v>
      </c>
      <c r="C60" s="104" t="s">
        <v>133</v>
      </c>
      <c r="D60" t="s">
        <v>131</v>
      </c>
      <c r="E60" t="s">
        <v>132</v>
      </c>
    </row>
  </sheetData>
  <mergeCells count="1">
    <mergeCell ref="D52:E5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7320-CFB4-4A59-AD35-78C69B794622}">
  <sheetPr>
    <tabColor rgb="FFFFC000"/>
  </sheetPr>
  <dimension ref="A1:H180"/>
  <sheetViews>
    <sheetView zoomScale="130" zoomScaleNormal="130" workbookViewId="0"/>
  </sheetViews>
  <sheetFormatPr defaultRowHeight="12.75"/>
  <cols>
    <col min="2" max="2" width="31" customWidth="1"/>
    <col min="3" max="3" width="13.7109375" customWidth="1"/>
    <col min="4" max="4" width="12.42578125" bestFit="1" customWidth="1"/>
    <col min="5" max="5" width="18.7109375" customWidth="1"/>
    <col min="6" max="6" width="9.85546875" customWidth="1"/>
    <col min="7" max="7" width="10.42578125" customWidth="1"/>
    <col min="8" max="8" width="10.5703125" customWidth="1"/>
  </cols>
  <sheetData>
    <row r="1" spans="1:8" ht="13.5" thickBot="1">
      <c r="A1" s="89" t="s">
        <v>154</v>
      </c>
    </row>
    <row r="2" spans="1:8" ht="18.75" thickBot="1">
      <c r="B2" s="123" t="s">
        <v>153</v>
      </c>
      <c r="C2" s="124"/>
      <c r="D2" s="124"/>
      <c r="E2" s="124"/>
      <c r="F2" s="124"/>
      <c r="G2" s="124"/>
      <c r="H2" s="125"/>
    </row>
    <row r="3" spans="1:8" ht="16.5" thickBot="1">
      <c r="B3" s="126" t="s">
        <v>115</v>
      </c>
      <c r="C3" s="127"/>
      <c r="D3" s="127"/>
      <c r="E3" s="127"/>
      <c r="F3" s="127"/>
      <c r="G3" s="127"/>
      <c r="H3" s="128"/>
    </row>
    <row r="4" spans="1:8" ht="15.75">
      <c r="B4" s="1"/>
      <c r="C4" s="2"/>
      <c r="D4" s="2"/>
      <c r="E4" s="3"/>
      <c r="F4" s="2"/>
      <c r="G4" s="2"/>
      <c r="H4" s="4"/>
    </row>
    <row r="5" spans="1:8">
      <c r="B5" s="129" t="s">
        <v>138</v>
      </c>
      <c r="C5" s="130"/>
      <c r="D5" s="130"/>
      <c r="E5" s="130"/>
      <c r="F5" s="130"/>
      <c r="G5" s="130"/>
      <c r="H5" s="131"/>
    </row>
    <row r="6" spans="1:8" ht="12.75" customHeight="1">
      <c r="B6" s="132" t="s">
        <v>143</v>
      </c>
      <c r="C6" s="133"/>
      <c r="D6" s="133"/>
      <c r="E6" s="133"/>
      <c r="F6" s="133"/>
      <c r="G6" s="133"/>
      <c r="H6" s="134"/>
    </row>
    <row r="7" spans="1:8">
      <c r="B7" s="132"/>
      <c r="C7" s="133"/>
      <c r="D7" s="133"/>
      <c r="E7" s="133"/>
      <c r="F7" s="133"/>
      <c r="G7" s="133"/>
      <c r="H7" s="134"/>
    </row>
    <row r="8" spans="1:8">
      <c r="B8" s="117"/>
      <c r="C8" s="118"/>
      <c r="D8" s="118"/>
      <c r="E8" s="118"/>
      <c r="F8" s="118"/>
      <c r="G8" s="118"/>
      <c r="H8" s="119"/>
    </row>
    <row r="9" spans="1:8" ht="13.5" thickBot="1">
      <c r="B9" s="8"/>
      <c r="C9" s="9"/>
      <c r="D9" s="9"/>
      <c r="E9" s="10"/>
      <c r="F9" s="10"/>
      <c r="G9" s="10"/>
      <c r="H9" s="11"/>
    </row>
    <row r="10" spans="1:8" ht="13.5" thickBot="1">
      <c r="B10" s="120" t="s">
        <v>1</v>
      </c>
      <c r="C10" s="121"/>
      <c r="D10" s="121"/>
      <c r="E10" s="121"/>
      <c r="F10" s="121"/>
      <c r="G10" s="122"/>
      <c r="H10" s="11"/>
    </row>
    <row r="11" spans="1:8" ht="13.5" thickBot="1">
      <c r="B11" s="12" t="s">
        <v>2</v>
      </c>
      <c r="C11" s="82">
        <v>2200000</v>
      </c>
      <c r="D11" s="14"/>
      <c r="E11" s="15" t="s">
        <v>3</v>
      </c>
      <c r="F11" s="16"/>
      <c r="G11" s="17"/>
      <c r="H11" s="11"/>
    </row>
    <row r="12" spans="1:8">
      <c r="B12" s="12" t="s">
        <v>4</v>
      </c>
      <c r="C12" s="82">
        <v>150000</v>
      </c>
      <c r="D12" s="14"/>
      <c r="E12" s="12" t="s">
        <v>5</v>
      </c>
      <c r="F12" s="82">
        <v>1600000</v>
      </c>
      <c r="G12" s="18"/>
      <c r="H12" s="11"/>
    </row>
    <row r="13" spans="1:8">
      <c r="B13" s="12" t="s">
        <v>6</v>
      </c>
      <c r="C13" s="83">
        <v>0.02</v>
      </c>
      <c r="D13" s="14"/>
      <c r="E13" s="12" t="s">
        <v>7</v>
      </c>
      <c r="F13" s="13">
        <v>39</v>
      </c>
      <c r="G13" s="18" t="s">
        <v>8</v>
      </c>
      <c r="H13" s="11"/>
    </row>
    <row r="14" spans="1:8">
      <c r="B14" s="12" t="s">
        <v>9</v>
      </c>
      <c r="C14" s="101">
        <v>0.7</v>
      </c>
      <c r="D14" s="14"/>
      <c r="E14" s="12" t="s">
        <v>10</v>
      </c>
      <c r="F14" s="83"/>
      <c r="G14" s="18"/>
      <c r="H14" s="11"/>
    </row>
    <row r="15" spans="1:8">
      <c r="B15" s="12" t="s">
        <v>11</v>
      </c>
      <c r="C15" s="101">
        <v>0.04</v>
      </c>
      <c r="D15" s="14"/>
      <c r="E15" s="12" t="s">
        <v>144</v>
      </c>
      <c r="F15" s="151">
        <v>0.35</v>
      </c>
      <c r="G15" s="18"/>
      <c r="H15" s="11"/>
    </row>
    <row r="16" spans="1:8">
      <c r="B16" s="12" t="s">
        <v>12</v>
      </c>
      <c r="C16" s="93">
        <v>0</v>
      </c>
      <c r="D16" s="14"/>
      <c r="E16" s="12" t="s">
        <v>145</v>
      </c>
      <c r="F16" s="151">
        <v>0.25</v>
      </c>
      <c r="G16" s="18"/>
      <c r="H16" s="11"/>
    </row>
    <row r="17" spans="2:8">
      <c r="B17" s="12" t="s">
        <v>13</v>
      </c>
      <c r="C17" s="13">
        <v>20</v>
      </c>
      <c r="D17" s="14" t="s">
        <v>8</v>
      </c>
      <c r="E17" s="12" t="s">
        <v>146</v>
      </c>
      <c r="F17" s="151">
        <v>0.2</v>
      </c>
      <c r="G17" s="18"/>
      <c r="H17" s="11"/>
    </row>
    <row r="18" spans="2:8">
      <c r="B18" s="12" t="s">
        <v>14</v>
      </c>
      <c r="C18" s="13">
        <v>20</v>
      </c>
      <c r="D18" s="14" t="s">
        <v>8</v>
      </c>
      <c r="E18" s="12"/>
      <c r="F18" s="14"/>
      <c r="G18" s="18"/>
      <c r="H18" s="11"/>
    </row>
    <row r="19" spans="2:8">
      <c r="B19" s="12" t="s">
        <v>15</v>
      </c>
      <c r="C19" s="13">
        <v>12</v>
      </c>
      <c r="D19" s="14"/>
      <c r="E19" s="12"/>
      <c r="F19" s="14"/>
      <c r="G19" s="18"/>
      <c r="H19" s="11"/>
    </row>
    <row r="20" spans="2:8">
      <c r="B20" s="12" t="s">
        <v>16</v>
      </c>
      <c r="C20" s="13">
        <v>0</v>
      </c>
      <c r="D20" s="14" t="s">
        <v>17</v>
      </c>
      <c r="E20" s="12"/>
      <c r="F20" s="14"/>
      <c r="G20" s="18"/>
      <c r="H20" s="11"/>
    </row>
    <row r="21" spans="2:8">
      <c r="B21" s="12" t="s">
        <v>18</v>
      </c>
      <c r="C21" s="13">
        <v>0</v>
      </c>
      <c r="D21" s="14"/>
      <c r="E21" s="12"/>
      <c r="F21" s="14"/>
      <c r="G21" s="18"/>
      <c r="H21" s="11"/>
    </row>
    <row r="22" spans="2:8">
      <c r="B22" s="12" t="s">
        <v>16</v>
      </c>
      <c r="C22" s="13">
        <v>0</v>
      </c>
      <c r="D22" s="14" t="s">
        <v>19</v>
      </c>
      <c r="E22" s="12"/>
      <c r="F22" s="14"/>
      <c r="G22" s="18"/>
      <c r="H22" s="11"/>
    </row>
    <row r="23" spans="2:8">
      <c r="B23" s="12" t="s">
        <v>20</v>
      </c>
      <c r="C23" s="13">
        <v>0</v>
      </c>
      <c r="D23" s="14"/>
      <c r="E23" s="12"/>
      <c r="F23" s="14"/>
      <c r="G23" s="18"/>
      <c r="H23" s="11"/>
    </row>
    <row r="24" spans="2:8">
      <c r="B24" s="12" t="s">
        <v>21</v>
      </c>
      <c r="C24" s="83">
        <v>0.02</v>
      </c>
      <c r="D24" s="14"/>
      <c r="E24" s="12"/>
      <c r="F24" s="14"/>
      <c r="G24" s="18"/>
      <c r="H24" s="11"/>
    </row>
    <row r="25" spans="2:8">
      <c r="B25" s="12" t="s">
        <v>22</v>
      </c>
      <c r="C25" s="13">
        <v>0</v>
      </c>
      <c r="D25" s="14"/>
      <c r="E25" s="12"/>
      <c r="F25" s="14"/>
      <c r="G25" s="18"/>
      <c r="H25" s="11"/>
    </row>
    <row r="26" spans="2:8">
      <c r="B26" s="12" t="s">
        <v>23</v>
      </c>
      <c r="C26" s="13">
        <v>5</v>
      </c>
      <c r="D26" s="14" t="s">
        <v>8</v>
      </c>
      <c r="E26" s="12"/>
      <c r="F26" s="14"/>
      <c r="G26" s="18"/>
      <c r="H26" s="11"/>
    </row>
    <row r="27" spans="2:8" ht="13.5" thickBot="1">
      <c r="B27" s="19" t="s">
        <v>24</v>
      </c>
      <c r="C27" s="20">
        <v>0</v>
      </c>
      <c r="D27" s="21" t="s">
        <v>25</v>
      </c>
      <c r="E27" s="19"/>
      <c r="F27" s="21"/>
      <c r="G27" s="22"/>
      <c r="H27" s="11"/>
    </row>
    <row r="28" spans="2:8" ht="13.5" thickBot="1">
      <c r="B28" s="8"/>
      <c r="C28" s="23"/>
      <c r="D28" s="10"/>
      <c r="E28" s="10"/>
      <c r="F28" s="10"/>
      <c r="G28" s="10"/>
      <c r="H28" s="11"/>
    </row>
    <row r="29" spans="2:8">
      <c r="B29" s="24" t="s">
        <v>26</v>
      </c>
      <c r="C29" s="112">
        <f>IF(C23&gt;0,(1-C14)*F12,(1-C14)*C11)</f>
        <v>660000.00000000012</v>
      </c>
      <c r="D29" s="25"/>
      <c r="E29" s="26"/>
      <c r="F29" s="10"/>
      <c r="G29" s="10"/>
      <c r="H29" s="11"/>
    </row>
    <row r="30" spans="2:8">
      <c r="B30" s="27" t="s">
        <v>27</v>
      </c>
      <c r="C30" s="28">
        <f>IF(C23&gt;0,F12*C14,C14*C11)</f>
        <v>1540000</v>
      </c>
      <c r="D30" s="29"/>
      <c r="E30" s="30"/>
      <c r="F30" s="10"/>
      <c r="G30" s="10"/>
      <c r="H30" s="11"/>
    </row>
    <row r="31" spans="2:8">
      <c r="B31" s="27" t="s">
        <v>28</v>
      </c>
      <c r="C31" s="28">
        <f>PMT(C15/C19,C17*C19,-C30)*C19</f>
        <v>111985.16485453256</v>
      </c>
      <c r="D31" s="29"/>
      <c r="E31" s="30"/>
      <c r="F31" s="10"/>
      <c r="G31" s="10"/>
      <c r="H31" s="11"/>
    </row>
    <row r="32" spans="2:8">
      <c r="B32" s="27" t="s">
        <v>29</v>
      </c>
      <c r="C32" s="94"/>
      <c r="D32" s="84"/>
      <c r="E32" s="30"/>
      <c r="F32" s="10"/>
      <c r="G32" s="10"/>
      <c r="H32" s="11"/>
    </row>
    <row r="33" spans="2:8" ht="13.5" thickBot="1">
      <c r="B33" s="31" t="s">
        <v>30</v>
      </c>
      <c r="C33" s="32">
        <f>IF(C15&lt;C16,(FV(C16/C19,C26*C19,C31/C19,-C30)),PV(C15/C19,(C17-C26)*C19,-(C31/C19)))</f>
        <v>1261626.2545484323</v>
      </c>
      <c r="D33" s="33" t="s">
        <v>31</v>
      </c>
      <c r="E33" s="34">
        <f>C26</f>
        <v>5</v>
      </c>
      <c r="F33" s="10"/>
      <c r="G33" s="10"/>
      <c r="H33" s="11"/>
    </row>
    <row r="34" spans="2:8" ht="13.5" thickBot="1">
      <c r="B34" s="35"/>
      <c r="C34" s="10"/>
      <c r="D34" s="10"/>
      <c r="E34" s="10"/>
      <c r="F34" s="10"/>
      <c r="G34" s="10"/>
      <c r="H34" s="11"/>
    </row>
    <row r="35" spans="2:8" ht="13.5" thickBot="1">
      <c r="B35" s="136" t="s">
        <v>32</v>
      </c>
      <c r="C35" s="137"/>
      <c r="D35" s="137"/>
      <c r="E35" s="137"/>
      <c r="F35" s="137"/>
      <c r="G35" s="138"/>
      <c r="H35" s="11"/>
    </row>
    <row r="36" spans="2:8">
      <c r="B36" s="36" t="s">
        <v>33</v>
      </c>
      <c r="C36" s="37">
        <v>1</v>
      </c>
      <c r="D36" s="37">
        <f>(1+C36)</f>
        <v>2</v>
      </c>
      <c r="E36" s="37">
        <f>(1+D36)</f>
        <v>3</v>
      </c>
      <c r="F36" s="37">
        <f>(1+E36)</f>
        <v>4</v>
      </c>
      <c r="G36" s="38">
        <f>(1+F36)</f>
        <v>5</v>
      </c>
      <c r="H36" s="11"/>
    </row>
    <row r="37" spans="2:8">
      <c r="B37" s="27" t="s">
        <v>34</v>
      </c>
      <c r="C37" s="28">
        <f>$C$31</f>
        <v>111985.16485453256</v>
      </c>
      <c r="D37" s="28">
        <f>$C$31</f>
        <v>111985.16485453256</v>
      </c>
      <c r="E37" s="28">
        <f>$C$31</f>
        <v>111985.16485453256</v>
      </c>
      <c r="F37" s="28">
        <f>$C$31</f>
        <v>111985.16485453256</v>
      </c>
      <c r="G37" s="39">
        <f>$C$31</f>
        <v>111985.16485453256</v>
      </c>
      <c r="H37" s="30"/>
    </row>
    <row r="38" spans="2:8">
      <c r="B38" s="27" t="s">
        <v>30</v>
      </c>
      <c r="C38" s="28">
        <f>IF($C$15&lt;$C$16,FV($C$16/$C$19,C36*$C$19,$C$31/$C$19,-$C$30),IF($C$17&gt;C36-$C36+1,(($C31/$C$19)/PMT($C$15/($C$19),($C$17-(C36-$C36+1))*$C$19,-1)),0))</f>
        <v>1488680.7660889595</v>
      </c>
      <c r="D38" s="28">
        <f>IF($C$15&lt;$C$16,FV($C$16/$C$19,D36*$C$19,$C$31/$C$19,-$C$30),IF($C$17&gt;D36-$C36+1,(($C31/$C$19)/PMT($C$15/($C$19),($C$17-(D36-$C36+1))*$C$19,-1)),0))</f>
        <v>1435270.707406922</v>
      </c>
      <c r="E38" s="28">
        <f>IF($C$15&lt;$C$16,FV($C$16/$C$19,E36*$C$19,$C$31/$C$19,-$C$30),IF($C$17&gt;E36-$C36+1,(($C31/$C$19)/PMT($C$15/($C$19),($C$17-(E36-$C36+1))*$C$19,-1)),0))</f>
        <v>1379684.6405267415</v>
      </c>
      <c r="F38" s="28">
        <f>IF($C$15&lt;$C$16,FV($C$16/$C$19,F36*$C$19,$C$31/$C$19,-$C$30),IF($C$17&gt;F36-$C36+1,(($C31/$C$19)/PMT($C$15/($C$19),($C$17-(F36-$C36+1))*$C$19,-1)),0))</f>
        <v>1321833.9115170198</v>
      </c>
      <c r="G38" s="39">
        <f>IF($C$15&lt;$C$16,FV($C$16/$C$19,G36*$C$19,$C$31/$C$19,-$C$30),IF($C$17&gt;G36-$C36+1,(($C31/$C$19)/PMT($C$15/($C$19),($C$17-(G36-$C36+1))*$C$19,-1)),0))</f>
        <v>1261626.2545484076</v>
      </c>
      <c r="H38" s="30"/>
    </row>
    <row r="39" spans="2:8">
      <c r="B39" s="27" t="s">
        <v>35</v>
      </c>
      <c r="C39" s="28">
        <f>($C$31-(C30-C38))</f>
        <v>60665.930943492087</v>
      </c>
      <c r="D39" s="28">
        <f>($C$31-(C38-D38))</f>
        <v>58575.106172495041</v>
      </c>
      <c r="E39" s="28">
        <f>($C$31-(D38-E38))</f>
        <v>56399.097974352058</v>
      </c>
      <c r="F39" s="28">
        <f>($C$31-(E38-F38))</f>
        <v>54134.435844810898</v>
      </c>
      <c r="G39" s="39">
        <f>($C$31-(F38-G38))</f>
        <v>51777.507885920335</v>
      </c>
      <c r="H39" s="30"/>
    </row>
    <row r="40" spans="2:8" ht="13.5" thickBot="1">
      <c r="B40" s="31" t="s">
        <v>36</v>
      </c>
      <c r="C40" s="40">
        <f>C37-C39</f>
        <v>51319.233911040472</v>
      </c>
      <c r="D40" s="40">
        <f>D37-D39</f>
        <v>53410.058682037517</v>
      </c>
      <c r="E40" s="40">
        <f>E37-E39</f>
        <v>55586.0668801805</v>
      </c>
      <c r="F40" s="40">
        <f>F37-F39</f>
        <v>57850.729009721661</v>
      </c>
      <c r="G40" s="41">
        <f>G37-G39</f>
        <v>60207.656968612224</v>
      </c>
      <c r="H40" s="30"/>
    </row>
    <row r="41" spans="2:8" ht="13.5" thickBot="1">
      <c r="B41" s="42"/>
      <c r="C41" s="28"/>
      <c r="D41" s="28"/>
      <c r="E41" s="28"/>
      <c r="F41" s="28"/>
      <c r="G41" s="28"/>
      <c r="H41" s="30"/>
    </row>
    <row r="42" spans="2:8" ht="13.5" thickBot="1">
      <c r="B42" s="136" t="s">
        <v>37</v>
      </c>
      <c r="C42" s="137"/>
      <c r="D42" s="137"/>
      <c r="E42" s="137"/>
      <c r="F42" s="137"/>
      <c r="G42" s="138"/>
      <c r="H42" s="30"/>
    </row>
    <row r="43" spans="2:8" ht="13.5" thickBot="1">
      <c r="B43" s="43" t="s">
        <v>38</v>
      </c>
      <c r="C43" s="43">
        <v>1</v>
      </c>
      <c r="D43" s="43">
        <v>2</v>
      </c>
      <c r="E43" s="43">
        <v>3</v>
      </c>
      <c r="F43" s="43">
        <v>4</v>
      </c>
      <c r="G43" s="43">
        <v>5</v>
      </c>
      <c r="H43" s="30"/>
    </row>
    <row r="44" spans="2:8">
      <c r="B44" s="27" t="s">
        <v>39</v>
      </c>
      <c r="C44" s="28">
        <f>C12</f>
        <v>150000</v>
      </c>
      <c r="D44" s="28">
        <f>C44*(1+$C$13)</f>
        <v>153000</v>
      </c>
      <c r="E44" s="28">
        <f>D44*(1+$C$13)</f>
        <v>156060</v>
      </c>
      <c r="F44" s="28">
        <f>E44*(1+$C$13)</f>
        <v>159181.20000000001</v>
      </c>
      <c r="G44" s="39">
        <f>F44*(1+$C$13)</f>
        <v>162364.82400000002</v>
      </c>
      <c r="H44" s="30"/>
    </row>
    <row r="45" spans="2:8">
      <c r="B45" s="27" t="s">
        <v>40</v>
      </c>
      <c r="C45" s="28">
        <f>$C$37</f>
        <v>111985.16485453256</v>
      </c>
      <c r="D45" s="28">
        <f>$C$37</f>
        <v>111985.16485453256</v>
      </c>
      <c r="E45" s="28">
        <f>$C$37</f>
        <v>111985.16485453256</v>
      </c>
      <c r="F45" s="28">
        <f>$C$37</f>
        <v>111985.16485453256</v>
      </c>
      <c r="G45" s="39">
        <f>$C$37</f>
        <v>111985.16485453256</v>
      </c>
      <c r="H45" s="30"/>
    </row>
    <row r="46" spans="2:8">
      <c r="B46" s="27" t="s">
        <v>41</v>
      </c>
      <c r="C46" s="28">
        <f>$C$23</f>
        <v>0</v>
      </c>
      <c r="D46" s="28">
        <f>$C$23</f>
        <v>0</v>
      </c>
      <c r="E46" s="28">
        <f>$C$23</f>
        <v>0</v>
      </c>
      <c r="F46" s="28">
        <f>$C$23</f>
        <v>0</v>
      </c>
      <c r="G46" s="39">
        <f>$C$23</f>
        <v>0</v>
      </c>
      <c r="H46" s="30"/>
    </row>
    <row r="47" spans="2:8">
      <c r="B47" s="27" t="s">
        <v>42</v>
      </c>
      <c r="C47" s="28">
        <f>C44-C45-C46</f>
        <v>38014.835145467441</v>
      </c>
      <c r="D47" s="28">
        <f>D44-D45-D46</f>
        <v>41014.835145467441</v>
      </c>
      <c r="E47" s="28">
        <f>E44-E45-E46</f>
        <v>44074.835145467441</v>
      </c>
      <c r="F47" s="28">
        <f>F44-F45-F46</f>
        <v>47196.035145467453</v>
      </c>
      <c r="G47" s="39">
        <f>G44-G45-G46</f>
        <v>50379.659145467464</v>
      </c>
      <c r="H47" s="30"/>
    </row>
    <row r="48" spans="2:8">
      <c r="B48" s="27" t="s">
        <v>16</v>
      </c>
      <c r="C48" s="28">
        <f>IF(C44-$C$21&gt;0,$C$20*(C44-$C$21),0)</f>
        <v>0</v>
      </c>
      <c r="D48" s="28">
        <f>IF(D44-$C$21&gt;0,$C$20*(D44-$C$21),0)</f>
        <v>0</v>
      </c>
      <c r="E48" s="28">
        <f>IF(E44-$C$21&gt;0,$C$20*(E44-$C$21),0)</f>
        <v>0</v>
      </c>
      <c r="F48" s="28">
        <f>IF(F44-$C$21&gt;0,$C$20*(F44-$C$21),0)</f>
        <v>0</v>
      </c>
      <c r="G48" s="39">
        <f>IF(G44-$C$21&gt;0,$C$20*(G44-$C$21),0)</f>
        <v>0</v>
      </c>
      <c r="H48" s="11"/>
    </row>
    <row r="49" spans="2:8" ht="13.5" thickBot="1">
      <c r="B49" s="44" t="s">
        <v>43</v>
      </c>
      <c r="C49" s="45">
        <f>C47-C48</f>
        <v>38014.835145467441</v>
      </c>
      <c r="D49" s="45">
        <f>D47-D48</f>
        <v>41014.835145467441</v>
      </c>
      <c r="E49" s="45">
        <f>E47-E48</f>
        <v>44074.835145467441</v>
      </c>
      <c r="F49" s="45">
        <f>F47-F48</f>
        <v>47196.035145467453</v>
      </c>
      <c r="G49" s="46">
        <f>G47-G48</f>
        <v>50379.659145467464</v>
      </c>
      <c r="H49" s="11"/>
    </row>
    <row r="50" spans="2:8" ht="13.5" thickTop="1">
      <c r="B50" s="35"/>
      <c r="C50" s="28"/>
      <c r="D50" s="28"/>
      <c r="E50" s="28"/>
      <c r="F50" s="28"/>
      <c r="G50" s="39"/>
      <c r="H50" s="11"/>
    </row>
    <row r="51" spans="2:8">
      <c r="B51" s="27" t="s">
        <v>39</v>
      </c>
      <c r="C51" s="28">
        <f>C44</f>
        <v>150000</v>
      </c>
      <c r="D51" s="28">
        <f>D44</f>
        <v>153000</v>
      </c>
      <c r="E51" s="28">
        <f>E44</f>
        <v>156060</v>
      </c>
      <c r="F51" s="28">
        <f>F44</f>
        <v>159181.20000000001</v>
      </c>
      <c r="G51" s="39">
        <f>G44</f>
        <v>162364.82400000002</v>
      </c>
      <c r="H51" s="30"/>
    </row>
    <row r="52" spans="2:8">
      <c r="B52" s="27" t="s">
        <v>44</v>
      </c>
      <c r="C52" s="28">
        <f>C39</f>
        <v>60665.930943492087</v>
      </c>
      <c r="D52" s="28">
        <f>D39</f>
        <v>58575.106172495041</v>
      </c>
      <c r="E52" s="28">
        <f>E39</f>
        <v>56399.097974352058</v>
      </c>
      <c r="F52" s="28">
        <f>F39</f>
        <v>54134.435844810898</v>
      </c>
      <c r="G52" s="39">
        <f>G39</f>
        <v>51777.507885920335</v>
      </c>
      <c r="H52" s="30"/>
    </row>
    <row r="53" spans="2:8">
      <c r="B53" s="27" t="s">
        <v>45</v>
      </c>
      <c r="C53" s="28">
        <f>$F$12/$F$13</f>
        <v>41025.641025641024</v>
      </c>
      <c r="D53" s="28">
        <f>$F$12/$F$13</f>
        <v>41025.641025641024</v>
      </c>
      <c r="E53" s="28">
        <f>$F$12/$F$13</f>
        <v>41025.641025641024</v>
      </c>
      <c r="F53" s="28">
        <f>$F$12/$F$13</f>
        <v>41025.641025641024</v>
      </c>
      <c r="G53" s="39">
        <f>$F$12/$F$13</f>
        <v>41025.641025641024</v>
      </c>
      <c r="H53" s="30"/>
    </row>
    <row r="54" spans="2:8">
      <c r="B54" s="27" t="s">
        <v>46</v>
      </c>
      <c r="C54" s="28">
        <f>C48</f>
        <v>0</v>
      </c>
      <c r="D54" s="28">
        <f>D48</f>
        <v>0</v>
      </c>
      <c r="E54" s="28">
        <f>E48</f>
        <v>0</v>
      </c>
      <c r="F54" s="28">
        <f>F48</f>
        <v>0</v>
      </c>
      <c r="G54" s="39">
        <f>G48</f>
        <v>0</v>
      </c>
      <c r="H54" s="11"/>
    </row>
    <row r="55" spans="2:8">
      <c r="B55" s="27" t="s">
        <v>41</v>
      </c>
      <c r="C55" s="55">
        <f>$C$23</f>
        <v>0</v>
      </c>
      <c r="D55" s="55">
        <f>$C$23</f>
        <v>0</v>
      </c>
      <c r="E55" s="55">
        <f>$C$23</f>
        <v>0</v>
      </c>
      <c r="F55" s="55">
        <f>$C$23</f>
        <v>0</v>
      </c>
      <c r="G55" s="53">
        <f>$C$23</f>
        <v>0</v>
      </c>
      <c r="H55" s="11"/>
    </row>
    <row r="56" spans="2:8">
      <c r="B56" s="27" t="s">
        <v>47</v>
      </c>
      <c r="C56" s="28">
        <f>C51-C52-C53-C54-C55</f>
        <v>48308.428030866889</v>
      </c>
      <c r="D56" s="28">
        <f>D51-D52-D53-D54-D55</f>
        <v>53399.252801863935</v>
      </c>
      <c r="E56" s="28">
        <f>E51-E52-E53-E54-E55</f>
        <v>58635.261000006918</v>
      </c>
      <c r="F56" s="28">
        <f>F51-F52-F53-F54-F55</f>
        <v>64021.12312954809</v>
      </c>
      <c r="G56" s="39">
        <f>G51-G52-G53-G54-G55</f>
        <v>69561.675088438671</v>
      </c>
      <c r="H56" s="30"/>
    </row>
    <row r="57" spans="2:8">
      <c r="B57" s="27" t="s">
        <v>48</v>
      </c>
      <c r="C57" s="28">
        <f>C56*$F$15</f>
        <v>16907.949810803409</v>
      </c>
      <c r="D57" s="28">
        <f t="shared" ref="D57:G57" si="0">D56*$F$15</f>
        <v>18689.738480652377</v>
      </c>
      <c r="E57" s="28">
        <f t="shared" si="0"/>
        <v>20522.341350002422</v>
      </c>
      <c r="F57" s="28">
        <f t="shared" si="0"/>
        <v>22407.393095341831</v>
      </c>
      <c r="G57" s="28">
        <f t="shared" si="0"/>
        <v>24346.586280953532</v>
      </c>
      <c r="H57" s="30"/>
    </row>
    <row r="58" spans="2:8" ht="13.5" thickBot="1">
      <c r="B58" s="47" t="s">
        <v>49</v>
      </c>
      <c r="C58" s="48">
        <f>C49-C57</f>
        <v>21106.885334664032</v>
      </c>
      <c r="D58" s="48">
        <f>D49-D57</f>
        <v>22325.096664815064</v>
      </c>
      <c r="E58" s="48">
        <f>E49-E57</f>
        <v>23552.49379546502</v>
      </c>
      <c r="F58" s="48">
        <f>F49-F57</f>
        <v>24788.642050125622</v>
      </c>
      <c r="G58" s="49">
        <f>G49-G57</f>
        <v>26033.072864513932</v>
      </c>
      <c r="H58" s="30"/>
    </row>
    <row r="59" spans="2:8">
      <c r="B59" s="95" t="s">
        <v>114</v>
      </c>
      <c r="C59" s="96">
        <f>C44/C45</f>
        <v>1.3394631350933695</v>
      </c>
      <c r="D59" s="96">
        <f t="shared" ref="D59:G59" si="1">D44/D45</f>
        <v>1.366252397795237</v>
      </c>
      <c r="E59" s="96">
        <f t="shared" si="1"/>
        <v>1.3935774457511416</v>
      </c>
      <c r="F59" s="96">
        <f t="shared" si="1"/>
        <v>1.4214489946661646</v>
      </c>
      <c r="G59" s="96">
        <f t="shared" si="1"/>
        <v>1.4498779745594879</v>
      </c>
      <c r="H59" s="30"/>
    </row>
    <row r="60" spans="2:8" ht="13.5" thickBot="1">
      <c r="B60" s="50"/>
      <c r="C60" s="51"/>
      <c r="D60" s="51"/>
      <c r="E60" s="51"/>
      <c r="F60" s="14"/>
      <c r="G60" s="14"/>
      <c r="H60" s="11"/>
    </row>
    <row r="61" spans="2:8" ht="13.5" thickBot="1">
      <c r="B61" s="136" t="s">
        <v>50</v>
      </c>
      <c r="C61" s="139"/>
      <c r="D61" s="139"/>
      <c r="E61" s="140"/>
      <c r="F61" s="14"/>
      <c r="G61" s="14"/>
      <c r="H61" s="11"/>
    </row>
    <row r="62" spans="2:8">
      <c r="B62" s="27" t="s">
        <v>51</v>
      </c>
      <c r="C62" s="52"/>
      <c r="D62" s="52"/>
      <c r="E62" s="39">
        <f>IF(C23&gt;0,(1-C25)*(F12*(1+C24)^C26),(1-C25)*(C11*(1+C24)^C26))</f>
        <v>2428977.7670399998</v>
      </c>
      <c r="F62" s="14"/>
      <c r="G62" s="14"/>
      <c r="H62" s="11"/>
    </row>
    <row r="63" spans="2:8">
      <c r="B63" s="27" t="s">
        <v>52</v>
      </c>
      <c r="C63" s="52"/>
      <c r="D63" s="52"/>
      <c r="E63" s="39">
        <f>C27*E62</f>
        <v>0</v>
      </c>
      <c r="F63" s="28"/>
      <c r="G63" s="52"/>
      <c r="H63" s="11"/>
    </row>
    <row r="64" spans="2:8">
      <c r="B64" s="27" t="s">
        <v>30</v>
      </c>
      <c r="C64" s="28"/>
      <c r="D64" s="52"/>
      <c r="E64" s="53">
        <f>IF(C25&gt;0,0,G38)</f>
        <v>1261626.2545484076</v>
      </c>
      <c r="F64" s="28"/>
      <c r="G64" s="52"/>
      <c r="H64" s="11"/>
    </row>
    <row r="65" spans="2:8">
      <c r="B65" s="27" t="s">
        <v>125</v>
      </c>
      <c r="C65" s="28"/>
      <c r="D65" s="52"/>
      <c r="E65" s="39">
        <f>E62-E63-E64</f>
        <v>1167351.5124915922</v>
      </c>
      <c r="F65" s="28"/>
      <c r="G65" s="52"/>
      <c r="H65" s="11"/>
    </row>
    <row r="66" spans="2:8">
      <c r="B66" s="27" t="s">
        <v>53</v>
      </c>
      <c r="C66" s="52"/>
      <c r="D66" s="52"/>
      <c r="E66" s="53">
        <f>IF((E62-E63-C11)&gt;0,(E62-E63-C11)*C22,0)</f>
        <v>0</v>
      </c>
      <c r="F66" s="52"/>
      <c r="G66" s="52"/>
      <c r="H66" s="11"/>
    </row>
    <row r="67" spans="2:8">
      <c r="B67" s="27" t="s">
        <v>124</v>
      </c>
      <c r="C67" s="52"/>
      <c r="D67" s="52"/>
      <c r="E67" s="39">
        <f>E65-E66</f>
        <v>1167351.5124915922</v>
      </c>
      <c r="F67" s="52"/>
      <c r="G67" s="52"/>
      <c r="H67" s="11"/>
    </row>
    <row r="68" spans="2:8">
      <c r="B68" s="27"/>
      <c r="C68" s="52"/>
      <c r="D68" s="52"/>
      <c r="E68" s="39"/>
      <c r="F68" s="52"/>
      <c r="G68" s="52"/>
      <c r="H68" s="11"/>
    </row>
    <row r="69" spans="2:8">
      <c r="B69" s="107" t="s">
        <v>126</v>
      </c>
      <c r="C69" s="52"/>
      <c r="D69" s="52"/>
      <c r="E69" s="54"/>
      <c r="F69" s="52"/>
      <c r="G69" s="52"/>
      <c r="H69" s="11"/>
    </row>
    <row r="70" spans="2:8">
      <c r="B70" s="27" t="s">
        <v>51</v>
      </c>
      <c r="C70" s="52"/>
      <c r="D70" s="52">
        <f>IF(C23&gt;0,F12*(1+C24)^C26,C11*(1+C24)^C26)</f>
        <v>2428977.7670399998</v>
      </c>
      <c r="E70" s="54"/>
      <c r="F70" s="52"/>
      <c r="G70" s="52"/>
      <c r="H70" s="11"/>
    </row>
    <row r="71" spans="2:8">
      <c r="B71" s="27" t="s">
        <v>55</v>
      </c>
      <c r="C71" s="52"/>
      <c r="D71" s="52">
        <f>E63</f>
        <v>0</v>
      </c>
      <c r="E71" s="54"/>
      <c r="F71" s="52"/>
      <c r="G71" s="52"/>
      <c r="H71" s="11"/>
    </row>
    <row r="72" spans="2:8">
      <c r="B72" s="27" t="s">
        <v>56</v>
      </c>
      <c r="C72" s="52"/>
      <c r="D72" s="52">
        <f>E66</f>
        <v>0</v>
      </c>
      <c r="E72" s="54"/>
      <c r="F72" s="52"/>
      <c r="G72" s="52"/>
      <c r="H72" s="11"/>
    </row>
    <row r="73" spans="2:8">
      <c r="B73" s="35"/>
      <c r="C73" s="28"/>
      <c r="D73" s="28"/>
      <c r="E73" s="39"/>
      <c r="F73" s="28"/>
      <c r="G73" s="52"/>
      <c r="H73" s="11"/>
    </row>
    <row r="74" spans="2:8">
      <c r="B74" s="27" t="s">
        <v>57</v>
      </c>
      <c r="C74" s="28">
        <f>IF(C23&gt;0,F12,C11)</f>
        <v>2200000</v>
      </c>
      <c r="D74" s="28"/>
      <c r="E74" s="54"/>
      <c r="F74" s="52"/>
      <c r="G74" s="52"/>
      <c r="H74" s="11"/>
    </row>
    <row r="75" spans="2:8">
      <c r="B75" s="27" t="s">
        <v>58</v>
      </c>
      <c r="C75" s="55">
        <f>C26*C53</f>
        <v>205128.20512820513</v>
      </c>
      <c r="D75" s="28"/>
      <c r="E75" s="54"/>
      <c r="F75" s="52"/>
      <c r="G75" s="52"/>
      <c r="H75" s="11"/>
    </row>
    <row r="76" spans="2:8">
      <c r="B76" s="27" t="s">
        <v>59</v>
      </c>
      <c r="C76" s="52"/>
      <c r="D76" s="55">
        <f>C74-C75</f>
        <v>1994871.794871795</v>
      </c>
      <c r="E76" s="54"/>
      <c r="F76" s="52"/>
      <c r="G76" s="52"/>
      <c r="H76" s="11"/>
    </row>
    <row r="77" spans="2:8">
      <c r="B77" s="35"/>
      <c r="C77" s="28"/>
      <c r="D77" s="28"/>
      <c r="E77" s="54"/>
      <c r="F77" s="52"/>
      <c r="G77" s="52"/>
      <c r="H77" s="11"/>
    </row>
    <row r="78" spans="2:8">
      <c r="B78" s="27" t="s">
        <v>123</v>
      </c>
      <c r="C78" s="52"/>
      <c r="D78" s="28">
        <f>D70-D71-D72-D76</f>
        <v>434105.97216820484</v>
      </c>
      <c r="E78" s="54"/>
      <c r="F78" s="52"/>
      <c r="G78" s="52"/>
      <c r="H78" s="11"/>
    </row>
    <row r="79" spans="2:8">
      <c r="B79" s="27" t="s">
        <v>150</v>
      </c>
      <c r="C79" s="52"/>
      <c r="D79" s="28"/>
      <c r="E79" s="54">
        <f>C75*F16</f>
        <v>51282.051282051281</v>
      </c>
      <c r="F79" s="52"/>
      <c r="G79" s="52"/>
      <c r="H79" s="11"/>
    </row>
    <row r="80" spans="2:8">
      <c r="B80" s="27" t="s">
        <v>151</v>
      </c>
      <c r="C80" s="28"/>
      <c r="D80" s="52"/>
      <c r="E80" s="53">
        <f>(D78-C75)*F17</f>
        <v>45795.553407999949</v>
      </c>
      <c r="F80" s="52"/>
      <c r="G80" s="52"/>
      <c r="H80" s="11"/>
    </row>
    <row r="81" spans="2:8">
      <c r="B81" s="35"/>
      <c r="C81" s="28"/>
      <c r="D81" s="28"/>
      <c r="E81" s="54"/>
      <c r="F81" s="14"/>
      <c r="G81" s="14"/>
      <c r="H81" s="18"/>
    </row>
    <row r="82" spans="2:8" ht="13.5" thickBot="1">
      <c r="B82" s="47" t="s">
        <v>62</v>
      </c>
      <c r="C82" s="56"/>
      <c r="D82" s="57"/>
      <c r="E82" s="58">
        <f>E67-E79-E80</f>
        <v>1070273.907801541</v>
      </c>
      <c r="F82" s="14"/>
      <c r="G82" s="14"/>
      <c r="H82" s="18"/>
    </row>
    <row r="83" spans="2:8" ht="13.5" thickBot="1">
      <c r="B83" s="35"/>
      <c r="C83" s="29"/>
      <c r="D83" s="29"/>
      <c r="E83" s="10"/>
      <c r="F83" s="14"/>
      <c r="G83" s="14"/>
      <c r="H83" s="18"/>
    </row>
    <row r="84" spans="2:8" ht="13.5" thickBot="1">
      <c r="B84" s="136" t="s">
        <v>63</v>
      </c>
      <c r="C84" s="137"/>
      <c r="D84" s="137"/>
      <c r="E84" s="137"/>
      <c r="F84" s="137"/>
      <c r="G84" s="137"/>
      <c r="H84" s="138"/>
    </row>
    <row r="85" spans="2:8" ht="13.5" thickBot="1">
      <c r="B85" s="43" t="s">
        <v>38</v>
      </c>
      <c r="C85" s="43">
        <v>0</v>
      </c>
      <c r="D85" s="43">
        <v>1</v>
      </c>
      <c r="E85" s="43">
        <v>2</v>
      </c>
      <c r="F85" s="43">
        <v>3</v>
      </c>
      <c r="G85" s="43">
        <v>4</v>
      </c>
      <c r="H85" s="43">
        <v>5</v>
      </c>
    </row>
    <row r="86" spans="2:8" ht="13.5" thickBot="1">
      <c r="B86" s="27" t="s">
        <v>128</v>
      </c>
      <c r="C86" s="29">
        <f>-C29</f>
        <v>-660000.00000000012</v>
      </c>
      <c r="D86" s="28">
        <f>C49</f>
        <v>38014.835145467441</v>
      </c>
      <c r="E86" s="28">
        <f>D49</f>
        <v>41014.835145467441</v>
      </c>
      <c r="F86" s="28">
        <f>E49</f>
        <v>44074.835145467441</v>
      </c>
      <c r="G86" s="28">
        <f>F49</f>
        <v>47196.035145467453</v>
      </c>
      <c r="H86" s="39">
        <f>G49+E67</f>
        <v>1217731.1716370597</v>
      </c>
    </row>
    <row r="87" spans="2:8" ht="13.5" thickBot="1">
      <c r="B87" s="59" t="s">
        <v>65</v>
      </c>
      <c r="C87" s="99">
        <f>IRR(C86:H86,0.1)</f>
        <v>0.17409581918475658</v>
      </c>
      <c r="D87" s="29"/>
      <c r="E87" s="29"/>
      <c r="F87" s="29"/>
      <c r="G87" s="10"/>
      <c r="H87" s="11"/>
    </row>
    <row r="88" spans="2:8" ht="13.5" thickBot="1">
      <c r="B88" s="35"/>
      <c r="C88" s="10"/>
      <c r="D88" s="10"/>
      <c r="E88" s="10"/>
      <c r="F88" s="10"/>
      <c r="G88" s="10"/>
      <c r="H88" s="11"/>
    </row>
    <row r="89" spans="2:8" ht="13.5" thickBot="1">
      <c r="B89" s="43" t="s">
        <v>38</v>
      </c>
      <c r="C89" s="43">
        <v>0</v>
      </c>
      <c r="D89" s="43">
        <v>1</v>
      </c>
      <c r="E89" s="43">
        <v>2</v>
      </c>
      <c r="F89" s="43">
        <v>3</v>
      </c>
      <c r="G89" s="43">
        <v>4</v>
      </c>
      <c r="H89" s="43">
        <v>5</v>
      </c>
    </row>
    <row r="90" spans="2:8" ht="13.5" thickBot="1">
      <c r="B90" s="27" t="s">
        <v>66</v>
      </c>
      <c r="C90" s="29">
        <f>-C29</f>
        <v>-660000.00000000012</v>
      </c>
      <c r="D90" s="28">
        <f>C58</f>
        <v>21106.885334664032</v>
      </c>
      <c r="E90" s="28">
        <f>D58</f>
        <v>22325.096664815064</v>
      </c>
      <c r="F90" s="28">
        <f>E58</f>
        <v>23552.49379546502</v>
      </c>
      <c r="G90" s="28">
        <f>F58</f>
        <v>24788.642050125622</v>
      </c>
      <c r="H90" s="39">
        <f>G58+E82</f>
        <v>1096306.9806660549</v>
      </c>
    </row>
    <row r="91" spans="2:8" ht="13.5" thickBot="1">
      <c r="B91" s="59" t="s">
        <v>67</v>
      </c>
      <c r="C91" s="60">
        <f>IRR(C90:H90,0.1)</f>
        <v>0.13098194350785386</v>
      </c>
      <c r="D91" s="29"/>
      <c r="E91" s="29"/>
      <c r="F91" s="29"/>
      <c r="G91" s="29"/>
      <c r="H91" s="30"/>
    </row>
    <row r="92" spans="2:8" ht="13.5" thickBot="1">
      <c r="B92" s="44" t="s">
        <v>68</v>
      </c>
      <c r="C92" s="60">
        <f>(C87-C91)/C87</f>
        <v>0.2476445205794906</v>
      </c>
      <c r="D92" s="10"/>
      <c r="E92" s="10"/>
      <c r="F92" s="10"/>
      <c r="G92" s="10"/>
      <c r="H92" s="11"/>
    </row>
    <row r="93" spans="2:8" ht="13.5" thickBot="1">
      <c r="B93" s="47"/>
      <c r="C93" s="61"/>
      <c r="D93" s="62"/>
      <c r="E93" s="62"/>
      <c r="F93" s="62"/>
      <c r="G93" s="62"/>
      <c r="H93" s="63"/>
    </row>
    <row r="94" spans="2:8" ht="13.5" thickBot="1">
      <c r="B94" s="8"/>
      <c r="C94" s="9"/>
      <c r="D94" s="10"/>
      <c r="E94" s="10"/>
      <c r="F94" s="10"/>
      <c r="G94" s="10"/>
      <c r="H94" s="11"/>
    </row>
    <row r="95" spans="2:8" ht="13.5" thickBot="1">
      <c r="B95" s="136" t="s">
        <v>117</v>
      </c>
      <c r="C95" s="137"/>
      <c r="D95" s="137"/>
      <c r="E95" s="137"/>
      <c r="F95" s="137"/>
      <c r="G95" s="137"/>
      <c r="H95" s="138"/>
    </row>
    <row r="96" spans="2:8" ht="13.5" thickBot="1">
      <c r="B96" s="43" t="s">
        <v>38</v>
      </c>
      <c r="C96" s="43">
        <v>0</v>
      </c>
      <c r="D96" s="43">
        <v>1</v>
      </c>
      <c r="E96" s="43">
        <v>2</v>
      </c>
      <c r="F96" s="43">
        <v>3</v>
      </c>
      <c r="G96" s="43">
        <v>4</v>
      </c>
      <c r="H96" s="43">
        <v>5</v>
      </c>
    </row>
    <row r="97" spans="2:8" ht="13.5" thickBot="1">
      <c r="B97" s="27" t="s">
        <v>39</v>
      </c>
      <c r="C97" s="29">
        <f>-C11</f>
        <v>-2200000</v>
      </c>
      <c r="D97" s="28">
        <f>C44</f>
        <v>150000</v>
      </c>
      <c r="E97" s="28">
        <f>D44</f>
        <v>153000</v>
      </c>
      <c r="F97" s="28">
        <f>E44</f>
        <v>156060</v>
      </c>
      <c r="G97" s="28">
        <f>F44</f>
        <v>159181.20000000001</v>
      </c>
      <c r="H97" s="39">
        <f>G44+E62-E63</f>
        <v>2591342.5910399999</v>
      </c>
    </row>
    <row r="98" spans="2:8" ht="13.5" thickBot="1">
      <c r="B98" s="59" t="s">
        <v>69</v>
      </c>
      <c r="C98" s="99">
        <f>IRR(C97:H97,0.1)</f>
        <v>8.8181818181818139E-2</v>
      </c>
      <c r="D98" s="10"/>
      <c r="E98" s="10"/>
      <c r="F98" s="10"/>
      <c r="G98" s="10"/>
      <c r="H98" s="11"/>
    </row>
    <row r="99" spans="2:8" ht="13.5" thickBot="1">
      <c r="B99" s="35"/>
      <c r="C99" s="10"/>
      <c r="D99" s="10"/>
      <c r="E99" s="10"/>
      <c r="F99" s="10"/>
      <c r="G99" s="10"/>
      <c r="H99" s="11"/>
    </row>
    <row r="100" spans="2:8" ht="13.5" thickBot="1">
      <c r="B100" s="43" t="s">
        <v>38</v>
      </c>
      <c r="C100" s="43">
        <v>0</v>
      </c>
      <c r="D100" s="43">
        <v>1</v>
      </c>
      <c r="E100" s="43">
        <v>2</v>
      </c>
      <c r="F100" s="43">
        <v>3</v>
      </c>
      <c r="G100" s="43">
        <v>4</v>
      </c>
      <c r="H100" s="43">
        <v>5</v>
      </c>
    </row>
    <row r="101" spans="2:8" ht="13.5" thickBot="1">
      <c r="B101" s="27" t="s">
        <v>70</v>
      </c>
      <c r="C101" s="64">
        <f>-C11</f>
        <v>-2200000</v>
      </c>
      <c r="D101" s="28">
        <f>C44-((C44-C53)*$F$14)</f>
        <v>150000</v>
      </c>
      <c r="E101" s="28">
        <f>D44-((D44-D53)*$F$14)</f>
        <v>153000</v>
      </c>
      <c r="F101" s="28">
        <f>E44-((E44-E53)*$F$14)</f>
        <v>156060</v>
      </c>
      <c r="G101" s="28">
        <f>F44-((F44-F53)*$F$14)</f>
        <v>159181.20000000001</v>
      </c>
      <c r="H101" s="39">
        <f>G44-((G44-G53)*$F$14)+(E62-E63-E80)</f>
        <v>2545547.0376319997</v>
      </c>
    </row>
    <row r="102" spans="2:8" ht="13.5" thickBot="1">
      <c r="B102" s="59" t="s">
        <v>71</v>
      </c>
      <c r="C102" s="60">
        <f>IRR(C101:H101,0.1)</f>
        <v>8.4794237895572167E-2</v>
      </c>
      <c r="D102" s="10"/>
      <c r="E102" s="10"/>
      <c r="F102" s="10"/>
      <c r="G102" s="10"/>
      <c r="H102" s="11"/>
    </row>
    <row r="103" spans="2:8" ht="13.5" thickBot="1">
      <c r="B103" s="65"/>
      <c r="C103" s="66"/>
      <c r="D103" s="62"/>
      <c r="E103" s="62"/>
      <c r="F103" s="62"/>
      <c r="G103" s="62"/>
      <c r="H103" s="63"/>
    </row>
    <row r="104" spans="2:8" ht="13.5" thickBot="1">
      <c r="B104" s="42"/>
      <c r="C104" s="10"/>
      <c r="D104" s="29"/>
      <c r="E104" s="29"/>
      <c r="F104" s="29"/>
      <c r="G104" s="29"/>
      <c r="H104" s="30"/>
    </row>
    <row r="105" spans="2:8" ht="13.5" thickBot="1">
      <c r="B105" s="136" t="s">
        <v>72</v>
      </c>
      <c r="C105" s="137"/>
      <c r="D105" s="137"/>
      <c r="E105" s="137"/>
      <c r="F105" s="137"/>
      <c r="G105" s="137"/>
      <c r="H105" s="138"/>
    </row>
    <row r="106" spans="2:8" ht="13.5" thickBot="1">
      <c r="B106" s="43" t="s">
        <v>38</v>
      </c>
      <c r="C106" s="43">
        <v>0</v>
      </c>
      <c r="D106" s="43">
        <v>1</v>
      </c>
      <c r="E106" s="43">
        <v>2</v>
      </c>
      <c r="F106" s="43">
        <v>3</v>
      </c>
      <c r="G106" s="43">
        <v>4</v>
      </c>
      <c r="H106" s="43">
        <v>5</v>
      </c>
    </row>
    <row r="107" spans="2:8">
      <c r="B107" s="42" t="s">
        <v>73</v>
      </c>
      <c r="C107" s="14"/>
      <c r="D107" s="67">
        <f>+C45</f>
        <v>111985.16485453256</v>
      </c>
      <c r="E107" s="67">
        <f>+D45</f>
        <v>111985.16485453256</v>
      </c>
      <c r="F107" s="67">
        <f>+E45</f>
        <v>111985.16485453256</v>
      </c>
      <c r="G107" s="67">
        <f>+F45</f>
        <v>111985.16485453256</v>
      </c>
      <c r="H107" s="68">
        <f>+G45</f>
        <v>111985.16485453256</v>
      </c>
    </row>
    <row r="108" spans="2:8">
      <c r="B108" s="42" t="s">
        <v>74</v>
      </c>
      <c r="C108" s="10"/>
      <c r="D108" s="69"/>
      <c r="E108" s="69"/>
      <c r="F108" s="69"/>
      <c r="G108" s="69"/>
      <c r="H108" s="70">
        <f>+E64</f>
        <v>1261626.2545484076</v>
      </c>
    </row>
    <row r="109" spans="2:8">
      <c r="B109" s="42" t="s">
        <v>56</v>
      </c>
      <c r="C109" s="10"/>
      <c r="D109" s="69">
        <f>+C54</f>
        <v>0</v>
      </c>
      <c r="E109" s="69">
        <f>+D54</f>
        <v>0</v>
      </c>
      <c r="F109" s="69">
        <f>+E54</f>
        <v>0</v>
      </c>
      <c r="G109" s="69">
        <f>+F54</f>
        <v>0</v>
      </c>
      <c r="H109" s="70">
        <f>+G54+E66</f>
        <v>0</v>
      </c>
    </row>
    <row r="110" spans="2:8">
      <c r="B110" s="42" t="s">
        <v>75</v>
      </c>
      <c r="C110" s="64">
        <f>-C30</f>
        <v>-1540000</v>
      </c>
      <c r="D110" s="69"/>
      <c r="E110" s="69"/>
      <c r="F110" s="69"/>
      <c r="G110" s="69"/>
      <c r="H110" s="70"/>
    </row>
    <row r="111" spans="2:8" ht="13.5" thickBot="1">
      <c r="B111" s="42" t="s">
        <v>76</v>
      </c>
      <c r="C111" s="64">
        <f t="shared" ref="C111:H111" si="2">+C107+C108+C109+C110</f>
        <v>-1540000</v>
      </c>
      <c r="D111" s="69">
        <f t="shared" si="2"/>
        <v>111985.16485453256</v>
      </c>
      <c r="E111" s="69">
        <f t="shared" si="2"/>
        <v>111985.16485453256</v>
      </c>
      <c r="F111" s="69">
        <f t="shared" si="2"/>
        <v>111985.16485453256</v>
      </c>
      <c r="G111" s="69">
        <f t="shared" si="2"/>
        <v>111985.16485453256</v>
      </c>
      <c r="H111" s="70">
        <f t="shared" si="2"/>
        <v>1373611.4194029402</v>
      </c>
    </row>
    <row r="112" spans="2:8" ht="13.5" thickBot="1">
      <c r="B112" s="71" t="s">
        <v>77</v>
      </c>
      <c r="C112" s="99">
        <f>C180</f>
        <v>3.9999999999998259E-2</v>
      </c>
      <c r="D112" s="72"/>
      <c r="E112" s="72"/>
      <c r="F112" s="72"/>
      <c r="G112" s="72"/>
      <c r="H112" s="73"/>
    </row>
    <row r="113" spans="2:8">
      <c r="B113" s="42"/>
      <c r="C113" s="10"/>
      <c r="D113" s="10"/>
      <c r="E113" s="10"/>
      <c r="F113" s="10"/>
      <c r="G113" s="10"/>
      <c r="H113" s="11"/>
    </row>
    <row r="114" spans="2:8" ht="13.5" thickBot="1">
      <c r="B114" s="42"/>
      <c r="C114" s="10"/>
      <c r="D114" s="10"/>
      <c r="E114" s="10"/>
      <c r="F114" s="10"/>
      <c r="G114" s="10"/>
      <c r="H114" s="11"/>
    </row>
    <row r="115" spans="2:8" ht="13.5" thickBot="1">
      <c r="B115" s="135" t="s">
        <v>78</v>
      </c>
      <c r="C115" s="122"/>
      <c r="D115" s="74"/>
      <c r="E115" s="74"/>
      <c r="F115" s="74"/>
      <c r="G115" s="74"/>
      <c r="H115" s="75"/>
    </row>
    <row r="116" spans="2:8" ht="13.5" thickBot="1">
      <c r="B116" s="12"/>
      <c r="C116" s="18"/>
      <c r="D116" s="14"/>
      <c r="E116" s="14"/>
      <c r="F116" s="14"/>
      <c r="G116" s="14"/>
      <c r="H116" s="18"/>
    </row>
    <row r="117" spans="2:8" ht="13.5" thickBot="1">
      <c r="B117" s="43" t="s">
        <v>79</v>
      </c>
      <c r="C117" s="43" t="s">
        <v>80</v>
      </c>
      <c r="D117" s="76"/>
      <c r="E117" s="76"/>
      <c r="F117" s="76"/>
      <c r="G117" s="76"/>
      <c r="H117" s="75"/>
    </row>
    <row r="118" spans="2:8">
      <c r="B118" s="77">
        <v>0</v>
      </c>
      <c r="C118" s="105">
        <f>C110</f>
        <v>-1540000</v>
      </c>
      <c r="D118" s="14"/>
      <c r="E118" s="14"/>
      <c r="F118" s="14"/>
      <c r="G118" s="14"/>
      <c r="H118" s="18"/>
    </row>
    <row r="119" spans="2:8">
      <c r="B119" s="77">
        <v>1</v>
      </c>
      <c r="C119" s="105">
        <f>($D$107+$D$109)/12</f>
        <v>9332.0970712110466</v>
      </c>
      <c r="D119" s="79"/>
      <c r="E119" s="80"/>
      <c r="F119" s="80"/>
      <c r="G119" s="80"/>
      <c r="H119" s="78"/>
    </row>
    <row r="120" spans="2:8">
      <c r="B120" s="77">
        <v>2</v>
      </c>
      <c r="C120" s="105">
        <f t="shared" ref="C120:C130" si="3">($D$107+$D$109)/12</f>
        <v>9332.0970712110466</v>
      </c>
      <c r="D120" s="81"/>
      <c r="E120" s="80"/>
      <c r="F120" s="80"/>
      <c r="G120" s="80"/>
      <c r="H120" s="78"/>
    </row>
    <row r="121" spans="2:8">
      <c r="B121" s="77">
        <v>3</v>
      </c>
      <c r="C121" s="105">
        <f t="shared" si="3"/>
        <v>9332.0970712110466</v>
      </c>
      <c r="D121" s="81"/>
      <c r="E121" s="80"/>
      <c r="F121" s="80"/>
      <c r="G121" s="80"/>
      <c r="H121" s="78"/>
    </row>
    <row r="122" spans="2:8">
      <c r="B122" s="77">
        <v>4</v>
      </c>
      <c r="C122" s="105">
        <f t="shared" si="3"/>
        <v>9332.0970712110466</v>
      </c>
      <c r="D122" s="81"/>
      <c r="E122" s="80"/>
      <c r="F122" s="80"/>
      <c r="G122" s="80"/>
      <c r="H122" s="78"/>
    </row>
    <row r="123" spans="2:8">
      <c r="B123" s="77">
        <v>5</v>
      </c>
      <c r="C123" s="105">
        <f t="shared" si="3"/>
        <v>9332.0970712110466</v>
      </c>
      <c r="D123" s="81"/>
      <c r="E123" s="80"/>
      <c r="F123" s="80"/>
      <c r="G123" s="80"/>
      <c r="H123" s="78"/>
    </row>
    <row r="124" spans="2:8">
      <c r="B124" s="77">
        <v>6</v>
      </c>
      <c r="C124" s="105">
        <f t="shared" si="3"/>
        <v>9332.0970712110466</v>
      </c>
      <c r="D124" s="81"/>
      <c r="E124" s="80"/>
      <c r="F124" s="80"/>
      <c r="G124" s="80"/>
      <c r="H124" s="78"/>
    </row>
    <row r="125" spans="2:8">
      <c r="B125" s="77">
        <v>7</v>
      </c>
      <c r="C125" s="105">
        <f t="shared" si="3"/>
        <v>9332.0970712110466</v>
      </c>
      <c r="D125" s="81"/>
      <c r="E125" s="80"/>
      <c r="F125" s="80"/>
      <c r="G125" s="80"/>
      <c r="H125" s="78"/>
    </row>
    <row r="126" spans="2:8">
      <c r="B126" s="77">
        <v>8</v>
      </c>
      <c r="C126" s="105">
        <f t="shared" si="3"/>
        <v>9332.0970712110466</v>
      </c>
      <c r="D126" s="81"/>
      <c r="E126" s="80"/>
      <c r="F126" s="80"/>
      <c r="G126" s="80"/>
      <c r="H126" s="78"/>
    </row>
    <row r="127" spans="2:8">
      <c r="B127" s="77">
        <v>9</v>
      </c>
      <c r="C127" s="105">
        <f t="shared" si="3"/>
        <v>9332.0970712110466</v>
      </c>
      <c r="D127" s="81"/>
      <c r="E127" s="80"/>
      <c r="F127" s="80"/>
      <c r="G127" s="80"/>
      <c r="H127" s="78"/>
    </row>
    <row r="128" spans="2:8">
      <c r="B128" s="77">
        <v>10</v>
      </c>
      <c r="C128" s="105">
        <f t="shared" si="3"/>
        <v>9332.0970712110466</v>
      </c>
      <c r="D128" s="81"/>
      <c r="E128" s="80"/>
      <c r="F128" s="80"/>
      <c r="G128" s="80"/>
      <c r="H128" s="78"/>
    </row>
    <row r="129" spans="2:8">
      <c r="B129" s="77">
        <v>11</v>
      </c>
      <c r="C129" s="105">
        <f t="shared" si="3"/>
        <v>9332.0970712110466</v>
      </c>
      <c r="D129" s="81"/>
      <c r="E129" s="80"/>
      <c r="F129" s="80"/>
      <c r="G129" s="80"/>
      <c r="H129" s="78"/>
    </row>
    <row r="130" spans="2:8">
      <c r="B130" s="77">
        <v>12</v>
      </c>
      <c r="C130" s="105">
        <f t="shared" si="3"/>
        <v>9332.0970712110466</v>
      </c>
      <c r="D130" s="81"/>
      <c r="E130" s="80"/>
      <c r="F130" s="80"/>
      <c r="G130" s="80"/>
      <c r="H130" s="78"/>
    </row>
    <row r="131" spans="2:8">
      <c r="B131" s="77">
        <v>13</v>
      </c>
      <c r="C131" s="105">
        <f>($E$107+$E$109)/12</f>
        <v>9332.0970712110466</v>
      </c>
      <c r="D131" s="81"/>
      <c r="E131" s="80"/>
      <c r="F131" s="80"/>
      <c r="G131" s="80"/>
      <c r="H131" s="78"/>
    </row>
    <row r="132" spans="2:8">
      <c r="B132" s="77">
        <v>14</v>
      </c>
      <c r="C132" s="105">
        <f t="shared" ref="C132:C142" si="4">($E$107+$E$109)/12</f>
        <v>9332.0970712110466</v>
      </c>
      <c r="D132" s="81"/>
      <c r="E132" s="80"/>
      <c r="F132" s="80"/>
      <c r="G132" s="80"/>
      <c r="H132" s="78"/>
    </row>
    <row r="133" spans="2:8">
      <c r="B133" s="77">
        <v>15</v>
      </c>
      <c r="C133" s="105">
        <f t="shared" si="4"/>
        <v>9332.0970712110466</v>
      </c>
      <c r="D133" s="81"/>
      <c r="E133" s="80"/>
      <c r="F133" s="80"/>
      <c r="G133" s="80"/>
      <c r="H133" s="78"/>
    </row>
    <row r="134" spans="2:8">
      <c r="B134" s="77">
        <v>16</v>
      </c>
      <c r="C134" s="105">
        <f t="shared" si="4"/>
        <v>9332.0970712110466</v>
      </c>
      <c r="D134" s="81"/>
      <c r="E134" s="80"/>
      <c r="F134" s="80"/>
      <c r="G134" s="80"/>
      <c r="H134" s="78"/>
    </row>
    <row r="135" spans="2:8">
      <c r="B135" s="77">
        <v>17</v>
      </c>
      <c r="C135" s="105">
        <f t="shared" si="4"/>
        <v>9332.0970712110466</v>
      </c>
      <c r="D135" s="81"/>
      <c r="E135" s="80"/>
      <c r="F135" s="80"/>
      <c r="G135" s="80"/>
      <c r="H135" s="78"/>
    </row>
    <row r="136" spans="2:8">
      <c r="B136" s="77">
        <v>18</v>
      </c>
      <c r="C136" s="105">
        <f t="shared" si="4"/>
        <v>9332.0970712110466</v>
      </c>
      <c r="D136" s="81"/>
      <c r="E136" s="80"/>
      <c r="F136" s="80"/>
      <c r="G136" s="80"/>
      <c r="H136" s="78"/>
    </row>
    <row r="137" spans="2:8">
      <c r="B137" s="77">
        <v>19</v>
      </c>
      <c r="C137" s="105">
        <f t="shared" si="4"/>
        <v>9332.0970712110466</v>
      </c>
      <c r="D137" s="81"/>
      <c r="E137" s="80"/>
      <c r="F137" s="80"/>
      <c r="G137" s="80"/>
      <c r="H137" s="78"/>
    </row>
    <row r="138" spans="2:8">
      <c r="B138" s="77">
        <v>20</v>
      </c>
      <c r="C138" s="105">
        <f t="shared" si="4"/>
        <v>9332.0970712110466</v>
      </c>
      <c r="D138" s="81"/>
      <c r="E138" s="80"/>
      <c r="F138" s="80"/>
      <c r="G138" s="80"/>
      <c r="H138" s="78"/>
    </row>
    <row r="139" spans="2:8">
      <c r="B139" s="77">
        <v>21</v>
      </c>
      <c r="C139" s="105">
        <f t="shared" si="4"/>
        <v>9332.0970712110466</v>
      </c>
      <c r="D139" s="81"/>
      <c r="E139" s="80"/>
      <c r="F139" s="80"/>
      <c r="G139" s="80"/>
      <c r="H139" s="78"/>
    </row>
    <row r="140" spans="2:8">
      <c r="B140" s="77">
        <v>22</v>
      </c>
      <c r="C140" s="105">
        <f t="shared" si="4"/>
        <v>9332.0970712110466</v>
      </c>
      <c r="D140" s="81"/>
      <c r="E140" s="80"/>
      <c r="F140" s="80"/>
      <c r="G140" s="80"/>
      <c r="H140" s="78"/>
    </row>
    <row r="141" spans="2:8">
      <c r="B141" s="77">
        <v>23</v>
      </c>
      <c r="C141" s="105">
        <f t="shared" si="4"/>
        <v>9332.0970712110466</v>
      </c>
      <c r="D141" s="81"/>
      <c r="E141" s="80"/>
      <c r="F141" s="80"/>
      <c r="G141" s="80"/>
      <c r="H141" s="78"/>
    </row>
    <row r="142" spans="2:8">
      <c r="B142" s="77">
        <v>24</v>
      </c>
      <c r="C142" s="105">
        <f t="shared" si="4"/>
        <v>9332.0970712110466</v>
      </c>
      <c r="D142" s="81"/>
      <c r="E142" s="80"/>
      <c r="F142" s="80"/>
      <c r="G142" s="80"/>
      <c r="H142" s="78"/>
    </row>
    <row r="143" spans="2:8">
      <c r="B143" s="77">
        <v>25</v>
      </c>
      <c r="C143" s="105">
        <f>($F$107+$F$109)/12</f>
        <v>9332.0970712110466</v>
      </c>
      <c r="D143" s="81"/>
      <c r="E143" s="80"/>
      <c r="F143" s="80"/>
      <c r="G143" s="80"/>
      <c r="H143" s="78"/>
    </row>
    <row r="144" spans="2:8">
      <c r="B144" s="77">
        <v>26</v>
      </c>
      <c r="C144" s="105">
        <f t="shared" ref="C144:C154" si="5">($F$107+$F$109)/12</f>
        <v>9332.0970712110466</v>
      </c>
      <c r="D144" s="81"/>
      <c r="E144" s="80"/>
      <c r="F144" s="80"/>
      <c r="G144" s="80"/>
      <c r="H144" s="78"/>
    </row>
    <row r="145" spans="2:8">
      <c r="B145" s="77">
        <v>27</v>
      </c>
      <c r="C145" s="105">
        <f t="shared" si="5"/>
        <v>9332.0970712110466</v>
      </c>
      <c r="D145" s="81"/>
      <c r="E145" s="80"/>
      <c r="F145" s="80"/>
      <c r="G145" s="80"/>
      <c r="H145" s="78"/>
    </row>
    <row r="146" spans="2:8">
      <c r="B146" s="77">
        <v>28</v>
      </c>
      <c r="C146" s="105">
        <f t="shared" si="5"/>
        <v>9332.0970712110466</v>
      </c>
      <c r="D146" s="81"/>
      <c r="E146" s="80"/>
      <c r="F146" s="80"/>
      <c r="G146" s="80"/>
      <c r="H146" s="78"/>
    </row>
    <row r="147" spans="2:8">
      <c r="B147" s="77">
        <v>29</v>
      </c>
      <c r="C147" s="105">
        <f t="shared" si="5"/>
        <v>9332.0970712110466</v>
      </c>
      <c r="D147" s="81"/>
      <c r="E147" s="80"/>
      <c r="F147" s="80"/>
      <c r="G147" s="80"/>
      <c r="H147" s="78"/>
    </row>
    <row r="148" spans="2:8">
      <c r="B148" s="77">
        <v>30</v>
      </c>
      <c r="C148" s="105">
        <f t="shared" si="5"/>
        <v>9332.0970712110466</v>
      </c>
      <c r="D148" s="81"/>
      <c r="E148" s="80"/>
      <c r="F148" s="80"/>
      <c r="G148" s="80"/>
      <c r="H148" s="78"/>
    </row>
    <row r="149" spans="2:8">
      <c r="B149" s="77">
        <v>31</v>
      </c>
      <c r="C149" s="105">
        <f t="shared" si="5"/>
        <v>9332.0970712110466</v>
      </c>
      <c r="D149" s="81"/>
      <c r="E149" s="80"/>
      <c r="F149" s="80"/>
      <c r="G149" s="80"/>
      <c r="H149" s="78"/>
    </row>
    <row r="150" spans="2:8">
      <c r="B150" s="77">
        <v>32</v>
      </c>
      <c r="C150" s="105">
        <f t="shared" si="5"/>
        <v>9332.0970712110466</v>
      </c>
      <c r="D150" s="81"/>
      <c r="E150" s="80"/>
      <c r="F150" s="80"/>
      <c r="G150" s="80"/>
      <c r="H150" s="78"/>
    </row>
    <row r="151" spans="2:8">
      <c r="B151" s="77">
        <v>33</v>
      </c>
      <c r="C151" s="105">
        <f t="shared" si="5"/>
        <v>9332.0970712110466</v>
      </c>
      <c r="D151" s="81"/>
      <c r="E151" s="80"/>
      <c r="F151" s="80"/>
      <c r="G151" s="80"/>
      <c r="H151" s="78"/>
    </row>
    <row r="152" spans="2:8">
      <c r="B152" s="77">
        <v>34</v>
      </c>
      <c r="C152" s="105">
        <f t="shared" si="5"/>
        <v>9332.0970712110466</v>
      </c>
      <c r="D152" s="81"/>
      <c r="E152" s="80"/>
      <c r="F152" s="80"/>
      <c r="G152" s="80"/>
      <c r="H152" s="78"/>
    </row>
    <row r="153" spans="2:8">
      <c r="B153" s="77">
        <v>35</v>
      </c>
      <c r="C153" s="105">
        <f t="shared" si="5"/>
        <v>9332.0970712110466</v>
      </c>
      <c r="D153" s="81"/>
      <c r="E153" s="80"/>
      <c r="F153" s="80"/>
      <c r="G153" s="80"/>
      <c r="H153" s="78"/>
    </row>
    <row r="154" spans="2:8">
      <c r="B154" s="77">
        <v>36</v>
      </c>
      <c r="C154" s="105">
        <f t="shared" si="5"/>
        <v>9332.0970712110466</v>
      </c>
      <c r="D154" s="81"/>
      <c r="E154" s="80"/>
      <c r="F154" s="80"/>
      <c r="G154" s="80"/>
      <c r="H154" s="78"/>
    </row>
    <row r="155" spans="2:8">
      <c r="B155" s="77">
        <v>37</v>
      </c>
      <c r="C155" s="105">
        <f>($G$107+$G$109)/12</f>
        <v>9332.0970712110466</v>
      </c>
      <c r="D155" s="81"/>
      <c r="E155" s="80"/>
      <c r="F155" s="80"/>
      <c r="G155" s="80"/>
      <c r="H155" s="78"/>
    </row>
    <row r="156" spans="2:8">
      <c r="B156" s="77">
        <v>38</v>
      </c>
      <c r="C156" s="105">
        <f t="shared" ref="C156:C166" si="6">($G$107+$G$109)/12</f>
        <v>9332.0970712110466</v>
      </c>
      <c r="D156" s="81"/>
      <c r="E156" s="80"/>
      <c r="F156" s="80"/>
      <c r="G156" s="80"/>
      <c r="H156" s="78"/>
    </row>
    <row r="157" spans="2:8">
      <c r="B157" s="77">
        <v>39</v>
      </c>
      <c r="C157" s="105">
        <f t="shared" si="6"/>
        <v>9332.0970712110466</v>
      </c>
      <c r="D157" s="81"/>
      <c r="E157" s="80"/>
      <c r="F157" s="80"/>
      <c r="G157" s="80"/>
      <c r="H157" s="78"/>
    </row>
    <row r="158" spans="2:8">
      <c r="B158" s="77">
        <v>40</v>
      </c>
      <c r="C158" s="105">
        <f t="shared" si="6"/>
        <v>9332.0970712110466</v>
      </c>
      <c r="D158" s="81"/>
      <c r="E158" s="80"/>
      <c r="F158" s="80"/>
      <c r="G158" s="80"/>
      <c r="H158" s="78"/>
    </row>
    <row r="159" spans="2:8">
      <c r="B159" s="77">
        <v>41</v>
      </c>
      <c r="C159" s="105">
        <f t="shared" si="6"/>
        <v>9332.0970712110466</v>
      </c>
      <c r="D159" s="81"/>
      <c r="E159" s="80"/>
      <c r="F159" s="80"/>
      <c r="G159" s="80"/>
      <c r="H159" s="78"/>
    </row>
    <row r="160" spans="2:8">
      <c r="B160" s="77">
        <v>42</v>
      </c>
      <c r="C160" s="105">
        <f t="shared" si="6"/>
        <v>9332.0970712110466</v>
      </c>
      <c r="D160" s="81"/>
      <c r="E160" s="80"/>
      <c r="F160" s="80"/>
      <c r="G160" s="80"/>
      <c r="H160" s="78"/>
    </row>
    <row r="161" spans="2:8">
      <c r="B161" s="77">
        <v>43</v>
      </c>
      <c r="C161" s="105">
        <f t="shared" si="6"/>
        <v>9332.0970712110466</v>
      </c>
      <c r="D161" s="81"/>
      <c r="E161" s="80"/>
      <c r="F161" s="80"/>
      <c r="G161" s="80"/>
      <c r="H161" s="78"/>
    </row>
    <row r="162" spans="2:8">
      <c r="B162" s="77">
        <v>44</v>
      </c>
      <c r="C162" s="105">
        <f t="shared" si="6"/>
        <v>9332.0970712110466</v>
      </c>
      <c r="D162" s="81"/>
      <c r="E162" s="80"/>
      <c r="F162" s="80"/>
      <c r="G162" s="80"/>
      <c r="H162" s="78"/>
    </row>
    <row r="163" spans="2:8">
      <c r="B163" s="77">
        <v>45</v>
      </c>
      <c r="C163" s="105">
        <f t="shared" si="6"/>
        <v>9332.0970712110466</v>
      </c>
      <c r="D163" s="81"/>
      <c r="E163" s="80"/>
      <c r="F163" s="80"/>
      <c r="G163" s="80"/>
      <c r="H163" s="78"/>
    </row>
    <row r="164" spans="2:8">
      <c r="B164" s="77">
        <v>46</v>
      </c>
      <c r="C164" s="105">
        <f t="shared" si="6"/>
        <v>9332.0970712110466</v>
      </c>
      <c r="D164" s="81"/>
      <c r="E164" s="80"/>
      <c r="F164" s="80"/>
      <c r="G164" s="80"/>
      <c r="H164" s="78"/>
    </row>
    <row r="165" spans="2:8">
      <c r="B165" s="77">
        <v>47</v>
      </c>
      <c r="C165" s="105">
        <f t="shared" si="6"/>
        <v>9332.0970712110466</v>
      </c>
      <c r="D165" s="81"/>
      <c r="E165" s="80"/>
      <c r="F165" s="80"/>
      <c r="G165" s="80"/>
      <c r="H165" s="78"/>
    </row>
    <row r="166" spans="2:8">
      <c r="B166" s="77">
        <v>48</v>
      </c>
      <c r="C166" s="105">
        <f t="shared" si="6"/>
        <v>9332.0970712110466</v>
      </c>
      <c r="D166" s="81"/>
      <c r="E166" s="80"/>
      <c r="F166" s="80"/>
      <c r="G166" s="80"/>
      <c r="H166" s="78"/>
    </row>
    <row r="167" spans="2:8">
      <c r="B167" s="77">
        <v>49</v>
      </c>
      <c r="C167" s="105">
        <f>($H$107+$G$48)/12</f>
        <v>9332.0970712110466</v>
      </c>
      <c r="D167" s="81"/>
      <c r="E167" s="80"/>
      <c r="F167" s="80"/>
      <c r="G167" s="80"/>
      <c r="H167" s="78"/>
    </row>
    <row r="168" spans="2:8">
      <c r="B168" s="77">
        <v>50</v>
      </c>
      <c r="C168" s="105">
        <f>($H$107+$G$48)/12</f>
        <v>9332.0970712110466</v>
      </c>
      <c r="D168" s="81"/>
      <c r="E168" s="80"/>
      <c r="F168" s="80"/>
      <c r="G168" s="80"/>
      <c r="H168" s="78"/>
    </row>
    <row r="169" spans="2:8">
      <c r="B169" s="77">
        <v>51</v>
      </c>
      <c r="C169" s="105">
        <f>($H$107+$G$48)/12</f>
        <v>9332.0970712110466</v>
      </c>
      <c r="D169" s="81"/>
      <c r="E169" s="80"/>
      <c r="F169" s="80"/>
      <c r="G169" s="80"/>
      <c r="H169" s="78"/>
    </row>
    <row r="170" spans="2:8">
      <c r="B170" s="77">
        <v>52</v>
      </c>
      <c r="C170" s="105">
        <f>($H$107+$G$48)/12</f>
        <v>9332.0970712110466</v>
      </c>
      <c r="D170" s="81"/>
      <c r="E170" s="80"/>
      <c r="F170" s="80"/>
      <c r="G170" s="80"/>
      <c r="H170" s="78"/>
    </row>
    <row r="171" spans="2:8">
      <c r="B171" s="77">
        <v>53</v>
      </c>
      <c r="C171" s="105">
        <f>($H$107+$G$48)/12</f>
        <v>9332.0970712110466</v>
      </c>
      <c r="D171" s="81"/>
      <c r="E171" s="80"/>
      <c r="F171" s="80"/>
      <c r="G171" s="80"/>
      <c r="H171" s="78"/>
    </row>
    <row r="172" spans="2:8">
      <c r="B172" s="77">
        <v>54</v>
      </c>
      <c r="C172" s="105">
        <f>($H$107+$G$48)/12</f>
        <v>9332.0970712110466</v>
      </c>
      <c r="D172" s="81"/>
      <c r="E172" s="80"/>
      <c r="F172" s="80"/>
      <c r="G172" s="80"/>
      <c r="H172" s="78"/>
    </row>
    <row r="173" spans="2:8">
      <c r="B173" s="77">
        <v>55</v>
      </c>
      <c r="C173" s="105">
        <f>($H$107+$G$48)/12</f>
        <v>9332.0970712110466</v>
      </c>
      <c r="D173" s="81"/>
      <c r="E173" s="80"/>
      <c r="F173" s="80"/>
      <c r="G173" s="80"/>
      <c r="H173" s="78"/>
    </row>
    <row r="174" spans="2:8">
      <c r="B174" s="77">
        <v>56</v>
      </c>
      <c r="C174" s="105">
        <f>($H$107+$G$48)/12</f>
        <v>9332.0970712110466</v>
      </c>
      <c r="D174" s="81"/>
      <c r="E174" s="80"/>
      <c r="F174" s="80"/>
      <c r="G174" s="80"/>
      <c r="H174" s="78"/>
    </row>
    <row r="175" spans="2:8">
      <c r="B175" s="77">
        <v>57</v>
      </c>
      <c r="C175" s="105">
        <f>($H$107+$G$48)/12</f>
        <v>9332.0970712110466</v>
      </c>
      <c r="D175" s="81"/>
      <c r="E175" s="80"/>
      <c r="F175" s="80"/>
      <c r="G175" s="80"/>
      <c r="H175" s="78"/>
    </row>
    <row r="176" spans="2:8">
      <c r="B176" s="77">
        <v>58</v>
      </c>
      <c r="C176" s="105">
        <f>($H$107+$G$48)/12</f>
        <v>9332.0970712110466</v>
      </c>
      <c r="D176" s="81"/>
      <c r="E176" s="80"/>
      <c r="F176" s="80"/>
      <c r="G176" s="80"/>
      <c r="H176" s="78"/>
    </row>
    <row r="177" spans="2:8">
      <c r="B177" s="77">
        <v>59</v>
      </c>
      <c r="C177" s="105">
        <f>($H$107+$G$48)/12</f>
        <v>9332.0970712110466</v>
      </c>
      <c r="D177" s="81"/>
      <c r="E177" s="80"/>
      <c r="F177" s="80"/>
      <c r="G177" s="80"/>
      <c r="H177" s="78"/>
    </row>
    <row r="178" spans="2:8">
      <c r="B178" s="77">
        <v>60</v>
      </c>
      <c r="C178" s="105">
        <f>($H$107+$G$48)/12+E66+H108</f>
        <v>1270958.3516196187</v>
      </c>
      <c r="D178" s="81"/>
      <c r="E178" s="80"/>
      <c r="F178" s="80"/>
      <c r="G178" s="80"/>
      <c r="H178" s="78"/>
    </row>
    <row r="179" spans="2:8" ht="13.5" thickBot="1">
      <c r="B179" s="12"/>
      <c r="C179" s="18"/>
      <c r="D179" s="14"/>
      <c r="E179" s="14"/>
      <c r="F179" s="14"/>
      <c r="G179" s="14"/>
      <c r="H179" s="18"/>
    </row>
    <row r="180" spans="2:8" ht="13.5" thickBot="1">
      <c r="B180" s="60" t="s">
        <v>81</v>
      </c>
      <c r="C180" s="60">
        <f>IRR(C118:C178,0.1/12)*12</f>
        <v>3.9999999999998259E-2</v>
      </c>
      <c r="D180" s="21"/>
      <c r="E180" s="21"/>
      <c r="F180" s="21"/>
      <c r="G180" s="21"/>
      <c r="H180" s="22"/>
    </row>
  </sheetData>
  <mergeCells count="12">
    <mergeCell ref="B42:G42"/>
    <mergeCell ref="B61:E61"/>
    <mergeCell ref="B84:H84"/>
    <mergeCell ref="B95:H95"/>
    <mergeCell ref="B105:H105"/>
    <mergeCell ref="B115:C115"/>
    <mergeCell ref="B2:H2"/>
    <mergeCell ref="B3:H3"/>
    <mergeCell ref="B5:H5"/>
    <mergeCell ref="B6:H7"/>
    <mergeCell ref="B10:G10"/>
    <mergeCell ref="B35:G35"/>
  </mergeCell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8550-343B-4FB6-861A-A75934E46C6B}">
  <sheetPr>
    <tabColor rgb="FFFFC000"/>
  </sheetPr>
  <dimension ref="A1:K179"/>
  <sheetViews>
    <sheetView zoomScale="130" zoomScaleNormal="130" workbookViewId="0">
      <selection activeCell="A2" sqref="A2"/>
    </sheetView>
  </sheetViews>
  <sheetFormatPr defaultRowHeight="12.75"/>
  <cols>
    <col min="2" max="2" width="31" customWidth="1"/>
    <col min="3" max="3" width="13.85546875" customWidth="1"/>
    <col min="4" max="4" width="12.42578125" bestFit="1" customWidth="1"/>
    <col min="5" max="5" width="18.7109375" customWidth="1"/>
    <col min="6" max="6" width="9.85546875" customWidth="1"/>
    <col min="7" max="7" width="10.42578125" customWidth="1"/>
    <col min="8" max="8" width="10.5703125" customWidth="1"/>
    <col min="11" max="11" width="9.7109375" customWidth="1"/>
  </cols>
  <sheetData>
    <row r="1" spans="1:8" ht="13.5" thickBot="1">
      <c r="A1" s="89" t="s">
        <v>155</v>
      </c>
    </row>
    <row r="2" spans="1:8" ht="18.75" thickBot="1">
      <c r="B2" s="123"/>
      <c r="C2" s="124"/>
      <c r="D2" s="124"/>
      <c r="E2" s="124"/>
      <c r="F2" s="124"/>
      <c r="G2" s="124"/>
      <c r="H2" s="125"/>
    </row>
    <row r="3" spans="1:8" ht="16.5" thickBot="1">
      <c r="B3" s="126" t="s">
        <v>116</v>
      </c>
      <c r="C3" s="127"/>
      <c r="D3" s="127"/>
      <c r="E3" s="127"/>
      <c r="F3" s="127"/>
      <c r="G3" s="127"/>
      <c r="H3" s="128"/>
    </row>
    <row r="4" spans="1:8" ht="15.75">
      <c r="B4" s="1"/>
      <c r="C4" s="2"/>
      <c r="D4" s="2"/>
      <c r="E4" s="3"/>
      <c r="F4" s="2"/>
      <c r="G4" s="2"/>
      <c r="H4" s="4"/>
    </row>
    <row r="5" spans="1:8">
      <c r="B5" s="141" t="s">
        <v>142</v>
      </c>
      <c r="C5" s="142"/>
      <c r="D5" s="142"/>
      <c r="E5" s="142"/>
      <c r="F5" s="142"/>
      <c r="G5" s="142"/>
      <c r="H5" s="143"/>
    </row>
    <row r="6" spans="1:8">
      <c r="B6" s="144" t="s">
        <v>0</v>
      </c>
      <c r="C6" s="145"/>
      <c r="D6" s="145"/>
      <c r="E6" s="145"/>
      <c r="F6" s="145"/>
      <c r="G6" s="145"/>
      <c r="H6" s="146"/>
    </row>
    <row r="7" spans="1:8">
      <c r="B7" s="147"/>
      <c r="C7" s="148"/>
      <c r="D7" s="148"/>
      <c r="E7" s="148"/>
      <c r="F7" s="148"/>
      <c r="G7" s="148"/>
      <c r="H7" s="149"/>
    </row>
    <row r="8" spans="1:8">
      <c r="B8" s="117"/>
      <c r="C8" s="118"/>
      <c r="D8" s="118"/>
      <c r="E8" s="118"/>
      <c r="F8" s="118"/>
      <c r="G8" s="118"/>
      <c r="H8" s="119"/>
    </row>
    <row r="9" spans="1:8" ht="13.5" thickBot="1">
      <c r="B9" s="8"/>
      <c r="C9" s="9"/>
      <c r="D9" s="9"/>
      <c r="E9" s="10"/>
      <c r="F9" s="10"/>
      <c r="G9" s="10"/>
      <c r="H9" s="11"/>
    </row>
    <row r="10" spans="1:8" ht="13.5" thickBot="1">
      <c r="B10" s="120" t="s">
        <v>1</v>
      </c>
      <c r="C10" s="121"/>
      <c r="D10" s="121"/>
      <c r="E10" s="121"/>
      <c r="F10" s="121"/>
      <c r="G10" s="122"/>
      <c r="H10" s="11"/>
    </row>
    <row r="11" spans="1:8" ht="13.5" thickBot="1">
      <c r="B11" s="12" t="s">
        <v>2</v>
      </c>
      <c r="C11" s="82">
        <v>2200000</v>
      </c>
      <c r="D11" s="14"/>
      <c r="E11" s="15" t="s">
        <v>3</v>
      </c>
      <c r="F11" s="16"/>
      <c r="G11" s="17"/>
      <c r="H11" s="11"/>
    </row>
    <row r="12" spans="1:8">
      <c r="B12" s="12" t="s">
        <v>4</v>
      </c>
      <c r="C12" s="82">
        <v>150000</v>
      </c>
      <c r="D12" s="14"/>
      <c r="E12" s="12" t="s">
        <v>5</v>
      </c>
      <c r="F12" s="82">
        <v>1600000</v>
      </c>
      <c r="G12" s="18"/>
      <c r="H12" s="11"/>
    </row>
    <row r="13" spans="1:8">
      <c r="B13" s="12" t="s">
        <v>6</v>
      </c>
      <c r="C13" s="83">
        <v>0.02</v>
      </c>
      <c r="D13" s="14"/>
      <c r="E13" s="12" t="s">
        <v>7</v>
      </c>
      <c r="F13" s="13">
        <v>39</v>
      </c>
      <c r="G13" s="18" t="s">
        <v>8</v>
      </c>
      <c r="H13" s="11"/>
    </row>
    <row r="14" spans="1:8">
      <c r="B14" s="12" t="s">
        <v>9</v>
      </c>
      <c r="C14" s="101">
        <v>0.8</v>
      </c>
      <c r="D14" s="14"/>
      <c r="E14" s="12" t="s">
        <v>10</v>
      </c>
      <c r="F14" s="83">
        <v>0.36</v>
      </c>
      <c r="G14" s="18"/>
      <c r="H14" s="11"/>
    </row>
    <row r="15" spans="1:8">
      <c r="B15" s="12" t="s">
        <v>11</v>
      </c>
      <c r="C15" s="101">
        <v>0.05</v>
      </c>
      <c r="D15" s="14"/>
      <c r="E15" s="12" t="s">
        <v>144</v>
      </c>
      <c r="F15" s="151">
        <v>0.35</v>
      </c>
      <c r="G15" s="18"/>
      <c r="H15" s="11"/>
    </row>
    <row r="16" spans="1:8">
      <c r="B16" s="12" t="s">
        <v>12</v>
      </c>
      <c r="C16" s="13">
        <v>0</v>
      </c>
      <c r="D16" s="14"/>
      <c r="E16" s="12" t="s">
        <v>145</v>
      </c>
      <c r="F16" s="151">
        <v>0.25</v>
      </c>
      <c r="G16" s="18"/>
      <c r="H16" s="11"/>
    </row>
    <row r="17" spans="2:8">
      <c r="B17" s="12" t="s">
        <v>13</v>
      </c>
      <c r="C17" s="13">
        <v>20</v>
      </c>
      <c r="D17" s="14" t="s">
        <v>8</v>
      </c>
      <c r="E17" s="12" t="s">
        <v>146</v>
      </c>
      <c r="F17" s="151">
        <v>0.2</v>
      </c>
      <c r="G17" s="18"/>
      <c r="H17" s="11"/>
    </row>
    <row r="18" spans="2:8">
      <c r="B18" s="12" t="s">
        <v>14</v>
      </c>
      <c r="C18" s="13">
        <v>20</v>
      </c>
      <c r="D18" s="14" t="s">
        <v>8</v>
      </c>
      <c r="E18" s="12"/>
      <c r="F18" s="14"/>
      <c r="G18" s="18"/>
      <c r="H18" s="11"/>
    </row>
    <row r="19" spans="2:8">
      <c r="B19" s="12" t="s">
        <v>15</v>
      </c>
      <c r="C19" s="13">
        <v>12</v>
      </c>
      <c r="D19" s="14"/>
      <c r="E19" s="12"/>
      <c r="F19" s="14"/>
      <c r="G19" s="18"/>
      <c r="H19" s="11"/>
    </row>
    <row r="20" spans="2:8">
      <c r="B20" s="12" t="s">
        <v>16</v>
      </c>
      <c r="C20" s="97">
        <v>0</v>
      </c>
      <c r="D20" s="14" t="s">
        <v>17</v>
      </c>
      <c r="E20" s="12"/>
      <c r="F20" s="14"/>
      <c r="G20" s="18"/>
      <c r="H20" s="11"/>
    </row>
    <row r="21" spans="2:8">
      <c r="B21" s="12" t="s">
        <v>18</v>
      </c>
      <c r="C21" s="13">
        <v>0</v>
      </c>
      <c r="D21" s="14"/>
      <c r="E21" s="12"/>
      <c r="F21" s="14"/>
      <c r="G21" s="18"/>
      <c r="H21" s="11"/>
    </row>
    <row r="22" spans="2:8">
      <c r="B22" s="12" t="s">
        <v>16</v>
      </c>
      <c r="C22" s="13">
        <v>0</v>
      </c>
      <c r="D22" s="14" t="s">
        <v>19</v>
      </c>
      <c r="E22" s="12"/>
      <c r="F22" s="14"/>
      <c r="G22" s="18"/>
      <c r="H22" s="11"/>
    </row>
    <row r="23" spans="2:8">
      <c r="B23" s="12" t="s">
        <v>20</v>
      </c>
      <c r="C23" s="13">
        <v>0</v>
      </c>
      <c r="D23" s="14"/>
      <c r="E23" s="12"/>
      <c r="F23" s="14"/>
      <c r="G23" s="18"/>
      <c r="H23" s="11"/>
    </row>
    <row r="24" spans="2:8">
      <c r="B24" s="12" t="s">
        <v>21</v>
      </c>
      <c r="C24" s="83">
        <v>0.02</v>
      </c>
      <c r="D24" s="14"/>
      <c r="E24" s="12"/>
      <c r="F24" s="14"/>
      <c r="G24" s="18"/>
      <c r="H24" s="11"/>
    </row>
    <row r="25" spans="2:8">
      <c r="B25" s="12" t="s">
        <v>22</v>
      </c>
      <c r="C25" s="13">
        <v>0</v>
      </c>
      <c r="D25" s="14"/>
      <c r="E25" s="12"/>
      <c r="F25" s="14"/>
      <c r="G25" s="18"/>
      <c r="H25" s="11"/>
    </row>
    <row r="26" spans="2:8">
      <c r="B26" s="12" t="s">
        <v>23</v>
      </c>
      <c r="C26" s="13">
        <v>5</v>
      </c>
      <c r="D26" s="14" t="s">
        <v>8</v>
      </c>
      <c r="E26" s="12"/>
      <c r="F26" s="14"/>
      <c r="G26" s="18"/>
      <c r="H26" s="11"/>
    </row>
    <row r="27" spans="2:8" ht="13.5" thickBot="1">
      <c r="B27" s="19" t="s">
        <v>24</v>
      </c>
      <c r="C27" s="20">
        <v>0</v>
      </c>
      <c r="D27" s="21" t="s">
        <v>25</v>
      </c>
      <c r="E27" s="19"/>
      <c r="F27" s="21"/>
      <c r="G27" s="22"/>
      <c r="H27" s="11"/>
    </row>
    <row r="28" spans="2:8" ht="13.5" thickBot="1">
      <c r="B28" s="8"/>
      <c r="C28" s="23"/>
      <c r="D28" s="10"/>
      <c r="E28" s="10"/>
      <c r="F28" s="10"/>
      <c r="G28" s="10"/>
      <c r="H28" s="11"/>
    </row>
    <row r="29" spans="2:8">
      <c r="B29" s="24" t="s">
        <v>26</v>
      </c>
      <c r="C29" s="112">
        <f>IF(C23&gt;0,(1-C14)*F12,(1-C14)*C11)</f>
        <v>439999.99999999988</v>
      </c>
      <c r="D29" s="25"/>
      <c r="E29" s="26"/>
      <c r="F29" s="10"/>
      <c r="G29" s="10"/>
      <c r="H29" s="11"/>
    </row>
    <row r="30" spans="2:8">
      <c r="B30" s="27" t="s">
        <v>27</v>
      </c>
      <c r="C30" s="28">
        <f>IF(C23&gt;0,F12*C14,C14*C11)</f>
        <v>1760000</v>
      </c>
      <c r="D30" s="29"/>
      <c r="E30" s="30"/>
      <c r="F30" s="10"/>
      <c r="G30" s="10"/>
      <c r="H30" s="11"/>
    </row>
    <row r="31" spans="2:8">
      <c r="B31" s="27" t="s">
        <v>28</v>
      </c>
      <c r="C31" s="28">
        <f>PMT(C15/C19,C17*C19,-C30)*C19</f>
        <v>139382.65212255804</v>
      </c>
      <c r="D31" s="29"/>
      <c r="E31" s="30"/>
      <c r="F31" s="10"/>
      <c r="G31" s="10"/>
      <c r="H31" s="11"/>
    </row>
    <row r="32" spans="2:8">
      <c r="B32" s="27"/>
      <c r="C32" s="94"/>
      <c r="D32" s="84"/>
      <c r="E32" s="30"/>
      <c r="F32" s="10"/>
      <c r="G32" s="10"/>
      <c r="H32" s="11"/>
    </row>
    <row r="33" spans="2:11" ht="13.5" thickBot="1">
      <c r="B33" s="31" t="s">
        <v>30</v>
      </c>
      <c r="C33" s="32">
        <f>IF(C15&lt;C16,(FV(C16/C19,C26*C19,C31/C19,-C30)),PV(C15/C19,(C17-C26)*C19,-(C31/C19)))</f>
        <v>1468805.5919309282</v>
      </c>
      <c r="D33" s="33" t="s">
        <v>31</v>
      </c>
      <c r="E33" s="34">
        <f>C26</f>
        <v>5</v>
      </c>
      <c r="F33" s="10"/>
      <c r="G33" s="10"/>
      <c r="H33" s="11"/>
    </row>
    <row r="34" spans="2:11" ht="13.5" thickBot="1">
      <c r="B34" s="35"/>
      <c r="C34" s="10"/>
      <c r="D34" s="10"/>
      <c r="E34" s="10"/>
      <c r="F34" s="10"/>
      <c r="G34" s="10"/>
      <c r="H34" s="11"/>
    </row>
    <row r="35" spans="2:11" ht="13.5" thickBot="1">
      <c r="B35" s="136" t="s">
        <v>32</v>
      </c>
      <c r="C35" s="137"/>
      <c r="D35" s="137"/>
      <c r="E35" s="137"/>
      <c r="F35" s="137"/>
      <c r="G35" s="138"/>
      <c r="H35" s="11"/>
    </row>
    <row r="36" spans="2:11">
      <c r="B36" s="36" t="s">
        <v>33</v>
      </c>
      <c r="C36" s="37">
        <v>1</v>
      </c>
      <c r="D36" s="37">
        <f>(1+C36)</f>
        <v>2</v>
      </c>
      <c r="E36" s="37">
        <f>(1+D36)</f>
        <v>3</v>
      </c>
      <c r="F36" s="37">
        <f>(1+E36)</f>
        <v>4</v>
      </c>
      <c r="G36" s="38">
        <f>(1+F36)</f>
        <v>5</v>
      </c>
      <c r="H36" s="11"/>
    </row>
    <row r="37" spans="2:11">
      <c r="B37" s="27" t="s">
        <v>34</v>
      </c>
      <c r="C37" s="28">
        <f>$C$31</f>
        <v>139382.65212255804</v>
      </c>
      <c r="D37" s="28">
        <f>$C$31</f>
        <v>139382.65212255804</v>
      </c>
      <c r="E37" s="28">
        <f>$C$31</f>
        <v>139382.65212255804</v>
      </c>
      <c r="F37" s="28">
        <f>$C$31</f>
        <v>139382.65212255804</v>
      </c>
      <c r="G37" s="39">
        <f>$C$31</f>
        <v>139382.65212255804</v>
      </c>
      <c r="H37" s="30"/>
    </row>
    <row r="38" spans="2:11">
      <c r="B38" s="27" t="s">
        <v>30</v>
      </c>
      <c r="C38" s="28">
        <f>IF($C$15&lt;$C$16,FV($C$16/$C$19,C36*$C$19,$C$31/$C$19,-$C$30),IF($C$17&gt;C36-$C36+1,(($C31/$C$19)/PMT($C$15/($C$19),($C$17-(C36-$C36+1))*$C$19,-1)),0))</f>
        <v>1707423.3199842612</v>
      </c>
      <c r="D38" s="28">
        <f>IF($C$15&lt;$C$16,FV($C$16/$C$19,D36*$C$19,$C$31/$C$19,-$C$30),IF($C$17&gt;D36-$C36+1,(($C31/$C$19)/PMT($C$15/($C$19),($C$17-(D36-$C36+1))*$C$19,-1)),0))</f>
        <v>1652156.7172345968</v>
      </c>
      <c r="E38" s="28">
        <f>IF($C$15&lt;$C$16,FV($C$16/$C$19,E36*$C$19,$C$31/$C$19,-$C$30),IF($C$17&gt;E36-$C36+1,(($C31/$C$19)/PMT($C$15/($C$19),($C$17-(E36-$C36+1))*$C$19,-1)),0))</f>
        <v>1594062.5701987837</v>
      </c>
      <c r="F38" s="28">
        <f>IF($C$15&lt;$C$16,FV($C$16/$C$19,F36*$C$19,$C$31/$C$19,-$C$30),IF($C$17&gt;F36-$C36+1,(($C31/$C$19)/PMT($C$15/($C$19),($C$17-(F36-$C36+1))*$C$19,-1)),0))</f>
        <v>1532996.2163447978</v>
      </c>
      <c r="G38" s="39">
        <f>IF($C$15&lt;$C$16,FV($C$16/$C$19,G36*$C$19,$C$31/$C$19,-$C$30),IF($C$17&gt;G36-$C36+1,(($C31/$C$19)/PMT($C$15/($C$19),($C$17-(G36-$C36+1))*$C$19,-1)),0))</f>
        <v>1468805.5919309244</v>
      </c>
      <c r="H38" s="30"/>
      <c r="K38" s="102"/>
    </row>
    <row r="39" spans="2:11">
      <c r="B39" s="27" t="s">
        <v>35</v>
      </c>
      <c r="C39" s="28">
        <f>($C$31-(C30-C38))</f>
        <v>86805.972106819216</v>
      </c>
      <c r="D39" s="28">
        <f>($C$31-(C38-D38))</f>
        <v>84116.0493728937</v>
      </c>
      <c r="E39" s="28">
        <f>($C$31-(D38-E38))</f>
        <v>81288.505086744844</v>
      </c>
      <c r="F39" s="28">
        <f>($C$31-(E38-F38))</f>
        <v>78316.298268572136</v>
      </c>
      <c r="G39" s="39">
        <f>($C$31-(F38-G38))</f>
        <v>75192.027708684735</v>
      </c>
      <c r="H39" s="30"/>
    </row>
    <row r="40" spans="2:11" ht="13.5" thickBot="1">
      <c r="B40" s="31" t="s">
        <v>36</v>
      </c>
      <c r="C40" s="40">
        <f>C37-C39</f>
        <v>52576.680015738821</v>
      </c>
      <c r="D40" s="40">
        <f>D37-D39</f>
        <v>55266.602749664336</v>
      </c>
      <c r="E40" s="40">
        <f>E37-E39</f>
        <v>58094.147035813192</v>
      </c>
      <c r="F40" s="40">
        <f>F37-F39</f>
        <v>61066.3538539859</v>
      </c>
      <c r="G40" s="41">
        <f>G37-G39</f>
        <v>64190.624413873302</v>
      </c>
      <c r="H40" s="30"/>
    </row>
    <row r="41" spans="2:11" ht="13.5" thickBot="1">
      <c r="B41" s="42"/>
      <c r="C41" s="28"/>
      <c r="D41" s="28"/>
      <c r="E41" s="28"/>
      <c r="F41" s="28"/>
      <c r="G41" s="28"/>
      <c r="H41" s="30"/>
    </row>
    <row r="42" spans="2:11" ht="13.5" thickBot="1">
      <c r="B42" s="136" t="s">
        <v>37</v>
      </c>
      <c r="C42" s="137"/>
      <c r="D42" s="137"/>
      <c r="E42" s="137"/>
      <c r="F42" s="137"/>
      <c r="G42" s="138"/>
      <c r="H42" s="30"/>
    </row>
    <row r="43" spans="2:11" ht="13.5" thickBot="1">
      <c r="B43" s="43" t="s">
        <v>38</v>
      </c>
      <c r="C43" s="43">
        <v>1</v>
      </c>
      <c r="D43" s="43">
        <v>2</v>
      </c>
      <c r="E43" s="43">
        <v>3</v>
      </c>
      <c r="F43" s="43">
        <v>4</v>
      </c>
      <c r="G43" s="43">
        <v>5</v>
      </c>
      <c r="H43" s="30"/>
    </row>
    <row r="44" spans="2:11">
      <c r="B44" s="27" t="s">
        <v>39</v>
      </c>
      <c r="C44" s="28">
        <f>C12</f>
        <v>150000</v>
      </c>
      <c r="D44" s="28">
        <f>C44*(1+$C$13)</f>
        <v>153000</v>
      </c>
      <c r="E44" s="28">
        <f>D44*(1+$C$13)</f>
        <v>156060</v>
      </c>
      <c r="F44" s="28">
        <f>E44*(1+$C$13)</f>
        <v>159181.20000000001</v>
      </c>
      <c r="G44" s="39">
        <f>F44*(1+$C$13)</f>
        <v>162364.82400000002</v>
      </c>
      <c r="H44" s="30"/>
    </row>
    <row r="45" spans="2:11">
      <c r="B45" s="27" t="s">
        <v>40</v>
      </c>
      <c r="C45" s="28">
        <f>$C$37</f>
        <v>139382.65212255804</v>
      </c>
      <c r="D45" s="28">
        <f>$C$37</f>
        <v>139382.65212255804</v>
      </c>
      <c r="E45" s="28">
        <f>$C$37</f>
        <v>139382.65212255804</v>
      </c>
      <c r="F45" s="28">
        <f>$C$37</f>
        <v>139382.65212255804</v>
      </c>
      <c r="G45" s="39">
        <f>$C$37</f>
        <v>139382.65212255804</v>
      </c>
      <c r="H45" s="30"/>
    </row>
    <row r="46" spans="2:11">
      <c r="B46" s="27" t="s">
        <v>41</v>
      </c>
      <c r="C46" s="28">
        <f>$C$23</f>
        <v>0</v>
      </c>
      <c r="D46" s="28">
        <f>$C$23</f>
        <v>0</v>
      </c>
      <c r="E46" s="28">
        <f>$C$23</f>
        <v>0</v>
      </c>
      <c r="F46" s="28">
        <f>$C$23</f>
        <v>0</v>
      </c>
      <c r="G46" s="39">
        <f>$C$23</f>
        <v>0</v>
      </c>
      <c r="H46" s="30"/>
    </row>
    <row r="47" spans="2:11">
      <c r="B47" s="27" t="s">
        <v>42</v>
      </c>
      <c r="C47" s="28">
        <f>C44-C45-C46</f>
        <v>10617.347877441964</v>
      </c>
      <c r="D47" s="28">
        <f>D44-D45-D46</f>
        <v>13617.347877441964</v>
      </c>
      <c r="E47" s="28">
        <f>E44-E45-E46</f>
        <v>16677.347877441964</v>
      </c>
      <c r="F47" s="28">
        <f>F44-F45-F46</f>
        <v>19798.547877441975</v>
      </c>
      <c r="G47" s="39">
        <f>G44-G45-G46</f>
        <v>22982.171877441986</v>
      </c>
      <c r="H47" s="30"/>
    </row>
    <row r="48" spans="2:11">
      <c r="B48" s="27" t="s">
        <v>16</v>
      </c>
      <c r="C48" s="28">
        <f>IF(C44-$C$21&gt;0,$C$20*(C44-$C$21),0)</f>
        <v>0</v>
      </c>
      <c r="D48" s="28">
        <f>IF(D44-$C$21&gt;0,$C$20*(D44-$C$21),0)</f>
        <v>0</v>
      </c>
      <c r="E48" s="28">
        <f>IF(E44-$C$21&gt;0,$C$20*(E44-$C$21),0)</f>
        <v>0</v>
      </c>
      <c r="F48" s="28">
        <f>IF(F44-$C$21&gt;0,$C$20*(F44-$C$21),0)</f>
        <v>0</v>
      </c>
      <c r="G48" s="39">
        <f>IF(G44-$C$21&gt;0,$C$20*(G44-$C$21),0)</f>
        <v>0</v>
      </c>
      <c r="H48" s="11"/>
    </row>
    <row r="49" spans="2:8" ht="13.5" thickBot="1">
      <c r="B49" s="44" t="s">
        <v>43</v>
      </c>
      <c r="C49" s="45">
        <f>C47-C48</f>
        <v>10617.347877441964</v>
      </c>
      <c r="D49" s="45">
        <f>D47-D48</f>
        <v>13617.347877441964</v>
      </c>
      <c r="E49" s="45">
        <f>E47-E48</f>
        <v>16677.347877441964</v>
      </c>
      <c r="F49" s="45">
        <f>F47-F48</f>
        <v>19798.547877441975</v>
      </c>
      <c r="G49" s="46">
        <f>G47-G48</f>
        <v>22982.171877441986</v>
      </c>
      <c r="H49" s="11"/>
    </row>
    <row r="50" spans="2:8" ht="13.5" thickTop="1">
      <c r="B50" s="35"/>
      <c r="C50" s="28"/>
      <c r="D50" s="28"/>
      <c r="E50" s="28"/>
      <c r="F50" s="28"/>
      <c r="G50" s="39"/>
      <c r="H50" s="11"/>
    </row>
    <row r="51" spans="2:8">
      <c r="B51" s="27" t="s">
        <v>39</v>
      </c>
      <c r="C51" s="28">
        <f>C44</f>
        <v>150000</v>
      </c>
      <c r="D51" s="28">
        <f>D44</f>
        <v>153000</v>
      </c>
      <c r="E51" s="28">
        <f>E44</f>
        <v>156060</v>
      </c>
      <c r="F51" s="28">
        <f>F44</f>
        <v>159181.20000000001</v>
      </c>
      <c r="G51" s="39">
        <f>G44</f>
        <v>162364.82400000002</v>
      </c>
      <c r="H51" s="30"/>
    </row>
    <row r="52" spans="2:8">
      <c r="B52" s="27" t="s">
        <v>44</v>
      </c>
      <c r="C52" s="28">
        <f>C39</f>
        <v>86805.972106819216</v>
      </c>
      <c r="D52" s="28">
        <f>D39</f>
        <v>84116.0493728937</v>
      </c>
      <c r="E52" s="28">
        <f>E39</f>
        <v>81288.505086744844</v>
      </c>
      <c r="F52" s="28">
        <f>F39</f>
        <v>78316.298268572136</v>
      </c>
      <c r="G52" s="39">
        <f>G39</f>
        <v>75192.027708684735</v>
      </c>
      <c r="H52" s="30"/>
    </row>
    <row r="53" spans="2:8">
      <c r="B53" s="27" t="s">
        <v>45</v>
      </c>
      <c r="C53" s="28">
        <f>$F$12/$F$13</f>
        <v>41025.641025641024</v>
      </c>
      <c r="D53" s="28">
        <f>$F$12/$F$13</f>
        <v>41025.641025641024</v>
      </c>
      <c r="E53" s="28">
        <f>$F$12/$F$13</f>
        <v>41025.641025641024</v>
      </c>
      <c r="F53" s="28">
        <f>$F$12/$F$13</f>
        <v>41025.641025641024</v>
      </c>
      <c r="G53" s="39">
        <f>$F$12/$F$13</f>
        <v>41025.641025641024</v>
      </c>
      <c r="H53" s="30"/>
    </row>
    <row r="54" spans="2:8">
      <c r="B54" s="27" t="s">
        <v>46</v>
      </c>
      <c r="C54" s="28">
        <f>C48</f>
        <v>0</v>
      </c>
      <c r="D54" s="28">
        <f>D48</f>
        <v>0</v>
      </c>
      <c r="E54" s="28">
        <f>E48</f>
        <v>0</v>
      </c>
      <c r="F54" s="28">
        <f>F48</f>
        <v>0</v>
      </c>
      <c r="G54" s="39">
        <f>G48</f>
        <v>0</v>
      </c>
      <c r="H54" s="11"/>
    </row>
    <row r="55" spans="2:8">
      <c r="B55" s="27" t="s">
        <v>41</v>
      </c>
      <c r="C55" s="28">
        <f>$C$23</f>
        <v>0</v>
      </c>
      <c r="D55" s="28">
        <f>$C$23</f>
        <v>0</v>
      </c>
      <c r="E55" s="28">
        <f>$C$23</f>
        <v>0</v>
      </c>
      <c r="F55" s="28">
        <f>$C$23</f>
        <v>0</v>
      </c>
      <c r="G55" s="39">
        <f>$C$23</f>
        <v>0</v>
      </c>
      <c r="H55" s="11"/>
    </row>
    <row r="56" spans="2:8">
      <c r="B56" s="27" t="s">
        <v>47</v>
      </c>
      <c r="C56" s="28">
        <f>C51-C52-C53-C54-C55</f>
        <v>22168.386867539761</v>
      </c>
      <c r="D56" s="28">
        <f>D51-D52-D53-D54-D55</f>
        <v>27858.309601465277</v>
      </c>
      <c r="E56" s="28">
        <f>E51-E52-E53-E54-E55</f>
        <v>33745.853887614132</v>
      </c>
      <c r="F56" s="28">
        <f>F51-F52-F53-F54-F55</f>
        <v>39839.260705786852</v>
      </c>
      <c r="G56" s="39">
        <f>G51-G52-G53-G54-G55</f>
        <v>46147.155265674264</v>
      </c>
      <c r="H56" s="30"/>
    </row>
    <row r="57" spans="2:8">
      <c r="B57" s="27" t="s">
        <v>48</v>
      </c>
      <c r="C57" s="28">
        <f>C56*$F$14</f>
        <v>7980.619272314314</v>
      </c>
      <c r="D57" s="28">
        <f>D56*$F$14</f>
        <v>10028.991456527499</v>
      </c>
      <c r="E57" s="28">
        <f>E56*$F$14</f>
        <v>12148.507399541088</v>
      </c>
      <c r="F57" s="28">
        <f>F56*$F$14</f>
        <v>14342.133854083266</v>
      </c>
      <c r="G57" s="39">
        <f>G56*$F$14</f>
        <v>16612.975895642736</v>
      </c>
      <c r="H57" s="30"/>
    </row>
    <row r="58" spans="2:8" ht="13.5" thickBot="1">
      <c r="B58" s="47" t="s">
        <v>49</v>
      </c>
      <c r="C58" s="110">
        <f>C49-C57</f>
        <v>2636.7286051276496</v>
      </c>
      <c r="D58" s="48">
        <f>D49-D57</f>
        <v>3588.3564209144643</v>
      </c>
      <c r="E58" s="48">
        <f>E49-E57</f>
        <v>4528.8404779008761</v>
      </c>
      <c r="F58" s="48">
        <f>F49-F57</f>
        <v>5456.4140233587095</v>
      </c>
      <c r="G58" s="49">
        <f>G49-G57</f>
        <v>6369.1959817992501</v>
      </c>
      <c r="H58" s="30"/>
    </row>
    <row r="59" spans="2:8">
      <c r="B59" s="95" t="s">
        <v>114</v>
      </c>
      <c r="C59" s="111">
        <f>C44/C45</f>
        <v>1.076174098539223</v>
      </c>
      <c r="D59" s="96">
        <f t="shared" ref="D59:G59" si="0">D44/D45</f>
        <v>1.0976975805100073</v>
      </c>
      <c r="E59" s="96">
        <f t="shared" si="0"/>
        <v>1.1196515321202076</v>
      </c>
      <c r="F59" s="96">
        <f t="shared" si="0"/>
        <v>1.1420445627626117</v>
      </c>
      <c r="G59" s="96">
        <f t="shared" si="0"/>
        <v>1.1648854540178641</v>
      </c>
      <c r="H59" s="30"/>
    </row>
    <row r="60" spans="2:8" ht="13.5" thickBot="1">
      <c r="B60" s="50"/>
      <c r="C60" s="51"/>
      <c r="D60" s="51"/>
      <c r="E60" s="51"/>
      <c r="F60" s="14"/>
      <c r="G60" s="14"/>
      <c r="H60" s="11"/>
    </row>
    <row r="61" spans="2:8" ht="13.5" thickBot="1">
      <c r="B61" s="136" t="s">
        <v>50</v>
      </c>
      <c r="C61" s="139"/>
      <c r="D61" s="139"/>
      <c r="E61" s="140"/>
      <c r="F61" s="14"/>
      <c r="G61" s="14"/>
      <c r="H61" s="11"/>
    </row>
    <row r="62" spans="2:8">
      <c r="B62" s="27" t="s">
        <v>51</v>
      </c>
      <c r="C62" s="52"/>
      <c r="D62" s="52"/>
      <c r="E62" s="39">
        <f>IF(C23&gt;0,(1-C25)*(F12*(1+C24)^C26),(1-C25)*(C11*(1+C24)^C26))</f>
        <v>2428977.7670399998</v>
      </c>
      <c r="F62" s="14"/>
      <c r="G62" s="14"/>
      <c r="H62" s="11"/>
    </row>
    <row r="63" spans="2:8">
      <c r="B63" s="27" t="s">
        <v>52</v>
      </c>
      <c r="C63" s="52"/>
      <c r="D63" s="52"/>
      <c r="E63" s="39">
        <f>C27*E62</f>
        <v>0</v>
      </c>
      <c r="F63" s="28"/>
      <c r="G63" s="52"/>
      <c r="H63" s="11"/>
    </row>
    <row r="64" spans="2:8">
      <c r="B64" s="27" t="s">
        <v>30</v>
      </c>
      <c r="C64" s="28"/>
      <c r="D64" s="52"/>
      <c r="E64" s="53">
        <f>IF(C25&gt;0,0,G38)</f>
        <v>1468805.5919309244</v>
      </c>
      <c r="F64" s="28"/>
      <c r="G64" s="52"/>
      <c r="H64" s="11"/>
    </row>
    <row r="65" spans="2:8">
      <c r="B65" s="27" t="s">
        <v>42</v>
      </c>
      <c r="C65" s="28"/>
      <c r="D65" s="52"/>
      <c r="E65" s="39">
        <f>E62-E63-E64</f>
        <v>960172.17510907538</v>
      </c>
      <c r="F65" s="28"/>
      <c r="G65" s="52"/>
      <c r="H65" s="11"/>
    </row>
    <row r="66" spans="2:8">
      <c r="B66" s="27" t="s">
        <v>53</v>
      </c>
      <c r="C66" s="52"/>
      <c r="D66" s="52"/>
      <c r="E66" s="53">
        <f>IF((E62-E63-C11)&gt;0,(E62-E63-C11)*C22,0)</f>
        <v>0</v>
      </c>
      <c r="F66" s="52"/>
      <c r="G66" s="52"/>
      <c r="H66" s="11"/>
    </row>
    <row r="67" spans="2:8">
      <c r="B67" s="27" t="s">
        <v>54</v>
      </c>
      <c r="C67" s="52"/>
      <c r="D67" s="52"/>
      <c r="E67" s="39">
        <f>E65-E66</f>
        <v>960172.17510907538</v>
      </c>
      <c r="F67" s="52"/>
      <c r="G67" s="52"/>
      <c r="H67" s="11"/>
    </row>
    <row r="68" spans="2:8">
      <c r="B68" s="35"/>
      <c r="C68" s="52"/>
      <c r="D68" s="52"/>
      <c r="E68" s="54"/>
      <c r="F68" s="52"/>
      <c r="G68" s="52"/>
      <c r="H68" s="11"/>
    </row>
    <row r="69" spans="2:8">
      <c r="B69" s="27" t="s">
        <v>51</v>
      </c>
      <c r="C69" s="52"/>
      <c r="D69" s="52">
        <f>IF(C23&gt;0,F12*(1+C24)^C26,C11*(1+C24)^C26)</f>
        <v>2428977.7670399998</v>
      </c>
      <c r="E69" s="54"/>
      <c r="F69" s="52"/>
      <c r="G69" s="52"/>
      <c r="H69" s="11"/>
    </row>
    <row r="70" spans="2:8">
      <c r="B70" s="27" t="s">
        <v>55</v>
      </c>
      <c r="C70" s="52"/>
      <c r="D70" s="52">
        <f>E63</f>
        <v>0</v>
      </c>
      <c r="E70" s="54"/>
      <c r="F70" s="52"/>
      <c r="G70" s="52"/>
      <c r="H70" s="11"/>
    </row>
    <row r="71" spans="2:8">
      <c r="B71" s="27" t="s">
        <v>56</v>
      </c>
      <c r="C71" s="52"/>
      <c r="D71" s="52">
        <f>E66</f>
        <v>0</v>
      </c>
      <c r="E71" s="54"/>
      <c r="F71" s="52"/>
      <c r="G71" s="52"/>
      <c r="H71" s="11"/>
    </row>
    <row r="72" spans="2:8">
      <c r="B72" s="35"/>
      <c r="C72" s="28"/>
      <c r="D72" s="28"/>
      <c r="E72" s="39"/>
      <c r="F72" s="28"/>
      <c r="G72" s="52"/>
      <c r="H72" s="11"/>
    </row>
    <row r="73" spans="2:8">
      <c r="B73" s="27" t="s">
        <v>57</v>
      </c>
      <c r="C73" s="28">
        <f>IF(C23&gt;0,F12,C11)</f>
        <v>2200000</v>
      </c>
      <c r="D73" s="28"/>
      <c r="E73" s="54"/>
      <c r="F73" s="52"/>
      <c r="G73" s="52"/>
      <c r="H73" s="11"/>
    </row>
    <row r="74" spans="2:8">
      <c r="B74" s="27" t="s">
        <v>58</v>
      </c>
      <c r="C74" s="55">
        <f>C26*C53</f>
        <v>205128.20512820513</v>
      </c>
      <c r="D74" s="28"/>
      <c r="E74" s="54"/>
      <c r="F74" s="52"/>
      <c r="G74" s="52"/>
      <c r="H74" s="11"/>
    </row>
    <row r="75" spans="2:8">
      <c r="B75" s="27" t="s">
        <v>59</v>
      </c>
      <c r="C75" s="52"/>
      <c r="D75" s="55">
        <f>C73-C74</f>
        <v>1994871.794871795</v>
      </c>
      <c r="E75" s="54"/>
      <c r="F75" s="52"/>
      <c r="G75" s="52"/>
      <c r="H75" s="11"/>
    </row>
    <row r="76" spans="2:8">
      <c r="B76" s="35"/>
      <c r="C76" s="28"/>
      <c r="D76" s="28"/>
      <c r="E76" s="54"/>
      <c r="F76" s="52"/>
      <c r="G76" s="52"/>
      <c r="H76" s="11"/>
    </row>
    <row r="77" spans="2:8">
      <c r="B77" s="27" t="s">
        <v>123</v>
      </c>
      <c r="C77" s="52"/>
      <c r="D77" s="28">
        <f>D69-D70-D71-D75</f>
        <v>434105.97216820484</v>
      </c>
      <c r="E77" s="54"/>
      <c r="F77" s="52"/>
      <c r="G77" s="52"/>
      <c r="H77" s="11"/>
    </row>
    <row r="78" spans="2:8">
      <c r="B78" s="27" t="s">
        <v>150</v>
      </c>
      <c r="C78" s="52"/>
      <c r="D78" s="28"/>
      <c r="E78" s="54">
        <f>C74*F16</f>
        <v>51282.051282051281</v>
      </c>
      <c r="F78" s="52"/>
      <c r="G78" s="52"/>
      <c r="H78" s="11"/>
    </row>
    <row r="79" spans="2:8">
      <c r="B79" s="27" t="s">
        <v>151</v>
      </c>
      <c r="C79" s="28"/>
      <c r="D79" s="52"/>
      <c r="E79" s="53">
        <f>(D77-C74)*F17</f>
        <v>45795.553407999949</v>
      </c>
      <c r="F79" s="52"/>
      <c r="G79" s="52"/>
      <c r="H79" s="11"/>
    </row>
    <row r="80" spans="2:8">
      <c r="B80" s="35"/>
      <c r="C80" s="28"/>
      <c r="D80" s="28"/>
      <c r="E80" s="54"/>
      <c r="F80" s="14"/>
      <c r="G80" s="14"/>
      <c r="H80" s="18"/>
    </row>
    <row r="81" spans="2:8" ht="13.5" thickBot="1">
      <c r="B81" s="47" t="s">
        <v>62</v>
      </c>
      <c r="C81" s="56"/>
      <c r="D81" s="57"/>
      <c r="E81" s="58">
        <f>E67-E79</f>
        <v>914376.62170107546</v>
      </c>
      <c r="F81" s="14"/>
      <c r="G81" s="14"/>
      <c r="H81" s="18"/>
    </row>
    <row r="82" spans="2:8" ht="13.5" thickBot="1">
      <c r="B82" s="35"/>
      <c r="C82" s="29"/>
      <c r="D82" s="29"/>
      <c r="E82" s="10"/>
      <c r="F82" s="14"/>
      <c r="G82" s="14"/>
      <c r="H82" s="18"/>
    </row>
    <row r="83" spans="2:8" ht="13.5" thickBot="1">
      <c r="B83" s="136" t="s">
        <v>63</v>
      </c>
      <c r="C83" s="137"/>
      <c r="D83" s="137"/>
      <c r="E83" s="137"/>
      <c r="F83" s="137"/>
      <c r="G83" s="137"/>
      <c r="H83" s="138"/>
    </row>
    <row r="84" spans="2:8" ht="13.5" thickBot="1">
      <c r="B84" s="43" t="s">
        <v>38</v>
      </c>
      <c r="C84" s="43">
        <v>0</v>
      </c>
      <c r="D84" s="43">
        <v>1</v>
      </c>
      <c r="E84" s="43">
        <v>2</v>
      </c>
      <c r="F84" s="43">
        <v>3</v>
      </c>
      <c r="G84" s="43">
        <v>4</v>
      </c>
      <c r="H84" s="43">
        <v>5</v>
      </c>
    </row>
    <row r="85" spans="2:8" ht="13.5" thickBot="1">
      <c r="B85" s="27" t="s">
        <v>64</v>
      </c>
      <c r="C85" s="29">
        <f>-C29</f>
        <v>-439999.99999999988</v>
      </c>
      <c r="D85" s="28">
        <f>C49</f>
        <v>10617.347877441964</v>
      </c>
      <c r="E85" s="28">
        <f>D49</f>
        <v>13617.347877441964</v>
      </c>
      <c r="F85" s="28">
        <f>E49</f>
        <v>16677.347877441964</v>
      </c>
      <c r="G85" s="28">
        <f>F49</f>
        <v>19798.547877441975</v>
      </c>
      <c r="H85" s="39">
        <f>G49+E67</f>
        <v>983154.34698651731</v>
      </c>
    </row>
    <row r="86" spans="2:8" ht="13.5" thickBot="1">
      <c r="B86" s="98" t="s">
        <v>65</v>
      </c>
      <c r="C86" s="99">
        <f>IRR(C85:H85,0.1)</f>
        <v>0.19576209281278856</v>
      </c>
      <c r="D86" s="29"/>
      <c r="E86" s="29"/>
      <c r="F86" s="29"/>
      <c r="G86" s="10"/>
      <c r="H86" s="11"/>
    </row>
    <row r="87" spans="2:8" ht="13.5" thickBot="1">
      <c r="B87" s="35"/>
      <c r="C87" s="10"/>
      <c r="D87" s="10"/>
      <c r="E87" s="10"/>
      <c r="F87" s="10"/>
      <c r="G87" s="10"/>
      <c r="H87" s="11"/>
    </row>
    <row r="88" spans="2:8" ht="13.5" thickBot="1">
      <c r="B88" s="43" t="s">
        <v>38</v>
      </c>
      <c r="C88" s="43">
        <v>0</v>
      </c>
      <c r="D88" s="43">
        <v>1</v>
      </c>
      <c r="E88" s="43">
        <v>2</v>
      </c>
      <c r="F88" s="43">
        <v>3</v>
      </c>
      <c r="G88" s="43">
        <v>4</v>
      </c>
      <c r="H88" s="43">
        <v>5</v>
      </c>
    </row>
    <row r="89" spans="2:8" ht="13.5" thickBot="1">
      <c r="B89" s="27" t="s">
        <v>66</v>
      </c>
      <c r="C89" s="29">
        <f>-C29</f>
        <v>-439999.99999999988</v>
      </c>
      <c r="D89" s="28">
        <f>C58</f>
        <v>2636.7286051276496</v>
      </c>
      <c r="E89" s="28">
        <f>D58</f>
        <v>3588.3564209144643</v>
      </c>
      <c r="F89" s="28">
        <f>E58</f>
        <v>4528.8404779008761</v>
      </c>
      <c r="G89" s="28">
        <f>F58</f>
        <v>5456.4140233587095</v>
      </c>
      <c r="H89" s="39">
        <f>G58+E81</f>
        <v>920745.81768287474</v>
      </c>
    </row>
    <row r="90" spans="2:8" ht="13.5" thickBot="1">
      <c r="B90" s="59" t="s">
        <v>67</v>
      </c>
      <c r="C90" s="60">
        <f>IRR(C89:H89,0.1)</f>
        <v>0.16488517641944367</v>
      </c>
      <c r="D90" s="29"/>
      <c r="E90" s="29"/>
      <c r="F90" s="29"/>
      <c r="G90" s="29"/>
      <c r="H90" s="30"/>
    </row>
    <row r="91" spans="2:8" ht="13.5" thickBot="1">
      <c r="B91" s="44" t="s">
        <v>68</v>
      </c>
      <c r="C91" s="60">
        <f>(C86-C90)/C86</f>
        <v>0.1577267383572219</v>
      </c>
      <c r="D91" s="10"/>
      <c r="E91" s="10"/>
      <c r="F91" s="10"/>
      <c r="G91" s="10"/>
      <c r="H91" s="11"/>
    </row>
    <row r="92" spans="2:8" ht="13.5" thickBot="1">
      <c r="B92" s="47"/>
      <c r="C92" s="61"/>
      <c r="D92" s="62"/>
      <c r="E92" s="62"/>
      <c r="F92" s="62"/>
      <c r="G92" s="62"/>
      <c r="H92" s="63"/>
    </row>
    <row r="93" spans="2:8" ht="13.5" thickBot="1">
      <c r="B93" s="8"/>
      <c r="C93" s="9"/>
      <c r="D93" s="10"/>
      <c r="E93" s="10"/>
      <c r="F93" s="10"/>
      <c r="G93" s="10"/>
      <c r="H93" s="11"/>
    </row>
    <row r="94" spans="2:8" ht="13.5" thickBot="1">
      <c r="B94" s="136" t="s">
        <v>117</v>
      </c>
      <c r="C94" s="137"/>
      <c r="D94" s="137"/>
      <c r="E94" s="137"/>
      <c r="F94" s="137"/>
      <c r="G94" s="137"/>
      <c r="H94" s="138"/>
    </row>
    <row r="95" spans="2:8" ht="13.5" thickBot="1">
      <c r="B95" s="43" t="s">
        <v>38</v>
      </c>
      <c r="C95" s="43">
        <v>0</v>
      </c>
      <c r="D95" s="43">
        <v>1</v>
      </c>
      <c r="E95" s="43">
        <v>2</v>
      </c>
      <c r="F95" s="43">
        <v>3</v>
      </c>
      <c r="G95" s="43">
        <v>4</v>
      </c>
      <c r="H95" s="43">
        <v>5</v>
      </c>
    </row>
    <row r="96" spans="2:8" ht="13.5" thickBot="1">
      <c r="B96" s="27" t="s">
        <v>39</v>
      </c>
      <c r="C96" s="29">
        <f>-C11</f>
        <v>-2200000</v>
      </c>
      <c r="D96" s="28">
        <f>C44</f>
        <v>150000</v>
      </c>
      <c r="E96" s="28">
        <f>D44</f>
        <v>153000</v>
      </c>
      <c r="F96" s="28">
        <f>E44</f>
        <v>156060</v>
      </c>
      <c r="G96" s="28">
        <f>F44</f>
        <v>159181.20000000001</v>
      </c>
      <c r="H96" s="39">
        <f>G44+E62-E63</f>
        <v>2591342.5910399999</v>
      </c>
    </row>
    <row r="97" spans="2:8" ht="13.5" thickBot="1">
      <c r="B97" s="59" t="s">
        <v>69</v>
      </c>
      <c r="C97" s="99">
        <f>IRR(C96:H96,0.1)</f>
        <v>8.8181818181818139E-2</v>
      </c>
      <c r="D97" s="10"/>
      <c r="E97" s="10"/>
      <c r="F97" s="10"/>
      <c r="G97" s="10"/>
      <c r="H97" s="11"/>
    </row>
    <row r="98" spans="2:8" ht="13.5" thickBot="1">
      <c r="B98" s="35"/>
      <c r="C98" s="10"/>
      <c r="D98" s="10"/>
      <c r="E98" s="10"/>
      <c r="F98" s="10"/>
      <c r="G98" s="10"/>
      <c r="H98" s="11"/>
    </row>
    <row r="99" spans="2:8" ht="13.5" thickBot="1">
      <c r="B99" s="43" t="s">
        <v>38</v>
      </c>
      <c r="C99" s="43">
        <v>0</v>
      </c>
      <c r="D99" s="43">
        <v>1</v>
      </c>
      <c r="E99" s="43">
        <v>2</v>
      </c>
      <c r="F99" s="43">
        <v>3</v>
      </c>
      <c r="G99" s="43">
        <v>4</v>
      </c>
      <c r="H99" s="43">
        <v>5</v>
      </c>
    </row>
    <row r="100" spans="2:8" ht="13.5" thickBot="1">
      <c r="B100" s="27" t="s">
        <v>70</v>
      </c>
      <c r="C100" s="64">
        <f>-C11</f>
        <v>-2200000</v>
      </c>
      <c r="D100" s="28">
        <f>C44-((C44-C53)*$F$14)</f>
        <v>110769.23076923078</v>
      </c>
      <c r="E100" s="28">
        <f>D44-((D44-D53)*$F$14)</f>
        <v>112689.23076923078</v>
      </c>
      <c r="F100" s="28">
        <f>E44-((E44-E53)*$F$14)</f>
        <v>114647.63076923077</v>
      </c>
      <c r="G100" s="28">
        <f>F44-((F44-F53)*$F$14)</f>
        <v>116645.19876923077</v>
      </c>
      <c r="H100" s="39">
        <f>G44-((G44-G53)*$F$14)+(E62-E63-E79)</f>
        <v>2501864.9317612303</v>
      </c>
    </row>
    <row r="101" spans="2:8" ht="13.5" thickBot="1">
      <c r="B101" s="59" t="s">
        <v>71</v>
      </c>
      <c r="C101" s="60">
        <f>IRR(C100:H100,0.1)</f>
        <v>6.6592421072416474E-2</v>
      </c>
      <c r="D101" s="10"/>
      <c r="E101" s="10"/>
      <c r="F101" s="10"/>
      <c r="G101" s="10"/>
      <c r="H101" s="11"/>
    </row>
    <row r="102" spans="2:8" ht="13.5" thickBot="1">
      <c r="B102" s="65"/>
      <c r="C102" s="66"/>
      <c r="D102" s="62"/>
      <c r="E102" s="62"/>
      <c r="F102" s="62"/>
      <c r="G102" s="62"/>
      <c r="H102" s="63"/>
    </row>
    <row r="103" spans="2:8" ht="13.5" thickBot="1">
      <c r="B103" s="42"/>
      <c r="C103" s="10"/>
      <c r="D103" s="29"/>
      <c r="E103" s="29"/>
      <c r="F103" s="29"/>
      <c r="G103" s="29"/>
      <c r="H103" s="30"/>
    </row>
    <row r="104" spans="2:8" ht="13.5" thickBot="1">
      <c r="B104" s="136" t="s">
        <v>72</v>
      </c>
      <c r="C104" s="137"/>
      <c r="D104" s="137"/>
      <c r="E104" s="137"/>
      <c r="F104" s="137"/>
      <c r="G104" s="137"/>
      <c r="H104" s="138"/>
    </row>
    <row r="105" spans="2:8" ht="13.5" thickBot="1">
      <c r="B105" s="43" t="s">
        <v>38</v>
      </c>
      <c r="C105" s="43">
        <v>0</v>
      </c>
      <c r="D105" s="43">
        <v>1</v>
      </c>
      <c r="E105" s="43">
        <v>2</v>
      </c>
      <c r="F105" s="43">
        <v>3</v>
      </c>
      <c r="G105" s="43">
        <v>4</v>
      </c>
      <c r="H105" s="43">
        <v>5</v>
      </c>
    </row>
    <row r="106" spans="2:8">
      <c r="B106" s="42" t="s">
        <v>73</v>
      </c>
      <c r="C106" s="14"/>
      <c r="D106" s="67">
        <f>+C45</f>
        <v>139382.65212255804</v>
      </c>
      <c r="E106" s="67">
        <f>+D45</f>
        <v>139382.65212255804</v>
      </c>
      <c r="F106" s="67">
        <f>+E45</f>
        <v>139382.65212255804</v>
      </c>
      <c r="G106" s="67">
        <f>+F45</f>
        <v>139382.65212255804</v>
      </c>
      <c r="H106" s="68">
        <f>+G45</f>
        <v>139382.65212255804</v>
      </c>
    </row>
    <row r="107" spans="2:8">
      <c r="B107" s="42" t="s">
        <v>74</v>
      </c>
      <c r="C107" s="10"/>
      <c r="D107" s="69"/>
      <c r="E107" s="69"/>
      <c r="F107" s="69"/>
      <c r="G107" s="69"/>
      <c r="H107" s="70">
        <f>+E64</f>
        <v>1468805.5919309244</v>
      </c>
    </row>
    <row r="108" spans="2:8">
      <c r="B108" s="42" t="s">
        <v>56</v>
      </c>
      <c r="C108" s="10"/>
      <c r="D108" s="69">
        <f>+C54</f>
        <v>0</v>
      </c>
      <c r="E108" s="69">
        <f>+D54</f>
        <v>0</v>
      </c>
      <c r="F108" s="69">
        <f>+E54</f>
        <v>0</v>
      </c>
      <c r="G108" s="69">
        <f>+F54</f>
        <v>0</v>
      </c>
      <c r="H108" s="70">
        <f>+G54+E66</f>
        <v>0</v>
      </c>
    </row>
    <row r="109" spans="2:8">
      <c r="B109" s="42" t="s">
        <v>75</v>
      </c>
      <c r="C109" s="106">
        <f>-C30</f>
        <v>-1760000</v>
      </c>
      <c r="D109" s="69"/>
      <c r="E109" s="69"/>
      <c r="F109" s="69"/>
      <c r="G109" s="69"/>
      <c r="H109" s="70"/>
    </row>
    <row r="110" spans="2:8" ht="13.5" thickBot="1">
      <c r="B110" s="42" t="s">
        <v>76</v>
      </c>
      <c r="C110" s="106">
        <f t="shared" ref="C110:H110" si="1">+C106+C107+C108+C109</f>
        <v>-1760000</v>
      </c>
      <c r="D110" s="69">
        <f t="shared" si="1"/>
        <v>139382.65212255804</v>
      </c>
      <c r="E110" s="69">
        <f t="shared" si="1"/>
        <v>139382.65212255804</v>
      </c>
      <c r="F110" s="69">
        <f t="shared" si="1"/>
        <v>139382.65212255804</v>
      </c>
      <c r="G110" s="69">
        <f t="shared" si="1"/>
        <v>139382.65212255804</v>
      </c>
      <c r="H110" s="70">
        <f t="shared" si="1"/>
        <v>1608188.2440534825</v>
      </c>
    </row>
    <row r="111" spans="2:8" ht="13.5" thickBot="1">
      <c r="B111" s="71" t="s">
        <v>77</v>
      </c>
      <c r="C111" s="99">
        <f>C179</f>
        <v>4.9999999999999822E-2</v>
      </c>
      <c r="D111" s="72"/>
      <c r="E111" s="72"/>
      <c r="F111" s="72"/>
      <c r="G111" s="72"/>
      <c r="H111" s="73"/>
    </row>
    <row r="112" spans="2:8">
      <c r="B112" s="42"/>
      <c r="C112" s="10"/>
      <c r="D112" s="10"/>
      <c r="E112" s="10"/>
      <c r="F112" s="10"/>
      <c r="G112" s="10"/>
      <c r="H112" s="11"/>
    </row>
    <row r="113" spans="2:8" ht="13.5" thickBot="1">
      <c r="B113" s="42"/>
      <c r="C113" s="10"/>
      <c r="D113" s="10"/>
      <c r="E113" s="10"/>
      <c r="F113" s="10"/>
      <c r="G113" s="10"/>
      <c r="H113" s="11"/>
    </row>
    <row r="114" spans="2:8" ht="13.5" thickBot="1">
      <c r="B114" s="135" t="s">
        <v>78</v>
      </c>
      <c r="C114" s="122"/>
      <c r="D114" s="74"/>
      <c r="E114" s="74"/>
      <c r="F114" s="74"/>
      <c r="G114" s="74"/>
      <c r="H114" s="75"/>
    </row>
    <row r="115" spans="2:8" ht="13.5" thickBot="1">
      <c r="B115" s="12"/>
      <c r="C115" s="18"/>
      <c r="D115" s="14"/>
      <c r="E115" s="14"/>
      <c r="F115" s="14"/>
      <c r="G115" s="14"/>
      <c r="H115" s="18"/>
    </row>
    <row r="116" spans="2:8" ht="13.5" thickBot="1">
      <c r="B116" s="43" t="s">
        <v>79</v>
      </c>
      <c r="C116" s="43" t="s">
        <v>80</v>
      </c>
      <c r="D116" s="76"/>
      <c r="E116" s="76"/>
      <c r="F116" s="76"/>
      <c r="G116" s="76"/>
      <c r="H116" s="75"/>
    </row>
    <row r="117" spans="2:8">
      <c r="B117" s="77">
        <v>0</v>
      </c>
      <c r="C117" s="105">
        <f>C109</f>
        <v>-1760000</v>
      </c>
      <c r="D117" s="14"/>
      <c r="E117" s="14"/>
      <c r="F117" s="14"/>
      <c r="G117" s="14"/>
      <c r="H117" s="18"/>
    </row>
    <row r="118" spans="2:8">
      <c r="B118" s="77">
        <v>1</v>
      </c>
      <c r="C118" s="105">
        <f>($D$106+$D$108)/12</f>
        <v>11615.22101021317</v>
      </c>
      <c r="D118" s="79"/>
      <c r="E118" s="80"/>
      <c r="F118" s="80"/>
      <c r="G118" s="80"/>
      <c r="H118" s="78"/>
    </row>
    <row r="119" spans="2:8">
      <c r="B119" s="77">
        <v>2</v>
      </c>
      <c r="C119" s="105">
        <f t="shared" ref="C119:C129" si="2">($D$106+$D$108)/12</f>
        <v>11615.22101021317</v>
      </c>
      <c r="D119" s="81"/>
      <c r="E119" s="80"/>
      <c r="F119" s="80"/>
      <c r="G119" s="80"/>
      <c r="H119" s="78"/>
    </row>
    <row r="120" spans="2:8">
      <c r="B120" s="77">
        <v>3</v>
      </c>
      <c r="C120" s="105">
        <f t="shared" si="2"/>
        <v>11615.22101021317</v>
      </c>
      <c r="D120" s="81"/>
      <c r="E120" s="80"/>
      <c r="F120" s="80"/>
      <c r="G120" s="80"/>
      <c r="H120" s="78"/>
    </row>
    <row r="121" spans="2:8">
      <c r="B121" s="77">
        <v>4</v>
      </c>
      <c r="C121" s="105">
        <f t="shared" si="2"/>
        <v>11615.22101021317</v>
      </c>
      <c r="D121" s="81"/>
      <c r="E121" s="80"/>
      <c r="F121" s="80"/>
      <c r="G121" s="80"/>
      <c r="H121" s="78"/>
    </row>
    <row r="122" spans="2:8">
      <c r="B122" s="77">
        <v>5</v>
      </c>
      <c r="C122" s="105">
        <f t="shared" si="2"/>
        <v>11615.22101021317</v>
      </c>
      <c r="D122" s="81"/>
      <c r="E122" s="80"/>
      <c r="F122" s="80"/>
      <c r="G122" s="80"/>
      <c r="H122" s="78"/>
    </row>
    <row r="123" spans="2:8">
      <c r="B123" s="77">
        <v>6</v>
      </c>
      <c r="C123" s="105">
        <f t="shared" si="2"/>
        <v>11615.22101021317</v>
      </c>
      <c r="D123" s="81"/>
      <c r="E123" s="80"/>
      <c r="F123" s="80"/>
      <c r="G123" s="80"/>
      <c r="H123" s="78"/>
    </row>
    <row r="124" spans="2:8">
      <c r="B124" s="77">
        <v>7</v>
      </c>
      <c r="C124" s="105">
        <f t="shared" si="2"/>
        <v>11615.22101021317</v>
      </c>
      <c r="D124" s="81"/>
      <c r="E124" s="80"/>
      <c r="F124" s="80"/>
      <c r="G124" s="80"/>
      <c r="H124" s="78"/>
    </row>
    <row r="125" spans="2:8">
      <c r="B125" s="77">
        <v>8</v>
      </c>
      <c r="C125" s="105">
        <f t="shared" si="2"/>
        <v>11615.22101021317</v>
      </c>
      <c r="D125" s="81"/>
      <c r="E125" s="80"/>
      <c r="F125" s="80"/>
      <c r="G125" s="80"/>
      <c r="H125" s="78"/>
    </row>
    <row r="126" spans="2:8">
      <c r="B126" s="77">
        <v>9</v>
      </c>
      <c r="C126" s="105">
        <f t="shared" si="2"/>
        <v>11615.22101021317</v>
      </c>
      <c r="D126" s="81"/>
      <c r="E126" s="80"/>
      <c r="F126" s="80"/>
      <c r="G126" s="80"/>
      <c r="H126" s="78"/>
    </row>
    <row r="127" spans="2:8">
      <c r="B127" s="77">
        <v>10</v>
      </c>
      <c r="C127" s="105">
        <f t="shared" si="2"/>
        <v>11615.22101021317</v>
      </c>
      <c r="D127" s="81"/>
      <c r="E127" s="80"/>
      <c r="F127" s="80"/>
      <c r="G127" s="80"/>
      <c r="H127" s="78"/>
    </row>
    <row r="128" spans="2:8">
      <c r="B128" s="77">
        <v>11</v>
      </c>
      <c r="C128" s="105">
        <f t="shared" si="2"/>
        <v>11615.22101021317</v>
      </c>
      <c r="D128" s="81"/>
      <c r="E128" s="80"/>
      <c r="F128" s="80"/>
      <c r="G128" s="80"/>
      <c r="H128" s="78"/>
    </row>
    <row r="129" spans="2:8">
      <c r="B129" s="77">
        <v>12</v>
      </c>
      <c r="C129" s="105">
        <f t="shared" si="2"/>
        <v>11615.22101021317</v>
      </c>
      <c r="D129" s="81"/>
      <c r="E129" s="80"/>
      <c r="F129" s="80"/>
      <c r="G129" s="80"/>
      <c r="H129" s="78"/>
    </row>
    <row r="130" spans="2:8">
      <c r="B130" s="77">
        <v>13</v>
      </c>
      <c r="C130" s="105">
        <f>($E$106+$E$108)/12</f>
        <v>11615.22101021317</v>
      </c>
      <c r="D130" s="81"/>
      <c r="E130" s="80"/>
      <c r="F130" s="80"/>
      <c r="G130" s="80"/>
      <c r="H130" s="78"/>
    </row>
    <row r="131" spans="2:8">
      <c r="B131" s="77">
        <v>14</v>
      </c>
      <c r="C131" s="105">
        <f t="shared" ref="C131:C141" si="3">($E$106+$E$108)/12</f>
        <v>11615.22101021317</v>
      </c>
      <c r="D131" s="81"/>
      <c r="E131" s="80"/>
      <c r="F131" s="80"/>
      <c r="G131" s="80"/>
      <c r="H131" s="78"/>
    </row>
    <row r="132" spans="2:8">
      <c r="B132" s="77">
        <v>15</v>
      </c>
      <c r="C132" s="105">
        <f t="shared" si="3"/>
        <v>11615.22101021317</v>
      </c>
      <c r="D132" s="81"/>
      <c r="E132" s="80"/>
      <c r="F132" s="80"/>
      <c r="G132" s="80"/>
      <c r="H132" s="78"/>
    </row>
    <row r="133" spans="2:8">
      <c r="B133" s="77">
        <v>16</v>
      </c>
      <c r="C133" s="105">
        <f t="shared" si="3"/>
        <v>11615.22101021317</v>
      </c>
      <c r="D133" s="81"/>
      <c r="E133" s="80"/>
      <c r="F133" s="80"/>
      <c r="G133" s="80"/>
      <c r="H133" s="78"/>
    </row>
    <row r="134" spans="2:8">
      <c r="B134" s="77">
        <v>17</v>
      </c>
      <c r="C134" s="105">
        <f t="shared" si="3"/>
        <v>11615.22101021317</v>
      </c>
      <c r="D134" s="81"/>
      <c r="E134" s="80"/>
      <c r="F134" s="80"/>
      <c r="G134" s="80"/>
      <c r="H134" s="78"/>
    </row>
    <row r="135" spans="2:8">
      <c r="B135" s="77">
        <v>18</v>
      </c>
      <c r="C135" s="105">
        <f t="shared" si="3"/>
        <v>11615.22101021317</v>
      </c>
      <c r="D135" s="81"/>
      <c r="E135" s="80"/>
      <c r="F135" s="80"/>
      <c r="G135" s="80"/>
      <c r="H135" s="78"/>
    </row>
    <row r="136" spans="2:8">
      <c r="B136" s="77">
        <v>19</v>
      </c>
      <c r="C136" s="105">
        <f t="shared" si="3"/>
        <v>11615.22101021317</v>
      </c>
      <c r="D136" s="81"/>
      <c r="E136" s="80"/>
      <c r="F136" s="80"/>
      <c r="G136" s="80"/>
      <c r="H136" s="78"/>
    </row>
    <row r="137" spans="2:8">
      <c r="B137" s="77">
        <v>20</v>
      </c>
      <c r="C137" s="105">
        <f t="shared" si="3"/>
        <v>11615.22101021317</v>
      </c>
      <c r="D137" s="81"/>
      <c r="E137" s="80"/>
      <c r="F137" s="80"/>
      <c r="G137" s="80"/>
      <c r="H137" s="78"/>
    </row>
    <row r="138" spans="2:8">
      <c r="B138" s="77">
        <v>21</v>
      </c>
      <c r="C138" s="105">
        <f t="shared" si="3"/>
        <v>11615.22101021317</v>
      </c>
      <c r="D138" s="81"/>
      <c r="E138" s="80"/>
      <c r="F138" s="80"/>
      <c r="G138" s="80"/>
      <c r="H138" s="78"/>
    </row>
    <row r="139" spans="2:8">
      <c r="B139" s="77">
        <v>22</v>
      </c>
      <c r="C139" s="105">
        <f t="shared" si="3"/>
        <v>11615.22101021317</v>
      </c>
      <c r="D139" s="81"/>
      <c r="E139" s="80"/>
      <c r="F139" s="80"/>
      <c r="G139" s="80"/>
      <c r="H139" s="78"/>
    </row>
    <row r="140" spans="2:8">
      <c r="B140" s="77">
        <v>23</v>
      </c>
      <c r="C140" s="105">
        <f t="shared" si="3"/>
        <v>11615.22101021317</v>
      </c>
      <c r="D140" s="81"/>
      <c r="E140" s="80"/>
      <c r="F140" s="80"/>
      <c r="G140" s="80"/>
      <c r="H140" s="78"/>
    </row>
    <row r="141" spans="2:8">
      <c r="B141" s="77">
        <v>24</v>
      </c>
      <c r="C141" s="105">
        <f t="shared" si="3"/>
        <v>11615.22101021317</v>
      </c>
      <c r="D141" s="81"/>
      <c r="E141" s="80"/>
      <c r="F141" s="80"/>
      <c r="G141" s="80"/>
      <c r="H141" s="78"/>
    </row>
    <row r="142" spans="2:8">
      <c r="B142" s="77">
        <v>25</v>
      </c>
      <c r="C142" s="105">
        <f>($F$106+$F$108)/12</f>
        <v>11615.22101021317</v>
      </c>
      <c r="D142" s="81"/>
      <c r="E142" s="80"/>
      <c r="F142" s="80"/>
      <c r="G142" s="80"/>
      <c r="H142" s="78"/>
    </row>
    <row r="143" spans="2:8">
      <c r="B143" s="77">
        <v>26</v>
      </c>
      <c r="C143" s="105">
        <f t="shared" ref="C143:C153" si="4">($F$106+$F$108)/12</f>
        <v>11615.22101021317</v>
      </c>
      <c r="D143" s="81"/>
      <c r="E143" s="80"/>
      <c r="F143" s="80"/>
      <c r="G143" s="80"/>
      <c r="H143" s="78"/>
    </row>
    <row r="144" spans="2:8">
      <c r="B144" s="77">
        <v>27</v>
      </c>
      <c r="C144" s="105">
        <f t="shared" si="4"/>
        <v>11615.22101021317</v>
      </c>
      <c r="D144" s="81"/>
      <c r="E144" s="80"/>
      <c r="F144" s="80"/>
      <c r="G144" s="80"/>
      <c r="H144" s="78"/>
    </row>
    <row r="145" spans="2:8">
      <c r="B145" s="77">
        <v>28</v>
      </c>
      <c r="C145" s="105">
        <f t="shared" si="4"/>
        <v>11615.22101021317</v>
      </c>
      <c r="D145" s="81"/>
      <c r="E145" s="80"/>
      <c r="F145" s="80"/>
      <c r="G145" s="80"/>
      <c r="H145" s="78"/>
    </row>
    <row r="146" spans="2:8">
      <c r="B146" s="77">
        <v>29</v>
      </c>
      <c r="C146" s="105">
        <f t="shared" si="4"/>
        <v>11615.22101021317</v>
      </c>
      <c r="D146" s="81"/>
      <c r="E146" s="80"/>
      <c r="F146" s="80"/>
      <c r="G146" s="80"/>
      <c r="H146" s="78"/>
    </row>
    <row r="147" spans="2:8">
      <c r="B147" s="77">
        <v>30</v>
      </c>
      <c r="C147" s="105">
        <f t="shared" si="4"/>
        <v>11615.22101021317</v>
      </c>
      <c r="D147" s="81"/>
      <c r="E147" s="80"/>
      <c r="F147" s="80"/>
      <c r="G147" s="80"/>
      <c r="H147" s="78"/>
    </row>
    <row r="148" spans="2:8">
      <c r="B148" s="77">
        <v>31</v>
      </c>
      <c r="C148" s="105">
        <f t="shared" si="4"/>
        <v>11615.22101021317</v>
      </c>
      <c r="D148" s="81"/>
      <c r="E148" s="80"/>
      <c r="F148" s="80"/>
      <c r="G148" s="80"/>
      <c r="H148" s="78"/>
    </row>
    <row r="149" spans="2:8">
      <c r="B149" s="77">
        <v>32</v>
      </c>
      <c r="C149" s="105">
        <f t="shared" si="4"/>
        <v>11615.22101021317</v>
      </c>
      <c r="D149" s="81"/>
      <c r="E149" s="80"/>
      <c r="F149" s="80"/>
      <c r="G149" s="80"/>
      <c r="H149" s="78"/>
    </row>
    <row r="150" spans="2:8">
      <c r="B150" s="77">
        <v>33</v>
      </c>
      <c r="C150" s="105">
        <f t="shared" si="4"/>
        <v>11615.22101021317</v>
      </c>
      <c r="D150" s="81"/>
      <c r="E150" s="80"/>
      <c r="F150" s="80"/>
      <c r="G150" s="80"/>
      <c r="H150" s="78"/>
    </row>
    <row r="151" spans="2:8">
      <c r="B151" s="77">
        <v>34</v>
      </c>
      <c r="C151" s="105">
        <f t="shared" si="4"/>
        <v>11615.22101021317</v>
      </c>
      <c r="D151" s="81"/>
      <c r="E151" s="80"/>
      <c r="F151" s="80"/>
      <c r="G151" s="80"/>
      <c r="H151" s="78"/>
    </row>
    <row r="152" spans="2:8">
      <c r="B152" s="77">
        <v>35</v>
      </c>
      <c r="C152" s="105">
        <f t="shared" si="4"/>
        <v>11615.22101021317</v>
      </c>
      <c r="D152" s="81"/>
      <c r="E152" s="80"/>
      <c r="F152" s="80"/>
      <c r="G152" s="80"/>
      <c r="H152" s="78"/>
    </row>
    <row r="153" spans="2:8">
      <c r="B153" s="77">
        <v>36</v>
      </c>
      <c r="C153" s="105">
        <f t="shared" si="4"/>
        <v>11615.22101021317</v>
      </c>
      <c r="D153" s="81"/>
      <c r="E153" s="80"/>
      <c r="F153" s="80"/>
      <c r="G153" s="80"/>
      <c r="H153" s="78"/>
    </row>
    <row r="154" spans="2:8">
      <c r="B154" s="77">
        <v>37</v>
      </c>
      <c r="C154" s="105">
        <f>($G$106+$G$108)/12</f>
        <v>11615.22101021317</v>
      </c>
      <c r="D154" s="81"/>
      <c r="E154" s="80"/>
      <c r="F154" s="80"/>
      <c r="G154" s="80"/>
      <c r="H154" s="78"/>
    </row>
    <row r="155" spans="2:8">
      <c r="B155" s="77">
        <v>38</v>
      </c>
      <c r="C155" s="105">
        <f t="shared" ref="C155:C165" si="5">($G$106+$G$108)/12</f>
        <v>11615.22101021317</v>
      </c>
      <c r="D155" s="81"/>
      <c r="E155" s="80"/>
      <c r="F155" s="80"/>
      <c r="G155" s="80"/>
      <c r="H155" s="78"/>
    </row>
    <row r="156" spans="2:8">
      <c r="B156" s="77">
        <v>39</v>
      </c>
      <c r="C156" s="105">
        <f t="shared" si="5"/>
        <v>11615.22101021317</v>
      </c>
      <c r="D156" s="81"/>
      <c r="E156" s="80"/>
      <c r="F156" s="80"/>
      <c r="G156" s="80"/>
      <c r="H156" s="78"/>
    </row>
    <row r="157" spans="2:8">
      <c r="B157" s="77">
        <v>40</v>
      </c>
      <c r="C157" s="105">
        <f t="shared" si="5"/>
        <v>11615.22101021317</v>
      </c>
      <c r="D157" s="81"/>
      <c r="E157" s="80"/>
      <c r="F157" s="80"/>
      <c r="G157" s="80"/>
      <c r="H157" s="78"/>
    </row>
    <row r="158" spans="2:8">
      <c r="B158" s="77">
        <v>41</v>
      </c>
      <c r="C158" s="105">
        <f t="shared" si="5"/>
        <v>11615.22101021317</v>
      </c>
      <c r="D158" s="81"/>
      <c r="E158" s="80"/>
      <c r="F158" s="80"/>
      <c r="G158" s="80"/>
      <c r="H158" s="78"/>
    </row>
    <row r="159" spans="2:8">
      <c r="B159" s="77">
        <v>42</v>
      </c>
      <c r="C159" s="105">
        <f t="shared" si="5"/>
        <v>11615.22101021317</v>
      </c>
      <c r="D159" s="81"/>
      <c r="E159" s="80"/>
      <c r="F159" s="80"/>
      <c r="G159" s="80"/>
      <c r="H159" s="78"/>
    </row>
    <row r="160" spans="2:8">
      <c r="B160" s="77">
        <v>43</v>
      </c>
      <c r="C160" s="105">
        <f t="shared" si="5"/>
        <v>11615.22101021317</v>
      </c>
      <c r="D160" s="81"/>
      <c r="E160" s="80"/>
      <c r="F160" s="80"/>
      <c r="G160" s="80"/>
      <c r="H160" s="78"/>
    </row>
    <row r="161" spans="2:8">
      <c r="B161" s="77">
        <v>44</v>
      </c>
      <c r="C161" s="105">
        <f t="shared" si="5"/>
        <v>11615.22101021317</v>
      </c>
      <c r="D161" s="81"/>
      <c r="E161" s="80"/>
      <c r="F161" s="80"/>
      <c r="G161" s="80"/>
      <c r="H161" s="78"/>
    </row>
    <row r="162" spans="2:8">
      <c r="B162" s="77">
        <v>45</v>
      </c>
      <c r="C162" s="105">
        <f t="shared" si="5"/>
        <v>11615.22101021317</v>
      </c>
      <c r="D162" s="81"/>
      <c r="E162" s="80"/>
      <c r="F162" s="80"/>
      <c r="G162" s="80"/>
      <c r="H162" s="78"/>
    </row>
    <row r="163" spans="2:8">
      <c r="B163" s="77">
        <v>46</v>
      </c>
      <c r="C163" s="105">
        <f t="shared" si="5"/>
        <v>11615.22101021317</v>
      </c>
      <c r="D163" s="81"/>
      <c r="E163" s="80"/>
      <c r="F163" s="80"/>
      <c r="G163" s="80"/>
      <c r="H163" s="78"/>
    </row>
    <row r="164" spans="2:8">
      <c r="B164" s="77">
        <v>47</v>
      </c>
      <c r="C164" s="105">
        <f t="shared" si="5"/>
        <v>11615.22101021317</v>
      </c>
      <c r="D164" s="81"/>
      <c r="E164" s="80"/>
      <c r="F164" s="80"/>
      <c r="G164" s="80"/>
      <c r="H164" s="78"/>
    </row>
    <row r="165" spans="2:8">
      <c r="B165" s="77">
        <v>48</v>
      </c>
      <c r="C165" s="105">
        <f t="shared" si="5"/>
        <v>11615.22101021317</v>
      </c>
      <c r="D165" s="81"/>
      <c r="E165" s="80"/>
      <c r="F165" s="80"/>
      <c r="G165" s="80"/>
      <c r="H165" s="78"/>
    </row>
    <row r="166" spans="2:8">
      <c r="B166" s="77">
        <v>49</v>
      </c>
      <c r="C166" s="105">
        <f>($H$106+$G$48)/12</f>
        <v>11615.22101021317</v>
      </c>
      <c r="D166" s="81"/>
      <c r="E166" s="80"/>
      <c r="F166" s="80"/>
      <c r="G166" s="80"/>
      <c r="H166" s="78"/>
    </row>
    <row r="167" spans="2:8">
      <c r="B167" s="77">
        <v>50</v>
      </c>
      <c r="C167" s="105">
        <f t="shared" ref="C167:C176" si="6">($H$106+$G$48)/12</f>
        <v>11615.22101021317</v>
      </c>
      <c r="D167" s="81"/>
      <c r="E167" s="80"/>
      <c r="F167" s="80"/>
      <c r="G167" s="80"/>
      <c r="H167" s="78"/>
    </row>
    <row r="168" spans="2:8">
      <c r="B168" s="77">
        <v>51</v>
      </c>
      <c r="C168" s="105">
        <f t="shared" si="6"/>
        <v>11615.22101021317</v>
      </c>
      <c r="D168" s="81"/>
      <c r="E168" s="80"/>
      <c r="F168" s="80"/>
      <c r="G168" s="80"/>
      <c r="H168" s="78"/>
    </row>
    <row r="169" spans="2:8">
      <c r="B169" s="77">
        <v>52</v>
      </c>
      <c r="C169" s="105">
        <f t="shared" si="6"/>
        <v>11615.22101021317</v>
      </c>
      <c r="D169" s="81"/>
      <c r="E169" s="80"/>
      <c r="F169" s="80"/>
      <c r="G169" s="80"/>
      <c r="H169" s="78"/>
    </row>
    <row r="170" spans="2:8">
      <c r="B170" s="77">
        <v>53</v>
      </c>
      <c r="C170" s="105">
        <f t="shared" si="6"/>
        <v>11615.22101021317</v>
      </c>
      <c r="D170" s="81"/>
      <c r="E170" s="80"/>
      <c r="F170" s="80"/>
      <c r="G170" s="80"/>
      <c r="H170" s="78"/>
    </row>
    <row r="171" spans="2:8">
      <c r="B171" s="77">
        <v>54</v>
      </c>
      <c r="C171" s="105">
        <f t="shared" si="6"/>
        <v>11615.22101021317</v>
      </c>
      <c r="D171" s="81"/>
      <c r="E171" s="80"/>
      <c r="F171" s="80"/>
      <c r="G171" s="80"/>
      <c r="H171" s="78"/>
    </row>
    <row r="172" spans="2:8">
      <c r="B172" s="77">
        <v>55</v>
      </c>
      <c r="C172" s="105">
        <f t="shared" si="6"/>
        <v>11615.22101021317</v>
      </c>
      <c r="D172" s="81"/>
      <c r="E172" s="80"/>
      <c r="F172" s="80"/>
      <c r="G172" s="80"/>
      <c r="H172" s="78"/>
    </row>
    <row r="173" spans="2:8">
      <c r="B173" s="77">
        <v>56</v>
      </c>
      <c r="C173" s="105">
        <f t="shared" si="6"/>
        <v>11615.22101021317</v>
      </c>
      <c r="D173" s="81"/>
      <c r="E173" s="80"/>
      <c r="F173" s="80"/>
      <c r="G173" s="80"/>
      <c r="H173" s="78"/>
    </row>
    <row r="174" spans="2:8">
      <c r="B174" s="77">
        <v>57</v>
      </c>
      <c r="C174" s="105">
        <f t="shared" si="6"/>
        <v>11615.22101021317</v>
      </c>
      <c r="D174" s="81"/>
      <c r="E174" s="80"/>
      <c r="F174" s="80"/>
      <c r="G174" s="80"/>
      <c r="H174" s="78"/>
    </row>
    <row r="175" spans="2:8">
      <c r="B175" s="77">
        <v>58</v>
      </c>
      <c r="C175" s="105">
        <f t="shared" si="6"/>
        <v>11615.22101021317</v>
      </c>
      <c r="D175" s="81"/>
      <c r="E175" s="80"/>
      <c r="F175" s="80"/>
      <c r="G175" s="80"/>
      <c r="H175" s="78"/>
    </row>
    <row r="176" spans="2:8">
      <c r="B176" s="77">
        <v>59</v>
      </c>
      <c r="C176" s="105">
        <f t="shared" si="6"/>
        <v>11615.22101021317</v>
      </c>
      <c r="D176" s="81"/>
      <c r="E176" s="80"/>
      <c r="F176" s="80"/>
      <c r="G176" s="80"/>
      <c r="H176" s="78"/>
    </row>
    <row r="177" spans="2:8">
      <c r="B177" s="77">
        <v>60</v>
      </c>
      <c r="C177" s="105">
        <f>($H$106+$G$48)/12+E66+H107</f>
        <v>1480420.8129411377</v>
      </c>
      <c r="D177" s="81"/>
      <c r="E177" s="80"/>
      <c r="F177" s="80"/>
      <c r="G177" s="80"/>
      <c r="H177" s="78"/>
    </row>
    <row r="178" spans="2:8" ht="13.5" thickBot="1">
      <c r="B178" s="12"/>
      <c r="C178" s="18"/>
      <c r="D178" s="14"/>
      <c r="E178" s="14"/>
      <c r="F178" s="14"/>
      <c r="G178" s="14"/>
      <c r="H178" s="18"/>
    </row>
    <row r="179" spans="2:8" ht="13.5" thickBot="1">
      <c r="B179" s="60" t="s">
        <v>81</v>
      </c>
      <c r="C179" s="60">
        <f>IRR(C117:C177,0.1/12)*12</f>
        <v>4.9999999999999822E-2</v>
      </c>
      <c r="D179" s="21"/>
      <c r="E179" s="21"/>
      <c r="F179" s="21"/>
      <c r="G179" s="21"/>
      <c r="H179" s="22"/>
    </row>
  </sheetData>
  <mergeCells count="13">
    <mergeCell ref="B114:C114"/>
    <mergeCell ref="B35:G35"/>
    <mergeCell ref="B42:G42"/>
    <mergeCell ref="B61:E61"/>
    <mergeCell ref="B83:H83"/>
    <mergeCell ref="B94:H94"/>
    <mergeCell ref="B104:H104"/>
    <mergeCell ref="B2:H2"/>
    <mergeCell ref="B3:H3"/>
    <mergeCell ref="B5:H5"/>
    <mergeCell ref="B6:H6"/>
    <mergeCell ref="B7:H7"/>
    <mergeCell ref="B10:G10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ACDD-BB7D-49FD-941A-D242D60CF5B6}">
  <dimension ref="A1:E60"/>
  <sheetViews>
    <sheetView zoomScale="140" zoomScaleNormal="140" workbookViewId="0">
      <selection activeCell="A2" sqref="A2"/>
    </sheetView>
  </sheetViews>
  <sheetFormatPr defaultRowHeight="12.75"/>
  <cols>
    <col min="1" max="1" width="4.42578125" customWidth="1"/>
    <col min="2" max="2" width="22.28515625" customWidth="1"/>
    <col min="3" max="3" width="14.85546875" customWidth="1"/>
    <col min="4" max="4" width="11.85546875" customWidth="1"/>
  </cols>
  <sheetData>
    <row r="1" spans="1:5">
      <c r="A1" s="89" t="s">
        <v>156</v>
      </c>
    </row>
    <row r="2" spans="1:5">
      <c r="A2" s="89"/>
    </row>
    <row r="3" spans="1:5">
      <c r="A3" s="89" t="s">
        <v>113</v>
      </c>
      <c r="B3" t="s">
        <v>137</v>
      </c>
    </row>
    <row r="4" spans="1:5">
      <c r="A4" s="87" t="s">
        <v>134</v>
      </c>
    </row>
    <row r="5" spans="1:5">
      <c r="B5" t="s">
        <v>83</v>
      </c>
      <c r="C5" s="85">
        <f>'P12-1a (2) (17e)'!C30</f>
        <v>1760000</v>
      </c>
    </row>
    <row r="6" spans="1:5">
      <c r="B6" t="s">
        <v>84</v>
      </c>
      <c r="C6" s="86">
        <f>'P12-1a (17e)'!C30</f>
        <v>1540000</v>
      </c>
    </row>
    <row r="7" spans="1:5">
      <c r="B7" t="s">
        <v>85</v>
      </c>
      <c r="C7" s="85">
        <f>C5-C6</f>
        <v>220000</v>
      </c>
    </row>
    <row r="9" spans="1:5">
      <c r="B9" t="s">
        <v>86</v>
      </c>
      <c r="C9" s="85">
        <f>'P12-1a (2) (17e)'!C31/12</f>
        <v>11615.22101021317</v>
      </c>
      <c r="D9">
        <f>5*12</f>
        <v>60</v>
      </c>
      <c r="E9" t="s">
        <v>93</v>
      </c>
    </row>
    <row r="10" spans="1:5">
      <c r="B10" t="s">
        <v>87</v>
      </c>
      <c r="C10" s="86">
        <f>'P12-1a (17e)'!C31/12</f>
        <v>9332.0970712110466</v>
      </c>
    </row>
    <row r="11" spans="1:5">
      <c r="B11" t="s">
        <v>88</v>
      </c>
      <c r="C11" s="85">
        <f>C9-C10</f>
        <v>2283.1239390021237</v>
      </c>
    </row>
    <row r="13" spans="1:5">
      <c r="B13" t="s">
        <v>89</v>
      </c>
      <c r="C13" s="85">
        <f>'P12-1a (2) (17e)'!G38</f>
        <v>1468805.5919309244</v>
      </c>
    </row>
    <row r="14" spans="1:5">
      <c r="B14" t="s">
        <v>84</v>
      </c>
      <c r="C14" s="86">
        <f>'P12-1a (17e)'!G38</f>
        <v>1261626.2545484076</v>
      </c>
    </row>
    <row r="15" spans="1:5">
      <c r="B15" t="s">
        <v>90</v>
      </c>
      <c r="C15" s="85">
        <f>C13-C14</f>
        <v>207179.33738251682</v>
      </c>
    </row>
    <row r="18" spans="1:4">
      <c r="B18" s="87" t="s">
        <v>91</v>
      </c>
    </row>
    <row r="20" spans="1:4">
      <c r="B20" s="87" t="s">
        <v>92</v>
      </c>
      <c r="C20" s="88">
        <f>RATE(D9,C11,-C7,C15)</f>
        <v>9.6563670749303769E-3</v>
      </c>
      <c r="D20" t="s">
        <v>94</v>
      </c>
    </row>
    <row r="21" spans="1:4">
      <c r="B21" t="s">
        <v>95</v>
      </c>
      <c r="C21" s="92">
        <f>C20*12</f>
        <v>0.11587640489916452</v>
      </c>
    </row>
    <row r="23" spans="1:4">
      <c r="B23" s="87" t="s">
        <v>96</v>
      </c>
    </row>
    <row r="24" spans="1:4">
      <c r="B24" t="s">
        <v>99</v>
      </c>
      <c r="C24">
        <f>D9</f>
        <v>60</v>
      </c>
    </row>
    <row r="25" spans="1:4">
      <c r="B25" t="s">
        <v>97</v>
      </c>
      <c r="C25" s="85">
        <f>-C7</f>
        <v>-220000</v>
      </c>
    </row>
    <row r="26" spans="1:4">
      <c r="B26" t="s">
        <v>98</v>
      </c>
      <c r="C26" s="85">
        <f>C11</f>
        <v>2283.1239390021237</v>
      </c>
    </row>
    <row r="27" spans="1:4">
      <c r="B27" t="s">
        <v>100</v>
      </c>
      <c r="C27" s="85">
        <f>C15</f>
        <v>207179.33738251682</v>
      </c>
    </row>
    <row r="29" spans="1:4">
      <c r="B29" t="s">
        <v>101</v>
      </c>
      <c r="C29" s="100">
        <v>1.4851399999999999</v>
      </c>
      <c r="D29" t="s">
        <v>103</v>
      </c>
    </row>
    <row r="30" spans="1:4">
      <c r="B30" t="s">
        <v>102</v>
      </c>
      <c r="C30" s="92">
        <f>C29*12/100</f>
        <v>0.17821680000000001</v>
      </c>
    </row>
    <row r="32" spans="1:4">
      <c r="A32" s="87" t="s">
        <v>152</v>
      </c>
    </row>
    <row r="34" spans="1:4">
      <c r="B34" t="s">
        <v>104</v>
      </c>
      <c r="C34" s="85">
        <f>C11</f>
        <v>2283.1239390021237</v>
      </c>
    </row>
    <row r="35" spans="1:4">
      <c r="B35" t="s">
        <v>105</v>
      </c>
      <c r="C35" s="90">
        <f>C34*12</f>
        <v>27397.487268025485</v>
      </c>
      <c r="D35" s="91" t="s">
        <v>107</v>
      </c>
    </row>
    <row r="37" spans="1:4">
      <c r="B37" t="s">
        <v>106</v>
      </c>
      <c r="C37" s="85">
        <f>C7</f>
        <v>220000</v>
      </c>
      <c r="D37" s="91" t="s">
        <v>108</v>
      </c>
    </row>
    <row r="39" spans="1:4">
      <c r="B39" t="s">
        <v>109</v>
      </c>
      <c r="C39" s="92">
        <f>C35/C37</f>
        <v>0.12453403303647947</v>
      </c>
      <c r="D39" s="91" t="s">
        <v>110</v>
      </c>
    </row>
    <row r="42" spans="1:4">
      <c r="A42" s="87" t="s">
        <v>111</v>
      </c>
    </row>
    <row r="52" spans="1:5">
      <c r="A52" s="89" t="s">
        <v>112</v>
      </c>
      <c r="D52" s="150" t="s">
        <v>121</v>
      </c>
      <c r="E52" s="150"/>
    </row>
    <row r="53" spans="1:5">
      <c r="B53" t="s">
        <v>118</v>
      </c>
      <c r="C53" s="103">
        <v>0</v>
      </c>
      <c r="D53" s="103">
        <v>0.7</v>
      </c>
      <c r="E53" s="103">
        <v>0.8</v>
      </c>
    </row>
    <row r="55" spans="1:5">
      <c r="B55" t="s">
        <v>119</v>
      </c>
      <c r="C55" s="88">
        <f>'P12-1a (17e)'!$C$98</f>
        <v>8.8181818181818139E-2</v>
      </c>
      <c r="D55" s="88">
        <f>'P12-1a (17e)'!$C$98</f>
        <v>8.8181818181818139E-2</v>
      </c>
      <c r="E55" s="88">
        <f>'P12-1a (17e)'!$C$98</f>
        <v>8.8181818181818139E-2</v>
      </c>
    </row>
    <row r="56" spans="1:5">
      <c r="B56" t="s">
        <v>120</v>
      </c>
      <c r="C56" s="104" t="s">
        <v>122</v>
      </c>
      <c r="D56" s="88">
        <f>'P12-1a (17e)'!C87</f>
        <v>0.17409581918475658</v>
      </c>
      <c r="E56" s="88">
        <f>'P12-1a (2) (17e)'!C86</f>
        <v>0.19576209281278856</v>
      </c>
    </row>
    <row r="57" spans="1:5">
      <c r="B57" s="114" t="s">
        <v>141</v>
      </c>
      <c r="C57" s="115" t="s">
        <v>122</v>
      </c>
      <c r="D57" s="116">
        <f>'P12-1a (17e)'!C91</f>
        <v>0.13098194350785386</v>
      </c>
      <c r="E57" s="116">
        <f>'P12-1a (2) (17e)'!C90</f>
        <v>0.16488517641944367</v>
      </c>
    </row>
    <row r="58" spans="1:5">
      <c r="B58" t="s">
        <v>129</v>
      </c>
      <c r="C58" s="90">
        <v>2200000</v>
      </c>
      <c r="D58" s="90">
        <v>660000</v>
      </c>
      <c r="E58" s="90">
        <v>440000</v>
      </c>
    </row>
    <row r="59" spans="1:5">
      <c r="B59" t="s">
        <v>135</v>
      </c>
      <c r="C59" s="109" t="s">
        <v>122</v>
      </c>
      <c r="D59" s="113">
        <f>'P12-1a (17e)'!C59</f>
        <v>1.3394631350933695</v>
      </c>
      <c r="E59" s="113">
        <f>'P12-1a (2) (17e)'!C59</f>
        <v>1.076174098539223</v>
      </c>
    </row>
    <row r="60" spans="1:5">
      <c r="B60" t="s">
        <v>130</v>
      </c>
      <c r="C60" s="104" t="s">
        <v>133</v>
      </c>
      <c r="D60" t="s">
        <v>131</v>
      </c>
      <c r="E60" t="s">
        <v>132</v>
      </c>
    </row>
  </sheetData>
  <mergeCells count="1">
    <mergeCell ref="D52:E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P12-1a</vt:lpstr>
      <vt:lpstr>P12-1a (2)</vt:lpstr>
      <vt:lpstr>P12-1cd</vt:lpstr>
      <vt:lpstr>P12-1a (17e)</vt:lpstr>
      <vt:lpstr>P12-1a (2) (17e)</vt:lpstr>
      <vt:lpstr>P12-1cd (17e)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DeCourcy, George</cp:lastModifiedBy>
  <dcterms:created xsi:type="dcterms:W3CDTF">2011-06-24T21:08:58Z</dcterms:created>
  <dcterms:modified xsi:type="dcterms:W3CDTF">2021-04-26T20:25:13Z</dcterms:modified>
</cp:coreProperties>
</file>