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E:\FIN6322 -20F-Online\Core Files\"/>
    </mc:Choice>
  </mc:AlternateContent>
  <xr:revisionPtr revIDLastSave="0" documentId="13_ncr:1_{7D1F74E1-5EAB-4179-B049-FD2E9FCD7D2B}" xr6:coauthVersionLast="45" xr6:coauthVersionMax="45" xr10:uidLastSave="{00000000-0000-0000-0000-000000000000}"/>
  <bookViews>
    <workbookView xWindow="-120" yWindow="-120" windowWidth="25440" windowHeight="15990" xr2:uid="{00000000-000D-0000-FFFF-FFFF00000000}"/>
  </bookViews>
  <sheets>
    <sheet name="Unlveveraged (no tax)" sheetId="2" r:id="rId1"/>
    <sheet name="Leveraged (no tax)" sheetId="1" r:id="rId2"/>
    <sheet name="Leveraged with tax" sheetId="3" r:id="rId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1" i="3" l="1"/>
  <c r="C20" i="3"/>
  <c r="C19" i="3"/>
  <c r="C18" i="3"/>
  <c r="C16" i="3"/>
  <c r="C15" i="3"/>
  <c r="C14" i="3"/>
  <c r="C13" i="3"/>
  <c r="C12" i="3"/>
  <c r="C11" i="3"/>
  <c r="C10" i="3"/>
  <c r="C9" i="3"/>
  <c r="C3" i="3"/>
  <c r="C10" i="1"/>
  <c r="C17" i="1"/>
  <c r="C11" i="1"/>
  <c r="C9" i="1"/>
  <c r="C7" i="1"/>
  <c r="C6" i="1"/>
  <c r="C5" i="1"/>
  <c r="C4" i="1"/>
  <c r="C3" i="1"/>
  <c r="C8" i="1"/>
  <c r="C20" i="2" l="1"/>
  <c r="E34" i="3"/>
  <c r="F34" i="3"/>
  <c r="G34" i="3"/>
  <c r="H34" i="3"/>
  <c r="I34" i="3"/>
  <c r="D34" i="3"/>
  <c r="E26" i="1"/>
  <c r="F26" i="1"/>
  <c r="G26" i="1"/>
  <c r="H26" i="1"/>
  <c r="I26" i="1"/>
  <c r="D26" i="1"/>
  <c r="D28" i="1" s="1"/>
  <c r="G26" i="2"/>
  <c r="H26" i="2"/>
  <c r="I26" i="2"/>
  <c r="F26" i="2"/>
  <c r="E26" i="2"/>
  <c r="D26" i="2"/>
  <c r="Q77" i="3"/>
  <c r="Q74" i="3"/>
  <c r="Q67" i="3"/>
  <c r="Q61" i="3"/>
  <c r="E47" i="3"/>
  <c r="F47" i="3"/>
  <c r="G47" i="3"/>
  <c r="H47" i="3"/>
  <c r="D47" i="3"/>
  <c r="D18" i="3"/>
  <c r="D13" i="1"/>
  <c r="E49" i="3"/>
  <c r="F49" i="3"/>
  <c r="G49" i="3"/>
  <c r="H49" i="3"/>
  <c r="D49" i="3"/>
  <c r="C5" i="3"/>
  <c r="C7" i="3" s="1"/>
  <c r="C4" i="3"/>
  <c r="C24" i="3"/>
  <c r="E90" i="3" s="1"/>
  <c r="F89" i="3" s="1"/>
  <c r="D89" i="3"/>
  <c r="H69" i="3"/>
  <c r="G69" i="3"/>
  <c r="F69" i="3"/>
  <c r="E69" i="3"/>
  <c r="D69" i="3"/>
  <c r="H61" i="3"/>
  <c r="C26" i="3"/>
  <c r="C80" i="3" s="1"/>
  <c r="H43" i="2"/>
  <c r="G43" i="2"/>
  <c r="F43" i="2"/>
  <c r="E43" i="2"/>
  <c r="D43" i="2"/>
  <c r="H39" i="2"/>
  <c r="H35" i="2"/>
  <c r="H40" i="2" s="1"/>
  <c r="G35" i="2"/>
  <c r="F35" i="2"/>
  <c r="E35" i="2"/>
  <c r="D35" i="2"/>
  <c r="C54" i="2"/>
  <c r="C20" i="1"/>
  <c r="C52" i="1" s="1"/>
  <c r="E35" i="1"/>
  <c r="F35" i="1"/>
  <c r="G35" i="1"/>
  <c r="H35" i="1"/>
  <c r="H41" i="1" s="1"/>
  <c r="D35" i="1"/>
  <c r="H40" i="1"/>
  <c r="E46" i="1"/>
  <c r="F46" i="1"/>
  <c r="G46" i="1"/>
  <c r="H46" i="1"/>
  <c r="D46" i="1"/>
  <c r="Q68" i="3" l="1"/>
  <c r="R69" i="3" s="1"/>
  <c r="C57" i="1"/>
  <c r="E46" i="3"/>
  <c r="G46" i="3"/>
  <c r="D46" i="3"/>
  <c r="F46" i="3"/>
  <c r="H46" i="3"/>
  <c r="H54" i="3"/>
  <c r="F54" i="3"/>
  <c r="D92" i="3"/>
  <c r="G92" i="3"/>
  <c r="E92" i="3"/>
  <c r="H90" i="3"/>
  <c r="F90" i="3"/>
  <c r="G89" i="3" s="1"/>
  <c r="H64" i="3"/>
  <c r="D54" i="3"/>
  <c r="G54" i="3"/>
  <c r="E54" i="3"/>
  <c r="H92" i="3"/>
  <c r="F92" i="3"/>
  <c r="D90" i="3"/>
  <c r="E89" i="3" s="1"/>
  <c r="E91" i="3" s="1"/>
  <c r="G90" i="3"/>
  <c r="H89" i="3" s="1"/>
  <c r="E36" i="3"/>
  <c r="E37" i="3" s="1"/>
  <c r="D36" i="3"/>
  <c r="D37" i="3" s="1"/>
  <c r="C75" i="3"/>
  <c r="E28" i="2"/>
  <c r="E29" i="2" s="1"/>
  <c r="D28" i="2"/>
  <c r="D29" i="2" s="1"/>
  <c r="C49" i="2"/>
  <c r="C67" i="2" s="1"/>
  <c r="D29" i="1"/>
  <c r="E93" i="3" l="1"/>
  <c r="E45" i="3" s="1"/>
  <c r="H91" i="3"/>
  <c r="H93" i="3" s="1"/>
  <c r="H45" i="3" s="1"/>
  <c r="Q73" i="3"/>
  <c r="R75" i="3" s="1"/>
  <c r="Q63" i="3"/>
  <c r="F91" i="3"/>
  <c r="F93" i="3" s="1"/>
  <c r="F45" i="3" s="1"/>
  <c r="H62" i="3"/>
  <c r="D91" i="3"/>
  <c r="D93" i="3" s="1"/>
  <c r="D45" i="3" s="1"/>
  <c r="G91" i="3"/>
  <c r="G93" i="3" s="1"/>
  <c r="G45" i="3" s="1"/>
  <c r="D40" i="3"/>
  <c r="D39" i="3"/>
  <c r="D41" i="3" s="1"/>
  <c r="F36" i="3"/>
  <c r="F37" i="3" s="1"/>
  <c r="E40" i="3"/>
  <c r="E44" i="3" s="1"/>
  <c r="E39" i="3"/>
  <c r="D32" i="2"/>
  <c r="D31" i="2"/>
  <c r="E32" i="2"/>
  <c r="E31" i="2"/>
  <c r="F28" i="2"/>
  <c r="F29" i="2" s="1"/>
  <c r="E28" i="1"/>
  <c r="E29" i="1" s="1"/>
  <c r="D32" i="1"/>
  <c r="D31" i="1"/>
  <c r="E41" i="3" l="1"/>
  <c r="E48" i="3" s="1"/>
  <c r="E50" i="3" s="1"/>
  <c r="E56" i="3" s="1"/>
  <c r="D44" i="3"/>
  <c r="D48" i="3" s="1"/>
  <c r="D50" i="3" s="1"/>
  <c r="D56" i="3" s="1"/>
  <c r="D33" i="2"/>
  <c r="E33" i="2"/>
  <c r="E36" i="2" s="1"/>
  <c r="E41" i="2" s="1"/>
  <c r="E54" i="2" s="1"/>
  <c r="D53" i="3"/>
  <c r="D55" i="3" s="1"/>
  <c r="F40" i="3"/>
  <c r="F44" i="3" s="1"/>
  <c r="F39" i="3"/>
  <c r="G36" i="3"/>
  <c r="G37" i="3" s="1"/>
  <c r="F32" i="2"/>
  <c r="F31" i="2"/>
  <c r="G28" i="2"/>
  <c r="G29" i="2" s="1"/>
  <c r="D33" i="1"/>
  <c r="E31" i="1"/>
  <c r="E32" i="1"/>
  <c r="F28" i="1"/>
  <c r="F29" i="1" s="1"/>
  <c r="D36" i="2" l="1"/>
  <c r="D41" i="2" s="1"/>
  <c r="D44" i="2" s="1"/>
  <c r="C66" i="2"/>
  <c r="E67" i="2" s="1"/>
  <c r="E53" i="3"/>
  <c r="E55" i="3" s="1"/>
  <c r="E57" i="3" s="1"/>
  <c r="E67" i="3" s="1"/>
  <c r="D54" i="2"/>
  <c r="D36" i="1"/>
  <c r="D44" i="1" s="1"/>
  <c r="D37" i="1"/>
  <c r="F41" i="3"/>
  <c r="F48" i="3" s="1"/>
  <c r="F50" i="3" s="1"/>
  <c r="F56" i="3" s="1"/>
  <c r="D57" i="3"/>
  <c r="E44" i="2"/>
  <c r="F33" i="2"/>
  <c r="F36" i="2" s="1"/>
  <c r="F41" i="2" s="1"/>
  <c r="F54" i="2" s="1"/>
  <c r="F53" i="3"/>
  <c r="F55" i="3" s="1"/>
  <c r="H36" i="3"/>
  <c r="H37" i="3" s="1"/>
  <c r="G40" i="3"/>
  <c r="G39" i="3"/>
  <c r="H28" i="2"/>
  <c r="H29" i="2" s="1"/>
  <c r="G32" i="2"/>
  <c r="G31" i="2"/>
  <c r="E33" i="1"/>
  <c r="F31" i="1"/>
  <c r="F32" i="1"/>
  <c r="I28" i="1"/>
  <c r="I29" i="1" s="1"/>
  <c r="G28" i="1"/>
  <c r="G29" i="1" s="1"/>
  <c r="D57" i="1" l="1"/>
  <c r="D47" i="1"/>
  <c r="E36" i="1"/>
  <c r="E44" i="1" s="1"/>
  <c r="E37" i="1"/>
  <c r="G44" i="3"/>
  <c r="D67" i="3"/>
  <c r="F44" i="2"/>
  <c r="G33" i="2"/>
  <c r="G36" i="2" s="1"/>
  <c r="G41" i="2" s="1"/>
  <c r="G44" i="2" s="1"/>
  <c r="E70" i="3"/>
  <c r="E80" i="3"/>
  <c r="F57" i="3"/>
  <c r="F67" i="3" s="1"/>
  <c r="G41" i="3"/>
  <c r="H40" i="3"/>
  <c r="H44" i="3" s="1"/>
  <c r="H39" i="3"/>
  <c r="I36" i="3"/>
  <c r="I37" i="3" s="1"/>
  <c r="H32" i="2"/>
  <c r="H31" i="2"/>
  <c r="I28" i="2"/>
  <c r="I29" i="2" s="1"/>
  <c r="F33" i="1"/>
  <c r="I31" i="1"/>
  <c r="I32" i="1"/>
  <c r="G31" i="1"/>
  <c r="G32" i="1"/>
  <c r="H28" i="1"/>
  <c r="H29" i="1" s="1"/>
  <c r="D70" i="3" l="1"/>
  <c r="G54" i="2"/>
  <c r="F36" i="1"/>
  <c r="F44" i="1" s="1"/>
  <c r="F37" i="1"/>
  <c r="Q62" i="3"/>
  <c r="R64" i="3" s="1"/>
  <c r="D80" i="3"/>
  <c r="H33" i="2"/>
  <c r="H36" i="2" s="1"/>
  <c r="G53" i="3"/>
  <c r="G55" i="3" s="1"/>
  <c r="G48" i="3"/>
  <c r="G50" i="3" s="1"/>
  <c r="G56" i="3" s="1"/>
  <c r="F80" i="3"/>
  <c r="F70" i="3"/>
  <c r="H41" i="3"/>
  <c r="I40" i="3"/>
  <c r="I39" i="3"/>
  <c r="I32" i="2"/>
  <c r="I31" i="2"/>
  <c r="G33" i="1"/>
  <c r="I33" i="1"/>
  <c r="H39" i="1" s="1"/>
  <c r="H31" i="1"/>
  <c r="H32" i="1"/>
  <c r="I40" i="1" l="1"/>
  <c r="H42" i="1"/>
  <c r="F57" i="1"/>
  <c r="E57" i="1"/>
  <c r="E47" i="1"/>
  <c r="G36" i="1"/>
  <c r="G44" i="1" s="1"/>
  <c r="G37" i="1"/>
  <c r="I33" i="2"/>
  <c r="H38" i="2" s="1"/>
  <c r="I39" i="2" s="1"/>
  <c r="H53" i="3"/>
  <c r="H55" i="3" s="1"/>
  <c r="H48" i="3"/>
  <c r="H50" i="3" s="1"/>
  <c r="H56" i="3" s="1"/>
  <c r="G57" i="3"/>
  <c r="G67" i="3" s="1"/>
  <c r="I41" i="3"/>
  <c r="H60" i="3" s="1"/>
  <c r="I61" i="3" s="1"/>
  <c r="H33" i="1"/>
  <c r="F47" i="1" l="1"/>
  <c r="H36" i="1"/>
  <c r="H44" i="1" s="1"/>
  <c r="H37" i="1"/>
  <c r="H63" i="3"/>
  <c r="H65" i="3" s="1"/>
  <c r="R59" i="3"/>
  <c r="R65" i="3" s="1"/>
  <c r="R70" i="3" s="1"/>
  <c r="Q76" i="3" s="1"/>
  <c r="R78" i="3" s="1"/>
  <c r="R79" i="3" s="1"/>
  <c r="H41" i="2"/>
  <c r="H57" i="3"/>
  <c r="G80" i="3"/>
  <c r="G70" i="3"/>
  <c r="C49" i="1" l="1"/>
  <c r="H54" i="2"/>
  <c r="C56" i="2" s="1"/>
  <c r="C46" i="2"/>
  <c r="I63" i="3"/>
  <c r="H44" i="2"/>
  <c r="C45" i="2" s="1"/>
  <c r="C50" i="2" s="1"/>
  <c r="G57" i="1"/>
  <c r="G47" i="1"/>
  <c r="H67" i="3"/>
  <c r="C72" i="3" s="1"/>
  <c r="C61" i="2"/>
  <c r="H80" i="3" l="1"/>
  <c r="C81" i="3" s="1"/>
  <c r="H70" i="3"/>
  <c r="C71" i="3" s="1"/>
  <c r="C76" i="3" s="1"/>
  <c r="H57" i="1"/>
  <c r="H47" i="1"/>
  <c r="C48" i="1" s="1"/>
  <c r="C53" i="1" s="1"/>
  <c r="C86" i="3"/>
  <c r="C59" i="1" l="1"/>
  <c r="C6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DeCourcy</author>
  </authors>
  <commentList>
    <comment ref="B2" authorId="0" shapeId="0" xr:uid="{00000000-0006-0000-0000-000001000000}">
      <text>
        <r>
          <rPr>
            <b/>
            <sz val="9"/>
            <color indexed="81"/>
            <rFont val="Tahoma"/>
            <family val="2"/>
          </rPr>
          <t>George DeCourcy:</t>
        </r>
        <r>
          <rPr>
            <sz val="9"/>
            <color indexed="81"/>
            <rFont val="Tahoma"/>
            <family val="2"/>
          </rPr>
          <t xml:space="preserve">
This is a simplified version of the proforma. It has no "points" on the mortgage and no capital improvements (CAPEX) though the model is set up to handle them.  These items tend to make the tax analysis considerably more complex.
</t>
        </r>
      </text>
    </comment>
    <comment ref="C8" authorId="0" shapeId="0" xr:uid="{00000000-0006-0000-0000-000002000000}">
      <text>
        <r>
          <rPr>
            <b/>
            <sz val="9"/>
            <color indexed="81"/>
            <rFont val="Tahoma"/>
            <family val="2"/>
          </rPr>
          <t>George DeCourcy:</t>
        </r>
        <r>
          <rPr>
            <sz val="9"/>
            <color indexed="81"/>
            <rFont val="Tahoma"/>
            <family val="2"/>
          </rPr>
          <t xml:space="preserve">
Capex has been eliminated from this simplified version.</t>
        </r>
      </text>
    </comment>
    <comment ref="I39" authorId="0" shapeId="0" xr:uid="{00000000-0006-0000-0000-000003000000}">
      <text>
        <r>
          <rPr>
            <b/>
            <sz val="9"/>
            <color indexed="81"/>
            <rFont val="Tahoma"/>
            <family val="2"/>
          </rPr>
          <t>George DeCourcy:</t>
        </r>
        <r>
          <rPr>
            <sz val="9"/>
            <color indexed="81"/>
            <rFont val="Tahoma"/>
            <family val="2"/>
          </rPr>
          <t xml:space="preserve">
Net Sales Proceeds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George DeCourcy</author>
  </authors>
  <commentList>
    <comment ref="C8" authorId="0" shapeId="0" xr:uid="{00000000-0006-0000-0100-000001000000}">
      <text>
        <r>
          <rPr>
            <b/>
            <sz val="9"/>
            <color indexed="81"/>
            <rFont val="Tahoma"/>
            <family val="2"/>
          </rPr>
          <t xml:space="preserve">George DeCourcy
</t>
        </r>
        <r>
          <rPr>
            <sz val="9"/>
            <color indexed="81"/>
            <rFont val="Tahoma"/>
            <family val="2"/>
          </rPr>
          <t>If this is 0%, it is meant to simplify model for illustration purposes.</t>
        </r>
      </text>
    </comment>
    <comment ref="C16" authorId="0" shapeId="0" xr:uid="{00000000-0006-0000-0100-000002000000}">
      <text>
        <r>
          <rPr>
            <b/>
            <sz val="9"/>
            <color indexed="81"/>
            <rFont val="Tahoma"/>
            <family val="2"/>
          </rPr>
          <t>George DeCourcy:</t>
        </r>
        <r>
          <rPr>
            <sz val="9"/>
            <color indexed="81"/>
            <rFont val="Tahoma"/>
            <family val="2"/>
          </rPr>
          <t xml:space="preserve">
Points have been eliminated from this simplified version.
</t>
        </r>
      </text>
    </comment>
    <comment ref="H41" authorId="0" shapeId="0" xr:uid="{00000000-0006-0000-0100-000003000000}">
      <text>
        <r>
          <rPr>
            <b/>
            <sz val="9"/>
            <color indexed="81"/>
            <rFont val="Tahoma"/>
            <family val="2"/>
          </rPr>
          <t>George DeCourcy:</t>
        </r>
        <r>
          <rPr>
            <sz val="9"/>
            <color indexed="81"/>
            <rFont val="Tahoma"/>
            <family val="2"/>
          </rPr>
          <t xml:space="preserve">
This calculation is important and can be done in different ways.  Here I have taken the PV of all "future" payments on this loan which will be extinguished if we pay the loan off.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George</author>
  </authors>
  <commentList>
    <comment ref="H62" authorId="0" shapeId="0" xr:uid="{00000000-0006-0000-0200-000001000000}">
      <text>
        <r>
          <rPr>
            <b/>
            <sz val="9"/>
            <color indexed="81"/>
            <rFont val="Tahoma"/>
            <family val="2"/>
          </rPr>
          <t>George:</t>
        </r>
        <r>
          <rPr>
            <sz val="9"/>
            <color indexed="81"/>
            <rFont val="Tahoma"/>
            <family val="2"/>
          </rPr>
          <t xml:space="preserve">
For any gain on sale, you first must "recapture" previously claimed depreciation at a special tax rate. This formula and one below only work if there is sufficient tax gain.</t>
        </r>
      </text>
    </comment>
    <comment ref="H63" authorId="0" shapeId="0" xr:uid="{00000000-0006-0000-0200-000002000000}">
      <text>
        <r>
          <rPr>
            <b/>
            <sz val="9"/>
            <color indexed="81"/>
            <rFont val="Tahoma"/>
            <family val="2"/>
          </rPr>
          <t>George:</t>
        </r>
        <r>
          <rPr>
            <sz val="9"/>
            <color indexed="81"/>
            <rFont val="Tahoma"/>
            <family val="2"/>
          </rPr>
          <t xml:space="preserve">
After recapture of depreciation, if there is any additional gain it is taxed at Cap Gain rates. Unamortized points is considered as "extra basis" for simplicity sake - but would actually be a separate deduction.</t>
        </r>
      </text>
    </comment>
  </commentList>
</comments>
</file>

<file path=xl/sharedStrings.xml><?xml version="1.0" encoding="utf-8"?>
<sst xmlns="http://schemas.openxmlformats.org/spreadsheetml/2006/main" count="215" uniqueCount="123">
  <si>
    <t>Property NOI</t>
  </si>
  <si>
    <t>PV Factor</t>
  </si>
  <si>
    <t>PV today</t>
  </si>
  <si>
    <t>PV of each year</t>
  </si>
  <si>
    <t>YEAR</t>
  </si>
  <si>
    <t>Disc. Rate</t>
  </si>
  <si>
    <t>Acquisiton</t>
  </si>
  <si>
    <t>Potential Gross</t>
  </si>
  <si>
    <t>Rent increases</t>
  </si>
  <si>
    <t>Vacancy &amp; Collection</t>
  </si>
  <si>
    <t>Operating Expenses</t>
  </si>
  <si>
    <t>of EGI</t>
  </si>
  <si>
    <t>Capital Expenditures</t>
  </si>
  <si>
    <t>Going out cap rate</t>
  </si>
  <si>
    <t>Sell at end of Year</t>
  </si>
  <si>
    <t>Selling Expenses</t>
  </si>
  <si>
    <t>Mortgage Loan</t>
  </si>
  <si>
    <t>Rate on loan</t>
  </si>
  <si>
    <t xml:space="preserve">Amortized over </t>
  </si>
  <si>
    <t>years</t>
  </si>
  <si>
    <t>Up-front financial fee</t>
  </si>
  <si>
    <t>Less:</t>
  </si>
  <si>
    <t xml:space="preserve">   Vacancy &amp; Collection</t>
  </si>
  <si>
    <t>Effective Gross</t>
  </si>
  <si>
    <t xml:space="preserve">   Operating Expenses</t>
  </si>
  <si>
    <t xml:space="preserve">   CAPX (reserve)</t>
  </si>
  <si>
    <t>Debt Service pay'ts</t>
  </si>
  <si>
    <t>Equity Required</t>
  </si>
  <si>
    <t>Equity Required:</t>
  </si>
  <si>
    <t>NPV</t>
  </si>
  <si>
    <t>Cash flow</t>
  </si>
  <si>
    <t>IRR Calc.</t>
  </si>
  <si>
    <t xml:space="preserve">   Sale of Property</t>
  </si>
  <si>
    <t xml:space="preserve">   Selling Expenses</t>
  </si>
  <si>
    <t xml:space="preserve">   Mtge Payoff </t>
  </si>
  <si>
    <t>Determination of IRR using all cash flows</t>
  </si>
  <si>
    <t>Tax Calculation</t>
  </si>
  <si>
    <t>Add back CAPX</t>
  </si>
  <si>
    <t>Deduct interest</t>
  </si>
  <si>
    <t>Ending Debt</t>
  </si>
  <si>
    <t>Principal paydown</t>
  </si>
  <si>
    <t>Total debt service</t>
  </si>
  <si>
    <t>Implied interest portion</t>
  </si>
  <si>
    <t>Debt Service Pymts</t>
  </si>
  <si>
    <t>Beginning Debt Bal.</t>
  </si>
  <si>
    <t>Debt Analysis (required to separate interest &amp; principal)</t>
  </si>
  <si>
    <t>Depreciation</t>
  </si>
  <si>
    <t>Land</t>
  </si>
  <si>
    <t>Bldg</t>
  </si>
  <si>
    <t>Tax Dep'n</t>
  </si>
  <si>
    <t>Tax Life for SL Dep'n</t>
  </si>
  <si>
    <t>Amortized Fin. Pts.</t>
  </si>
  <si>
    <t>*</t>
  </si>
  <si>
    <t>Taxable Income</t>
  </si>
  <si>
    <t>Tax Rate</t>
  </si>
  <si>
    <t>Tax Liability Payable</t>
  </si>
  <si>
    <t>Cash Flow Calculation</t>
  </si>
  <si>
    <t>Property NOI (above)</t>
  </si>
  <si>
    <t>Less: Tax Payable</t>
  </si>
  <si>
    <t>After Tax CF</t>
  </si>
  <si>
    <t xml:space="preserve">   Tax due on sale: Recapture</t>
  </si>
  <si>
    <t>Tax Rate: Ordinary</t>
  </si>
  <si>
    <t>Tax Rate: Dep'n Recap</t>
  </si>
  <si>
    <t>Tax Rate: Cap Gain</t>
  </si>
  <si>
    <t xml:space="preserve">   Tax due on sale: Cap Gain</t>
  </si>
  <si>
    <t>Sale of Property</t>
  </si>
  <si>
    <t xml:space="preserve">        Net from Sale</t>
  </si>
  <si>
    <t>LTV</t>
  </si>
  <si>
    <t>Green Grass Office Building (No tax or leverage)</t>
  </si>
  <si>
    <t>&lt;-- aka "points"</t>
  </si>
  <si>
    <t>Green Grass Office Building  (With Tax &amp; Leverage)</t>
  </si>
  <si>
    <t>MIRR Calc</t>
  </si>
  <si>
    <t>Reinvest:</t>
  </si>
  <si>
    <t>Finance</t>
  </si>
  <si>
    <t>MIRR:</t>
  </si>
  <si>
    <t>Net Sales Proceeds</t>
  </si>
  <si>
    <t>after-tax "leveraged" discount rate</t>
  </si>
  <si>
    <t>Basis:</t>
  </si>
  <si>
    <t xml:space="preserve">  Original Cost</t>
  </si>
  <si>
    <t xml:space="preserve">   Add: Cap Improvements:</t>
  </si>
  <si>
    <t xml:space="preserve">   Less: Depreciation:</t>
  </si>
  <si>
    <t>Basis</t>
  </si>
  <si>
    <t>Gain</t>
  </si>
  <si>
    <t xml:space="preserve">    Adjusted for unamortized points:</t>
  </si>
  <si>
    <t>Total Points</t>
  </si>
  <si>
    <t>Less amounts deducted</t>
  </si>
  <si>
    <t>Adjusted Gain</t>
  </si>
  <si>
    <t>Tax</t>
  </si>
  <si>
    <t xml:space="preserve">   Depreciation recapture:</t>
  </si>
  <si>
    <t>@</t>
  </si>
  <si>
    <t xml:space="preserve">   True Capital Gain</t>
  </si>
  <si>
    <t>Total Tax</t>
  </si>
  <si>
    <t>Potential Gross (Yr1)</t>
  </si>
  <si>
    <t>Total Cash Flows (AT)</t>
  </si>
  <si>
    <t>Proceeds of Sale (net)</t>
  </si>
  <si>
    <t>Proof of Gain Tax Calculation</t>
  </si>
  <si>
    <t>DCR</t>
  </si>
  <si>
    <t>Total Cash Flows</t>
  </si>
  <si>
    <r>
      <t xml:space="preserve">Determination of IRR using all </t>
    </r>
    <r>
      <rPr>
        <i/>
        <u/>
        <sz val="14"/>
        <color theme="1"/>
        <rFont val="Calibri"/>
        <family val="2"/>
      </rPr>
      <t>Cash Flows to Equity</t>
    </r>
  </si>
  <si>
    <r>
      <t xml:space="preserve">Determination of IRR using all </t>
    </r>
    <r>
      <rPr>
        <i/>
        <u/>
        <sz val="14"/>
        <color theme="1"/>
        <rFont val="Calibri"/>
        <family val="2"/>
      </rPr>
      <t>After Tax Cash Flows to Equity</t>
    </r>
  </si>
  <si>
    <r>
      <t>Disc. Rate (</t>
    </r>
    <r>
      <rPr>
        <i/>
        <sz val="14"/>
        <color theme="1"/>
        <rFont val="Calibri"/>
        <family val="2"/>
      </rPr>
      <t>r)</t>
    </r>
  </si>
  <si>
    <t>PV (sum)</t>
  </si>
  <si>
    <t xml:space="preserve">  PV Factor</t>
  </si>
  <si>
    <t xml:space="preserve">  PV of each year</t>
  </si>
  <si>
    <t>or</t>
  </si>
  <si>
    <t>PV (Excel)</t>
  </si>
  <si>
    <t xml:space="preserve">PV </t>
  </si>
  <si>
    <t>Tax on Sale (See recon at right)</t>
  </si>
  <si>
    <t>percent of loan</t>
  </si>
  <si>
    <t>Simiplified version</t>
  </si>
  <si>
    <t>&lt;-- PV of future inflows</t>
  </si>
  <si>
    <t>&lt;-- PV of outflow</t>
  </si>
  <si>
    <t>Balance of unamortized financing costs, if any, allowable against taxable gain calculation.</t>
  </si>
  <si>
    <t>Monthly Payment:</t>
  </si>
  <si>
    <t>annually</t>
  </si>
  <si>
    <t>Green Grass Office Building  ("No Tax" Analysis)</t>
  </si>
  <si>
    <r>
      <t>Disc. Rate</t>
    </r>
    <r>
      <rPr>
        <i/>
        <sz val="14"/>
        <color theme="1"/>
        <rFont val="Calibri"/>
        <family val="2"/>
        <scheme val="minor"/>
      </rPr>
      <t xml:space="preserve"> (k)</t>
    </r>
  </si>
  <si>
    <t>Implied Cap Rate</t>
  </si>
  <si>
    <t>NOI</t>
  </si>
  <si>
    <t>Value/Price</t>
  </si>
  <si>
    <t>=</t>
  </si>
  <si>
    <t>Before Tax CF - Ops</t>
  </si>
  <si>
    <r>
      <t>Total Cash Flows (BT) -</t>
    </r>
    <r>
      <rPr>
        <i/>
        <sz val="14"/>
        <color theme="1"/>
        <rFont val="Calibri"/>
        <family val="2"/>
        <scheme val="minor"/>
      </rPr>
      <t>to Equity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</si>
</sst>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_(* #,##0_);_(* \(#,##0\);_(* &quot;-&quot;??_);_(@_)"/>
    <numFmt numFmtId="165" formatCode="_(* #,##0.0000_);_(* \(#,##0.0000\);_(* &quot;-&quot;??_);_(@_)"/>
    <numFmt numFmtId="166" formatCode="_(&quot;$&quot;* #,##0_);_(&quot;$&quot;* \(#,##0\);_(&quot;$&quot;* &quot;-&quot;??_);_(@_)"/>
    <numFmt numFmtId="167" formatCode="0.0%"/>
    <numFmt numFmtId="168" formatCode="0.000%"/>
    <numFmt numFmtId="169" formatCode="_(&quot;$&quot;* #,##0_);_(&quot;$&quot;* \(#,##0\);_(&quot;$&quot;* &quot;-&quot;?_);_(@_)"/>
  </numFmts>
  <fonts count="23" x14ac:knownFonts="1">
    <font>
      <sz val="11"/>
      <color theme="1"/>
      <name val="Calibri"/>
      <family val="2"/>
      <scheme val="minor"/>
    </font>
    <font>
      <sz val="11"/>
      <color theme="1"/>
      <name val="Calibri"/>
      <family val="2"/>
      <scheme val="minor"/>
    </font>
    <font>
      <sz val="14"/>
      <color theme="1"/>
      <name val="Calibri"/>
      <family val="2"/>
      <scheme val="minor"/>
    </font>
    <font>
      <sz val="14"/>
      <name val="Calibri"/>
      <family val="2"/>
      <scheme val="minor"/>
    </font>
    <font>
      <sz val="14"/>
      <color theme="4" tint="-0.249977111117893"/>
      <name val="Calibri"/>
      <family val="2"/>
      <scheme val="minor"/>
    </font>
    <font>
      <u/>
      <sz val="14"/>
      <color theme="1"/>
      <name val="Calibri"/>
      <family val="2"/>
      <scheme val="minor"/>
    </font>
    <font>
      <sz val="14"/>
      <color rgb="FFC00000"/>
      <name val="Calibri"/>
      <family val="2"/>
      <scheme val="minor"/>
    </font>
    <font>
      <sz val="14"/>
      <color rgb="FF0070C0"/>
      <name val="Calibri"/>
      <family val="2"/>
      <scheme val="minor"/>
    </font>
    <font>
      <b/>
      <sz val="14"/>
      <color theme="1"/>
      <name val="Calibri"/>
      <family val="2"/>
      <scheme val="minor"/>
    </font>
    <font>
      <i/>
      <sz val="14"/>
      <color theme="1"/>
      <name val="Calibri"/>
      <family val="2"/>
      <scheme val="minor"/>
    </font>
    <font>
      <i/>
      <sz val="14"/>
      <color rgb="FFC00000"/>
      <name val="Calibri"/>
      <family val="2"/>
      <scheme val="minor"/>
    </font>
    <font>
      <sz val="9"/>
      <color indexed="81"/>
      <name val="Tahoma"/>
      <family val="2"/>
    </font>
    <font>
      <b/>
      <sz val="9"/>
      <color indexed="81"/>
      <name val="Tahoma"/>
      <family val="2"/>
    </font>
    <font>
      <b/>
      <sz val="11"/>
      <color theme="1"/>
      <name val="Calibri"/>
      <family val="2"/>
      <scheme val="minor"/>
    </font>
    <font>
      <b/>
      <u/>
      <sz val="11"/>
      <color theme="1"/>
      <name val="Calibri"/>
      <family val="2"/>
      <scheme val="minor"/>
    </font>
    <font>
      <i/>
      <sz val="14"/>
      <color rgb="FF0070C0"/>
      <name val="Calibri"/>
      <family val="2"/>
      <scheme val="minor"/>
    </font>
    <font>
      <i/>
      <sz val="11"/>
      <color rgb="FF0070C0"/>
      <name val="Calibri"/>
      <family val="2"/>
      <scheme val="minor"/>
    </font>
    <font>
      <i/>
      <u/>
      <sz val="14"/>
      <color theme="1"/>
      <name val="Calibri"/>
      <family val="2"/>
    </font>
    <font>
      <i/>
      <sz val="14"/>
      <color theme="1"/>
      <name val="Calibri"/>
      <family val="2"/>
    </font>
    <font>
      <i/>
      <sz val="14"/>
      <color theme="1" tint="0.34998626667073579"/>
      <name val="Calibri"/>
      <family val="2"/>
      <scheme val="minor"/>
    </font>
    <font>
      <i/>
      <sz val="14"/>
      <color theme="1" tint="0.499984740745262"/>
      <name val="Calibri"/>
      <family val="2"/>
      <scheme val="minor"/>
    </font>
    <font>
      <u/>
      <sz val="11"/>
      <color theme="1"/>
      <name val="Calibri"/>
      <family val="2"/>
      <scheme val="minor"/>
    </font>
    <font>
      <u val="singleAccounting"/>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rgb="FFC0C0C0"/>
        <bgColor indexed="64"/>
      </patternFill>
    </fill>
    <fill>
      <patternFill patternType="solid">
        <fgColor rgb="FFFFFFCC"/>
        <bgColor indexed="64"/>
      </patternFill>
    </fill>
    <fill>
      <patternFill patternType="solid">
        <fgColor theme="4" tint="0.79998168889431442"/>
        <bgColor indexed="64"/>
      </patternFill>
    </fill>
    <fill>
      <patternFill patternType="solid">
        <fgColor theme="6" tint="0.59999389629810485"/>
        <bgColor indexed="64"/>
      </patternFill>
    </fill>
  </fills>
  <borders count="1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07">
    <xf numFmtId="0" fontId="0" fillId="0" borderId="0" xfId="0"/>
    <xf numFmtId="0" fontId="2" fillId="0" borderId="0" xfId="0" applyFont="1"/>
    <xf numFmtId="0" fontId="2" fillId="2" borderId="1" xfId="0" applyFont="1" applyFill="1" applyBorder="1"/>
    <xf numFmtId="164" fontId="2" fillId="0" borderId="0" xfId="1" applyNumberFormat="1" applyFont="1"/>
    <xf numFmtId="164" fontId="2" fillId="0" borderId="1" xfId="1" applyNumberFormat="1" applyFont="1" applyBorder="1"/>
    <xf numFmtId="165" fontId="2" fillId="0" borderId="0" xfId="1" applyNumberFormat="1" applyFont="1"/>
    <xf numFmtId="166" fontId="2" fillId="0" borderId="0" xfId="2" applyNumberFormat="1" applyFont="1"/>
    <xf numFmtId="164" fontId="2" fillId="0" borderId="0" xfId="0" applyNumberFormat="1" applyFont="1"/>
    <xf numFmtId="164" fontId="2" fillId="0" borderId="1" xfId="0" applyNumberFormat="1" applyFont="1" applyBorder="1"/>
    <xf numFmtId="164" fontId="3" fillId="3" borderId="0" xfId="1" applyNumberFormat="1" applyFont="1" applyFill="1"/>
    <xf numFmtId="164" fontId="3" fillId="3" borderId="1" xfId="0" applyNumberFormat="1" applyFont="1" applyFill="1" applyBorder="1"/>
    <xf numFmtId="164" fontId="3" fillId="3" borderId="0" xfId="0" applyNumberFormat="1" applyFont="1" applyFill="1"/>
    <xf numFmtId="164" fontId="2" fillId="0" borderId="0" xfId="1" applyNumberFormat="1" applyFont="1" applyBorder="1"/>
    <xf numFmtId="166" fontId="4" fillId="0" borderId="0" xfId="2" applyNumberFormat="1" applyFont="1"/>
    <xf numFmtId="164" fontId="4" fillId="0" borderId="0" xfId="1" applyNumberFormat="1" applyFont="1"/>
    <xf numFmtId="167" fontId="4" fillId="0" borderId="0" xfId="3" applyNumberFormat="1" applyFont="1"/>
    <xf numFmtId="0" fontId="4" fillId="0" borderId="0" xfId="0" applyFont="1"/>
    <xf numFmtId="164" fontId="2" fillId="0" borderId="3" xfId="1" applyNumberFormat="1" applyFont="1" applyBorder="1"/>
    <xf numFmtId="166" fontId="2" fillId="0" borderId="1" xfId="2" applyNumberFormat="1" applyFont="1" applyBorder="1"/>
    <xf numFmtId="166" fontId="2" fillId="0" borderId="3" xfId="2" applyNumberFormat="1" applyFont="1" applyBorder="1"/>
    <xf numFmtId="0" fontId="5" fillId="0" borderId="0" xfId="0" applyFont="1"/>
    <xf numFmtId="166" fontId="2" fillId="0" borderId="0" xfId="0" applyNumberFormat="1" applyFont="1"/>
    <xf numFmtId="164" fontId="6" fillId="0" borderId="0" xfId="1" applyNumberFormat="1" applyFont="1" applyBorder="1"/>
    <xf numFmtId="164" fontId="6" fillId="0" borderId="1" xfId="1" applyNumberFormat="1" applyFont="1" applyBorder="1"/>
    <xf numFmtId="166" fontId="6" fillId="0" borderId="2" xfId="0" applyNumberFormat="1" applyFont="1" applyBorder="1"/>
    <xf numFmtId="168" fontId="6" fillId="0" borderId="0" xfId="0" applyNumberFormat="1" applyFont="1"/>
    <xf numFmtId="166" fontId="6" fillId="0" borderId="0" xfId="2" applyNumberFormat="1" applyFont="1"/>
    <xf numFmtId="0" fontId="0" fillId="3" borderId="0" xfId="0" applyFill="1"/>
    <xf numFmtId="164" fontId="2" fillId="3" borderId="0" xfId="0" applyNumberFormat="1" applyFont="1" applyFill="1"/>
    <xf numFmtId="164" fontId="3" fillId="0" borderId="1" xfId="1" applyNumberFormat="1" applyFont="1" applyBorder="1"/>
    <xf numFmtId="164" fontId="6" fillId="0" borderId="2" xfId="1" applyNumberFormat="1" applyFont="1" applyBorder="1"/>
    <xf numFmtId="9" fontId="2" fillId="0" borderId="0" xfId="3" applyFont="1"/>
    <xf numFmtId="0" fontId="2" fillId="0" borderId="0" xfId="0" applyFont="1" applyAlignment="1">
      <alignment horizontal="right"/>
    </xf>
    <xf numFmtId="164" fontId="3" fillId="3" borderId="0" xfId="1" applyNumberFormat="1" applyFont="1" applyFill="1" applyAlignment="1">
      <alignment horizontal="left"/>
    </xf>
    <xf numFmtId="164" fontId="3" fillId="0" borderId="0" xfId="1" applyNumberFormat="1" applyFont="1" applyBorder="1"/>
    <xf numFmtId="0" fontId="8" fillId="0" borderId="0" xfId="0" applyFont="1"/>
    <xf numFmtId="0" fontId="2" fillId="4" borderId="0" xfId="0" applyFont="1" applyFill="1"/>
    <xf numFmtId="166" fontId="4" fillId="4" borderId="0" xfId="2" applyNumberFormat="1" applyFont="1" applyFill="1"/>
    <xf numFmtId="167" fontId="4" fillId="4" borderId="0" xfId="3" applyNumberFormat="1" applyFont="1" applyFill="1"/>
    <xf numFmtId="0" fontId="4" fillId="4" borderId="0" xfId="0" applyFont="1" applyFill="1"/>
    <xf numFmtId="0" fontId="9" fillId="0" borderId="0" xfId="0" applyFont="1"/>
    <xf numFmtId="0" fontId="2" fillId="0" borderId="1" xfId="0" applyFont="1" applyBorder="1"/>
    <xf numFmtId="10" fontId="6" fillId="0" borderId="0" xfId="0" applyNumberFormat="1" applyFont="1"/>
    <xf numFmtId="0" fontId="10" fillId="0" borderId="0" xfId="0" applyFont="1"/>
    <xf numFmtId="164" fontId="10" fillId="0" borderId="0" xfId="1" applyNumberFormat="1" applyFont="1"/>
    <xf numFmtId="164" fontId="10" fillId="0" borderId="0" xfId="1" applyNumberFormat="1" applyFont="1" applyBorder="1"/>
    <xf numFmtId="164" fontId="10" fillId="0" borderId="1" xfId="1" applyNumberFormat="1" applyFont="1" applyBorder="1"/>
    <xf numFmtId="9" fontId="10" fillId="0" borderId="0" xfId="3" applyFont="1"/>
    <xf numFmtId="164" fontId="0" fillId="0" borderId="0" xfId="0" applyNumberFormat="1"/>
    <xf numFmtId="166" fontId="0" fillId="0" borderId="0" xfId="0" applyNumberFormat="1"/>
    <xf numFmtId="164" fontId="0" fillId="0" borderId="1" xfId="0" applyNumberFormat="1" applyBorder="1"/>
    <xf numFmtId="166" fontId="0" fillId="0" borderId="1" xfId="0" applyNumberFormat="1" applyBorder="1"/>
    <xf numFmtId="169" fontId="0" fillId="0" borderId="0" xfId="0" applyNumberFormat="1"/>
    <xf numFmtId="169" fontId="0" fillId="0" borderId="1" xfId="0" applyNumberFormat="1" applyBorder="1"/>
    <xf numFmtId="164" fontId="0" fillId="0" borderId="3" xfId="0" applyNumberFormat="1" applyBorder="1"/>
    <xf numFmtId="9" fontId="0" fillId="0" borderId="0" xfId="0" applyNumberFormat="1"/>
    <xf numFmtId="0" fontId="13" fillId="0" borderId="0" xfId="0" applyFont="1"/>
    <xf numFmtId="0" fontId="2" fillId="5" borderId="4" xfId="0" applyFont="1" applyFill="1" applyBorder="1"/>
    <xf numFmtId="0" fontId="2" fillId="5" borderId="5" xfId="0" applyFont="1" applyFill="1" applyBorder="1"/>
    <xf numFmtId="166" fontId="4" fillId="5" borderId="5" xfId="2" applyNumberFormat="1" applyFont="1" applyFill="1" applyBorder="1"/>
    <xf numFmtId="9" fontId="2" fillId="5" borderId="5" xfId="3" applyFont="1" applyFill="1" applyBorder="1"/>
    <xf numFmtId="0" fontId="2" fillId="5" borderId="6" xfId="0" applyFont="1" applyFill="1" applyBorder="1"/>
    <xf numFmtId="0" fontId="2" fillId="5" borderId="7" xfId="0" applyFont="1" applyFill="1" applyBorder="1"/>
    <xf numFmtId="0" fontId="2" fillId="5" borderId="0" xfId="0" applyFont="1" applyFill="1" applyBorder="1"/>
    <xf numFmtId="167" fontId="4" fillId="5" borderId="0" xfId="3" applyNumberFormat="1" applyFont="1" applyFill="1" applyBorder="1"/>
    <xf numFmtId="0" fontId="2" fillId="5" borderId="8" xfId="0" applyFont="1" applyFill="1" applyBorder="1"/>
    <xf numFmtId="0" fontId="4" fillId="5" borderId="0" xfId="0" applyFont="1" applyFill="1" applyBorder="1"/>
    <xf numFmtId="0" fontId="2" fillId="5" borderId="9" xfId="0" applyFont="1" applyFill="1" applyBorder="1"/>
    <xf numFmtId="0" fontId="2" fillId="5" borderId="1" xfId="0" applyFont="1" applyFill="1" applyBorder="1"/>
    <xf numFmtId="0" fontId="2" fillId="5" borderId="10" xfId="0" applyFont="1" applyFill="1" applyBorder="1"/>
    <xf numFmtId="0" fontId="2" fillId="5" borderId="0" xfId="0" applyFont="1" applyFill="1"/>
    <xf numFmtId="9" fontId="7" fillId="5" borderId="0" xfId="3" applyFont="1" applyFill="1"/>
    <xf numFmtId="166" fontId="3" fillId="5" borderId="0" xfId="2" applyNumberFormat="1" applyFont="1" applyFill="1"/>
    <xf numFmtId="9" fontId="2" fillId="5" borderId="0" xfId="3" applyFont="1" applyFill="1"/>
    <xf numFmtId="164" fontId="7" fillId="5" borderId="0" xfId="1" applyNumberFormat="1" applyFont="1" applyFill="1"/>
    <xf numFmtId="0" fontId="14" fillId="0" borderId="0" xfId="0" applyFont="1"/>
    <xf numFmtId="164" fontId="15" fillId="0" borderId="0" xfId="1" applyNumberFormat="1" applyFont="1"/>
    <xf numFmtId="43" fontId="16" fillId="0" borderId="0" xfId="1" applyNumberFormat="1" applyFont="1" applyAlignment="1">
      <alignment horizontal="left"/>
    </xf>
    <xf numFmtId="0" fontId="0" fillId="0" borderId="0" xfId="0" applyAlignment="1">
      <alignment horizontal="right"/>
    </xf>
    <xf numFmtId="164" fontId="2" fillId="0" borderId="1" xfId="0" applyNumberFormat="1" applyFont="1" applyFill="1" applyBorder="1"/>
    <xf numFmtId="0" fontId="5" fillId="5" borderId="0" xfId="0" applyFont="1" applyFill="1"/>
    <xf numFmtId="164" fontId="2" fillId="5" borderId="0" xfId="1" applyNumberFormat="1" applyFont="1" applyFill="1"/>
    <xf numFmtId="164" fontId="3" fillId="5" borderId="1" xfId="1" applyNumberFormat="1" applyFont="1" applyFill="1" applyBorder="1"/>
    <xf numFmtId="164" fontId="2" fillId="5" borderId="0" xfId="0" applyNumberFormat="1" applyFont="1" applyFill="1"/>
    <xf numFmtId="164" fontId="2" fillId="5" borderId="1" xfId="0" applyNumberFormat="1" applyFont="1" applyFill="1" applyBorder="1"/>
    <xf numFmtId="167" fontId="4" fillId="6" borderId="2" xfId="3" applyNumberFormat="1" applyFont="1" applyFill="1" applyBorder="1"/>
    <xf numFmtId="0" fontId="6" fillId="0" borderId="0" xfId="0" applyFont="1"/>
    <xf numFmtId="164" fontId="2" fillId="5" borderId="1" xfId="1" applyNumberFormat="1" applyFont="1" applyFill="1" applyBorder="1"/>
    <xf numFmtId="166" fontId="3" fillId="0" borderId="0" xfId="2" applyNumberFormat="1" applyFont="1"/>
    <xf numFmtId="9" fontId="3" fillId="0" borderId="0" xfId="3" applyFont="1"/>
    <xf numFmtId="167" fontId="3" fillId="0" borderId="2" xfId="3" applyNumberFormat="1" applyFont="1" applyBorder="1"/>
    <xf numFmtId="0" fontId="3" fillId="0" borderId="0" xfId="0" applyFont="1"/>
    <xf numFmtId="164" fontId="3" fillId="0" borderId="0" xfId="1" applyNumberFormat="1" applyFont="1"/>
    <xf numFmtId="167" fontId="3" fillId="0" borderId="0" xfId="3" applyNumberFormat="1" applyFont="1"/>
    <xf numFmtId="166" fontId="3" fillId="0" borderId="2" xfId="0" applyNumberFormat="1" applyFont="1" applyBorder="1"/>
    <xf numFmtId="164" fontId="19" fillId="0" borderId="0" xfId="1" applyNumberFormat="1" applyFont="1" applyBorder="1"/>
    <xf numFmtId="164" fontId="20" fillId="0" borderId="0" xfId="1" applyNumberFormat="1" applyFont="1" applyBorder="1"/>
    <xf numFmtId="164" fontId="20" fillId="3" borderId="0" xfId="0" applyNumberFormat="1" applyFont="1" applyFill="1"/>
    <xf numFmtId="0" fontId="0" fillId="0" borderId="0" xfId="0" applyAlignment="1">
      <alignment horizontal="center"/>
    </xf>
    <xf numFmtId="0" fontId="21" fillId="0" borderId="0" xfId="0" applyFont="1" applyBorder="1" applyAlignment="1">
      <alignment horizontal="center"/>
    </xf>
    <xf numFmtId="164" fontId="22" fillId="0" borderId="0" xfId="0" applyNumberFormat="1" applyFont="1" applyAlignment="1">
      <alignment horizontal="center"/>
    </xf>
    <xf numFmtId="166" fontId="0" fillId="0" borderId="0" xfId="0" applyNumberFormat="1" applyAlignment="1">
      <alignment horizontal="center"/>
    </xf>
    <xf numFmtId="0" fontId="0" fillId="0" borderId="0" xfId="0" quotePrefix="1" applyAlignment="1">
      <alignment horizontal="right"/>
    </xf>
    <xf numFmtId="167" fontId="2" fillId="0" borderId="0" xfId="3" applyNumberFormat="1" applyFont="1"/>
    <xf numFmtId="167" fontId="3" fillId="6" borderId="2" xfId="3" applyNumberFormat="1" applyFont="1" applyFill="1" applyBorder="1"/>
    <xf numFmtId="10" fontId="4" fillId="7" borderId="0" xfId="3" applyNumberFormat="1" applyFont="1" applyFill="1"/>
    <xf numFmtId="167" fontId="4" fillId="7" borderId="0" xfId="3" applyNumberFormat="1" applyFont="1" applyFill="1"/>
  </cellXfs>
  <cellStyles count="4">
    <cellStyle name="Comma" xfId="1" builtinId="3"/>
    <cellStyle name="Currency" xfId="2" builtinId="4"/>
    <cellStyle name="Normal" xfId="0" builtinId="0"/>
    <cellStyle name="Percent" xfId="3" builtinId="5"/>
  </cellStyles>
  <dxfs count="0"/>
  <tableStyles count="0" defaultTableStyle="TableStyleMedium9" defaultPivotStyle="PivotStyleLight16"/>
  <colors>
    <mruColors>
      <color rgb="FFFFFFCC"/>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1028700</xdr:colOff>
      <xdr:row>37</xdr:row>
      <xdr:rowOff>19050</xdr:rowOff>
    </xdr:from>
    <xdr:to>
      <xdr:col>8</xdr:col>
      <xdr:colOff>95250</xdr:colOff>
      <xdr:row>39</xdr:row>
      <xdr:rowOff>9525</xdr:rowOff>
    </xdr:to>
    <xdr:sp macro="" textlink="">
      <xdr:nvSpPr>
        <xdr:cNvPr id="2" name="Right Brace 1">
          <a:extLst>
            <a:ext uri="{FF2B5EF4-FFF2-40B4-BE49-F238E27FC236}">
              <a16:creationId xmlns:a16="http://schemas.microsoft.com/office/drawing/2014/main" id="{00000000-0008-0000-0000-000002000000}"/>
            </a:ext>
          </a:extLst>
        </xdr:cNvPr>
        <xdr:cNvSpPr/>
      </xdr:nvSpPr>
      <xdr:spPr>
        <a:xfrm>
          <a:off x="7038975" y="8591550"/>
          <a:ext cx="133350" cy="4667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4</xdr:col>
      <xdr:colOff>95250</xdr:colOff>
      <xdr:row>12</xdr:row>
      <xdr:rowOff>0</xdr:rowOff>
    </xdr:from>
    <xdr:to>
      <xdr:col>4</xdr:col>
      <xdr:colOff>276225</xdr:colOff>
      <xdr:row>16</xdr:row>
      <xdr:rowOff>9525</xdr:rowOff>
    </xdr:to>
    <xdr:sp macro="" textlink="">
      <xdr:nvSpPr>
        <xdr:cNvPr id="3" name="Right Brace 2">
          <a:extLst>
            <a:ext uri="{FF2B5EF4-FFF2-40B4-BE49-F238E27FC236}">
              <a16:creationId xmlns:a16="http://schemas.microsoft.com/office/drawing/2014/main" id="{00000000-0008-0000-0000-000003000000}"/>
            </a:ext>
          </a:extLst>
        </xdr:cNvPr>
        <xdr:cNvSpPr/>
      </xdr:nvSpPr>
      <xdr:spPr>
        <a:xfrm>
          <a:off x="3743325" y="2857500"/>
          <a:ext cx="180975" cy="9620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4</xdr:col>
      <xdr:colOff>380999</xdr:colOff>
      <xdr:row>13</xdr:row>
      <xdr:rowOff>76200</xdr:rowOff>
    </xdr:from>
    <xdr:to>
      <xdr:col>5</xdr:col>
      <xdr:colOff>742949</xdr:colOff>
      <xdr:row>14</xdr:row>
      <xdr:rowOff>76200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4029074" y="3171825"/>
          <a:ext cx="120967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NOT  USED YET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1028700</xdr:colOff>
      <xdr:row>38</xdr:row>
      <xdr:rowOff>19050</xdr:rowOff>
    </xdr:from>
    <xdr:to>
      <xdr:col>8</xdr:col>
      <xdr:colOff>95250</xdr:colOff>
      <xdr:row>40</xdr:row>
      <xdr:rowOff>9525</xdr:rowOff>
    </xdr:to>
    <xdr:sp macro="" textlink="">
      <xdr:nvSpPr>
        <xdr:cNvPr id="2" name="Right Brace 1">
          <a:extLst>
            <a:ext uri="{FF2B5EF4-FFF2-40B4-BE49-F238E27FC236}">
              <a16:creationId xmlns:a16="http://schemas.microsoft.com/office/drawing/2014/main" id="{00000000-0008-0000-0100-000002000000}"/>
            </a:ext>
          </a:extLst>
        </xdr:cNvPr>
        <xdr:cNvSpPr/>
      </xdr:nvSpPr>
      <xdr:spPr>
        <a:xfrm>
          <a:off x="7038975" y="8591550"/>
          <a:ext cx="133350" cy="4667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1028700</xdr:colOff>
      <xdr:row>59</xdr:row>
      <xdr:rowOff>19051</xdr:rowOff>
    </xdr:from>
    <xdr:to>
      <xdr:col>8</xdr:col>
      <xdr:colOff>95250</xdr:colOff>
      <xdr:row>60</xdr:row>
      <xdr:rowOff>219076</xdr:rowOff>
    </xdr:to>
    <xdr:sp macro="" textlink="">
      <xdr:nvSpPr>
        <xdr:cNvPr id="2" name="Right Brace 1">
          <a:extLst>
            <a:ext uri="{FF2B5EF4-FFF2-40B4-BE49-F238E27FC236}">
              <a16:creationId xmlns:a16="http://schemas.microsoft.com/office/drawing/2014/main" id="{00000000-0008-0000-0200-000002000000}"/>
            </a:ext>
          </a:extLst>
        </xdr:cNvPr>
        <xdr:cNvSpPr/>
      </xdr:nvSpPr>
      <xdr:spPr>
        <a:xfrm>
          <a:off x="7305675" y="14068426"/>
          <a:ext cx="133350" cy="4381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8</xdr:col>
      <xdr:colOff>19050</xdr:colOff>
      <xdr:row>61</xdr:row>
      <xdr:rowOff>9526</xdr:rowOff>
    </xdr:from>
    <xdr:to>
      <xdr:col>8</xdr:col>
      <xdr:colOff>64769</xdr:colOff>
      <xdr:row>62</xdr:row>
      <xdr:rowOff>228601</xdr:rowOff>
    </xdr:to>
    <xdr:sp macro="" textlink="">
      <xdr:nvSpPr>
        <xdr:cNvPr id="5" name="Right Brace 4">
          <a:extLst>
            <a:ext uri="{FF2B5EF4-FFF2-40B4-BE49-F238E27FC236}">
              <a16:creationId xmlns:a16="http://schemas.microsoft.com/office/drawing/2014/main" id="{00000000-0008-0000-0200-000005000000}"/>
            </a:ext>
          </a:extLst>
        </xdr:cNvPr>
        <xdr:cNvSpPr/>
      </xdr:nvSpPr>
      <xdr:spPr>
        <a:xfrm>
          <a:off x="7362825" y="14535151"/>
          <a:ext cx="45719" cy="4572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3</xdr:col>
      <xdr:colOff>190500</xdr:colOff>
      <xdr:row>22</xdr:row>
      <xdr:rowOff>38100</xdr:rowOff>
    </xdr:from>
    <xdr:to>
      <xdr:col>3</xdr:col>
      <xdr:colOff>762000</xdr:colOff>
      <xdr:row>22</xdr:row>
      <xdr:rowOff>180975</xdr:rowOff>
    </xdr:to>
    <xdr:sp macro="" textlink="">
      <xdr:nvSpPr>
        <xdr:cNvPr id="4" name="Left Arrow 3">
          <a:extLst>
            <a:ext uri="{FF2B5EF4-FFF2-40B4-BE49-F238E27FC236}">
              <a16:creationId xmlns:a16="http://schemas.microsoft.com/office/drawing/2014/main" id="{00000000-0008-0000-0200-000004000000}"/>
            </a:ext>
          </a:extLst>
        </xdr:cNvPr>
        <xdr:cNvSpPr/>
      </xdr:nvSpPr>
      <xdr:spPr>
        <a:xfrm>
          <a:off x="2809875" y="5038725"/>
          <a:ext cx="571500" cy="1428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8</xdr:col>
      <xdr:colOff>276225</xdr:colOff>
      <xdr:row>43</xdr:row>
      <xdr:rowOff>28575</xdr:rowOff>
    </xdr:from>
    <xdr:to>
      <xdr:col>8</xdr:col>
      <xdr:colOff>628650</xdr:colOff>
      <xdr:row>50</xdr:row>
      <xdr:rowOff>38100</xdr:rowOff>
    </xdr:to>
    <xdr:sp macro="" textlink="">
      <xdr:nvSpPr>
        <xdr:cNvPr id="6" name="Right Brace 5">
          <a:extLst>
            <a:ext uri="{FF2B5EF4-FFF2-40B4-BE49-F238E27FC236}">
              <a16:creationId xmlns:a16="http://schemas.microsoft.com/office/drawing/2014/main" id="{00000000-0008-0000-0200-000006000000}"/>
            </a:ext>
          </a:extLst>
        </xdr:cNvPr>
        <xdr:cNvSpPr/>
      </xdr:nvSpPr>
      <xdr:spPr>
        <a:xfrm>
          <a:off x="7800975" y="10029825"/>
          <a:ext cx="352425" cy="1676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8</xdr:col>
      <xdr:colOff>904875</xdr:colOff>
      <xdr:row>43</xdr:row>
      <xdr:rowOff>161925</xdr:rowOff>
    </xdr:from>
    <xdr:to>
      <xdr:col>12</xdr:col>
      <xdr:colOff>85725</xdr:colOff>
      <xdr:row>49</xdr:row>
      <xdr:rowOff>57150</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8429625" y="10163175"/>
          <a:ext cx="2019300" cy="1323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This is not</a:t>
          </a:r>
          <a:r>
            <a:rPr lang="en-US" sz="1100" baseline="0"/>
            <a:t> technically part of the proforma. It is a calculation done separately to calculate the appropriate tax amount. This is then used as the proforma continues below.</a:t>
          </a:r>
          <a:endParaRPr lang="en-US" sz="1100"/>
        </a:p>
      </xdr:txBody>
    </xdr:sp>
    <xdr:clientData/>
  </xdr:twoCellAnchor>
  <xdr:twoCellAnchor>
    <xdr:from>
      <xdr:col>4</xdr:col>
      <xdr:colOff>152400</xdr:colOff>
      <xdr:row>3</xdr:row>
      <xdr:rowOff>28575</xdr:rowOff>
    </xdr:from>
    <xdr:to>
      <xdr:col>4</xdr:col>
      <xdr:colOff>228600</xdr:colOff>
      <xdr:row>7</xdr:row>
      <xdr:rowOff>28575</xdr:rowOff>
    </xdr:to>
    <xdr:sp macro="" textlink="">
      <xdr:nvSpPr>
        <xdr:cNvPr id="3" name="Right Brace 2">
          <a:extLst>
            <a:ext uri="{FF2B5EF4-FFF2-40B4-BE49-F238E27FC236}">
              <a16:creationId xmlns:a16="http://schemas.microsoft.com/office/drawing/2014/main" id="{00000000-0008-0000-0200-000003000000}"/>
            </a:ext>
          </a:extLst>
        </xdr:cNvPr>
        <xdr:cNvSpPr/>
      </xdr:nvSpPr>
      <xdr:spPr>
        <a:xfrm>
          <a:off x="3867150" y="742950"/>
          <a:ext cx="76200" cy="9525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361950</xdr:colOff>
      <xdr:row>4</xdr:row>
      <xdr:rowOff>152400</xdr:rowOff>
    </xdr:from>
    <xdr:to>
      <xdr:col>6</xdr:col>
      <xdr:colOff>57150</xdr:colOff>
      <xdr:row>7</xdr:row>
      <xdr:rowOff>66675</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4076700" y="1104900"/>
          <a:ext cx="1524000"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Info, needed for tax analysis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7"/>
  <sheetViews>
    <sheetView tabSelected="1" zoomScaleNormal="100" workbookViewId="0"/>
  </sheetViews>
  <sheetFormatPr defaultRowHeight="15" x14ac:dyDescent="0.25"/>
  <cols>
    <col min="1" max="1" width="11.85546875" customWidth="1"/>
    <col min="2" max="2" width="13.140625" customWidth="1"/>
    <col min="3" max="3" width="26.85546875" customWidth="1"/>
    <col min="4" max="7" width="12.7109375" customWidth="1"/>
    <col min="8" max="8" width="16" customWidth="1"/>
    <col min="9" max="9" width="15.85546875" customWidth="1"/>
  </cols>
  <sheetData>
    <row r="1" spans="1:4" ht="18.75" x14ac:dyDescent="0.3">
      <c r="A1" s="35" t="s">
        <v>68</v>
      </c>
    </row>
    <row r="2" spans="1:4" s="1" customFormat="1" ht="18.75" x14ac:dyDescent="0.3">
      <c r="A2" s="86" t="s">
        <v>109</v>
      </c>
    </row>
    <row r="3" spans="1:4" s="1" customFormat="1" ht="18.75" x14ac:dyDescent="0.3">
      <c r="A3" s="1" t="s">
        <v>6</v>
      </c>
      <c r="C3" s="13">
        <v>1000000</v>
      </c>
    </row>
    <row r="4" spans="1:4" s="1" customFormat="1" ht="18.75" x14ac:dyDescent="0.3">
      <c r="A4" s="1" t="s">
        <v>92</v>
      </c>
      <c r="C4" s="14">
        <v>210000</v>
      </c>
    </row>
    <row r="5" spans="1:4" s="1" customFormat="1" ht="18.75" x14ac:dyDescent="0.3">
      <c r="A5" s="1" t="s">
        <v>8</v>
      </c>
      <c r="C5" s="15">
        <v>0.02</v>
      </c>
    </row>
    <row r="6" spans="1:4" s="1" customFormat="1" ht="18.75" x14ac:dyDescent="0.3">
      <c r="A6" s="1" t="s">
        <v>9</v>
      </c>
      <c r="C6" s="15">
        <v>0.08</v>
      </c>
    </row>
    <row r="7" spans="1:4" s="1" customFormat="1" ht="18.75" x14ac:dyDescent="0.3">
      <c r="A7" s="1" t="s">
        <v>10</v>
      </c>
      <c r="C7" s="15">
        <v>0.42</v>
      </c>
      <c r="D7" s="1" t="s">
        <v>11</v>
      </c>
    </row>
    <row r="8" spans="1:4" s="1" customFormat="1" ht="18.75" x14ac:dyDescent="0.3">
      <c r="A8" s="1" t="s">
        <v>12</v>
      </c>
      <c r="C8" s="85"/>
      <c r="D8" s="1" t="s">
        <v>11</v>
      </c>
    </row>
    <row r="9" spans="1:4" s="1" customFormat="1" ht="18.75" x14ac:dyDescent="0.3">
      <c r="A9" s="1" t="s">
        <v>13</v>
      </c>
      <c r="C9" s="15">
        <v>0.09</v>
      </c>
    </row>
    <row r="10" spans="1:4" s="1" customFormat="1" ht="18.75" x14ac:dyDescent="0.3">
      <c r="A10" s="1" t="s">
        <v>14</v>
      </c>
      <c r="C10" s="16">
        <v>5</v>
      </c>
    </row>
    <row r="11" spans="1:4" s="1" customFormat="1" ht="18.75" x14ac:dyDescent="0.3">
      <c r="A11" s="1" t="s">
        <v>15</v>
      </c>
      <c r="C11" s="14">
        <v>48750</v>
      </c>
    </row>
    <row r="12" spans="1:4" s="1" customFormat="1" ht="18.75" x14ac:dyDescent="0.3">
      <c r="C12" s="16"/>
    </row>
    <row r="13" spans="1:4" s="1" customFormat="1" ht="18.75" x14ac:dyDescent="0.3">
      <c r="A13" s="36" t="s">
        <v>16</v>
      </c>
      <c r="B13" s="36"/>
      <c r="C13" s="37">
        <v>0</v>
      </c>
      <c r="D13" s="36"/>
    </row>
    <row r="14" spans="1:4" s="1" customFormat="1" ht="18.75" x14ac:dyDescent="0.3">
      <c r="A14" s="36" t="s">
        <v>17</v>
      </c>
      <c r="B14" s="36"/>
      <c r="C14" s="38"/>
      <c r="D14" s="36"/>
    </row>
    <row r="15" spans="1:4" s="1" customFormat="1" ht="18.75" x14ac:dyDescent="0.3">
      <c r="A15" s="36" t="s">
        <v>18</v>
      </c>
      <c r="B15" s="36"/>
      <c r="C15" s="39">
        <v>30</v>
      </c>
      <c r="D15" s="36" t="s">
        <v>19</v>
      </c>
    </row>
    <row r="16" spans="1:4" s="1" customFormat="1" ht="18.75" x14ac:dyDescent="0.3">
      <c r="A16" s="36" t="s">
        <v>20</v>
      </c>
      <c r="B16" s="36"/>
      <c r="C16" s="38"/>
      <c r="D16" s="36"/>
    </row>
    <row r="17" spans="1:9" s="1" customFormat="1" ht="18.75" x14ac:dyDescent="0.3"/>
    <row r="18" spans="1:9" s="1" customFormat="1" ht="18.75" x14ac:dyDescent="0.3">
      <c r="A18" s="1" t="s">
        <v>100</v>
      </c>
      <c r="C18" s="105">
        <v>0.11749999999999999</v>
      </c>
    </row>
    <row r="19" spans="1:9" s="1" customFormat="1" ht="18.75" x14ac:dyDescent="0.3">
      <c r="C19" s="15"/>
    </row>
    <row r="20" spans="1:9" s="1" customFormat="1" ht="18.75" x14ac:dyDescent="0.3">
      <c r="A20" s="1" t="s">
        <v>27</v>
      </c>
      <c r="C20" s="24">
        <f>C3-C13+(C13*C16)</f>
        <v>1000000</v>
      </c>
    </row>
    <row r="21" spans="1:9" s="1" customFormat="1" ht="18.75" x14ac:dyDescent="0.3"/>
    <row r="22" spans="1:9" s="1" customFormat="1" ht="18.75" x14ac:dyDescent="0.3"/>
    <row r="23" spans="1:9" ht="18.75" x14ac:dyDescent="0.3">
      <c r="B23" s="1"/>
      <c r="C23" s="1"/>
      <c r="D23" s="1"/>
      <c r="E23" s="1"/>
      <c r="F23" s="1"/>
      <c r="G23" s="1"/>
      <c r="H23" s="1"/>
    </row>
    <row r="24" spans="1:9" ht="18.75" x14ac:dyDescent="0.3">
      <c r="B24" s="1" t="s">
        <v>4</v>
      </c>
      <c r="C24" s="1"/>
      <c r="D24" s="2">
        <v>1</v>
      </c>
      <c r="E24" s="2">
        <v>2</v>
      </c>
      <c r="F24" s="2">
        <v>3</v>
      </c>
      <c r="G24" s="2">
        <v>4</v>
      </c>
      <c r="H24" s="2">
        <v>5</v>
      </c>
      <c r="I24" s="2">
        <v>6</v>
      </c>
    </row>
    <row r="25" spans="1:9" ht="18.75" x14ac:dyDescent="0.3">
      <c r="B25" s="1"/>
      <c r="C25" s="1"/>
      <c r="D25" s="1"/>
      <c r="E25" s="1"/>
      <c r="F25" s="1"/>
      <c r="G25" s="1"/>
      <c r="H25" s="1"/>
    </row>
    <row r="26" spans="1:9" ht="18.75" x14ac:dyDescent="0.3">
      <c r="B26" s="1" t="s">
        <v>7</v>
      </c>
      <c r="C26" s="1"/>
      <c r="D26" s="7">
        <f t="shared" ref="D26:I26" si="0">$C$4*(1+$C$5)^(D24-1)</f>
        <v>210000</v>
      </c>
      <c r="E26" s="7">
        <f t="shared" si="0"/>
        <v>214200</v>
      </c>
      <c r="F26" s="7">
        <f t="shared" si="0"/>
        <v>218484</v>
      </c>
      <c r="G26" s="7">
        <f t="shared" si="0"/>
        <v>222853.68</v>
      </c>
      <c r="H26" s="7">
        <f t="shared" si="0"/>
        <v>227310.7536</v>
      </c>
      <c r="I26" s="7">
        <f t="shared" si="0"/>
        <v>231856.96867200002</v>
      </c>
    </row>
    <row r="27" spans="1:9" ht="18.75" x14ac:dyDescent="0.3">
      <c r="B27" s="1" t="s">
        <v>21</v>
      </c>
      <c r="C27" s="1"/>
      <c r="D27" s="7"/>
      <c r="E27" s="3"/>
      <c r="F27" s="3"/>
      <c r="G27" s="3"/>
      <c r="H27" s="3"/>
      <c r="I27" s="9"/>
    </row>
    <row r="28" spans="1:9" ht="18.75" x14ac:dyDescent="0.3">
      <c r="B28" s="1" t="s">
        <v>22</v>
      </c>
      <c r="C28" s="1"/>
      <c r="D28" s="8">
        <f>-D26*$C$6</f>
        <v>-16800</v>
      </c>
      <c r="E28" s="8">
        <f t="shared" ref="E28:I28" si="1">-E26*$C$6</f>
        <v>-17136</v>
      </c>
      <c r="F28" s="8">
        <f t="shared" si="1"/>
        <v>-17478.72</v>
      </c>
      <c r="G28" s="8">
        <f t="shared" si="1"/>
        <v>-17828.294399999999</v>
      </c>
      <c r="H28" s="8">
        <f t="shared" si="1"/>
        <v>-18184.860288</v>
      </c>
      <c r="I28" s="10">
        <f t="shared" si="1"/>
        <v>-18548.557493760003</v>
      </c>
    </row>
    <row r="29" spans="1:9" ht="18.75" x14ac:dyDescent="0.3">
      <c r="B29" s="1" t="s">
        <v>23</v>
      </c>
      <c r="C29" s="1"/>
      <c r="D29" s="7">
        <f>D26+D28</f>
        <v>193200</v>
      </c>
      <c r="E29" s="7">
        <f t="shared" ref="E29:I29" si="2">E26+E28</f>
        <v>197064</v>
      </c>
      <c r="F29" s="7">
        <f t="shared" si="2"/>
        <v>201005.28</v>
      </c>
      <c r="G29" s="7">
        <f t="shared" si="2"/>
        <v>205025.38559999998</v>
      </c>
      <c r="H29" s="7">
        <f t="shared" si="2"/>
        <v>209125.893312</v>
      </c>
      <c r="I29" s="11">
        <f t="shared" si="2"/>
        <v>213308.41117824003</v>
      </c>
    </row>
    <row r="30" spans="1:9" ht="18.75" x14ac:dyDescent="0.3">
      <c r="B30" s="1" t="s">
        <v>21</v>
      </c>
      <c r="C30" s="1"/>
      <c r="D30" s="7"/>
      <c r="E30" s="7"/>
      <c r="F30" s="7"/>
      <c r="G30" s="7"/>
      <c r="H30" s="7"/>
      <c r="I30" s="11"/>
    </row>
    <row r="31" spans="1:9" ht="18.75" x14ac:dyDescent="0.3">
      <c r="B31" s="1" t="s">
        <v>24</v>
      </c>
      <c r="C31" s="1"/>
      <c r="D31" s="7">
        <f>-D29*$C$7</f>
        <v>-81144</v>
      </c>
      <c r="E31" s="7">
        <f t="shared" ref="E31:I31" si="3">-E29*$C$7</f>
        <v>-82766.87999999999</v>
      </c>
      <c r="F31" s="7">
        <f t="shared" si="3"/>
        <v>-84422.217600000004</v>
      </c>
      <c r="G31" s="7">
        <f t="shared" si="3"/>
        <v>-86110.661951999995</v>
      </c>
      <c r="H31" s="7">
        <f t="shared" si="3"/>
        <v>-87832.875191040002</v>
      </c>
      <c r="I31" s="11">
        <f t="shared" si="3"/>
        <v>-89589.532694860813</v>
      </c>
    </row>
    <row r="32" spans="1:9" ht="18.75" x14ac:dyDescent="0.3">
      <c r="B32" s="1" t="s">
        <v>25</v>
      </c>
      <c r="C32" s="1"/>
      <c r="D32" s="79">
        <f>-D29*$C$8</f>
        <v>0</v>
      </c>
      <c r="E32" s="8">
        <f t="shared" ref="E32:I32" si="4">-E29*$C$8</f>
        <v>0</v>
      </c>
      <c r="F32" s="8">
        <f t="shared" si="4"/>
        <v>0</v>
      </c>
      <c r="G32" s="8">
        <f t="shared" si="4"/>
        <v>0</v>
      </c>
      <c r="H32" s="8">
        <f t="shared" si="4"/>
        <v>0</v>
      </c>
      <c r="I32" s="10">
        <f t="shared" si="4"/>
        <v>0</v>
      </c>
    </row>
    <row r="33" spans="1:9" ht="18.75" x14ac:dyDescent="0.3">
      <c r="B33" s="1" t="s">
        <v>0</v>
      </c>
      <c r="C33" s="3"/>
      <c r="D33" s="3">
        <f>SUM(D29:D32)</f>
        <v>112056</v>
      </c>
      <c r="E33" s="3">
        <f t="shared" ref="E33:I33" si="5">SUM(E29:E32)</f>
        <v>114297.12000000001</v>
      </c>
      <c r="F33" s="3">
        <f t="shared" si="5"/>
        <v>116583.0624</v>
      </c>
      <c r="G33" s="3">
        <f t="shared" si="5"/>
        <v>118914.72364799998</v>
      </c>
      <c r="H33" s="3">
        <f t="shared" si="5"/>
        <v>121293.01812096</v>
      </c>
      <c r="I33" s="9">
        <f t="shared" si="5"/>
        <v>123718.87848337922</v>
      </c>
    </row>
    <row r="34" spans="1:9" ht="18.75" x14ac:dyDescent="0.3">
      <c r="B34" s="1"/>
      <c r="C34" s="3"/>
      <c r="D34" s="3"/>
      <c r="E34" s="3"/>
      <c r="F34" s="3"/>
      <c r="G34" s="3"/>
      <c r="H34" s="3"/>
      <c r="I34" s="9"/>
    </row>
    <row r="35" spans="1:9" ht="18.75" x14ac:dyDescent="0.3">
      <c r="B35" s="1" t="s">
        <v>26</v>
      </c>
      <c r="C35" s="3"/>
      <c r="D35" s="4">
        <f>PMT($C$14/12,$C$15*12,$C$13)*12</f>
        <v>0</v>
      </c>
      <c r="E35" s="4">
        <f t="shared" ref="E35:H35" si="6">PMT($C$14/12,$C$15*12,$C$13)*12</f>
        <v>0</v>
      </c>
      <c r="F35" s="4">
        <f t="shared" si="6"/>
        <v>0</v>
      </c>
      <c r="G35" s="4">
        <f t="shared" si="6"/>
        <v>0</v>
      </c>
      <c r="H35" s="4">
        <f t="shared" si="6"/>
        <v>0</v>
      </c>
      <c r="I35" s="9"/>
    </row>
    <row r="36" spans="1:9" ht="18.75" x14ac:dyDescent="0.3">
      <c r="B36" s="1" t="s">
        <v>121</v>
      </c>
      <c r="C36" s="3"/>
      <c r="D36" s="3">
        <f>SUM(D33:D35)</f>
        <v>112056</v>
      </c>
      <c r="E36" s="3">
        <f t="shared" ref="E36:H36" si="7">SUM(E33:E35)</f>
        <v>114297.12000000001</v>
      </c>
      <c r="F36" s="3">
        <f t="shared" si="7"/>
        <v>116583.0624</v>
      </c>
      <c r="G36" s="3">
        <f t="shared" si="7"/>
        <v>118914.72364799998</v>
      </c>
      <c r="H36" s="3">
        <f t="shared" si="7"/>
        <v>121293.01812096</v>
      </c>
      <c r="I36" s="9"/>
    </row>
    <row r="37" spans="1:9" ht="18.75" x14ac:dyDescent="0.3">
      <c r="B37" s="1" t="s">
        <v>21</v>
      </c>
      <c r="C37" s="3"/>
      <c r="D37" s="3"/>
      <c r="E37" s="3"/>
      <c r="F37" s="3"/>
      <c r="G37" s="3"/>
      <c r="H37" s="3"/>
      <c r="I37" s="9"/>
    </row>
    <row r="38" spans="1:9" ht="18.75" x14ac:dyDescent="0.3">
      <c r="B38" s="1" t="s">
        <v>32</v>
      </c>
      <c r="C38" s="3"/>
      <c r="D38" s="12"/>
      <c r="E38" s="12"/>
      <c r="F38" s="12"/>
      <c r="G38" s="12"/>
      <c r="H38" s="22">
        <f>ROUND(I33/$C$9,-3)</f>
        <v>1375000</v>
      </c>
      <c r="I38" s="27"/>
    </row>
    <row r="39" spans="1:9" ht="18.75" x14ac:dyDescent="0.3">
      <c r="B39" s="1" t="s">
        <v>33</v>
      </c>
      <c r="C39" s="3"/>
      <c r="D39" s="12"/>
      <c r="E39" s="12"/>
      <c r="F39" s="12"/>
      <c r="G39" s="12"/>
      <c r="H39" s="12">
        <f>-C11</f>
        <v>-48750</v>
      </c>
      <c r="I39" s="28">
        <f>H38+H39</f>
        <v>1326250</v>
      </c>
    </row>
    <row r="40" spans="1:9" ht="18.75" x14ac:dyDescent="0.3">
      <c r="B40" s="1"/>
      <c r="C40" s="3"/>
      <c r="D40" s="4"/>
      <c r="E40" s="4"/>
      <c r="F40" s="4"/>
      <c r="G40" s="4"/>
      <c r="H40" s="23">
        <f>-PV(C14/12,300,H35/12)</f>
        <v>0</v>
      </c>
    </row>
    <row r="41" spans="1:9" ht="19.5" thickBot="1" x14ac:dyDescent="0.35">
      <c r="B41" s="1" t="s">
        <v>97</v>
      </c>
      <c r="C41" s="3"/>
      <c r="D41" s="17">
        <f>SUM(D36:D40)</f>
        <v>112056</v>
      </c>
      <c r="E41" s="17">
        <f>SUM(E36:E40)</f>
        <v>114297.12000000001</v>
      </c>
      <c r="F41" s="17">
        <f>SUM(F36:F40)</f>
        <v>116583.0624</v>
      </c>
      <c r="G41" s="17">
        <f>SUM(G36:G40)</f>
        <v>118914.72364799998</v>
      </c>
      <c r="H41" s="17">
        <f>SUM(H36:H40)</f>
        <v>1447543.0181209601</v>
      </c>
    </row>
    <row r="42" spans="1:9" ht="19.5" thickTop="1" x14ac:dyDescent="0.3">
      <c r="B42" s="1"/>
      <c r="C42" s="3"/>
      <c r="D42" s="3"/>
      <c r="E42" s="3"/>
      <c r="F42" s="3"/>
      <c r="G42" s="3"/>
      <c r="H42" s="3"/>
    </row>
    <row r="43" spans="1:9" ht="18.75" x14ac:dyDescent="0.3">
      <c r="B43" s="1" t="s">
        <v>102</v>
      </c>
      <c r="C43" s="3"/>
      <c r="D43" s="5">
        <f>1/(1+$C$18)^D24</f>
        <v>0.89485458612975399</v>
      </c>
      <c r="E43" s="5">
        <f>1/(1+$C$18)^E24</f>
        <v>0.80076473031745321</v>
      </c>
      <c r="F43" s="5">
        <f>1/(1+$C$18)^F24</f>
        <v>0.71656799133552873</v>
      </c>
      <c r="G43" s="5">
        <f>1/(1+$C$18)^G24</f>
        <v>0.64122415332038363</v>
      </c>
      <c r="H43" s="5">
        <f>1/(1+$C$18)^H24</f>
        <v>0.57380237433591375</v>
      </c>
    </row>
    <row r="44" spans="1:9" ht="18.75" x14ac:dyDescent="0.3">
      <c r="B44" s="1" t="s">
        <v>103</v>
      </c>
      <c r="C44" s="3"/>
      <c r="D44" s="3">
        <f>D41*D43</f>
        <v>100273.82550335571</v>
      </c>
      <c r="E44" s="3">
        <f>E41*E43</f>
        <v>91525.102472861588</v>
      </c>
      <c r="F44" s="3">
        <f>F41*F43</f>
        <v>83539.690847712598</v>
      </c>
      <c r="G44" s="3">
        <f>G41*G43</f>
        <v>76250.992988516184</v>
      </c>
      <c r="H44" s="3">
        <f>H41*H43</f>
        <v>830603.6207511815</v>
      </c>
    </row>
    <row r="45" spans="1:9" ht="18.75" x14ac:dyDescent="0.3">
      <c r="B45" s="1" t="s">
        <v>101</v>
      </c>
      <c r="C45" s="26">
        <f>SUM(D44:H44)</f>
        <v>1182193.2325636277</v>
      </c>
      <c r="D45" s="3"/>
      <c r="E45" s="3"/>
      <c r="F45" s="3"/>
      <c r="G45" s="3"/>
      <c r="H45" s="3"/>
    </row>
    <row r="46" spans="1:9" ht="18.75" x14ac:dyDescent="0.3">
      <c r="A46" s="78" t="s">
        <v>104</v>
      </c>
      <c r="B46" s="1" t="s">
        <v>105</v>
      </c>
      <c r="C46" s="26">
        <f>NPV(C18,D41:H41)</f>
        <v>1182193.2325636277</v>
      </c>
      <c r="D46" s="3" t="s">
        <v>110</v>
      </c>
      <c r="E46" s="3"/>
      <c r="F46" s="3"/>
      <c r="G46" s="3"/>
      <c r="H46" s="3"/>
    </row>
    <row r="47" spans="1:9" ht="18.75" x14ac:dyDescent="0.3">
      <c r="B47" s="1"/>
      <c r="C47" s="6"/>
      <c r="D47" s="3"/>
      <c r="E47" s="3"/>
      <c r="F47" s="3"/>
      <c r="G47" s="3"/>
      <c r="H47" s="3"/>
    </row>
    <row r="48" spans="1:9" ht="18.75" x14ac:dyDescent="0.3">
      <c r="B48" s="1" t="s">
        <v>28</v>
      </c>
      <c r="C48" s="6"/>
      <c r="D48" s="3"/>
      <c r="E48" s="3"/>
      <c r="F48" s="3"/>
      <c r="G48" s="3"/>
      <c r="H48" s="3"/>
    </row>
    <row r="49" spans="2:8" ht="18.75" x14ac:dyDescent="0.3">
      <c r="B49" s="1"/>
      <c r="C49" s="18">
        <f>C20</f>
        <v>1000000</v>
      </c>
      <c r="D49" s="3" t="s">
        <v>111</v>
      </c>
      <c r="E49" s="3"/>
      <c r="F49" s="3"/>
      <c r="G49" s="3"/>
      <c r="H49" s="3"/>
    </row>
    <row r="50" spans="2:8" ht="19.5" thickBot="1" x14ac:dyDescent="0.35">
      <c r="B50" s="1" t="s">
        <v>29</v>
      </c>
      <c r="C50" s="19">
        <f>C45-C49</f>
        <v>182193.23256362765</v>
      </c>
      <c r="D50" s="3"/>
      <c r="E50" s="3"/>
      <c r="F50" s="3"/>
      <c r="G50" s="3"/>
      <c r="H50" s="3"/>
    </row>
    <row r="51" spans="2:8" ht="19.5" thickTop="1" x14ac:dyDescent="0.3">
      <c r="B51" s="1"/>
      <c r="C51" s="1"/>
      <c r="D51" s="1"/>
      <c r="E51" s="1"/>
      <c r="F51" s="1"/>
      <c r="G51" s="1"/>
      <c r="H51" s="1"/>
    </row>
    <row r="52" spans="2:8" ht="18.75" x14ac:dyDescent="0.3">
      <c r="B52" s="20" t="s">
        <v>35</v>
      </c>
    </row>
    <row r="53" spans="2:8" s="1" customFormat="1" ht="18.75" x14ac:dyDescent="0.3">
      <c r="C53" s="21"/>
    </row>
    <row r="54" spans="2:8" s="1" customFormat="1" ht="18.75" x14ac:dyDescent="0.3">
      <c r="B54" s="1" t="s">
        <v>30</v>
      </c>
      <c r="C54" s="21">
        <f>-C20</f>
        <v>-1000000</v>
      </c>
      <c r="D54" s="7">
        <f>D41</f>
        <v>112056</v>
      </c>
      <c r="E54" s="7">
        <f t="shared" ref="E54:H54" si="8">E41</f>
        <v>114297.12000000001</v>
      </c>
      <c r="F54" s="7">
        <f t="shared" si="8"/>
        <v>116583.0624</v>
      </c>
      <c r="G54" s="7">
        <f t="shared" si="8"/>
        <v>118914.72364799998</v>
      </c>
      <c r="H54" s="7">
        <f t="shared" si="8"/>
        <v>1447543.0181209601</v>
      </c>
    </row>
    <row r="55" spans="2:8" s="1" customFormat="1" ht="18.75" x14ac:dyDescent="0.3"/>
    <row r="56" spans="2:8" s="1" customFormat="1" ht="18.75" x14ac:dyDescent="0.3">
      <c r="B56" s="1" t="s">
        <v>31</v>
      </c>
      <c r="C56" s="25">
        <f>IRR(C54:H54,0.2)</f>
        <v>0.16308948134130996</v>
      </c>
    </row>
    <row r="57" spans="2:8" ht="18.75" x14ac:dyDescent="0.3">
      <c r="B57" s="1"/>
    </row>
    <row r="58" spans="2:8" ht="18.75" x14ac:dyDescent="0.3">
      <c r="B58" s="41" t="s">
        <v>71</v>
      </c>
    </row>
    <row r="59" spans="2:8" ht="18.75" x14ac:dyDescent="0.3">
      <c r="B59" s="1" t="s">
        <v>72</v>
      </c>
      <c r="C59" s="1">
        <v>0.05</v>
      </c>
    </row>
    <row r="60" spans="2:8" ht="18.75" x14ac:dyDescent="0.3">
      <c r="B60" s="1" t="s">
        <v>73</v>
      </c>
      <c r="C60" s="1">
        <v>0.05</v>
      </c>
    </row>
    <row r="61" spans="2:8" ht="18.75" x14ac:dyDescent="0.3">
      <c r="B61" s="1" t="s">
        <v>74</v>
      </c>
      <c r="C61" s="42">
        <f>MIRR(C54:H54,C60,C59)</f>
        <v>0.14516793850778908</v>
      </c>
    </row>
    <row r="64" spans="2:8" ht="18.75" x14ac:dyDescent="0.3">
      <c r="B64" s="20" t="s">
        <v>117</v>
      </c>
    </row>
    <row r="65" spans="2:5" ht="18.75" customHeight="1" x14ac:dyDescent="0.25"/>
    <row r="66" spans="2:5" ht="18.75" customHeight="1" x14ac:dyDescent="0.4">
      <c r="B66" s="99" t="s">
        <v>118</v>
      </c>
      <c r="C66" s="100">
        <f>D33</f>
        <v>112056</v>
      </c>
    </row>
    <row r="67" spans="2:5" ht="18.75" customHeight="1" x14ac:dyDescent="0.3">
      <c r="B67" s="98" t="s">
        <v>119</v>
      </c>
      <c r="C67" s="101">
        <f>C49</f>
        <v>1000000</v>
      </c>
      <c r="D67" s="102" t="s">
        <v>120</v>
      </c>
      <c r="E67" s="103">
        <f>C66/C67</f>
        <v>0.112056</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4"/>
  <sheetViews>
    <sheetView topLeftCell="A7" zoomScale="90" zoomScaleNormal="90" workbookViewId="0">
      <selection activeCell="C53" sqref="C53"/>
    </sheetView>
  </sheetViews>
  <sheetFormatPr defaultRowHeight="15" x14ac:dyDescent="0.25"/>
  <cols>
    <col min="1" max="1" width="11.85546875" customWidth="1"/>
    <col min="2" max="2" width="13.140625" customWidth="1"/>
    <col min="3" max="3" width="27.28515625" customWidth="1"/>
    <col min="4" max="7" width="12.7109375" customWidth="1"/>
    <col min="8" max="8" width="16" customWidth="1"/>
    <col min="9" max="9" width="15.5703125" customWidth="1"/>
  </cols>
  <sheetData>
    <row r="1" spans="1:5" ht="18.75" x14ac:dyDescent="0.3">
      <c r="A1" s="35" t="s">
        <v>115</v>
      </c>
    </row>
    <row r="2" spans="1:5" s="1" customFormat="1" ht="18.75" x14ac:dyDescent="0.3"/>
    <row r="3" spans="1:5" s="1" customFormat="1" ht="18.75" x14ac:dyDescent="0.3">
      <c r="A3" s="1" t="s">
        <v>6</v>
      </c>
      <c r="C3" s="88">
        <f>'Unlveveraged (no tax)'!C3</f>
        <v>1000000</v>
      </c>
    </row>
    <row r="4" spans="1:5" s="1" customFormat="1" ht="18.75" x14ac:dyDescent="0.3">
      <c r="A4" s="1" t="s">
        <v>92</v>
      </c>
      <c r="C4" s="88">
        <f>'Unlveveraged (no tax)'!C4</f>
        <v>210000</v>
      </c>
    </row>
    <row r="5" spans="1:5" s="1" customFormat="1" ht="18.75" x14ac:dyDescent="0.3">
      <c r="A5" s="1" t="s">
        <v>8</v>
      </c>
      <c r="C5" s="93">
        <f>'Unlveveraged (no tax)'!C5</f>
        <v>0.02</v>
      </c>
    </row>
    <row r="6" spans="1:5" s="1" customFormat="1" ht="18.75" x14ac:dyDescent="0.3">
      <c r="A6" s="1" t="s">
        <v>9</v>
      </c>
      <c r="C6" s="93">
        <f>'Unlveveraged (no tax)'!C6</f>
        <v>0.08</v>
      </c>
    </row>
    <row r="7" spans="1:5" s="1" customFormat="1" ht="18.75" x14ac:dyDescent="0.3">
      <c r="A7" s="1" t="s">
        <v>10</v>
      </c>
      <c r="C7" s="93">
        <f>'Unlveveraged (no tax)'!C7</f>
        <v>0.42</v>
      </c>
      <c r="D7" s="1" t="s">
        <v>11</v>
      </c>
    </row>
    <row r="8" spans="1:5" s="1" customFormat="1" ht="18.75" x14ac:dyDescent="0.3">
      <c r="A8" s="1" t="s">
        <v>12</v>
      </c>
      <c r="C8" s="104">
        <f>'Unlveveraged (no tax)'!C8</f>
        <v>0</v>
      </c>
      <c r="D8" s="1" t="s">
        <v>11</v>
      </c>
    </row>
    <row r="9" spans="1:5" s="1" customFormat="1" ht="18.75" x14ac:dyDescent="0.3">
      <c r="A9" s="1" t="s">
        <v>13</v>
      </c>
      <c r="C9" s="89">
        <f>'Unlveveraged (no tax)'!C9</f>
        <v>0.09</v>
      </c>
    </row>
    <row r="10" spans="1:5" s="1" customFormat="1" ht="18.75" x14ac:dyDescent="0.3">
      <c r="A10" s="1" t="s">
        <v>14</v>
      </c>
      <c r="C10" s="91">
        <f>'Unlveveraged (no tax)'!C10</f>
        <v>5</v>
      </c>
    </row>
    <row r="11" spans="1:5" s="1" customFormat="1" ht="18.75" x14ac:dyDescent="0.3">
      <c r="A11" s="1" t="s">
        <v>15</v>
      </c>
      <c r="C11" s="92">
        <f>'Unlveveraged (no tax)'!C11</f>
        <v>48750</v>
      </c>
    </row>
    <row r="12" spans="1:5" s="1" customFormat="1" ht="18.75" x14ac:dyDescent="0.3">
      <c r="C12" s="16"/>
    </row>
    <row r="13" spans="1:5" s="1" customFormat="1" ht="18.75" x14ac:dyDescent="0.3">
      <c r="A13" s="57" t="s">
        <v>16</v>
      </c>
      <c r="B13" s="58"/>
      <c r="C13" s="59">
        <v>700000</v>
      </c>
      <c r="D13" s="60">
        <f>C13/C3</f>
        <v>0.7</v>
      </c>
      <c r="E13" s="61" t="s">
        <v>67</v>
      </c>
    </row>
    <row r="14" spans="1:5" s="1" customFormat="1" ht="18.75" x14ac:dyDescent="0.3">
      <c r="A14" s="62" t="s">
        <v>17</v>
      </c>
      <c r="B14" s="63"/>
      <c r="C14" s="64">
        <v>0.08</v>
      </c>
      <c r="D14" s="63"/>
      <c r="E14" s="65"/>
    </row>
    <row r="15" spans="1:5" s="1" customFormat="1" ht="18.75" x14ac:dyDescent="0.3">
      <c r="A15" s="62" t="s">
        <v>18</v>
      </c>
      <c r="B15" s="63"/>
      <c r="C15" s="66">
        <v>30</v>
      </c>
      <c r="D15" s="63" t="s">
        <v>19</v>
      </c>
      <c r="E15" s="65"/>
    </row>
    <row r="16" spans="1:5" s="1" customFormat="1" ht="18.75" x14ac:dyDescent="0.3">
      <c r="A16" s="62" t="s">
        <v>20</v>
      </c>
      <c r="B16" s="63"/>
      <c r="C16" s="64">
        <v>0</v>
      </c>
      <c r="D16" s="63" t="s">
        <v>69</v>
      </c>
      <c r="E16" s="65"/>
    </row>
    <row r="17" spans="1:9" s="1" customFormat="1" ht="18.75" x14ac:dyDescent="0.3">
      <c r="A17" s="67" t="s">
        <v>113</v>
      </c>
      <c r="B17" s="68"/>
      <c r="C17" s="87">
        <f>PMT($C$14/12,$C$15*12,-$C$13)</f>
        <v>5136.3520171556329</v>
      </c>
      <c r="D17" s="68"/>
      <c r="E17" s="69"/>
    </row>
    <row r="18" spans="1:9" s="1" customFormat="1" ht="18.75" x14ac:dyDescent="0.3">
      <c r="A18" s="1" t="s">
        <v>116</v>
      </c>
      <c r="C18" s="106">
        <v>0.16</v>
      </c>
    </row>
    <row r="19" spans="1:9" s="1" customFormat="1" ht="18.75" x14ac:dyDescent="0.3">
      <c r="C19" s="15"/>
    </row>
    <row r="20" spans="1:9" s="1" customFormat="1" ht="18.75" x14ac:dyDescent="0.3">
      <c r="A20" s="1" t="s">
        <v>27</v>
      </c>
      <c r="C20" s="24">
        <f>C3-C13+C13*C16</f>
        <v>300000</v>
      </c>
    </row>
    <row r="21" spans="1:9" s="1" customFormat="1" ht="18.75" x14ac:dyDescent="0.3"/>
    <row r="22" spans="1:9" s="1" customFormat="1" ht="18.75" x14ac:dyDescent="0.3"/>
    <row r="23" spans="1:9" ht="18.75" x14ac:dyDescent="0.3">
      <c r="B23" s="1"/>
      <c r="C23" s="1"/>
      <c r="D23" s="1"/>
      <c r="E23" s="1"/>
      <c r="F23" s="1"/>
      <c r="G23" s="1"/>
      <c r="H23" s="1"/>
    </row>
    <row r="24" spans="1:9" ht="18.75" x14ac:dyDescent="0.3">
      <c r="B24" s="1" t="s">
        <v>4</v>
      </c>
      <c r="C24" s="1"/>
      <c r="D24" s="2">
        <v>1</v>
      </c>
      <c r="E24" s="2">
        <v>2</v>
      </c>
      <c r="F24" s="2">
        <v>3</v>
      </c>
      <c r="G24" s="2">
        <v>4</v>
      </c>
      <c r="H24" s="2">
        <v>5</v>
      </c>
      <c r="I24" s="2">
        <v>6</v>
      </c>
    </row>
    <row r="25" spans="1:9" ht="18.75" x14ac:dyDescent="0.3">
      <c r="B25" s="1"/>
      <c r="C25" s="1"/>
      <c r="D25" s="1"/>
      <c r="E25" s="1"/>
      <c r="F25" s="1"/>
      <c r="G25" s="1"/>
      <c r="H25" s="1"/>
    </row>
    <row r="26" spans="1:9" ht="18.75" x14ac:dyDescent="0.3">
      <c r="B26" s="1" t="s">
        <v>7</v>
      </c>
      <c r="C26" s="1"/>
      <c r="D26" s="7">
        <f>$C$4*(1+$C$5)^(D24-1)</f>
        <v>210000</v>
      </c>
      <c r="E26" s="7">
        <f t="shared" ref="E26:I26" si="0">$C$4*(1+$C$5)^(E24-1)</f>
        <v>214200</v>
      </c>
      <c r="F26" s="7">
        <f t="shared" si="0"/>
        <v>218484</v>
      </c>
      <c r="G26" s="7">
        <f t="shared" si="0"/>
        <v>222853.68</v>
      </c>
      <c r="H26" s="7">
        <f t="shared" si="0"/>
        <v>227310.7536</v>
      </c>
      <c r="I26" s="7">
        <f t="shared" si="0"/>
        <v>231856.96867200002</v>
      </c>
    </row>
    <row r="27" spans="1:9" ht="18.75" x14ac:dyDescent="0.3">
      <c r="B27" s="1" t="s">
        <v>21</v>
      </c>
      <c r="C27" s="1"/>
      <c r="D27" s="7"/>
      <c r="E27" s="3"/>
      <c r="F27" s="3"/>
      <c r="G27" s="3"/>
      <c r="H27" s="3"/>
      <c r="I27" s="9"/>
    </row>
    <row r="28" spans="1:9" ht="18.75" x14ac:dyDescent="0.3">
      <c r="B28" s="1" t="s">
        <v>22</v>
      </c>
      <c r="C28" s="1"/>
      <c r="D28" s="8">
        <f>-D26*$C$6</f>
        <v>-16800</v>
      </c>
      <c r="E28" s="8">
        <f t="shared" ref="E28:H28" si="1">-E26*$C$6</f>
        <v>-17136</v>
      </c>
      <c r="F28" s="8">
        <f t="shared" si="1"/>
        <v>-17478.72</v>
      </c>
      <c r="G28" s="8">
        <f t="shared" si="1"/>
        <v>-17828.294399999999</v>
      </c>
      <c r="H28" s="8">
        <f t="shared" si="1"/>
        <v>-18184.860288</v>
      </c>
      <c r="I28" s="10">
        <f t="shared" ref="I28" si="2">-I26*$C$6</f>
        <v>-18548.557493760003</v>
      </c>
    </row>
    <row r="29" spans="1:9" ht="18.75" x14ac:dyDescent="0.3">
      <c r="B29" s="1" t="s">
        <v>23</v>
      </c>
      <c r="C29" s="1"/>
      <c r="D29" s="7">
        <f>D26+D28</f>
        <v>193200</v>
      </c>
      <c r="E29" s="7">
        <f t="shared" ref="E29:I29" si="3">E26+E28</f>
        <v>197064</v>
      </c>
      <c r="F29" s="7">
        <f t="shared" si="3"/>
        <v>201005.28</v>
      </c>
      <c r="G29" s="7">
        <f t="shared" si="3"/>
        <v>205025.38559999998</v>
      </c>
      <c r="H29" s="7">
        <f t="shared" si="3"/>
        <v>209125.893312</v>
      </c>
      <c r="I29" s="11">
        <f t="shared" si="3"/>
        <v>213308.41117824003</v>
      </c>
    </row>
    <row r="30" spans="1:9" ht="18.75" x14ac:dyDescent="0.3">
      <c r="B30" s="1" t="s">
        <v>21</v>
      </c>
      <c r="C30" s="1"/>
      <c r="D30" s="7"/>
      <c r="E30" s="7"/>
      <c r="F30" s="7"/>
      <c r="G30" s="7"/>
      <c r="H30" s="7"/>
      <c r="I30" s="11"/>
    </row>
    <row r="31" spans="1:9" ht="18.75" x14ac:dyDescent="0.3">
      <c r="B31" s="1" t="s">
        <v>24</v>
      </c>
      <c r="C31" s="1"/>
      <c r="D31" s="7">
        <f>-D29*$C$7</f>
        <v>-81144</v>
      </c>
      <c r="E31" s="7">
        <f t="shared" ref="E31:H31" si="4">-E29*$C$7</f>
        <v>-82766.87999999999</v>
      </c>
      <c r="F31" s="7">
        <f t="shared" si="4"/>
        <v>-84422.217600000004</v>
      </c>
      <c r="G31" s="7">
        <f t="shared" si="4"/>
        <v>-86110.661951999995</v>
      </c>
      <c r="H31" s="7">
        <f t="shared" si="4"/>
        <v>-87832.875191040002</v>
      </c>
      <c r="I31" s="11">
        <f t="shared" ref="I31" si="5">-I29*$C$7</f>
        <v>-89589.532694860813</v>
      </c>
    </row>
    <row r="32" spans="1:9" ht="18.75" x14ac:dyDescent="0.3">
      <c r="B32" s="1" t="s">
        <v>25</v>
      </c>
      <c r="C32" s="1"/>
      <c r="D32" s="8">
        <f>-D29*$C$8</f>
        <v>0</v>
      </c>
      <c r="E32" s="8">
        <f t="shared" ref="E32:H32" si="6">-E29*$C$8</f>
        <v>0</v>
      </c>
      <c r="F32" s="8">
        <f t="shared" si="6"/>
        <v>0</v>
      </c>
      <c r="G32" s="8">
        <f t="shared" si="6"/>
        <v>0</v>
      </c>
      <c r="H32" s="8">
        <f t="shared" si="6"/>
        <v>0</v>
      </c>
      <c r="I32" s="10">
        <f t="shared" ref="I32" si="7">-I29*$C$8</f>
        <v>0</v>
      </c>
    </row>
    <row r="33" spans="2:9" ht="18.75" x14ac:dyDescent="0.3">
      <c r="B33" s="1" t="s">
        <v>0</v>
      </c>
      <c r="C33" s="3"/>
      <c r="D33" s="3">
        <f>SUM(D29:D32)</f>
        <v>112056</v>
      </c>
      <c r="E33" s="3">
        <f t="shared" ref="E33:I33" si="8">SUM(E29:E32)</f>
        <v>114297.12000000001</v>
      </c>
      <c r="F33" s="3">
        <f t="shared" si="8"/>
        <v>116583.0624</v>
      </c>
      <c r="G33" s="3">
        <f t="shared" si="8"/>
        <v>118914.72364799998</v>
      </c>
      <c r="H33" s="3">
        <f t="shared" si="8"/>
        <v>121293.01812096</v>
      </c>
      <c r="I33" s="9">
        <f t="shared" si="8"/>
        <v>123718.87848337922</v>
      </c>
    </row>
    <row r="34" spans="2:9" ht="18.75" x14ac:dyDescent="0.3">
      <c r="B34" s="1"/>
      <c r="C34" s="3"/>
      <c r="D34" s="3"/>
      <c r="E34" s="3"/>
      <c r="F34" s="3"/>
      <c r="G34" s="3"/>
      <c r="H34" s="3"/>
      <c r="I34" s="9"/>
    </row>
    <row r="35" spans="2:9" ht="18.75" x14ac:dyDescent="0.3">
      <c r="B35" s="1" t="s">
        <v>26</v>
      </c>
      <c r="C35" s="3"/>
      <c r="D35" s="4">
        <f>PMT($C$14/12,$C$15*12,$C$13)*12</f>
        <v>-61636.224205867591</v>
      </c>
      <c r="E35" s="4">
        <f t="shared" ref="E35:H35" si="9">PMT($C$14/12,$C$15*12,$C$13)*12</f>
        <v>-61636.224205867591</v>
      </c>
      <c r="F35" s="4">
        <f t="shared" si="9"/>
        <v>-61636.224205867591</v>
      </c>
      <c r="G35" s="4">
        <f t="shared" si="9"/>
        <v>-61636.224205867591</v>
      </c>
      <c r="H35" s="4">
        <f t="shared" si="9"/>
        <v>-61636.224205867591</v>
      </c>
      <c r="I35" s="9"/>
    </row>
    <row r="36" spans="2:9" ht="18.75" x14ac:dyDescent="0.3">
      <c r="B36" s="1" t="s">
        <v>121</v>
      </c>
      <c r="C36" s="3"/>
      <c r="D36" s="3">
        <f>SUM(D33:D35)</f>
        <v>50419.775794132409</v>
      </c>
      <c r="E36" s="3">
        <f t="shared" ref="E36:H36" si="10">SUM(E33:E35)</f>
        <v>52660.895794132419</v>
      </c>
      <c r="F36" s="3">
        <f t="shared" si="10"/>
        <v>54946.838194132404</v>
      </c>
      <c r="G36" s="3">
        <f t="shared" si="10"/>
        <v>57278.499442132394</v>
      </c>
      <c r="H36" s="3">
        <f t="shared" si="10"/>
        <v>59656.793915092407</v>
      </c>
      <c r="I36" s="9"/>
    </row>
    <row r="37" spans="2:9" ht="18.75" x14ac:dyDescent="0.3">
      <c r="B37" s="1"/>
      <c r="C37" s="76" t="s">
        <v>96</v>
      </c>
      <c r="D37" s="77">
        <f>-D33/D35</f>
        <v>1.8180218117470699</v>
      </c>
      <c r="E37" s="77">
        <f t="shared" ref="E37:H37" si="11">-E33/E35</f>
        <v>1.8543822479820113</v>
      </c>
      <c r="F37" s="77">
        <f t="shared" si="11"/>
        <v>1.8914698929416514</v>
      </c>
      <c r="G37" s="77">
        <f t="shared" si="11"/>
        <v>1.9292992908004842</v>
      </c>
      <c r="H37" s="77">
        <f t="shared" si="11"/>
        <v>1.9678852766164943</v>
      </c>
      <c r="I37" s="9"/>
    </row>
    <row r="38" spans="2:9" ht="18.75" x14ac:dyDescent="0.3">
      <c r="B38" s="1" t="s">
        <v>21</v>
      </c>
      <c r="C38" s="3"/>
      <c r="D38" s="3"/>
      <c r="E38" s="3"/>
      <c r="F38" s="3"/>
      <c r="G38" s="3"/>
      <c r="H38" s="3"/>
      <c r="I38" s="9"/>
    </row>
    <row r="39" spans="2:9" ht="18.75" x14ac:dyDescent="0.3">
      <c r="B39" s="1" t="s">
        <v>32</v>
      </c>
      <c r="C39" s="3"/>
      <c r="D39" s="12"/>
      <c r="E39" s="12"/>
      <c r="F39" s="12"/>
      <c r="G39" s="12"/>
      <c r="H39" s="22">
        <f>ROUND(I33/$C$9,-3)</f>
        <v>1375000</v>
      </c>
      <c r="I39" s="27"/>
    </row>
    <row r="40" spans="2:9" ht="18.75" x14ac:dyDescent="0.3">
      <c r="B40" s="1" t="s">
        <v>33</v>
      </c>
      <c r="C40" s="3"/>
      <c r="D40" s="12"/>
      <c r="E40" s="12"/>
      <c r="F40" s="12"/>
      <c r="G40" s="12"/>
      <c r="H40" s="12">
        <f>-C11</f>
        <v>-48750</v>
      </c>
      <c r="I40" s="97">
        <f>H39+H40</f>
        <v>1326250</v>
      </c>
    </row>
    <row r="41" spans="2:9" ht="18.75" x14ac:dyDescent="0.3">
      <c r="B41" s="1" t="s">
        <v>34</v>
      </c>
      <c r="C41" s="3"/>
      <c r="D41" s="12"/>
      <c r="E41" s="12"/>
      <c r="F41" s="12"/>
      <c r="G41" s="12"/>
      <c r="H41" s="23">
        <f>-PV(C14/12,300,H35/12)</f>
        <v>-665488.99702162447</v>
      </c>
      <c r="I41" s="7"/>
    </row>
    <row r="42" spans="2:9" ht="18.75" x14ac:dyDescent="0.3">
      <c r="B42" s="1"/>
      <c r="C42" s="3"/>
      <c r="D42" s="12"/>
      <c r="E42" s="12"/>
      <c r="F42" s="12"/>
      <c r="G42" s="12"/>
      <c r="H42" s="95">
        <f>SUM(H39:H41)</f>
        <v>660761.00297837553</v>
      </c>
      <c r="I42" s="7"/>
    </row>
    <row r="43" spans="2:9" ht="18.75" x14ac:dyDescent="0.3">
      <c r="B43" s="1"/>
      <c r="C43" s="3"/>
      <c r="D43" s="12"/>
      <c r="E43" s="12"/>
      <c r="F43" s="12"/>
      <c r="G43" s="12"/>
      <c r="H43" s="22"/>
      <c r="I43" s="7"/>
    </row>
    <row r="44" spans="2:9" ht="19.5" thickBot="1" x14ac:dyDescent="0.35">
      <c r="B44" s="1" t="s">
        <v>122</v>
      </c>
      <c r="C44" s="3"/>
      <c r="D44" s="17">
        <f t="shared" ref="D44:G44" si="12">D36+D42</f>
        <v>50419.775794132409</v>
      </c>
      <c r="E44" s="17">
        <f t="shared" si="12"/>
        <v>52660.895794132419</v>
      </c>
      <c r="F44" s="17">
        <f t="shared" si="12"/>
        <v>54946.838194132404</v>
      </c>
      <c r="G44" s="17">
        <f t="shared" si="12"/>
        <v>57278.499442132394</v>
      </c>
      <c r="H44" s="17">
        <f>H36+H42</f>
        <v>720417.79689346789</v>
      </c>
    </row>
    <row r="45" spans="2:9" ht="19.5" thickTop="1" x14ac:dyDescent="0.3">
      <c r="B45" s="1"/>
      <c r="C45" s="3"/>
      <c r="D45" s="3"/>
      <c r="E45" s="3"/>
      <c r="F45" s="3"/>
      <c r="G45" s="3"/>
      <c r="H45" s="3"/>
    </row>
    <row r="46" spans="2:9" ht="18.75" x14ac:dyDescent="0.3">
      <c r="B46" s="1" t="s">
        <v>1</v>
      </c>
      <c r="C46" s="3"/>
      <c r="D46" s="5">
        <f>1/(1+$C$18)^D24</f>
        <v>0.86206896551724144</v>
      </c>
      <c r="E46" s="5">
        <f>1/(1+$C$18)^E24</f>
        <v>0.74316290130796681</v>
      </c>
      <c r="F46" s="5">
        <f>1/(1+$C$18)^F24</f>
        <v>0.64065767354135073</v>
      </c>
      <c r="G46" s="5">
        <f>1/(1+$C$18)^G24</f>
        <v>0.5522910978804747</v>
      </c>
      <c r="H46" s="5">
        <f>1/(1+$C$18)^H24</f>
        <v>0.47611301541420237</v>
      </c>
    </row>
    <row r="47" spans="2:9" ht="18.75" x14ac:dyDescent="0.3">
      <c r="B47" s="1" t="s">
        <v>3</v>
      </c>
      <c r="C47" s="3"/>
      <c r="D47" s="3">
        <f>D44*D46</f>
        <v>43465.323960458976</v>
      </c>
      <c r="E47" s="3">
        <f>E44*E46</f>
        <v>39135.624103843955</v>
      </c>
      <c r="F47" s="3">
        <f>F44*F46</f>
        <v>35202.113525905901</v>
      </c>
      <c r="G47" s="3">
        <f>G44*G46</f>
        <v>31634.405341841459</v>
      </c>
      <c r="H47" s="3">
        <f>H44*H46</f>
        <v>343000.28963700536</v>
      </c>
    </row>
    <row r="48" spans="2:9" ht="18.75" x14ac:dyDescent="0.3">
      <c r="B48" s="1" t="s">
        <v>2</v>
      </c>
      <c r="C48" s="26">
        <f>SUM(D47:H47)</f>
        <v>492437.75656905567</v>
      </c>
      <c r="D48" s="3"/>
      <c r="E48" s="3"/>
      <c r="F48" s="3"/>
      <c r="G48" s="3"/>
      <c r="H48" s="3"/>
    </row>
    <row r="49" spans="2:8" ht="18.75" x14ac:dyDescent="0.3">
      <c r="B49" s="1" t="s">
        <v>105</v>
      </c>
      <c r="C49" s="26">
        <f>NPV(C18,D44:H44)</f>
        <v>492437.75656905572</v>
      </c>
      <c r="D49" s="3" t="s">
        <v>110</v>
      </c>
      <c r="E49" s="3"/>
      <c r="F49" s="3"/>
      <c r="G49" s="3"/>
      <c r="H49" s="3"/>
    </row>
    <row r="50" spans="2:8" ht="18.75" x14ac:dyDescent="0.3">
      <c r="B50" s="1"/>
      <c r="C50" s="6"/>
      <c r="D50" s="3"/>
      <c r="E50" s="3"/>
      <c r="F50" s="3"/>
      <c r="G50" s="3"/>
      <c r="H50" s="3"/>
    </row>
    <row r="51" spans="2:8" ht="18.75" x14ac:dyDescent="0.3">
      <c r="B51" s="1" t="s">
        <v>28</v>
      </c>
      <c r="C51" s="6"/>
      <c r="D51" s="3"/>
      <c r="E51" s="3"/>
      <c r="F51" s="3"/>
      <c r="G51" s="3"/>
      <c r="H51" s="3"/>
    </row>
    <row r="52" spans="2:8" ht="18.75" x14ac:dyDescent="0.3">
      <c r="B52" s="1"/>
      <c r="C52" s="18">
        <f>C20</f>
        <v>300000</v>
      </c>
      <c r="D52" s="3" t="s">
        <v>111</v>
      </c>
      <c r="E52" s="3"/>
      <c r="F52" s="3"/>
      <c r="G52" s="3"/>
      <c r="H52" s="3"/>
    </row>
    <row r="53" spans="2:8" ht="19.5" thickBot="1" x14ac:dyDescent="0.35">
      <c r="B53" s="1" t="s">
        <v>29</v>
      </c>
      <c r="C53" s="19">
        <f>C48-C52</f>
        <v>192437.75656905567</v>
      </c>
      <c r="D53" s="3"/>
      <c r="E53" s="3"/>
      <c r="F53" s="3"/>
      <c r="G53" s="3"/>
      <c r="H53" s="3"/>
    </row>
    <row r="54" spans="2:8" ht="19.5" thickTop="1" x14ac:dyDescent="0.3">
      <c r="B54" s="1"/>
      <c r="C54" s="1"/>
      <c r="D54" s="1"/>
      <c r="E54" s="1"/>
      <c r="F54" s="1"/>
      <c r="G54" s="1"/>
      <c r="H54" s="1"/>
    </row>
    <row r="55" spans="2:8" ht="18.75" x14ac:dyDescent="0.3">
      <c r="B55" s="20" t="s">
        <v>98</v>
      </c>
    </row>
    <row r="56" spans="2:8" s="1" customFormat="1" ht="18.75" x14ac:dyDescent="0.3">
      <c r="C56" s="21"/>
    </row>
    <row r="57" spans="2:8" s="1" customFormat="1" ht="18.75" x14ac:dyDescent="0.3">
      <c r="B57" s="1" t="s">
        <v>30</v>
      </c>
      <c r="C57" s="21">
        <f>-C20</f>
        <v>-300000</v>
      </c>
      <c r="D57" s="7">
        <f>D44</f>
        <v>50419.775794132409</v>
      </c>
      <c r="E57" s="7">
        <f t="shared" ref="E57:H57" si="13">E44</f>
        <v>52660.895794132419</v>
      </c>
      <c r="F57" s="7">
        <f t="shared" si="13"/>
        <v>54946.838194132404</v>
      </c>
      <c r="G57" s="7">
        <f t="shared" si="13"/>
        <v>57278.499442132394</v>
      </c>
      <c r="H57" s="7">
        <f t="shared" si="13"/>
        <v>720417.79689346789</v>
      </c>
    </row>
    <row r="58" spans="2:8" s="1" customFormat="1" ht="18.75" x14ac:dyDescent="0.3"/>
    <row r="59" spans="2:8" s="1" customFormat="1" ht="18.75" x14ac:dyDescent="0.3">
      <c r="B59" s="1" t="s">
        <v>31</v>
      </c>
      <c r="C59" s="25">
        <f>IRR(C57:H57,0.2)</f>
        <v>0.30978080060418622</v>
      </c>
    </row>
    <row r="61" spans="2:8" ht="18.75" x14ac:dyDescent="0.3">
      <c r="B61" s="41" t="s">
        <v>71</v>
      </c>
    </row>
    <row r="62" spans="2:8" ht="18.75" x14ac:dyDescent="0.3">
      <c r="B62" s="1" t="s">
        <v>72</v>
      </c>
      <c r="C62" s="1">
        <v>0.05</v>
      </c>
    </row>
    <row r="63" spans="2:8" ht="18.75" x14ac:dyDescent="0.3">
      <c r="B63" s="1" t="s">
        <v>73</v>
      </c>
      <c r="C63" s="1">
        <v>0.05</v>
      </c>
    </row>
    <row r="64" spans="2:8" ht="18.75" x14ac:dyDescent="0.3">
      <c r="B64" s="1" t="s">
        <v>74</v>
      </c>
      <c r="C64" s="42">
        <f>MIRR(C57:H57,C63,C62)</f>
        <v>0.26280367233078894</v>
      </c>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06"/>
  <sheetViews>
    <sheetView topLeftCell="A10" zoomScale="90" zoomScaleNormal="90" workbookViewId="0">
      <selection activeCell="C24" sqref="C24"/>
    </sheetView>
  </sheetViews>
  <sheetFormatPr defaultRowHeight="15" x14ac:dyDescent="0.25"/>
  <cols>
    <col min="1" max="1" width="11.85546875" customWidth="1"/>
    <col min="2" max="2" width="13.140625" customWidth="1"/>
    <col min="3" max="3" width="26.5703125" customWidth="1"/>
    <col min="4" max="7" width="13.7109375" customWidth="1"/>
    <col min="8" max="8" width="16" customWidth="1"/>
    <col min="9" max="9" width="16.140625" customWidth="1"/>
    <col min="17" max="17" width="13.28515625" customWidth="1"/>
    <col min="18" max="18" width="15.5703125" customWidth="1"/>
  </cols>
  <sheetData>
    <row r="1" spans="1:4" ht="18.75" x14ac:dyDescent="0.3">
      <c r="A1" s="35" t="s">
        <v>70</v>
      </c>
    </row>
    <row r="2" spans="1:4" s="1" customFormat="1" ht="18.75" x14ac:dyDescent="0.3"/>
    <row r="3" spans="1:4" s="1" customFormat="1" ht="18.75" x14ac:dyDescent="0.3">
      <c r="A3" s="1" t="s">
        <v>6</v>
      </c>
      <c r="C3" s="88">
        <f>'Unlveveraged (no tax)'!C3</f>
        <v>1000000</v>
      </c>
    </row>
    <row r="4" spans="1:4" s="1" customFormat="1" ht="18.75" x14ac:dyDescent="0.3">
      <c r="A4" s="70" t="s">
        <v>47</v>
      </c>
      <c r="B4" s="71">
        <v>0.15</v>
      </c>
      <c r="C4" s="72">
        <f>C3*B4</f>
        <v>150000</v>
      </c>
      <c r="D4" s="70"/>
    </row>
    <row r="5" spans="1:4" s="1" customFormat="1" ht="18.75" x14ac:dyDescent="0.3">
      <c r="A5" s="70" t="s">
        <v>48</v>
      </c>
      <c r="B5" s="71">
        <v>0.85</v>
      </c>
      <c r="C5" s="72">
        <f>C3*B5</f>
        <v>850000</v>
      </c>
      <c r="D5" s="70"/>
    </row>
    <row r="6" spans="1:4" s="1" customFormat="1" ht="18.75" x14ac:dyDescent="0.3">
      <c r="A6" s="70" t="s">
        <v>50</v>
      </c>
      <c r="B6" s="73"/>
      <c r="C6" s="74">
        <v>39</v>
      </c>
      <c r="D6" s="70" t="s">
        <v>19</v>
      </c>
    </row>
    <row r="7" spans="1:4" s="1" customFormat="1" ht="18.75" x14ac:dyDescent="0.3">
      <c r="A7" s="70" t="s">
        <v>49</v>
      </c>
      <c r="B7" s="70"/>
      <c r="C7" s="72">
        <f>C5/C6</f>
        <v>21794.871794871793</v>
      </c>
      <c r="D7" s="70"/>
    </row>
    <row r="8" spans="1:4" s="1" customFormat="1" ht="18.75" x14ac:dyDescent="0.3">
      <c r="C8" s="13"/>
    </row>
    <row r="9" spans="1:4" s="1" customFormat="1" ht="18.75" x14ac:dyDescent="0.3">
      <c r="A9" s="1" t="s">
        <v>7</v>
      </c>
      <c r="C9" s="92">
        <f>'Unlveveraged (no tax)'!C4</f>
        <v>210000</v>
      </c>
    </row>
    <row r="10" spans="1:4" s="1" customFormat="1" ht="18.75" x14ac:dyDescent="0.3">
      <c r="A10" s="1" t="s">
        <v>8</v>
      </c>
      <c r="C10" s="93">
        <f>'Unlveveraged (no tax)'!C5</f>
        <v>0.02</v>
      </c>
    </row>
    <row r="11" spans="1:4" s="1" customFormat="1" ht="18.75" x14ac:dyDescent="0.3">
      <c r="A11" s="1" t="s">
        <v>9</v>
      </c>
      <c r="C11" s="93">
        <f>'Unlveveraged (no tax)'!C6</f>
        <v>0.08</v>
      </c>
    </row>
    <row r="12" spans="1:4" s="1" customFormat="1" ht="18.75" x14ac:dyDescent="0.3">
      <c r="A12" s="1" t="s">
        <v>10</v>
      </c>
      <c r="C12" s="93">
        <f>'Unlveveraged (no tax)'!C7</f>
        <v>0.42</v>
      </c>
      <c r="D12" s="1" t="s">
        <v>11</v>
      </c>
    </row>
    <row r="13" spans="1:4" s="1" customFormat="1" ht="18.75" x14ac:dyDescent="0.3">
      <c r="A13" s="1" t="s">
        <v>12</v>
      </c>
      <c r="C13" s="90">
        <f>'Unlveveraged (no tax)'!C8</f>
        <v>0</v>
      </c>
      <c r="D13" s="1" t="s">
        <v>11</v>
      </c>
    </row>
    <row r="14" spans="1:4" s="1" customFormat="1" ht="18.75" x14ac:dyDescent="0.3">
      <c r="A14" s="1" t="s">
        <v>13</v>
      </c>
      <c r="C14" s="93">
        <f>'Unlveveraged (no tax)'!C9</f>
        <v>0.09</v>
      </c>
    </row>
    <row r="15" spans="1:4" s="1" customFormat="1" ht="18.75" x14ac:dyDescent="0.3">
      <c r="A15" s="1" t="s">
        <v>14</v>
      </c>
      <c r="C15" s="91">
        <f>'Unlveveraged (no tax)'!C10</f>
        <v>5</v>
      </c>
    </row>
    <row r="16" spans="1:4" s="1" customFormat="1" ht="18.75" x14ac:dyDescent="0.3">
      <c r="A16" s="1" t="s">
        <v>15</v>
      </c>
      <c r="C16" s="92">
        <f>'Unlveveraged (no tax)'!C11</f>
        <v>48750</v>
      </c>
    </row>
    <row r="17" spans="1:8" s="1" customFormat="1" ht="18.75" x14ac:dyDescent="0.3">
      <c r="C17" s="91"/>
    </row>
    <row r="18" spans="1:8" s="1" customFormat="1" ht="18.75" x14ac:dyDescent="0.3">
      <c r="A18" s="1" t="s">
        <v>16</v>
      </c>
      <c r="C18" s="88">
        <f>'Leveraged (no tax)'!C13</f>
        <v>700000</v>
      </c>
      <c r="D18" s="31">
        <f>C18/C3</f>
        <v>0.7</v>
      </c>
      <c r="E18" s="1" t="s">
        <v>67</v>
      </c>
    </row>
    <row r="19" spans="1:8" s="1" customFormat="1" ht="18.75" x14ac:dyDescent="0.3">
      <c r="A19" s="1" t="s">
        <v>17</v>
      </c>
      <c r="C19" s="93">
        <f>'Leveraged (no tax)'!C14</f>
        <v>0.08</v>
      </c>
    </row>
    <row r="20" spans="1:8" s="1" customFormat="1" ht="18.75" x14ac:dyDescent="0.3">
      <c r="A20" s="1" t="s">
        <v>18</v>
      </c>
      <c r="C20" s="91">
        <f>'Leveraged (no tax)'!C15</f>
        <v>30</v>
      </c>
      <c r="D20" s="1" t="s">
        <v>19</v>
      </c>
    </row>
    <row r="21" spans="1:8" s="1" customFormat="1" ht="18.75" x14ac:dyDescent="0.3">
      <c r="A21" s="1" t="s">
        <v>20</v>
      </c>
      <c r="C21" s="93">
        <f>'Leveraged (no tax)'!C16</f>
        <v>0</v>
      </c>
      <c r="D21" s="1" t="s">
        <v>108</v>
      </c>
    </row>
    <row r="22" spans="1:8" s="1" customFormat="1" ht="18.75" x14ac:dyDescent="0.3">
      <c r="C22" s="15"/>
    </row>
    <row r="23" spans="1:8" s="1" customFormat="1" ht="18.75" x14ac:dyDescent="0.3">
      <c r="A23" s="1" t="s">
        <v>5</v>
      </c>
      <c r="C23" s="106">
        <v>0.125</v>
      </c>
      <c r="E23" s="40" t="s">
        <v>76</v>
      </c>
    </row>
    <row r="24" spans="1:8" s="1" customFormat="1" ht="18.75" x14ac:dyDescent="0.3">
      <c r="A24" s="1" t="s">
        <v>43</v>
      </c>
      <c r="C24" s="30">
        <f>-PMT($C$19/12,$C$20*12,$C$18)*12</f>
        <v>61636.224205867591</v>
      </c>
      <c r="D24" s="1" t="s">
        <v>114</v>
      </c>
    </row>
    <row r="25" spans="1:8" s="1" customFormat="1" ht="18.75" x14ac:dyDescent="0.3">
      <c r="C25" s="15"/>
    </row>
    <row r="26" spans="1:8" s="1" customFormat="1" ht="18.75" x14ac:dyDescent="0.3">
      <c r="A26" s="1" t="s">
        <v>27</v>
      </c>
      <c r="C26" s="94">
        <f>C3-C18+C18*C21</f>
        <v>300000</v>
      </c>
    </row>
    <row r="27" spans="1:8" s="1" customFormat="1" ht="18.75" x14ac:dyDescent="0.3"/>
    <row r="28" spans="1:8" s="1" customFormat="1" ht="18.75" x14ac:dyDescent="0.3">
      <c r="A28" s="70" t="s">
        <v>61</v>
      </c>
      <c r="B28" s="70"/>
      <c r="C28" s="71">
        <v>0.3</v>
      </c>
      <c r="D28" s="70"/>
    </row>
    <row r="29" spans="1:8" s="1" customFormat="1" ht="18.75" x14ac:dyDescent="0.3">
      <c r="A29" s="70" t="s">
        <v>62</v>
      </c>
      <c r="B29" s="70"/>
      <c r="C29" s="71">
        <v>0.25</v>
      </c>
      <c r="D29" s="70"/>
    </row>
    <row r="30" spans="1:8" s="1" customFormat="1" ht="18.75" x14ac:dyDescent="0.3">
      <c r="A30" s="70" t="s">
        <v>63</v>
      </c>
      <c r="B30" s="70"/>
      <c r="C30" s="71">
        <v>0.15</v>
      </c>
      <c r="D30" s="70"/>
    </row>
    <row r="31" spans="1:8" s="1" customFormat="1" ht="18.75" x14ac:dyDescent="0.3"/>
    <row r="32" spans="1:8" ht="18.75" x14ac:dyDescent="0.3">
      <c r="B32" s="1"/>
      <c r="C32" s="1"/>
      <c r="D32" s="1"/>
      <c r="E32" s="1"/>
      <c r="F32" s="1"/>
      <c r="G32" s="1"/>
      <c r="H32" s="1"/>
    </row>
    <row r="33" spans="2:9" ht="18.75" x14ac:dyDescent="0.3">
      <c r="B33" s="20" t="s">
        <v>4</v>
      </c>
      <c r="C33" s="1"/>
      <c r="D33" s="2">
        <v>1</v>
      </c>
      <c r="E33" s="2">
        <v>2</v>
      </c>
      <c r="F33" s="2">
        <v>3</v>
      </c>
      <c r="G33" s="2">
        <v>4</v>
      </c>
      <c r="H33" s="2">
        <v>5</v>
      </c>
      <c r="I33" s="2">
        <v>6</v>
      </c>
    </row>
    <row r="34" spans="2:9" ht="18.75" x14ac:dyDescent="0.3">
      <c r="B34" s="1" t="s">
        <v>7</v>
      </c>
      <c r="C34" s="1"/>
      <c r="D34" s="7">
        <f>$C$9*(1+$C$10)^(D33-1)</f>
        <v>210000</v>
      </c>
      <c r="E34" s="7">
        <f t="shared" ref="E34:I34" si="0">$C$9*(1+$C$10)^(E33-1)</f>
        <v>214200</v>
      </c>
      <c r="F34" s="7">
        <f t="shared" si="0"/>
        <v>218484</v>
      </c>
      <c r="G34" s="7">
        <f t="shared" si="0"/>
        <v>222853.68</v>
      </c>
      <c r="H34" s="7">
        <f t="shared" si="0"/>
        <v>227310.7536</v>
      </c>
      <c r="I34" s="7">
        <f t="shared" si="0"/>
        <v>231856.96867200002</v>
      </c>
    </row>
    <row r="35" spans="2:9" ht="18.75" x14ac:dyDescent="0.3">
      <c r="B35" s="1" t="s">
        <v>21</v>
      </c>
      <c r="C35" s="1"/>
      <c r="D35" s="7"/>
      <c r="E35" s="3"/>
      <c r="F35" s="3"/>
      <c r="G35" s="3"/>
      <c r="H35" s="3"/>
      <c r="I35" s="9"/>
    </row>
    <row r="36" spans="2:9" ht="18.75" x14ac:dyDescent="0.3">
      <c r="B36" s="1" t="s">
        <v>22</v>
      </c>
      <c r="C36" s="1"/>
      <c r="D36" s="8">
        <f>-D34*$C$11</f>
        <v>-16800</v>
      </c>
      <c r="E36" s="8">
        <f t="shared" ref="E36:I36" si="1">-E34*$C$11</f>
        <v>-17136</v>
      </c>
      <c r="F36" s="8">
        <f t="shared" si="1"/>
        <v>-17478.72</v>
      </c>
      <c r="G36" s="8">
        <f t="shared" si="1"/>
        <v>-17828.294399999999</v>
      </c>
      <c r="H36" s="8">
        <f t="shared" si="1"/>
        <v>-18184.860288</v>
      </c>
      <c r="I36" s="10">
        <f t="shared" si="1"/>
        <v>-18548.557493760003</v>
      </c>
    </row>
    <row r="37" spans="2:9" ht="18.75" x14ac:dyDescent="0.3">
      <c r="B37" s="1" t="s">
        <v>23</v>
      </c>
      <c r="C37" s="1"/>
      <c r="D37" s="7">
        <f>D34+D36</f>
        <v>193200</v>
      </c>
      <c r="E37" s="7">
        <f t="shared" ref="E37:I37" si="2">E34+E36</f>
        <v>197064</v>
      </c>
      <c r="F37" s="7">
        <f t="shared" si="2"/>
        <v>201005.28</v>
      </c>
      <c r="G37" s="7">
        <f t="shared" si="2"/>
        <v>205025.38559999998</v>
      </c>
      <c r="H37" s="7">
        <f t="shared" si="2"/>
        <v>209125.893312</v>
      </c>
      <c r="I37" s="11">
        <f t="shared" si="2"/>
        <v>213308.41117824003</v>
      </c>
    </row>
    <row r="38" spans="2:9" ht="18.75" x14ac:dyDescent="0.3">
      <c r="B38" s="1" t="s">
        <v>21</v>
      </c>
      <c r="C38" s="1"/>
      <c r="D38" s="7"/>
      <c r="E38" s="7"/>
      <c r="F38" s="7"/>
      <c r="G38" s="7"/>
      <c r="H38" s="7"/>
      <c r="I38" s="11"/>
    </row>
    <row r="39" spans="2:9" ht="18.75" x14ac:dyDescent="0.3">
      <c r="B39" s="1" t="s">
        <v>24</v>
      </c>
      <c r="C39" s="1"/>
      <c r="D39" s="7">
        <f>-D37*$C$12</f>
        <v>-81144</v>
      </c>
      <c r="E39" s="7">
        <f t="shared" ref="E39:I39" si="3">-E37*$C$12</f>
        <v>-82766.87999999999</v>
      </c>
      <c r="F39" s="7">
        <f t="shared" si="3"/>
        <v>-84422.217600000004</v>
      </c>
      <c r="G39" s="7">
        <f t="shared" si="3"/>
        <v>-86110.661951999995</v>
      </c>
      <c r="H39" s="7">
        <f t="shared" si="3"/>
        <v>-87832.875191040002</v>
      </c>
      <c r="I39" s="11">
        <f t="shared" si="3"/>
        <v>-89589.532694860813</v>
      </c>
    </row>
    <row r="40" spans="2:9" ht="18.75" x14ac:dyDescent="0.3">
      <c r="B40" s="1" t="s">
        <v>25</v>
      </c>
      <c r="C40" s="1"/>
      <c r="D40" s="8">
        <f>-D37*$C$13</f>
        <v>0</v>
      </c>
      <c r="E40" s="8">
        <f t="shared" ref="E40:I40" si="4">-E37*$C$13</f>
        <v>0</v>
      </c>
      <c r="F40" s="8">
        <f t="shared" si="4"/>
        <v>0</v>
      </c>
      <c r="G40" s="8">
        <f t="shared" si="4"/>
        <v>0</v>
      </c>
      <c r="H40" s="8">
        <f t="shared" si="4"/>
        <v>0</v>
      </c>
      <c r="I40" s="10">
        <f t="shared" si="4"/>
        <v>0</v>
      </c>
    </row>
    <row r="41" spans="2:9" ht="18.75" x14ac:dyDescent="0.3">
      <c r="B41" s="1" t="s">
        <v>0</v>
      </c>
      <c r="C41" s="3"/>
      <c r="D41" s="3">
        <f>SUM(D37:D40)</f>
        <v>112056</v>
      </c>
      <c r="E41" s="3">
        <f t="shared" ref="E41:I41" si="5">SUM(E37:E40)</f>
        <v>114297.12000000001</v>
      </c>
      <c r="F41" s="3">
        <f t="shared" si="5"/>
        <v>116583.0624</v>
      </c>
      <c r="G41" s="3">
        <f t="shared" si="5"/>
        <v>118914.72364799998</v>
      </c>
      <c r="H41" s="3">
        <f t="shared" si="5"/>
        <v>121293.01812096</v>
      </c>
      <c r="I41" s="9">
        <f t="shared" si="5"/>
        <v>123718.87848337922</v>
      </c>
    </row>
    <row r="42" spans="2:9" ht="18.75" x14ac:dyDescent="0.3">
      <c r="B42" s="1"/>
      <c r="C42" s="3"/>
      <c r="D42" s="3"/>
      <c r="E42" s="3"/>
      <c r="F42" s="3"/>
      <c r="G42" s="3"/>
      <c r="H42" s="3"/>
      <c r="I42" s="9"/>
    </row>
    <row r="43" spans="2:9" ht="18.75" x14ac:dyDescent="0.3">
      <c r="B43" s="20" t="s">
        <v>36</v>
      </c>
      <c r="C43" s="3"/>
      <c r="D43" s="3"/>
      <c r="E43" s="3"/>
      <c r="F43" s="3"/>
      <c r="G43" s="3"/>
      <c r="H43" s="3"/>
      <c r="I43" s="9"/>
    </row>
    <row r="44" spans="2:9" ht="18.75" x14ac:dyDescent="0.3">
      <c r="B44" s="43" t="s">
        <v>37</v>
      </c>
      <c r="C44" s="44"/>
      <c r="D44" s="44">
        <f>-D40</f>
        <v>0</v>
      </c>
      <c r="E44" s="44">
        <f t="shared" ref="E44:H44" si="6">-E40</f>
        <v>0</v>
      </c>
      <c r="F44" s="44">
        <f t="shared" si="6"/>
        <v>0</v>
      </c>
      <c r="G44" s="44">
        <f t="shared" si="6"/>
        <v>0</v>
      </c>
      <c r="H44" s="44">
        <f t="shared" si="6"/>
        <v>0</v>
      </c>
      <c r="I44" s="9"/>
    </row>
    <row r="45" spans="2:9" ht="18.75" x14ac:dyDescent="0.3">
      <c r="B45" s="43" t="s">
        <v>38</v>
      </c>
      <c r="C45" s="44"/>
      <c r="D45" s="45">
        <f>-D93</f>
        <v>-55788.676339071564</v>
      </c>
      <c r="E45" s="45">
        <f t="shared" ref="E45:H45" si="7">-E93</f>
        <v>-55303.33275009584</v>
      </c>
      <c r="F45" s="45">
        <f t="shared" si="7"/>
        <v>-54777.705882600945</v>
      </c>
      <c r="G45" s="45">
        <f t="shared" si="7"/>
        <v>-54208.452244339831</v>
      </c>
      <c r="H45" s="45">
        <f t="shared" si="7"/>
        <v>-53591.950834854244</v>
      </c>
      <c r="I45" s="9"/>
    </row>
    <row r="46" spans="2:9" ht="18.75" x14ac:dyDescent="0.3">
      <c r="B46" s="43" t="s">
        <v>46</v>
      </c>
      <c r="C46" s="44"/>
      <c r="D46" s="44">
        <f>-$C$7</f>
        <v>-21794.871794871793</v>
      </c>
      <c r="E46" s="44">
        <f t="shared" ref="E46:H46" si="8">-$C$7</f>
        <v>-21794.871794871793</v>
      </c>
      <c r="F46" s="44">
        <f t="shared" si="8"/>
        <v>-21794.871794871793</v>
      </c>
      <c r="G46" s="44">
        <f t="shared" si="8"/>
        <v>-21794.871794871793</v>
      </c>
      <c r="H46" s="44">
        <f t="shared" si="8"/>
        <v>-21794.871794871793</v>
      </c>
      <c r="I46" s="9"/>
    </row>
    <row r="47" spans="2:9" ht="18.75" x14ac:dyDescent="0.3">
      <c r="B47" s="43" t="s">
        <v>51</v>
      </c>
      <c r="C47" s="44"/>
      <c r="D47" s="46">
        <f>-($C$18*$C$21/$C$20)</f>
        <v>0</v>
      </c>
      <c r="E47" s="46">
        <f t="shared" ref="E47:H47" si="9">-($C$18*$C$21/$C$20)</f>
        <v>0</v>
      </c>
      <c r="F47" s="46">
        <f t="shared" si="9"/>
        <v>0</v>
      </c>
      <c r="G47" s="46">
        <f t="shared" si="9"/>
        <v>0</v>
      </c>
      <c r="H47" s="46">
        <f t="shared" si="9"/>
        <v>0</v>
      </c>
      <c r="I47" s="33" t="s">
        <v>52</v>
      </c>
    </row>
    <row r="48" spans="2:9" ht="18.75" x14ac:dyDescent="0.3">
      <c r="B48" s="43" t="s">
        <v>53</v>
      </c>
      <c r="C48" s="44"/>
      <c r="D48" s="44">
        <f>SUM(D41:D47)</f>
        <v>34472.451866056639</v>
      </c>
      <c r="E48" s="44">
        <f t="shared" ref="E48:H48" si="10">SUM(E41:E47)</f>
        <v>37198.915455032373</v>
      </c>
      <c r="F48" s="44">
        <f t="shared" si="10"/>
        <v>40010.484722527253</v>
      </c>
      <c r="G48" s="44">
        <f t="shared" si="10"/>
        <v>42911.399608788357</v>
      </c>
      <c r="H48" s="44">
        <f t="shared" si="10"/>
        <v>45906.195491233957</v>
      </c>
      <c r="I48" s="9"/>
    </row>
    <row r="49" spans="2:18" ht="18.75" x14ac:dyDescent="0.3">
      <c r="B49" s="43" t="s">
        <v>54</v>
      </c>
      <c r="C49" s="44"/>
      <c r="D49" s="47">
        <f>$C$28</f>
        <v>0.3</v>
      </c>
      <c r="E49" s="47">
        <f t="shared" ref="E49:H49" si="11">$C$28</f>
        <v>0.3</v>
      </c>
      <c r="F49" s="47">
        <f t="shared" si="11"/>
        <v>0.3</v>
      </c>
      <c r="G49" s="47">
        <f t="shared" si="11"/>
        <v>0.3</v>
      </c>
      <c r="H49" s="47">
        <f t="shared" si="11"/>
        <v>0.3</v>
      </c>
      <c r="I49" s="9"/>
    </row>
    <row r="50" spans="2:18" ht="18.75" x14ac:dyDescent="0.3">
      <c r="B50" s="43" t="s">
        <v>55</v>
      </c>
      <c r="C50" s="44"/>
      <c r="D50" s="44">
        <f>D48*D49</f>
        <v>10341.735559816991</v>
      </c>
      <c r="E50" s="44">
        <f t="shared" ref="E50:H50" si="12">E48*E49</f>
        <v>11159.674636509711</v>
      </c>
      <c r="F50" s="44">
        <f t="shared" si="12"/>
        <v>12003.145416758176</v>
      </c>
      <c r="G50" s="44">
        <f t="shared" si="12"/>
        <v>12873.419882636506</v>
      </c>
      <c r="H50" s="44">
        <f t="shared" si="12"/>
        <v>13771.858647370187</v>
      </c>
      <c r="I50" s="9"/>
    </row>
    <row r="51" spans="2:18" ht="18.75" x14ac:dyDescent="0.3">
      <c r="B51" s="1"/>
      <c r="C51" s="3"/>
      <c r="D51" s="3"/>
      <c r="E51" s="3"/>
      <c r="F51" s="3"/>
      <c r="G51" s="3"/>
      <c r="H51" s="3"/>
      <c r="I51" s="9"/>
    </row>
    <row r="52" spans="2:18" ht="18.75" x14ac:dyDescent="0.3">
      <c r="B52" s="20" t="s">
        <v>56</v>
      </c>
      <c r="C52" s="3"/>
      <c r="D52" s="3"/>
      <c r="E52" s="3"/>
      <c r="F52" s="3"/>
      <c r="G52" s="3"/>
      <c r="H52" s="3"/>
      <c r="I52" s="9"/>
    </row>
    <row r="53" spans="2:18" ht="18.75" x14ac:dyDescent="0.3">
      <c r="B53" s="1" t="s">
        <v>57</v>
      </c>
      <c r="C53" s="3"/>
      <c r="D53" s="3">
        <f>D41</f>
        <v>112056</v>
      </c>
      <c r="E53" s="3">
        <f t="shared" ref="E53:H53" si="13">E41</f>
        <v>114297.12000000001</v>
      </c>
      <c r="F53" s="3">
        <f t="shared" si="13"/>
        <v>116583.0624</v>
      </c>
      <c r="G53" s="3">
        <f t="shared" si="13"/>
        <v>118914.72364799998</v>
      </c>
      <c r="H53" s="3">
        <f t="shared" si="13"/>
        <v>121293.01812096</v>
      </c>
      <c r="I53" s="9"/>
    </row>
    <row r="54" spans="2:18" ht="18.75" x14ac:dyDescent="0.3">
      <c r="B54" s="1" t="s">
        <v>26</v>
      </c>
      <c r="C54" s="3"/>
      <c r="D54" s="4">
        <f>-$C$24</f>
        <v>-61636.224205867591</v>
      </c>
      <c r="E54" s="4">
        <f t="shared" ref="E54:H54" si="14">-$C$24</f>
        <v>-61636.224205867591</v>
      </c>
      <c r="F54" s="4">
        <f t="shared" si="14"/>
        <v>-61636.224205867591</v>
      </c>
      <c r="G54" s="4">
        <f t="shared" si="14"/>
        <v>-61636.224205867591</v>
      </c>
      <c r="H54" s="4">
        <f t="shared" si="14"/>
        <v>-61636.224205867591</v>
      </c>
      <c r="I54" s="9"/>
    </row>
    <row r="55" spans="2:18" ht="18.75" x14ac:dyDescent="0.3">
      <c r="B55" s="1" t="s">
        <v>121</v>
      </c>
      <c r="C55" s="3"/>
      <c r="D55" s="3">
        <f>SUM(D53:D54)</f>
        <v>50419.775794132409</v>
      </c>
      <c r="E55" s="3">
        <f t="shared" ref="E55:H55" si="15">SUM(E53:E54)</f>
        <v>52660.895794132419</v>
      </c>
      <c r="F55" s="3">
        <f t="shared" si="15"/>
        <v>54946.838194132404</v>
      </c>
      <c r="G55" s="3">
        <f t="shared" si="15"/>
        <v>57278.499442132394</v>
      </c>
      <c r="H55" s="3">
        <f t="shared" si="15"/>
        <v>59656.793915092407</v>
      </c>
      <c r="I55" s="9"/>
    </row>
    <row r="56" spans="2:18" ht="18.75" x14ac:dyDescent="0.3">
      <c r="B56" s="1" t="s">
        <v>58</v>
      </c>
      <c r="C56" s="3"/>
      <c r="D56" s="4">
        <f>-D50</f>
        <v>-10341.735559816991</v>
      </c>
      <c r="E56" s="4">
        <f t="shared" ref="E56:H56" si="16">-E50</f>
        <v>-11159.674636509711</v>
      </c>
      <c r="F56" s="4">
        <f t="shared" si="16"/>
        <v>-12003.145416758176</v>
      </c>
      <c r="G56" s="4">
        <f t="shared" si="16"/>
        <v>-12873.419882636506</v>
      </c>
      <c r="H56" s="4">
        <f t="shared" si="16"/>
        <v>-13771.858647370187</v>
      </c>
      <c r="I56" s="9"/>
    </row>
    <row r="57" spans="2:18" ht="18.75" x14ac:dyDescent="0.3">
      <c r="B57" s="1" t="s">
        <v>59</v>
      </c>
      <c r="C57" s="3"/>
      <c r="D57" s="3">
        <f>SUM(D55:D56)</f>
        <v>40078.04023431542</v>
      </c>
      <c r="E57" s="3">
        <f t="shared" ref="E57:H57" si="17">SUM(E55:E56)</f>
        <v>41501.221157622706</v>
      </c>
      <c r="F57" s="3">
        <f t="shared" si="17"/>
        <v>42943.692777374228</v>
      </c>
      <c r="G57" s="3">
        <f t="shared" si="17"/>
        <v>44405.079559495891</v>
      </c>
      <c r="H57" s="3">
        <f t="shared" si="17"/>
        <v>45884.93526772222</v>
      </c>
      <c r="I57" s="9"/>
      <c r="M57" s="75" t="s">
        <v>95</v>
      </c>
    </row>
    <row r="58" spans="2:18" ht="18.75" x14ac:dyDescent="0.3">
      <c r="B58" s="1"/>
      <c r="C58" s="3"/>
      <c r="D58" s="3"/>
      <c r="E58" s="3"/>
      <c r="F58" s="3"/>
      <c r="G58" s="3"/>
      <c r="H58" s="3"/>
      <c r="I58" s="9"/>
    </row>
    <row r="59" spans="2:18" ht="18.75" x14ac:dyDescent="0.3">
      <c r="B59" s="20" t="s">
        <v>65</v>
      </c>
      <c r="C59" s="3"/>
      <c r="D59" s="3"/>
      <c r="E59" s="3"/>
      <c r="F59" s="3"/>
      <c r="G59" s="3"/>
      <c r="H59" s="3"/>
      <c r="I59" s="9"/>
      <c r="M59" t="s">
        <v>94</v>
      </c>
      <c r="R59" s="48">
        <f>I61</f>
        <v>1326250</v>
      </c>
    </row>
    <row r="60" spans="2:18" ht="18.75" x14ac:dyDescent="0.3">
      <c r="B60" s="1" t="s">
        <v>32</v>
      </c>
      <c r="C60" s="3"/>
      <c r="D60" s="12"/>
      <c r="E60" s="12"/>
      <c r="F60" s="12"/>
      <c r="G60" s="12"/>
      <c r="H60" s="22">
        <f>ROUND(I41/$C$14,-3)</f>
        <v>1375000</v>
      </c>
      <c r="I60" s="27"/>
      <c r="M60" t="s">
        <v>77</v>
      </c>
    </row>
    <row r="61" spans="2:18" ht="18.75" x14ac:dyDescent="0.3">
      <c r="B61" s="1" t="s">
        <v>33</v>
      </c>
      <c r="C61" s="3"/>
      <c r="D61" s="12"/>
      <c r="E61" s="12"/>
      <c r="F61" s="12"/>
      <c r="G61" s="12"/>
      <c r="H61" s="12">
        <f>-C16</f>
        <v>-48750</v>
      </c>
      <c r="I61" s="97">
        <f>H60+H61</f>
        <v>1326250</v>
      </c>
      <c r="J61" t="s">
        <v>75</v>
      </c>
      <c r="M61" t="s">
        <v>78</v>
      </c>
      <c r="Q61" s="49">
        <f>C3</f>
        <v>1000000</v>
      </c>
    </row>
    <row r="62" spans="2:18" ht="18.75" x14ac:dyDescent="0.3">
      <c r="B62" s="1" t="s">
        <v>60</v>
      </c>
      <c r="C62" s="3"/>
      <c r="D62" s="12"/>
      <c r="E62" s="12"/>
      <c r="F62" s="12"/>
      <c r="G62" s="12"/>
      <c r="H62" s="22">
        <f>SUM(D46:H46)*C29</f>
        <v>-27243.589743589742</v>
      </c>
      <c r="I62" s="28"/>
      <c r="M62" t="s">
        <v>79</v>
      </c>
      <c r="Q62" s="48">
        <f>-SUM(D40:H40)</f>
        <v>0</v>
      </c>
    </row>
    <row r="63" spans="2:18" ht="18.75" x14ac:dyDescent="0.3">
      <c r="B63" s="1" t="s">
        <v>64</v>
      </c>
      <c r="C63" s="3"/>
      <c r="D63" s="12"/>
      <c r="E63" s="12"/>
      <c r="F63" s="12"/>
      <c r="G63" s="12"/>
      <c r="H63" s="22">
        <f>-(I61-C3+SUM(D40:H40)-((C18*C21)+SUM(D47:H47)))*C30</f>
        <v>-48937.5</v>
      </c>
      <c r="I63" s="97">
        <f>H62+H63</f>
        <v>-76181.08974358975</v>
      </c>
      <c r="J63" t="s">
        <v>107</v>
      </c>
      <c r="M63" t="s">
        <v>80</v>
      </c>
      <c r="Q63" s="50">
        <f>SUM(D46:H46)</f>
        <v>-108974.35897435897</v>
      </c>
    </row>
    <row r="64" spans="2:18" ht="18.75" x14ac:dyDescent="0.3">
      <c r="B64" s="1" t="s">
        <v>34</v>
      </c>
      <c r="C64" s="3"/>
      <c r="D64" s="12"/>
      <c r="E64" s="12"/>
      <c r="F64" s="12"/>
      <c r="G64" s="12"/>
      <c r="H64" s="29">
        <f>PV($C$19/12,(360-12*H33),$C$24/12)</f>
        <v>-665488.99702162447</v>
      </c>
      <c r="N64" t="s">
        <v>81</v>
      </c>
      <c r="R64" s="51">
        <f>SUM(Q61:Q63)</f>
        <v>891025.641025641</v>
      </c>
    </row>
    <row r="65" spans="1:18" ht="18.75" x14ac:dyDescent="0.3">
      <c r="B65" s="1" t="s">
        <v>66</v>
      </c>
      <c r="C65" s="3"/>
      <c r="D65" s="12"/>
      <c r="E65" s="12"/>
      <c r="F65" s="12"/>
      <c r="G65" s="12"/>
      <c r="H65" s="96">
        <f>SUM(H60:H64)</f>
        <v>584579.91323478578</v>
      </c>
      <c r="M65" t="s">
        <v>82</v>
      </c>
      <c r="R65" s="48">
        <f>R59-R64</f>
        <v>435224.358974359</v>
      </c>
    </row>
    <row r="66" spans="1:18" ht="18.75" x14ac:dyDescent="0.3">
      <c r="B66" s="1"/>
      <c r="C66" s="3"/>
      <c r="D66" s="12"/>
      <c r="E66" s="12"/>
      <c r="F66" s="12"/>
      <c r="G66" s="12"/>
      <c r="H66" s="34"/>
      <c r="M66" t="s">
        <v>83</v>
      </c>
    </row>
    <row r="67" spans="1:18" ht="19.5" thickBot="1" x14ac:dyDescent="0.35">
      <c r="B67" s="1" t="s">
        <v>93</v>
      </c>
      <c r="C67" s="3"/>
      <c r="D67" s="17">
        <f t="shared" ref="D67:G67" si="18">D57+D65</f>
        <v>40078.04023431542</v>
      </c>
      <c r="E67" s="17">
        <f t="shared" si="18"/>
        <v>41501.221157622706</v>
      </c>
      <c r="F67" s="17">
        <f t="shared" si="18"/>
        <v>42943.692777374228</v>
      </c>
      <c r="G67" s="17">
        <f t="shared" si="18"/>
        <v>44405.079559495891</v>
      </c>
      <c r="H67" s="17">
        <f>H57+H65</f>
        <v>630464.84850250802</v>
      </c>
      <c r="N67" t="s">
        <v>84</v>
      </c>
      <c r="Q67" s="52">
        <f>C18*C21</f>
        <v>0</v>
      </c>
    </row>
    <row r="68" spans="1:18" ht="19.5" thickTop="1" x14ac:dyDescent="0.3">
      <c r="B68" s="1"/>
      <c r="C68" s="3"/>
      <c r="D68" s="3"/>
      <c r="E68" s="3"/>
      <c r="F68" s="3"/>
      <c r="G68" s="3"/>
      <c r="H68" s="3"/>
      <c r="N68" t="s">
        <v>85</v>
      </c>
      <c r="Q68" s="50">
        <f>SUM(D47:H47)</f>
        <v>0</v>
      </c>
    </row>
    <row r="69" spans="1:18" ht="18.75" x14ac:dyDescent="0.3">
      <c r="B69" s="1" t="s">
        <v>1</v>
      </c>
      <c r="C69" s="3"/>
      <c r="D69" s="5">
        <f>1/(1+$C$23)^D33</f>
        <v>0.88888888888888884</v>
      </c>
      <c r="E69" s="5">
        <f>1/(1+$C$23)^E33</f>
        <v>0.79012345679012341</v>
      </c>
      <c r="F69" s="5">
        <f>1/(1+$C$23)^F33</f>
        <v>0.7023319615912208</v>
      </c>
      <c r="G69" s="5">
        <f>1/(1+$C$23)^G33</f>
        <v>0.62429507696997411</v>
      </c>
      <c r="H69" s="5">
        <f>1/(1+$C$23)^H33</f>
        <v>0.5549289573066436</v>
      </c>
      <c r="R69" s="53">
        <f>SUM(Q67:Q68)</f>
        <v>0</v>
      </c>
    </row>
    <row r="70" spans="1:18" ht="19.5" thickBot="1" x14ac:dyDescent="0.35">
      <c r="B70" s="1" t="s">
        <v>3</v>
      </c>
      <c r="C70" s="3"/>
      <c r="D70" s="3">
        <f>D67*D69</f>
        <v>35624.924652724818</v>
      </c>
      <c r="E70" s="3">
        <f>E67*E69</f>
        <v>32791.088322072261</v>
      </c>
      <c r="F70" s="3">
        <f>F67*F69</f>
        <v>30160.727986303984</v>
      </c>
      <c r="G70" s="3">
        <f>G67*G69</f>
        <v>27721.87256145331</v>
      </c>
      <c r="H70" s="3">
        <f>H67*H69</f>
        <v>349863.20099798782</v>
      </c>
      <c r="N70" t="s">
        <v>86</v>
      </c>
      <c r="R70" s="54">
        <f>R65-R69</f>
        <v>435224.358974359</v>
      </c>
    </row>
    <row r="71" spans="1:18" ht="19.5" thickTop="1" x14ac:dyDescent="0.3">
      <c r="B71" s="1" t="s">
        <v>106</v>
      </c>
      <c r="C71" s="26">
        <f>SUM(D70:H70)</f>
        <v>476161.81452054216</v>
      </c>
      <c r="D71" s="3"/>
      <c r="E71" s="3"/>
      <c r="F71" s="3"/>
      <c r="G71" s="3"/>
      <c r="H71" s="3"/>
    </row>
    <row r="72" spans="1:18" ht="18.75" x14ac:dyDescent="0.3">
      <c r="A72" s="78" t="s">
        <v>104</v>
      </c>
      <c r="B72" s="1" t="s">
        <v>105</v>
      </c>
      <c r="C72" s="26">
        <f>NPV(C23,D67:H67)</f>
        <v>476161.81452054222</v>
      </c>
      <c r="D72" s="3"/>
      <c r="E72" s="3"/>
      <c r="F72" s="3"/>
      <c r="G72" s="3"/>
      <c r="H72" s="3"/>
      <c r="M72" s="56" t="s">
        <v>87</v>
      </c>
    </row>
    <row r="73" spans="1:18" ht="18.75" x14ac:dyDescent="0.3">
      <c r="B73" s="1"/>
      <c r="C73" s="6"/>
      <c r="D73" s="3"/>
      <c r="E73" s="3"/>
      <c r="F73" s="3"/>
      <c r="G73" s="3"/>
      <c r="H73" s="3"/>
      <c r="M73" t="s">
        <v>88</v>
      </c>
      <c r="Q73" s="48">
        <f>-SUM(D46:H46)</f>
        <v>108974.35897435897</v>
      </c>
    </row>
    <row r="74" spans="1:18" ht="18.75" x14ac:dyDescent="0.3">
      <c r="B74" s="1" t="s">
        <v>28</v>
      </c>
      <c r="C74" s="6"/>
      <c r="D74" s="3"/>
      <c r="E74" s="3"/>
      <c r="F74" s="3"/>
      <c r="G74" s="3"/>
      <c r="H74" s="3"/>
      <c r="O74" t="s">
        <v>89</v>
      </c>
      <c r="Q74" s="55">
        <f>$C$29</f>
        <v>0.25</v>
      </c>
    </row>
    <row r="75" spans="1:18" ht="18.75" x14ac:dyDescent="0.3">
      <c r="B75" s="1"/>
      <c r="C75" s="18">
        <f>C26</f>
        <v>300000</v>
      </c>
      <c r="D75" s="3"/>
      <c r="E75" s="3"/>
      <c r="F75" s="3"/>
      <c r="G75" s="3"/>
      <c r="H75" s="3"/>
      <c r="R75" s="48">
        <f>Q73*Q74</f>
        <v>27243.589743589742</v>
      </c>
    </row>
    <row r="76" spans="1:18" ht="19.5" thickBot="1" x14ac:dyDescent="0.35">
      <c r="B76" s="1" t="s">
        <v>29</v>
      </c>
      <c r="C76" s="19">
        <f>C71-C75</f>
        <v>176161.81452054216</v>
      </c>
      <c r="D76" s="3"/>
      <c r="E76" s="3"/>
      <c r="F76" s="3"/>
      <c r="G76" s="3"/>
      <c r="H76" s="3"/>
      <c r="M76" t="s">
        <v>90</v>
      </c>
      <c r="Q76" s="48">
        <f>R70-Q73</f>
        <v>326250</v>
      </c>
    </row>
    <row r="77" spans="1:18" ht="19.5" thickTop="1" x14ac:dyDescent="0.3">
      <c r="B77" s="1"/>
      <c r="C77" s="1"/>
      <c r="D77" s="1"/>
      <c r="E77" s="1"/>
      <c r="F77" s="1"/>
      <c r="G77" s="1"/>
      <c r="H77" s="1"/>
      <c r="O77" t="s">
        <v>89</v>
      </c>
      <c r="Q77" s="55">
        <f>$C$30</f>
        <v>0.15</v>
      </c>
    </row>
    <row r="78" spans="1:18" ht="18.75" x14ac:dyDescent="0.3">
      <c r="B78" s="20" t="s">
        <v>99</v>
      </c>
      <c r="R78" s="50">
        <f>Q76*Q77</f>
        <v>48937.5</v>
      </c>
    </row>
    <row r="79" spans="1:18" s="1" customFormat="1" ht="19.5" thickBot="1" x14ac:dyDescent="0.35">
      <c r="C79" s="21"/>
      <c r="M79" s="56" t="s">
        <v>91</v>
      </c>
      <c r="R79" s="54">
        <f>SUM(R75:R78)</f>
        <v>76181.08974358975</v>
      </c>
    </row>
    <row r="80" spans="1:18" s="1" customFormat="1" ht="19.5" thickTop="1" x14ac:dyDescent="0.3">
      <c r="B80" s="1" t="s">
        <v>30</v>
      </c>
      <c r="C80" s="21">
        <f>-C26</f>
        <v>-300000</v>
      </c>
      <c r="D80" s="7">
        <f>D67</f>
        <v>40078.04023431542</v>
      </c>
      <c r="E80" s="7">
        <f t="shared" ref="E80:H80" si="19">E67</f>
        <v>41501.221157622706</v>
      </c>
      <c r="F80" s="7">
        <f t="shared" si="19"/>
        <v>42943.692777374228</v>
      </c>
      <c r="G80" s="7">
        <f t="shared" si="19"/>
        <v>44405.079559495891</v>
      </c>
      <c r="H80" s="7">
        <f t="shared" si="19"/>
        <v>630464.84850250802</v>
      </c>
    </row>
    <row r="81" spans="1:8" s="1" customFormat="1" ht="18.75" x14ac:dyDescent="0.3">
      <c r="B81" s="1" t="s">
        <v>31</v>
      </c>
      <c r="C81" s="25">
        <f>IRR(C80:H80,0.2)</f>
        <v>0.25542543508092264</v>
      </c>
    </row>
    <row r="82" spans="1:8" s="1" customFormat="1" ht="18.75" x14ac:dyDescent="0.3"/>
    <row r="83" spans="1:8" s="1" customFormat="1" ht="18.75" x14ac:dyDescent="0.3">
      <c r="B83" s="41" t="s">
        <v>71</v>
      </c>
      <c r="C83"/>
    </row>
    <row r="84" spans="1:8" s="1" customFormat="1" ht="18.75" x14ac:dyDescent="0.3">
      <c r="B84" s="1" t="s">
        <v>72</v>
      </c>
      <c r="C84" s="1">
        <v>0.05</v>
      </c>
    </row>
    <row r="85" spans="1:8" s="1" customFormat="1" ht="18.75" x14ac:dyDescent="0.3">
      <c r="B85" s="1" t="s">
        <v>73</v>
      </c>
      <c r="C85" s="1">
        <v>0.05</v>
      </c>
    </row>
    <row r="86" spans="1:8" s="1" customFormat="1" ht="18.75" x14ac:dyDescent="0.3">
      <c r="B86" s="1" t="s">
        <v>74</v>
      </c>
      <c r="C86" s="42">
        <f>MIRR(C80:H80,C85,C84)</f>
        <v>0.22310813956314846</v>
      </c>
    </row>
    <row r="87" spans="1:8" s="1" customFormat="1" ht="18.75" x14ac:dyDescent="0.3"/>
    <row r="88" spans="1:8" s="1" customFormat="1" ht="18.75" x14ac:dyDescent="0.3">
      <c r="B88" s="80" t="s">
        <v>45</v>
      </c>
      <c r="C88" s="70"/>
      <c r="D88" s="70"/>
      <c r="E88" s="70"/>
      <c r="F88" s="70"/>
      <c r="G88" s="70"/>
      <c r="H88" s="70"/>
    </row>
    <row r="89" spans="1:8" s="1" customFormat="1" ht="18.75" x14ac:dyDescent="0.3">
      <c r="B89" s="70" t="s">
        <v>44</v>
      </c>
      <c r="C89" s="70"/>
      <c r="D89" s="81">
        <f>C18</f>
        <v>700000</v>
      </c>
      <c r="E89" s="81">
        <f>D90</f>
        <v>694152.45213320397</v>
      </c>
      <c r="F89" s="81">
        <f t="shared" ref="F89:H89" si="20">E90</f>
        <v>687819.56067743222</v>
      </c>
      <c r="G89" s="81">
        <f t="shared" si="20"/>
        <v>680961.04235416558</v>
      </c>
      <c r="H89" s="81">
        <f t="shared" si="20"/>
        <v>673533.27039263782</v>
      </c>
    </row>
    <row r="90" spans="1:8" s="1" customFormat="1" ht="18.75" x14ac:dyDescent="0.3">
      <c r="B90" s="70" t="s">
        <v>39</v>
      </c>
      <c r="C90" s="70"/>
      <c r="D90" s="82">
        <f>-PV($C$19/12,(360-12*D33),$C$24/12)</f>
        <v>694152.45213320397</v>
      </c>
      <c r="E90" s="82">
        <f>-PV($C$19/12,(360-12*E33),$C$24/12)</f>
        <v>687819.56067743222</v>
      </c>
      <c r="F90" s="82">
        <f>-PV($C$19/12,(360-12*F33),$C$24/12)</f>
        <v>680961.04235416558</v>
      </c>
      <c r="G90" s="82">
        <f>-PV($C$19/12,(360-12*G33),$C$24/12)</f>
        <v>673533.27039263782</v>
      </c>
      <c r="H90" s="82">
        <f>-PV($C$19/12,(360-12*H33),$C$24/12)</f>
        <v>665488.99702162447</v>
      </c>
    </row>
    <row r="91" spans="1:8" s="1" customFormat="1" ht="18.75" x14ac:dyDescent="0.3">
      <c r="B91" s="70" t="s">
        <v>40</v>
      </c>
      <c r="C91" s="70"/>
      <c r="D91" s="83">
        <f>D89-D90</f>
        <v>5847.5478667960269</v>
      </c>
      <c r="E91" s="83">
        <f t="shared" ref="E91:H91" si="21">E89-E90</f>
        <v>6332.8914557717508</v>
      </c>
      <c r="F91" s="83">
        <f t="shared" si="21"/>
        <v>6858.5183232666459</v>
      </c>
      <c r="G91" s="83">
        <f t="shared" si="21"/>
        <v>7427.7719615277601</v>
      </c>
      <c r="H91" s="83">
        <f t="shared" si="21"/>
        <v>8044.2733710133471</v>
      </c>
    </row>
    <row r="92" spans="1:8" s="1" customFormat="1" ht="18.75" x14ac:dyDescent="0.3">
      <c r="B92" s="70" t="s">
        <v>41</v>
      </c>
      <c r="C92" s="70"/>
      <c r="D92" s="84">
        <f>$C$24</f>
        <v>61636.224205867591</v>
      </c>
      <c r="E92" s="84">
        <f t="shared" ref="E92:H92" si="22">$C$24</f>
        <v>61636.224205867591</v>
      </c>
      <c r="F92" s="84">
        <f t="shared" si="22"/>
        <v>61636.224205867591</v>
      </c>
      <c r="G92" s="84">
        <f t="shared" si="22"/>
        <v>61636.224205867591</v>
      </c>
      <c r="H92" s="84">
        <f t="shared" si="22"/>
        <v>61636.224205867591</v>
      </c>
    </row>
    <row r="93" spans="1:8" s="1" customFormat="1" ht="18.75" x14ac:dyDescent="0.3">
      <c r="B93" s="70" t="s">
        <v>42</v>
      </c>
      <c r="C93" s="70"/>
      <c r="D93" s="83">
        <f>D92-D91</f>
        <v>55788.676339071564</v>
      </c>
      <c r="E93" s="83">
        <f t="shared" ref="E93:H93" si="23">E92-E91</f>
        <v>55303.33275009584</v>
      </c>
      <c r="F93" s="83">
        <f t="shared" si="23"/>
        <v>54777.705882600945</v>
      </c>
      <c r="G93" s="83">
        <f t="shared" si="23"/>
        <v>54208.452244339831</v>
      </c>
      <c r="H93" s="83">
        <f t="shared" si="23"/>
        <v>53591.950834854244</v>
      </c>
    </row>
    <row r="94" spans="1:8" s="1" customFormat="1" ht="18.75" x14ac:dyDescent="0.3"/>
    <row r="95" spans="1:8" s="1" customFormat="1" ht="18.75" x14ac:dyDescent="0.3"/>
    <row r="96" spans="1:8" s="1" customFormat="1" ht="18.75" x14ac:dyDescent="0.3">
      <c r="A96" s="32" t="s">
        <v>52</v>
      </c>
      <c r="B96" s="1" t="s">
        <v>112</v>
      </c>
    </row>
    <row r="97" spans="1:1" s="1" customFormat="1" ht="18.75" x14ac:dyDescent="0.3">
      <c r="A97" s="32"/>
    </row>
    <row r="98" spans="1:1" s="1" customFormat="1" ht="18.75" x14ac:dyDescent="0.3"/>
    <row r="99" spans="1:1" s="1" customFormat="1" ht="18.75" x14ac:dyDescent="0.3"/>
    <row r="100" spans="1:1" s="1" customFormat="1" ht="18.75" x14ac:dyDescent="0.3"/>
    <row r="101" spans="1:1" s="1" customFormat="1" ht="18.75" x14ac:dyDescent="0.3"/>
    <row r="102" spans="1:1" s="1" customFormat="1" ht="18.75" x14ac:dyDescent="0.3"/>
    <row r="103" spans="1:1" s="1" customFormat="1" ht="18.75" x14ac:dyDescent="0.3"/>
    <row r="104" spans="1:1" s="1" customFormat="1" ht="18.75" x14ac:dyDescent="0.3"/>
    <row r="105" spans="1:1" s="1" customFormat="1" ht="18.75" x14ac:dyDescent="0.3"/>
    <row r="106" spans="1:1" s="1" customFormat="1" ht="18.75" x14ac:dyDescent="0.3"/>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Unlveveraged (no tax)</vt:lpstr>
      <vt:lpstr>Leveraged (no tax)</vt:lpstr>
      <vt:lpstr>Leveraged with 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dc:creator>
  <cp:lastModifiedBy>gdec</cp:lastModifiedBy>
  <cp:lastPrinted>2010-11-12T23:22:35Z</cp:lastPrinted>
  <dcterms:created xsi:type="dcterms:W3CDTF">2010-10-24T21:21:55Z</dcterms:created>
  <dcterms:modified xsi:type="dcterms:W3CDTF">2019-11-15T22:15:22Z</dcterms:modified>
</cp:coreProperties>
</file>