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twodegrees1-my.sharepoint.com/personal/rahul_kotian_slalom_com/Documents/Documents/Personal/UTD/Summer - 24/FIN-6322/Module 2 Exam/"/>
    </mc:Choice>
  </mc:AlternateContent>
  <xr:revisionPtr revIDLastSave="332" documentId="11_F25DC773A252ABDACC1048F6399F61A85BDE58EF" xr6:coauthVersionLast="47" xr6:coauthVersionMax="47" xr10:uidLastSave="{42C215A4-A158-45BD-8361-E9290BF7AEE9}"/>
  <bookViews>
    <workbookView xWindow="42990" yWindow="0" windowWidth="14640" windowHeight="17385" xr2:uid="{00000000-000D-0000-FFFF-FFFF00000000}"/>
  </bookViews>
  <sheets>
    <sheet name="Sheet1" sheetId="1" r:id="rId1"/>
    <sheet name="Proforma" sheetId="2" r:id="rId2"/>
    <sheet name="Taxable income" sheetId="3" r:id="rId3"/>
    <sheet name="IRR" sheetId="4" r:id="rId4"/>
    <sheet name="Debt Service" sheetId="5" r:id="rId5"/>
    <sheet name="Max Loa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6" i="1" l="1"/>
  <c r="D200" i="1"/>
  <c r="D201" i="1" s="1"/>
  <c r="C190" i="1"/>
  <c r="H189" i="1"/>
  <c r="H190" i="1" s="1"/>
  <c r="H192" i="1" s="1"/>
  <c r="H193" i="1" s="1"/>
  <c r="C188" i="1"/>
  <c r="H184" i="1"/>
  <c r="D177" i="1"/>
  <c r="D171" i="1"/>
  <c r="E165" i="1"/>
  <c r="E166" i="1"/>
  <c r="D156" i="1"/>
  <c r="I155" i="1"/>
  <c r="I156" i="1" s="1"/>
  <c r="I158" i="1" s="1"/>
  <c r="D154" i="1"/>
  <c r="I150" i="1"/>
  <c r="F143" i="1"/>
  <c r="F141" i="1"/>
  <c r="F139" i="1"/>
  <c r="G140" i="1"/>
  <c r="F138" i="1"/>
  <c r="F128" i="1"/>
  <c r="F126" i="1"/>
  <c r="F130" i="1" s="1"/>
  <c r="F132" i="1" s="1"/>
  <c r="D122" i="1"/>
  <c r="E109" i="1"/>
  <c r="E107" i="1"/>
  <c r="K89" i="1"/>
  <c r="K92" i="1"/>
  <c r="O94" i="1" s="1"/>
  <c r="E210" i="1" l="1"/>
  <c r="D207" i="1"/>
  <c r="D209" i="1" s="1"/>
  <c r="D211" i="1" s="1"/>
  <c r="K187" i="1"/>
  <c r="I159" i="1"/>
  <c r="L153" i="1" s="1"/>
  <c r="E81" i="1" l="1"/>
  <c r="E76" i="1"/>
  <c r="E77" i="1" s="1"/>
  <c r="G69" i="1"/>
  <c r="G67" i="1"/>
  <c r="D62" i="1"/>
  <c r="E62" i="1" s="1"/>
  <c r="D61" i="1"/>
  <c r="E61" i="1" s="1"/>
  <c r="D57" i="1"/>
  <c r="D45" i="1"/>
  <c r="D37" i="1"/>
  <c r="E37" i="1" s="1"/>
  <c r="D34" i="1"/>
  <c r="D38" i="1"/>
  <c r="E38" i="1" s="1"/>
  <c r="D33" i="1"/>
  <c r="C22" i="1"/>
  <c r="E63" i="1" l="1"/>
  <c r="E39" i="1"/>
  <c r="C12" i="3" l="1"/>
  <c r="C8" i="3"/>
  <c r="D14" i="3"/>
  <c r="I12" i="2"/>
  <c r="I11" i="2"/>
  <c r="K6" i="6"/>
  <c r="H12" i="6"/>
  <c r="H11" i="6"/>
  <c r="H9" i="6"/>
  <c r="H8" i="6"/>
  <c r="C7" i="6"/>
  <c r="C9" i="6"/>
  <c r="H3" i="6"/>
  <c r="E4" i="5"/>
  <c r="D13" i="3"/>
  <c r="C13" i="3"/>
  <c r="D12" i="3"/>
  <c r="I7" i="2"/>
  <c r="I5" i="2"/>
  <c r="C8" i="2"/>
  <c r="D8" i="2"/>
  <c r="E8" i="2"/>
  <c r="D5" i="2"/>
  <c r="E5" i="2"/>
  <c r="C5" i="2"/>
  <c r="D11" i="1"/>
  <c r="D10" i="1"/>
  <c r="D4" i="1"/>
</calcChain>
</file>

<file path=xl/sharedStrings.xml><?xml version="1.0" encoding="utf-8"?>
<sst xmlns="http://schemas.openxmlformats.org/spreadsheetml/2006/main" count="223" uniqueCount="113">
  <si>
    <t>Useable sq ft</t>
  </si>
  <si>
    <t>Load factor</t>
  </si>
  <si>
    <t>Rentable sq footage</t>
  </si>
  <si>
    <t>NOI</t>
  </si>
  <si>
    <t>Debt coverage</t>
  </si>
  <si>
    <t>Min</t>
  </si>
  <si>
    <t xml:space="preserve">Max </t>
  </si>
  <si>
    <t>Loan amount</t>
  </si>
  <si>
    <t>Monthly payment</t>
  </si>
  <si>
    <t>Year</t>
  </si>
  <si>
    <t>Debt Service</t>
  </si>
  <si>
    <t>Cash Flow (before tax)</t>
  </si>
  <si>
    <t>Resale in year 3</t>
  </si>
  <si>
    <t>Less mortgage balance</t>
  </si>
  <si>
    <t>Total cash flow to quity</t>
  </si>
  <si>
    <t>PV of each CF @15%</t>
  </si>
  <si>
    <t>Loan</t>
  </si>
  <si>
    <t>Amount</t>
  </si>
  <si>
    <t>Debt=</t>
  </si>
  <si>
    <t>Equity</t>
  </si>
  <si>
    <t>Estimated value</t>
  </si>
  <si>
    <t>Cap rate</t>
  </si>
  <si>
    <t>NOI for 1st year</t>
  </si>
  <si>
    <t>Estimated worth</t>
  </si>
  <si>
    <t>Purchase price</t>
  </si>
  <si>
    <t>Debt service</t>
  </si>
  <si>
    <t>Interest</t>
  </si>
  <si>
    <t>Depreciation</t>
  </si>
  <si>
    <t>Taxable income</t>
  </si>
  <si>
    <t>Property selling price</t>
  </si>
  <si>
    <t>Capital gain</t>
  </si>
  <si>
    <t>Capital gain rate</t>
  </si>
  <si>
    <t>Depreciation recapture rate</t>
  </si>
  <si>
    <t>Tax</t>
  </si>
  <si>
    <t xml:space="preserve">Depreciation recapture </t>
  </si>
  <si>
    <t>Discount rate</t>
  </si>
  <si>
    <t>r</t>
  </si>
  <si>
    <t>PV</t>
  </si>
  <si>
    <t>IRR</t>
  </si>
  <si>
    <t xml:space="preserve">IRR &lt; r </t>
  </si>
  <si>
    <t xml:space="preserve">Bad deal </t>
  </si>
  <si>
    <t>(overpriced)</t>
  </si>
  <si>
    <t>Annual debt service</t>
  </si>
  <si>
    <t>(35000 or lower)</t>
  </si>
  <si>
    <t>Value</t>
  </si>
  <si>
    <t>LTV</t>
  </si>
  <si>
    <t>Max</t>
  </si>
  <si>
    <t>Loan Allowed</t>
  </si>
  <si>
    <t>Loan details</t>
  </si>
  <si>
    <t>R</t>
  </si>
  <si>
    <t>N</t>
  </si>
  <si>
    <t>n</t>
  </si>
  <si>
    <t>DCR</t>
  </si>
  <si>
    <t>Max annual debt service</t>
  </si>
  <si>
    <t>Monthly Debt service</t>
  </si>
  <si>
    <t>Max payment</t>
  </si>
  <si>
    <t>Q1</t>
  </si>
  <si>
    <t>PP</t>
  </si>
  <si>
    <t>Q2</t>
  </si>
  <si>
    <t>Closing cost</t>
  </si>
  <si>
    <t>Q7</t>
  </si>
  <si>
    <t>Q11</t>
  </si>
  <si>
    <t>Q13</t>
  </si>
  <si>
    <t>Debt</t>
  </si>
  <si>
    <t>Q18</t>
  </si>
  <si>
    <t>Interest only</t>
  </si>
  <si>
    <t>Lender quote</t>
  </si>
  <si>
    <t>DCR Limit (interest only)</t>
  </si>
  <si>
    <t>Max LTV</t>
  </si>
  <si>
    <t>years</t>
  </si>
  <si>
    <t>Max loan</t>
  </si>
  <si>
    <t>Max Loan amount</t>
  </si>
  <si>
    <t>LTV limit</t>
  </si>
  <si>
    <t>Q22</t>
  </si>
  <si>
    <t>Rate</t>
  </si>
  <si>
    <t>Rent</t>
  </si>
  <si>
    <t>Q26</t>
  </si>
  <si>
    <t>Sq. Ft.</t>
  </si>
  <si>
    <t>Description</t>
  </si>
  <si>
    <t>Anchor tenants</t>
  </si>
  <si>
    <t>"In line" tenants</t>
  </si>
  <si>
    <t>Common area</t>
  </si>
  <si>
    <t>CAM chanrges allocation</t>
  </si>
  <si>
    <t>CAM charge per sq ft</t>
  </si>
  <si>
    <t>Total CAM charges</t>
  </si>
  <si>
    <t>Anchor tenants per sq ft</t>
  </si>
  <si>
    <t>Anchor tenants pay</t>
  </si>
  <si>
    <t>Remaining CAMS charges</t>
  </si>
  <si>
    <t>In-line tenants pay per sqft</t>
  </si>
  <si>
    <t>Sq ft</t>
  </si>
  <si>
    <t>Base</t>
  </si>
  <si>
    <t>CAMS pass through</t>
  </si>
  <si>
    <t>breakpoint</t>
  </si>
  <si>
    <t xml:space="preserve">CAM </t>
  </si>
  <si>
    <t>Revenue</t>
  </si>
  <si>
    <t>base rent</t>
  </si>
  <si>
    <t>Q28</t>
  </si>
  <si>
    <t>Q31</t>
  </si>
  <si>
    <t>DS</t>
  </si>
  <si>
    <t>Q33</t>
  </si>
  <si>
    <t>Q37</t>
  </si>
  <si>
    <t>Value of property</t>
  </si>
  <si>
    <t>unleveraged IRR</t>
  </si>
  <si>
    <t>Option A</t>
  </si>
  <si>
    <t>@</t>
  </si>
  <si>
    <t>Since IRR is 15% and &gt; loan (10%) we have positive financial leverage</t>
  </si>
  <si>
    <t>Option B</t>
  </si>
  <si>
    <t>Additional interest</t>
  </si>
  <si>
    <t>Incremental cost</t>
  </si>
  <si>
    <t xml:space="preserve">on </t>
  </si>
  <si>
    <t>Interest cost</t>
  </si>
  <si>
    <t>&gt; 15%</t>
  </si>
  <si>
    <t>Negative Financial leverage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</si>
</sst>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8" fontId="0" fillId="0" borderId="0" xfId="0" applyNumberFormat="1"/>
    <xf numFmtId="3" fontId="0" fillId="2" borderId="0" xfId="0" applyNumberFormat="1" applyFill="1"/>
    <xf numFmtId="44" fontId="0" fillId="2" borderId="0" xfId="1" applyFont="1" applyFill="1"/>
    <xf numFmtId="44" fontId="0" fillId="0" borderId="0" xfId="1" applyFont="1"/>
    <xf numFmtId="0" fontId="0" fillId="2" borderId="0" xfId="0" applyFill="1"/>
    <xf numFmtId="10" fontId="0" fillId="0" borderId="0" xfId="0" applyNumberFormat="1"/>
    <xf numFmtId="8" fontId="0" fillId="2" borderId="0" xfId="0" applyNumberFormat="1" applyFill="1"/>
    <xf numFmtId="44" fontId="0" fillId="0" borderId="0" xfId="0" applyNumberFormat="1"/>
    <xf numFmtId="6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3" fontId="0" fillId="0" borderId="3" xfId="0" applyNumberFormat="1" applyBorder="1"/>
    <xf numFmtId="9" fontId="0" fillId="0" borderId="0" xfId="2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11"/>
  <sheetViews>
    <sheetView tabSelected="1" topLeftCell="A176" workbookViewId="0">
      <selection activeCell="D211" sqref="D211"/>
    </sheetView>
  </sheetViews>
  <sheetFormatPr defaultRowHeight="14.5" x14ac:dyDescent="0.35"/>
  <cols>
    <col min="1" max="1" width="15.7265625" bestFit="1" customWidth="1"/>
    <col min="2" max="2" width="18.08984375" bestFit="1" customWidth="1"/>
    <col min="3" max="3" width="21.26953125" bestFit="1" customWidth="1"/>
    <col min="4" max="4" width="22.54296875" customWidth="1"/>
    <col min="5" max="5" width="19.36328125" bestFit="1" customWidth="1"/>
    <col min="6" max="6" width="14.7265625" bestFit="1" customWidth="1"/>
    <col min="7" max="7" width="19.08984375" customWidth="1"/>
    <col min="8" max="8" width="19.54296875" customWidth="1"/>
    <col min="9" max="9" width="21.90625" bestFit="1" customWidth="1"/>
    <col min="11" max="11" width="14.6328125" bestFit="1" customWidth="1"/>
  </cols>
  <sheetData>
    <row r="2" spans="1:4" x14ac:dyDescent="0.35">
      <c r="A2" t="s">
        <v>1</v>
      </c>
      <c r="B2" t="s">
        <v>0</v>
      </c>
      <c r="D2">
        <v>9000</v>
      </c>
    </row>
    <row r="3" spans="1:4" x14ac:dyDescent="0.35">
      <c r="B3" t="s">
        <v>1</v>
      </c>
      <c r="D3" s="1">
        <v>0.1</v>
      </c>
    </row>
    <row r="4" spans="1:4" x14ac:dyDescent="0.35">
      <c r="B4" t="s">
        <v>2</v>
      </c>
      <c r="D4">
        <f>(1+D3)*D2</f>
        <v>9900</v>
      </c>
    </row>
    <row r="8" spans="1:4" x14ac:dyDescent="0.35">
      <c r="B8" t="s">
        <v>3</v>
      </c>
      <c r="D8">
        <v>122000</v>
      </c>
    </row>
    <row r="9" spans="1:4" x14ac:dyDescent="0.35">
      <c r="A9" t="s">
        <v>5</v>
      </c>
      <c r="B9" t="s">
        <v>4</v>
      </c>
      <c r="D9">
        <v>1.2</v>
      </c>
    </row>
    <row r="10" spans="1:4" x14ac:dyDescent="0.35">
      <c r="A10" t="s">
        <v>6</v>
      </c>
      <c r="B10" t="s">
        <v>10</v>
      </c>
      <c r="D10">
        <f>D8/D9</f>
        <v>101666.66666666667</v>
      </c>
    </row>
    <row r="11" spans="1:4" x14ac:dyDescent="0.35">
      <c r="A11" t="s">
        <v>8</v>
      </c>
      <c r="D11">
        <f>D10/12</f>
        <v>8472.2222222222226</v>
      </c>
    </row>
    <row r="19" spans="1:4" x14ac:dyDescent="0.35">
      <c r="A19" t="s">
        <v>56</v>
      </c>
      <c r="B19" t="s">
        <v>57</v>
      </c>
      <c r="C19" s="3">
        <v>12300000</v>
      </c>
    </row>
    <row r="20" spans="1:4" x14ac:dyDescent="0.35">
      <c r="B20" t="s">
        <v>16</v>
      </c>
      <c r="C20" s="3">
        <v>8500000</v>
      </c>
    </row>
    <row r="22" spans="1:4" x14ac:dyDescent="0.35">
      <c r="B22" t="s">
        <v>19</v>
      </c>
      <c r="C22" s="3">
        <f>C19-C20</f>
        <v>3800000</v>
      </c>
    </row>
    <row r="25" spans="1:4" x14ac:dyDescent="0.35">
      <c r="A25" t="s">
        <v>58</v>
      </c>
    </row>
    <row r="27" spans="1:4" x14ac:dyDescent="0.35">
      <c r="C27" t="s">
        <v>3</v>
      </c>
      <c r="D27" s="3">
        <v>225000</v>
      </c>
    </row>
    <row r="28" spans="1:4" x14ac:dyDescent="0.35">
      <c r="C28" t="s">
        <v>24</v>
      </c>
      <c r="D28" s="3">
        <v>3100000</v>
      </c>
    </row>
    <row r="29" spans="1:4" x14ac:dyDescent="0.35">
      <c r="C29" t="s">
        <v>25</v>
      </c>
      <c r="D29" s="3">
        <v>173077</v>
      </c>
    </row>
    <row r="30" spans="1:4" x14ac:dyDescent="0.35">
      <c r="C30" t="s">
        <v>26</v>
      </c>
      <c r="D30" s="3">
        <v>143535</v>
      </c>
    </row>
    <row r="31" spans="1:4" x14ac:dyDescent="0.35">
      <c r="C31" t="s">
        <v>27</v>
      </c>
      <c r="D31" s="3">
        <v>63590</v>
      </c>
    </row>
    <row r="33" spans="1:9" x14ac:dyDescent="0.35">
      <c r="C33" t="s">
        <v>28</v>
      </c>
      <c r="D33" s="7">
        <f>D27-D30-D31</f>
        <v>17875</v>
      </c>
    </row>
    <row r="34" spans="1:9" x14ac:dyDescent="0.35">
      <c r="C34" t="s">
        <v>59</v>
      </c>
      <c r="D34">
        <f>D36*E34</f>
        <v>148000</v>
      </c>
      <c r="E34" s="1">
        <v>0.04</v>
      </c>
    </row>
    <row r="35" spans="1:9" x14ac:dyDescent="0.35">
      <c r="E35" t="s">
        <v>33</v>
      </c>
    </row>
    <row r="36" spans="1:9" x14ac:dyDescent="0.35">
      <c r="C36" t="s">
        <v>29</v>
      </c>
      <c r="D36" s="3">
        <v>3700000</v>
      </c>
    </row>
    <row r="37" spans="1:9" x14ac:dyDescent="0.35">
      <c r="C37" t="s">
        <v>30</v>
      </c>
      <c r="D37" s="3">
        <f>D36-D28-D34</f>
        <v>452000</v>
      </c>
      <c r="E37">
        <f>D37*I37</f>
        <v>67800</v>
      </c>
      <c r="G37" t="s">
        <v>31</v>
      </c>
      <c r="I37" s="1">
        <v>0.15</v>
      </c>
    </row>
    <row r="38" spans="1:9" x14ac:dyDescent="0.35">
      <c r="C38" t="s">
        <v>34</v>
      </c>
      <c r="D38" s="3">
        <f>D31*2</f>
        <v>127180</v>
      </c>
      <c r="E38">
        <f>D38*I38</f>
        <v>31795</v>
      </c>
      <c r="G38" t="s">
        <v>32</v>
      </c>
      <c r="I38" s="1">
        <v>0.25</v>
      </c>
    </row>
    <row r="39" spans="1:9" x14ac:dyDescent="0.35">
      <c r="E39" s="10">
        <f>SUM(E37:E38)</f>
        <v>99595</v>
      </c>
    </row>
    <row r="41" spans="1:9" x14ac:dyDescent="0.35">
      <c r="A41" t="s">
        <v>60</v>
      </c>
    </row>
    <row r="43" spans="1:9" x14ac:dyDescent="0.35">
      <c r="B43" t="s">
        <v>4</v>
      </c>
      <c r="D43">
        <v>1.3</v>
      </c>
    </row>
    <row r="44" spans="1:9" x14ac:dyDescent="0.35">
      <c r="B44" t="s">
        <v>3</v>
      </c>
      <c r="D44" s="3">
        <v>78100</v>
      </c>
    </row>
    <row r="45" spans="1:9" x14ac:dyDescent="0.35">
      <c r="B45" t="s">
        <v>42</v>
      </c>
      <c r="D45" s="9">
        <f>D44/D43</f>
        <v>60076.923076923078</v>
      </c>
      <c r="F45" t="s">
        <v>43</v>
      </c>
    </row>
    <row r="49" spans="1:9" x14ac:dyDescent="0.35">
      <c r="A49" t="s">
        <v>61</v>
      </c>
    </row>
    <row r="51" spans="1:9" x14ac:dyDescent="0.35">
      <c r="C51" t="s">
        <v>3</v>
      </c>
      <c r="D51" s="3">
        <v>225000</v>
      </c>
    </row>
    <row r="52" spans="1:9" x14ac:dyDescent="0.35">
      <c r="C52" t="s">
        <v>24</v>
      </c>
      <c r="D52" s="3">
        <v>3100000</v>
      </c>
    </row>
    <row r="53" spans="1:9" x14ac:dyDescent="0.35">
      <c r="C53" t="s">
        <v>25</v>
      </c>
      <c r="D53" s="3">
        <v>173077</v>
      </c>
    </row>
    <row r="54" spans="1:9" x14ac:dyDescent="0.35">
      <c r="C54" t="s">
        <v>26</v>
      </c>
      <c r="D54" s="3">
        <v>143535</v>
      </c>
    </row>
    <row r="55" spans="1:9" x14ac:dyDescent="0.35">
      <c r="C55" t="s">
        <v>27</v>
      </c>
      <c r="D55" s="3">
        <v>63590</v>
      </c>
    </row>
    <row r="57" spans="1:9" x14ac:dyDescent="0.35">
      <c r="C57" t="s">
        <v>28</v>
      </c>
      <c r="D57" s="7">
        <f>D51-D54-D55</f>
        <v>17875</v>
      </c>
    </row>
    <row r="59" spans="1:9" x14ac:dyDescent="0.35">
      <c r="E59" t="s">
        <v>33</v>
      </c>
    </row>
    <row r="60" spans="1:9" x14ac:dyDescent="0.35">
      <c r="C60" t="s">
        <v>29</v>
      </c>
      <c r="D60" s="3">
        <v>1300000</v>
      </c>
    </row>
    <row r="61" spans="1:9" x14ac:dyDescent="0.35">
      <c r="C61" t="s">
        <v>30</v>
      </c>
      <c r="D61" s="3">
        <f>D60-D52</f>
        <v>-1800000</v>
      </c>
      <c r="E61">
        <f>D61*I61</f>
        <v>-270000</v>
      </c>
      <c r="G61" t="s">
        <v>31</v>
      </c>
      <c r="I61" s="1">
        <v>0.15</v>
      </c>
    </row>
    <row r="62" spans="1:9" x14ac:dyDescent="0.35">
      <c r="C62" t="s">
        <v>34</v>
      </c>
      <c r="D62" s="3">
        <f>D55</f>
        <v>63590</v>
      </c>
      <c r="E62">
        <f>D62*I62</f>
        <v>15897.5</v>
      </c>
      <c r="G62" t="s">
        <v>32</v>
      </c>
      <c r="I62" s="1">
        <v>0.25</v>
      </c>
    </row>
    <row r="63" spans="1:9" x14ac:dyDescent="0.35">
      <c r="E63" s="10">
        <f>SUM(E61:E62)</f>
        <v>-254102.5</v>
      </c>
    </row>
    <row r="67" spans="1:7" x14ac:dyDescent="0.35">
      <c r="A67" t="s">
        <v>62</v>
      </c>
      <c r="C67" t="s">
        <v>19</v>
      </c>
      <c r="D67">
        <v>14485</v>
      </c>
      <c r="E67">
        <v>14641</v>
      </c>
      <c r="F67">
        <v>236658</v>
      </c>
      <c r="G67">
        <f>SUM(D67:F67)</f>
        <v>265784</v>
      </c>
    </row>
    <row r="68" spans="1:7" x14ac:dyDescent="0.35">
      <c r="C68" t="s">
        <v>63</v>
      </c>
      <c r="G68" s="3">
        <v>916457</v>
      </c>
    </row>
    <row r="69" spans="1:7" x14ac:dyDescent="0.35">
      <c r="G69" s="3">
        <f>G67+G68</f>
        <v>1182241</v>
      </c>
    </row>
    <row r="73" spans="1:7" x14ac:dyDescent="0.35">
      <c r="A73" t="s">
        <v>64</v>
      </c>
    </row>
    <row r="74" spans="1:7" x14ac:dyDescent="0.35">
      <c r="C74" t="s">
        <v>3</v>
      </c>
      <c r="E74" s="3">
        <v>422000</v>
      </c>
    </row>
    <row r="75" spans="1:7" x14ac:dyDescent="0.35">
      <c r="B75" t="s">
        <v>5</v>
      </c>
      <c r="C75" t="s">
        <v>4</v>
      </c>
      <c r="E75">
        <v>1.3</v>
      </c>
    </row>
    <row r="76" spans="1:7" x14ac:dyDescent="0.35">
      <c r="B76" t="s">
        <v>6</v>
      </c>
      <c r="C76" t="s">
        <v>10</v>
      </c>
      <c r="E76">
        <f>E74/E75</f>
        <v>324615.38461538462</v>
      </c>
    </row>
    <row r="77" spans="1:7" x14ac:dyDescent="0.35">
      <c r="B77" t="s">
        <v>8</v>
      </c>
      <c r="E77">
        <f>E76/12</f>
        <v>27051.282051282051</v>
      </c>
    </row>
    <row r="78" spans="1:7" x14ac:dyDescent="0.35">
      <c r="D78" t="s">
        <v>50</v>
      </c>
      <c r="E78">
        <v>10</v>
      </c>
    </row>
    <row r="79" spans="1:7" x14ac:dyDescent="0.35">
      <c r="D79" t="s">
        <v>49</v>
      </c>
      <c r="E79" s="1">
        <v>7.0000000000000007E-2</v>
      </c>
    </row>
    <row r="81" spans="3:15" x14ac:dyDescent="0.35">
      <c r="D81" t="s">
        <v>16</v>
      </c>
      <c r="E81" s="6">
        <f>PV(E79/12,E78*12,-E77)</f>
        <v>2329828.2979270145</v>
      </c>
    </row>
    <row r="85" spans="3:15" x14ac:dyDescent="0.35">
      <c r="C85" s="10" t="s">
        <v>65</v>
      </c>
    </row>
    <row r="87" spans="3:15" x14ac:dyDescent="0.35">
      <c r="C87" t="s">
        <v>66</v>
      </c>
    </row>
    <row r="88" spans="3:15" x14ac:dyDescent="0.35">
      <c r="C88" t="s">
        <v>52</v>
      </c>
      <c r="D88">
        <v>1.3</v>
      </c>
      <c r="I88" s="10" t="s">
        <v>67</v>
      </c>
    </row>
    <row r="89" spans="3:15" x14ac:dyDescent="0.35">
      <c r="C89" t="s">
        <v>68</v>
      </c>
      <c r="D89" s="1">
        <v>0.7</v>
      </c>
      <c r="I89" t="s">
        <v>53</v>
      </c>
      <c r="K89" s="9">
        <f>D94/D88</f>
        <v>324615.38461538462</v>
      </c>
    </row>
    <row r="90" spans="3:15" x14ac:dyDescent="0.35">
      <c r="C90" t="s">
        <v>50</v>
      </c>
      <c r="D90">
        <v>10</v>
      </c>
      <c r="E90" t="s">
        <v>69</v>
      </c>
      <c r="K90" s="13"/>
    </row>
    <row r="91" spans="3:15" x14ac:dyDescent="0.35">
      <c r="C91" t="s">
        <v>49</v>
      </c>
      <c r="D91" s="1">
        <v>7.0000000000000007E-2</v>
      </c>
      <c r="K91" s="13"/>
    </row>
    <row r="92" spans="3:15" x14ac:dyDescent="0.35">
      <c r="I92" t="s">
        <v>70</v>
      </c>
      <c r="K92" s="6">
        <f>K89/D91</f>
        <v>4637362.6373626366</v>
      </c>
    </row>
    <row r="94" spans="3:15" x14ac:dyDescent="0.35">
      <c r="C94" t="s">
        <v>3</v>
      </c>
      <c r="D94" s="3">
        <v>422000</v>
      </c>
      <c r="M94" t="s">
        <v>71</v>
      </c>
      <c r="O94" s="6">
        <f>MIN(K92,K100)</f>
        <v>4637362.6373626366</v>
      </c>
    </row>
    <row r="95" spans="3:15" x14ac:dyDescent="0.35">
      <c r="C95" t="s">
        <v>24</v>
      </c>
      <c r="D95" s="3">
        <v>10000000</v>
      </c>
    </row>
    <row r="99" spans="1:11" x14ac:dyDescent="0.35">
      <c r="I99" t="s">
        <v>72</v>
      </c>
    </row>
    <row r="100" spans="1:11" x14ac:dyDescent="0.35">
      <c r="I100" t="s">
        <v>7</v>
      </c>
      <c r="K100" s="9">
        <v>10000000</v>
      </c>
    </row>
    <row r="103" spans="1:11" x14ac:dyDescent="0.35">
      <c r="A103" t="s">
        <v>73</v>
      </c>
    </row>
    <row r="105" spans="1:11" x14ac:dyDescent="0.35">
      <c r="B105" t="s">
        <v>1</v>
      </c>
      <c r="C105" t="s">
        <v>0</v>
      </c>
      <c r="E105">
        <v>7500</v>
      </c>
    </row>
    <row r="106" spans="1:11" x14ac:dyDescent="0.35">
      <c r="C106" t="s">
        <v>1</v>
      </c>
      <c r="E106" s="1">
        <v>0.1</v>
      </c>
    </row>
    <row r="107" spans="1:11" x14ac:dyDescent="0.35">
      <c r="C107" t="s">
        <v>2</v>
      </c>
      <c r="E107">
        <f>(1+E106)*E105</f>
        <v>8250</v>
      </c>
    </row>
    <row r="108" spans="1:11" x14ac:dyDescent="0.35">
      <c r="C108" t="s">
        <v>74</v>
      </c>
      <c r="E108" s="14">
        <v>20</v>
      </c>
    </row>
    <row r="109" spans="1:11" x14ac:dyDescent="0.35">
      <c r="C109" t="s">
        <v>75</v>
      </c>
      <c r="E109" s="14">
        <f>E108*E107</f>
        <v>165000</v>
      </c>
    </row>
    <row r="112" spans="1:11" x14ac:dyDescent="0.35">
      <c r="A112" t="s">
        <v>76</v>
      </c>
    </row>
    <row r="114" spans="3:6" x14ac:dyDescent="0.35">
      <c r="D114" s="15" t="s">
        <v>77</v>
      </c>
      <c r="E114" s="16" t="s">
        <v>78</v>
      </c>
    </row>
    <row r="115" spans="3:6" ht="15" thickBot="1" x14ac:dyDescent="0.4"/>
    <row r="116" spans="3:6" ht="15" thickBot="1" x14ac:dyDescent="0.4">
      <c r="C116" s="17"/>
      <c r="D116" s="3">
        <v>800000</v>
      </c>
      <c r="E116" t="s">
        <v>79</v>
      </c>
    </row>
    <row r="117" spans="3:6" ht="15" thickBot="1" x14ac:dyDescent="0.4">
      <c r="D117" s="3"/>
    </row>
    <row r="118" spans="3:6" ht="15" thickBot="1" x14ac:dyDescent="0.4">
      <c r="C118" s="18"/>
      <c r="D118" s="3">
        <v>1300000</v>
      </c>
      <c r="E118" t="s">
        <v>80</v>
      </c>
    </row>
    <row r="119" spans="3:6" ht="15" thickBot="1" x14ac:dyDescent="0.4">
      <c r="D119" s="3"/>
    </row>
    <row r="120" spans="3:6" ht="15" thickBot="1" x14ac:dyDescent="0.4">
      <c r="C120" s="19"/>
      <c r="D120" s="20">
        <v>700000</v>
      </c>
      <c r="E120" t="s">
        <v>81</v>
      </c>
    </row>
    <row r="122" spans="3:6" x14ac:dyDescent="0.35">
      <c r="D122" s="3">
        <f>SUM(D116:D120)</f>
        <v>2800000</v>
      </c>
    </row>
    <row r="124" spans="3:6" x14ac:dyDescent="0.35">
      <c r="C124" t="s">
        <v>82</v>
      </c>
    </row>
    <row r="125" spans="3:6" x14ac:dyDescent="0.35">
      <c r="C125" t="s">
        <v>83</v>
      </c>
      <c r="F125" s="14">
        <v>8</v>
      </c>
    </row>
    <row r="126" spans="3:6" x14ac:dyDescent="0.35">
      <c r="C126" t="s">
        <v>84</v>
      </c>
      <c r="F126" s="14">
        <f>F125*D120</f>
        <v>5600000</v>
      </c>
    </row>
    <row r="127" spans="3:6" x14ac:dyDescent="0.35">
      <c r="C127" t="s">
        <v>85</v>
      </c>
      <c r="F127" s="14">
        <v>2</v>
      </c>
    </row>
    <row r="128" spans="3:6" x14ac:dyDescent="0.35">
      <c r="C128" t="s">
        <v>86</v>
      </c>
      <c r="F128" s="9">
        <f>F127*D116</f>
        <v>1600000</v>
      </c>
    </row>
    <row r="130" spans="3:7" x14ac:dyDescent="0.35">
      <c r="C130" t="s">
        <v>87</v>
      </c>
      <c r="F130" s="6">
        <f>F126-F128</f>
        <v>4000000</v>
      </c>
    </row>
    <row r="132" spans="3:7" x14ac:dyDescent="0.35">
      <c r="C132" t="s">
        <v>88</v>
      </c>
      <c r="F132" s="6">
        <f>F130/D118</f>
        <v>3.0769230769230771</v>
      </c>
    </row>
    <row r="137" spans="3:7" x14ac:dyDescent="0.35">
      <c r="C137" t="s">
        <v>89</v>
      </c>
      <c r="D137">
        <v>6500</v>
      </c>
    </row>
    <row r="138" spans="3:7" x14ac:dyDescent="0.35">
      <c r="C138" t="s">
        <v>90</v>
      </c>
      <c r="D138" s="9">
        <v>20</v>
      </c>
      <c r="E138" t="s">
        <v>95</v>
      </c>
      <c r="F138" s="13">
        <f>D138*D137</f>
        <v>130000</v>
      </c>
    </row>
    <row r="139" spans="3:7" x14ac:dyDescent="0.35">
      <c r="C139" t="s">
        <v>91</v>
      </c>
      <c r="D139" s="1">
        <v>0.06</v>
      </c>
      <c r="F139">
        <f>D139*G140</f>
        <v>6000</v>
      </c>
    </row>
    <row r="140" spans="3:7" x14ac:dyDescent="0.35">
      <c r="C140" t="s">
        <v>92</v>
      </c>
      <c r="D140" s="3">
        <v>2000000</v>
      </c>
      <c r="G140" s="3">
        <f>D142-D140</f>
        <v>100000</v>
      </c>
    </row>
    <row r="141" spans="3:7" x14ac:dyDescent="0.35">
      <c r="C141" t="s">
        <v>93</v>
      </c>
      <c r="D141">
        <v>3.5</v>
      </c>
      <c r="F141">
        <f>D141*D137</f>
        <v>22750</v>
      </c>
    </row>
    <row r="142" spans="3:7" x14ac:dyDescent="0.35">
      <c r="C142" t="s">
        <v>94</v>
      </c>
      <c r="D142" s="3">
        <v>2100000</v>
      </c>
    </row>
    <row r="143" spans="3:7" x14ac:dyDescent="0.35">
      <c r="F143" s="13">
        <f>SUM(F138:F142)</f>
        <v>158750</v>
      </c>
    </row>
    <row r="147" spans="1:12" x14ac:dyDescent="0.35">
      <c r="A147" t="s">
        <v>96</v>
      </c>
    </row>
    <row r="148" spans="1:12" x14ac:dyDescent="0.35">
      <c r="H148" s="10" t="s">
        <v>45</v>
      </c>
    </row>
    <row r="149" spans="1:12" x14ac:dyDescent="0.35">
      <c r="C149" t="s">
        <v>44</v>
      </c>
      <c r="D149" s="3">
        <v>9200000</v>
      </c>
      <c r="H149" t="s">
        <v>46</v>
      </c>
      <c r="I149" s="1">
        <v>0.75</v>
      </c>
    </row>
    <row r="150" spans="1:12" x14ac:dyDescent="0.35">
      <c r="H150" t="s">
        <v>47</v>
      </c>
      <c r="I150" s="10">
        <f>I149*D149</f>
        <v>6900000</v>
      </c>
    </row>
    <row r="152" spans="1:12" x14ac:dyDescent="0.35">
      <c r="C152" t="s">
        <v>48</v>
      </c>
      <c r="H152" s="10" t="s">
        <v>52</v>
      </c>
    </row>
    <row r="153" spans="1:12" x14ac:dyDescent="0.35">
      <c r="C153" t="s">
        <v>49</v>
      </c>
      <c r="D153" s="11">
        <v>8.5000000000000006E-2</v>
      </c>
      <c r="H153" t="s">
        <v>3</v>
      </c>
      <c r="I153" s="3">
        <v>129000</v>
      </c>
      <c r="L153" s="12">
        <f>MIN(I150,I159)</f>
        <v>1075443.5896589155</v>
      </c>
    </row>
    <row r="154" spans="1:12" x14ac:dyDescent="0.35">
      <c r="C154" t="s">
        <v>36</v>
      </c>
      <c r="D154" s="11">
        <f>D153/12</f>
        <v>7.0833333333333338E-3</v>
      </c>
      <c r="H154" t="s">
        <v>52</v>
      </c>
      <c r="I154">
        <v>1.3</v>
      </c>
    </row>
    <row r="155" spans="1:12" x14ac:dyDescent="0.35">
      <c r="C155" t="s">
        <v>50</v>
      </c>
      <c r="D155">
        <v>30</v>
      </c>
      <c r="H155" t="s">
        <v>53</v>
      </c>
      <c r="I155" s="9">
        <f>I153/I154</f>
        <v>99230.769230769234</v>
      </c>
    </row>
    <row r="156" spans="1:12" x14ac:dyDescent="0.35">
      <c r="C156" t="s">
        <v>51</v>
      </c>
      <c r="D156">
        <f>D155*12</f>
        <v>360</v>
      </c>
      <c r="H156" t="s">
        <v>54</v>
      </c>
      <c r="I156" s="9">
        <f>I155/12</f>
        <v>8269.2307692307695</v>
      </c>
    </row>
    <row r="158" spans="1:12" x14ac:dyDescent="0.35">
      <c r="H158" t="s">
        <v>55</v>
      </c>
      <c r="I158" s="9">
        <f>I156</f>
        <v>8269.2307692307695</v>
      </c>
    </row>
    <row r="159" spans="1:12" x14ac:dyDescent="0.35">
      <c r="H159" t="s">
        <v>37</v>
      </c>
      <c r="I159" s="12">
        <f>PV(D154,D156,-I158)</f>
        <v>1075443.5896589155</v>
      </c>
    </row>
    <row r="161" spans="1:5" x14ac:dyDescent="0.35">
      <c r="A161" t="s">
        <v>97</v>
      </c>
    </row>
    <row r="163" spans="1:5" x14ac:dyDescent="0.35">
      <c r="C163" t="s">
        <v>3</v>
      </c>
      <c r="E163">
        <v>122000</v>
      </c>
    </row>
    <row r="164" spans="1:5" x14ac:dyDescent="0.35">
      <c r="B164" t="s">
        <v>5</v>
      </c>
      <c r="C164" t="s">
        <v>4</v>
      </c>
      <c r="E164">
        <v>1.2</v>
      </c>
    </row>
    <row r="165" spans="1:5" x14ac:dyDescent="0.35">
      <c r="B165" t="s">
        <v>6</v>
      </c>
      <c r="C165" t="s">
        <v>10</v>
      </c>
      <c r="E165">
        <f>E163/E164</f>
        <v>101666.66666666667</v>
      </c>
    </row>
    <row r="166" spans="1:5" x14ac:dyDescent="0.35">
      <c r="B166" t="s">
        <v>8</v>
      </c>
      <c r="E166">
        <f>E165/12</f>
        <v>8472.2222222222226</v>
      </c>
    </row>
    <row r="169" spans="1:5" x14ac:dyDescent="0.35">
      <c r="C169" t="s">
        <v>3</v>
      </c>
      <c r="D169" s="3">
        <v>309000</v>
      </c>
    </row>
    <row r="170" spans="1:5" x14ac:dyDescent="0.35">
      <c r="C170" t="s">
        <v>98</v>
      </c>
      <c r="D170" s="3">
        <v>800300</v>
      </c>
    </row>
    <row r="171" spans="1:5" x14ac:dyDescent="0.35">
      <c r="C171" t="s">
        <v>52</v>
      </c>
      <c r="D171">
        <f>D169/D170</f>
        <v>0.38610521054604524</v>
      </c>
    </row>
    <row r="174" spans="1:5" x14ac:dyDescent="0.35">
      <c r="A174" t="s">
        <v>99</v>
      </c>
    </row>
    <row r="175" spans="1:5" x14ac:dyDescent="0.35">
      <c r="B175" t="s">
        <v>21</v>
      </c>
      <c r="D175" s="1">
        <v>7.0000000000000007E-2</v>
      </c>
    </row>
    <row r="176" spans="1:5" x14ac:dyDescent="0.35">
      <c r="B176" t="s">
        <v>22</v>
      </c>
      <c r="D176" s="3">
        <v>89100</v>
      </c>
    </row>
    <row r="177" spans="1:11" x14ac:dyDescent="0.35">
      <c r="B177" t="s">
        <v>23</v>
      </c>
      <c r="D177" s="8">
        <f>D176/D175</f>
        <v>1272857.1428571427</v>
      </c>
    </row>
    <row r="181" spans="1:11" x14ac:dyDescent="0.35">
      <c r="A181" t="s">
        <v>100</v>
      </c>
    </row>
    <row r="182" spans="1:11" x14ac:dyDescent="0.35">
      <c r="G182" s="10" t="s">
        <v>45</v>
      </c>
    </row>
    <row r="183" spans="1:11" x14ac:dyDescent="0.35">
      <c r="B183" t="s">
        <v>44</v>
      </c>
      <c r="C183" s="3">
        <v>9200000</v>
      </c>
      <c r="G183" t="s">
        <v>46</v>
      </c>
      <c r="H183" s="1">
        <v>0.75</v>
      </c>
    </row>
    <row r="184" spans="1:11" x14ac:dyDescent="0.35">
      <c r="G184" t="s">
        <v>47</v>
      </c>
      <c r="H184" s="10">
        <f>H183*C183</f>
        <v>6900000</v>
      </c>
    </row>
    <row r="186" spans="1:11" x14ac:dyDescent="0.35">
      <c r="B186" t="s">
        <v>48</v>
      </c>
      <c r="G186" s="10" t="s">
        <v>52</v>
      </c>
    </row>
    <row r="187" spans="1:11" x14ac:dyDescent="0.35">
      <c r="B187" t="s">
        <v>49</v>
      </c>
      <c r="C187" s="11">
        <v>0.06</v>
      </c>
      <c r="G187" t="s">
        <v>3</v>
      </c>
      <c r="H187" s="3">
        <v>131500</v>
      </c>
      <c r="K187" s="12">
        <f>MIN(H184,H193)</f>
        <v>1405967.7751661441</v>
      </c>
    </row>
    <row r="188" spans="1:11" x14ac:dyDescent="0.35">
      <c r="B188" t="s">
        <v>36</v>
      </c>
      <c r="C188" s="11">
        <f>C187/12</f>
        <v>5.0000000000000001E-3</v>
      </c>
      <c r="G188" t="s">
        <v>52</v>
      </c>
      <c r="H188">
        <v>1.3</v>
      </c>
    </row>
    <row r="189" spans="1:11" x14ac:dyDescent="0.35">
      <c r="B189" t="s">
        <v>50</v>
      </c>
      <c r="C189">
        <v>30</v>
      </c>
      <c r="G189" t="s">
        <v>53</v>
      </c>
      <c r="H189" s="9">
        <f>H187/H188</f>
        <v>101153.84615384616</v>
      </c>
    </row>
    <row r="190" spans="1:11" x14ac:dyDescent="0.35">
      <c r="B190" t="s">
        <v>51</v>
      </c>
      <c r="C190">
        <f>C189*12</f>
        <v>360</v>
      </c>
      <c r="G190" t="s">
        <v>54</v>
      </c>
      <c r="H190" s="9">
        <f>H189/12</f>
        <v>8429.4871794871797</v>
      </c>
    </row>
    <row r="192" spans="1:11" x14ac:dyDescent="0.35">
      <c r="G192" t="s">
        <v>55</v>
      </c>
      <c r="H192" s="9">
        <f>H190</f>
        <v>8429.4871794871797</v>
      </c>
    </row>
    <row r="193" spans="1:8" x14ac:dyDescent="0.35">
      <c r="G193" t="s">
        <v>37</v>
      </c>
      <c r="H193" s="12">
        <f>PV(C188,C190,-H192)</f>
        <v>1405967.7751661441</v>
      </c>
    </row>
    <row r="194" spans="1:8" x14ac:dyDescent="0.35">
      <c r="B194" t="s">
        <v>101</v>
      </c>
      <c r="D194" s="3">
        <v>10000000</v>
      </c>
    </row>
    <row r="195" spans="1:8" x14ac:dyDescent="0.35">
      <c r="B195" t="s">
        <v>102</v>
      </c>
      <c r="D195" s="1">
        <v>0.15</v>
      </c>
    </row>
    <row r="198" spans="1:8" x14ac:dyDescent="0.35">
      <c r="A198" t="s">
        <v>103</v>
      </c>
      <c r="B198" t="s">
        <v>45</v>
      </c>
      <c r="C198" s="1">
        <v>0.72</v>
      </c>
      <c r="D198" t="s">
        <v>104</v>
      </c>
      <c r="E198" s="1">
        <v>7.0000000000000007E-2</v>
      </c>
    </row>
    <row r="199" spans="1:8" x14ac:dyDescent="0.35">
      <c r="B199" t="s">
        <v>105</v>
      </c>
    </row>
    <row r="200" spans="1:8" x14ac:dyDescent="0.35">
      <c r="B200" t="s">
        <v>7</v>
      </c>
      <c r="D200">
        <f>C198*D194</f>
        <v>7200000</v>
      </c>
    </row>
    <row r="201" spans="1:8" x14ac:dyDescent="0.35">
      <c r="B201" t="s">
        <v>26</v>
      </c>
      <c r="D201">
        <f>D200*E198</f>
        <v>504000.00000000006</v>
      </c>
    </row>
    <row r="204" spans="1:8" x14ac:dyDescent="0.35">
      <c r="A204" t="s">
        <v>106</v>
      </c>
      <c r="B204" t="s">
        <v>45</v>
      </c>
      <c r="C204" s="1">
        <v>0.8</v>
      </c>
      <c r="D204" t="s">
        <v>104</v>
      </c>
      <c r="E204" s="1">
        <v>0.08</v>
      </c>
    </row>
    <row r="206" spans="1:8" x14ac:dyDescent="0.35">
      <c r="B206" t="s">
        <v>7</v>
      </c>
      <c r="D206">
        <f>C204*D194</f>
        <v>8000000</v>
      </c>
    </row>
    <row r="207" spans="1:8" x14ac:dyDescent="0.35">
      <c r="B207" t="s">
        <v>26</v>
      </c>
      <c r="D207">
        <f>D206*E204</f>
        <v>640000</v>
      </c>
    </row>
    <row r="209" spans="2:6" x14ac:dyDescent="0.35">
      <c r="B209" t="s">
        <v>107</v>
      </c>
      <c r="D209">
        <f>D207-D201</f>
        <v>135999.99999999994</v>
      </c>
    </row>
    <row r="210" spans="2:6" x14ac:dyDescent="0.35">
      <c r="B210" t="s">
        <v>108</v>
      </c>
      <c r="D210" t="s">
        <v>109</v>
      </c>
      <c r="E210">
        <f>D206-D200</f>
        <v>800000</v>
      </c>
    </row>
    <row r="211" spans="2:6" x14ac:dyDescent="0.35">
      <c r="B211" t="s">
        <v>110</v>
      </c>
      <c r="D211" s="21">
        <f>D209/E210</f>
        <v>0.16999999999999993</v>
      </c>
      <c r="E211" t="s">
        <v>111</v>
      </c>
      <c r="F211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80982-91D2-401A-94E2-828DB2B6D640}">
  <dimension ref="A2:I12"/>
  <sheetViews>
    <sheetView workbookViewId="0">
      <selection activeCell="G10" sqref="G10:J12"/>
    </sheetView>
  </sheetViews>
  <sheetFormatPr defaultRowHeight="14.5" x14ac:dyDescent="0.35"/>
  <cols>
    <col min="2" max="2" width="20" customWidth="1"/>
    <col min="3" max="3" width="10.08984375" bestFit="1" customWidth="1"/>
    <col min="4" max="4" width="10.453125" bestFit="1" customWidth="1"/>
    <col min="5" max="5" width="11.453125" bestFit="1" customWidth="1"/>
    <col min="8" max="8" width="11.453125" bestFit="1" customWidth="1"/>
    <col min="9" max="9" width="13.81640625" customWidth="1"/>
  </cols>
  <sheetData>
    <row r="2" spans="1:9" x14ac:dyDescent="0.35">
      <c r="B2" t="s">
        <v>9</v>
      </c>
      <c r="C2">
        <v>1</v>
      </c>
      <c r="D2">
        <v>2</v>
      </c>
      <c r="E2">
        <v>3</v>
      </c>
      <c r="H2" t="s">
        <v>16</v>
      </c>
    </row>
    <row r="3" spans="1:9" x14ac:dyDescent="0.35">
      <c r="B3" t="s">
        <v>3</v>
      </c>
      <c r="C3">
        <v>82000</v>
      </c>
      <c r="D3">
        <v>84460</v>
      </c>
      <c r="E3">
        <v>86994</v>
      </c>
    </row>
    <row r="4" spans="1:9" x14ac:dyDescent="0.35">
      <c r="B4" t="s">
        <v>10</v>
      </c>
      <c r="C4" s="4">
        <v>74839</v>
      </c>
      <c r="D4" s="4">
        <v>74839</v>
      </c>
      <c r="E4" s="4">
        <v>74839</v>
      </c>
      <c r="G4" t="s">
        <v>18</v>
      </c>
      <c r="H4" t="s">
        <v>17</v>
      </c>
      <c r="I4" s="3">
        <v>604200</v>
      </c>
    </row>
    <row r="5" spans="1:9" x14ac:dyDescent="0.35">
      <c r="B5" s="2" t="s">
        <v>11</v>
      </c>
      <c r="C5">
        <f>C3-C4</f>
        <v>7161</v>
      </c>
      <c r="D5">
        <f t="shared" ref="D5:E5" si="0">D3-D4</f>
        <v>9621</v>
      </c>
      <c r="E5">
        <f t="shared" si="0"/>
        <v>12155</v>
      </c>
      <c r="G5" t="s">
        <v>19</v>
      </c>
      <c r="I5" s="6">
        <f>C9+D9+E9</f>
        <v>204789</v>
      </c>
    </row>
    <row r="6" spans="1:9" x14ac:dyDescent="0.35">
      <c r="B6" t="s">
        <v>12</v>
      </c>
      <c r="E6">
        <v>853368</v>
      </c>
    </row>
    <row r="7" spans="1:9" x14ac:dyDescent="0.35">
      <c r="B7" t="s">
        <v>13</v>
      </c>
      <c r="C7" s="4"/>
      <c r="D7" s="4"/>
      <c r="E7" s="5">
        <v>-574599</v>
      </c>
      <c r="G7" t="s">
        <v>20</v>
      </c>
      <c r="I7" s="8">
        <f>SUM(I4:I5)</f>
        <v>808989</v>
      </c>
    </row>
    <row r="8" spans="1:9" x14ac:dyDescent="0.35">
      <c r="B8" t="s">
        <v>14</v>
      </c>
      <c r="C8">
        <f t="shared" ref="C8:D8" si="1">SUM(C5:C7)</f>
        <v>7161</v>
      </c>
      <c r="D8">
        <f t="shared" si="1"/>
        <v>9621</v>
      </c>
      <c r="E8">
        <f>SUM(E5:E7)</f>
        <v>290924</v>
      </c>
    </row>
    <row r="9" spans="1:9" x14ac:dyDescent="0.35">
      <c r="A9" s="1">
        <v>0.15</v>
      </c>
      <c r="B9" t="s">
        <v>15</v>
      </c>
      <c r="C9" s="6">
        <v>6227</v>
      </c>
      <c r="D9" s="6">
        <v>7275</v>
      </c>
      <c r="E9" s="6">
        <v>191287</v>
      </c>
    </row>
    <row r="10" spans="1:9" x14ac:dyDescent="0.35">
      <c r="G10" t="s">
        <v>21</v>
      </c>
      <c r="I10" s="1">
        <v>0.09</v>
      </c>
    </row>
    <row r="11" spans="1:9" x14ac:dyDescent="0.35">
      <c r="G11" t="s">
        <v>22</v>
      </c>
      <c r="I11">
        <f>C3</f>
        <v>82000</v>
      </c>
    </row>
    <row r="12" spans="1:9" x14ac:dyDescent="0.35">
      <c r="G12" t="s">
        <v>23</v>
      </c>
      <c r="I12" s="8">
        <f>I11/I10</f>
        <v>911111.11111111112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64707-6A46-47CF-9FA2-13E935B73093}">
  <dimension ref="B2:H14"/>
  <sheetViews>
    <sheetView workbookViewId="0">
      <selection activeCell="J19" sqref="A2:J19"/>
    </sheetView>
  </sheetViews>
  <sheetFormatPr defaultRowHeight="14.5" x14ac:dyDescent="0.35"/>
  <cols>
    <col min="2" max="2" width="13.90625" bestFit="1" customWidth="1"/>
  </cols>
  <sheetData>
    <row r="2" spans="2:8" x14ac:dyDescent="0.35">
      <c r="B2" t="s">
        <v>3</v>
      </c>
      <c r="C2" s="3">
        <v>90000</v>
      </c>
    </row>
    <row r="3" spans="2:8" x14ac:dyDescent="0.35">
      <c r="B3" t="s">
        <v>24</v>
      </c>
      <c r="C3" s="3">
        <v>1200000</v>
      </c>
    </row>
    <row r="4" spans="2:8" x14ac:dyDescent="0.35">
      <c r="B4" t="s">
        <v>25</v>
      </c>
      <c r="C4">
        <v>76000</v>
      </c>
    </row>
    <row r="5" spans="2:8" x14ac:dyDescent="0.35">
      <c r="B5" t="s">
        <v>26</v>
      </c>
      <c r="C5" s="3">
        <v>73400</v>
      </c>
    </row>
    <row r="6" spans="2:8" x14ac:dyDescent="0.35">
      <c r="B6" t="s">
        <v>27</v>
      </c>
      <c r="C6" s="3">
        <v>38095</v>
      </c>
    </row>
    <row r="8" spans="2:8" x14ac:dyDescent="0.35">
      <c r="B8" t="s">
        <v>28</v>
      </c>
      <c r="C8" s="7">
        <f>C2-C5-C6</f>
        <v>-21495</v>
      </c>
    </row>
    <row r="10" spans="2:8" x14ac:dyDescent="0.35">
      <c r="D10" t="s">
        <v>33</v>
      </c>
    </row>
    <row r="11" spans="2:8" x14ac:dyDescent="0.35">
      <c r="B11" t="s">
        <v>29</v>
      </c>
      <c r="C11" s="3">
        <v>1300000</v>
      </c>
    </row>
    <row r="12" spans="2:8" x14ac:dyDescent="0.35">
      <c r="B12" t="s">
        <v>30</v>
      </c>
      <c r="C12" s="3">
        <f>C11-C3</f>
        <v>100000</v>
      </c>
      <c r="D12">
        <f>C12*H12</f>
        <v>15000</v>
      </c>
      <c r="F12" t="s">
        <v>31</v>
      </c>
      <c r="H12" s="1">
        <v>0.15</v>
      </c>
    </row>
    <row r="13" spans="2:8" x14ac:dyDescent="0.35">
      <c r="B13" t="s">
        <v>34</v>
      </c>
      <c r="C13" s="3">
        <f>C6</f>
        <v>38095</v>
      </c>
      <c r="D13">
        <f>C13*H13</f>
        <v>9523.75</v>
      </c>
      <c r="F13" t="s">
        <v>32</v>
      </c>
      <c r="H13" s="1">
        <v>0.25</v>
      </c>
    </row>
    <row r="14" spans="2:8" x14ac:dyDescent="0.35">
      <c r="D14" s="10">
        <f>SUM(D12:D13)</f>
        <v>24523.75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BD2D-20F0-4CF1-93D2-1FB5839745C6}">
  <dimension ref="B2:I4"/>
  <sheetViews>
    <sheetView workbookViewId="0">
      <selection activeCell="G4" sqref="G4"/>
    </sheetView>
  </sheetViews>
  <sheetFormatPr defaultRowHeight="14.5" x14ac:dyDescent="0.35"/>
  <sheetData>
    <row r="2" spans="2:9" x14ac:dyDescent="0.35">
      <c r="B2" t="s">
        <v>35</v>
      </c>
      <c r="D2" t="s">
        <v>36</v>
      </c>
      <c r="E2" s="1">
        <v>0.16</v>
      </c>
    </row>
    <row r="3" spans="2:9" x14ac:dyDescent="0.35">
      <c r="D3" t="s">
        <v>37</v>
      </c>
      <c r="E3" s="3">
        <v>5000000</v>
      </c>
      <c r="G3" t="s">
        <v>39</v>
      </c>
      <c r="H3" t="s">
        <v>40</v>
      </c>
      <c r="I3" t="s">
        <v>41</v>
      </c>
    </row>
    <row r="4" spans="2:9" x14ac:dyDescent="0.35">
      <c r="D4" t="s">
        <v>38</v>
      </c>
      <c r="E4" s="11">
        <v>0.14249000000000001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D5B0F-3CFE-4D93-A667-55DD07A4F40B}">
  <dimension ref="C2:G4"/>
  <sheetViews>
    <sheetView workbookViewId="0">
      <selection activeCell="C1" sqref="C1:I7"/>
    </sheetView>
  </sheetViews>
  <sheetFormatPr defaultRowHeight="14.5" x14ac:dyDescent="0.35"/>
  <cols>
    <col min="5" max="5" width="11.08984375" bestFit="1" customWidth="1"/>
  </cols>
  <sheetData>
    <row r="2" spans="3:7" x14ac:dyDescent="0.35">
      <c r="C2" t="s">
        <v>4</v>
      </c>
      <c r="E2">
        <v>1.3</v>
      </c>
    </row>
    <row r="3" spans="3:7" x14ac:dyDescent="0.35">
      <c r="C3" t="s">
        <v>3</v>
      </c>
      <c r="E3" s="3">
        <v>45000</v>
      </c>
    </row>
    <row r="4" spans="3:7" x14ac:dyDescent="0.35">
      <c r="C4" t="s">
        <v>42</v>
      </c>
      <c r="E4" s="9">
        <f>E3/E2</f>
        <v>34615.384615384617</v>
      </c>
      <c r="G4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A6B3C-C8E2-4CF4-A119-3249D4426D6C}">
  <dimension ref="B1:K12"/>
  <sheetViews>
    <sheetView workbookViewId="0">
      <selection sqref="A1:K16"/>
    </sheetView>
  </sheetViews>
  <sheetFormatPr defaultRowHeight="14.5" x14ac:dyDescent="0.35"/>
  <cols>
    <col min="7" max="7" width="21.36328125" bestFit="1" customWidth="1"/>
    <col min="8" max="8" width="13.6328125" bestFit="1" customWidth="1"/>
    <col min="11" max="11" width="13" bestFit="1" customWidth="1"/>
  </cols>
  <sheetData>
    <row r="1" spans="2:11" x14ac:dyDescent="0.35">
      <c r="G1" s="10" t="s">
        <v>45</v>
      </c>
    </row>
    <row r="2" spans="2:11" x14ac:dyDescent="0.35">
      <c r="B2" t="s">
        <v>44</v>
      </c>
      <c r="C2" s="3">
        <v>9200000</v>
      </c>
      <c r="G2" t="s">
        <v>46</v>
      </c>
      <c r="H2" s="1">
        <v>0.75</v>
      </c>
    </row>
    <row r="3" spans="2:11" x14ac:dyDescent="0.35">
      <c r="G3" t="s">
        <v>47</v>
      </c>
      <c r="H3" s="10">
        <f>H2*C2</f>
        <v>6900000</v>
      </c>
    </row>
    <row r="5" spans="2:11" x14ac:dyDescent="0.35">
      <c r="B5" t="s">
        <v>48</v>
      </c>
      <c r="G5" s="10" t="s">
        <v>52</v>
      </c>
    </row>
    <row r="6" spans="2:11" x14ac:dyDescent="0.35">
      <c r="B6" t="s">
        <v>49</v>
      </c>
      <c r="C6" s="11">
        <v>8.5000000000000006E-2</v>
      </c>
      <c r="G6" t="s">
        <v>3</v>
      </c>
      <c r="H6" s="3">
        <v>692000</v>
      </c>
      <c r="K6" s="12">
        <f>MIN(H3,H12)</f>
        <v>5999808.0822149487</v>
      </c>
    </row>
    <row r="7" spans="2:11" x14ac:dyDescent="0.35">
      <c r="B7" t="s">
        <v>36</v>
      </c>
      <c r="C7" s="11">
        <f>C6/12</f>
        <v>7.0833333333333338E-3</v>
      </c>
      <c r="G7" t="s">
        <v>52</v>
      </c>
      <c r="H7">
        <v>1.25</v>
      </c>
    </row>
    <row r="8" spans="2:11" x14ac:dyDescent="0.35">
      <c r="B8" t="s">
        <v>50</v>
      </c>
      <c r="C8">
        <v>30</v>
      </c>
      <c r="G8" t="s">
        <v>53</v>
      </c>
      <c r="H8" s="9">
        <f>H6/H7</f>
        <v>553600</v>
      </c>
    </row>
    <row r="9" spans="2:11" x14ac:dyDescent="0.35">
      <c r="B9" t="s">
        <v>51</v>
      </c>
      <c r="C9">
        <f>C8*12</f>
        <v>360</v>
      </c>
      <c r="G9" t="s">
        <v>54</v>
      </c>
      <c r="H9" s="9">
        <f>H8/12</f>
        <v>46133.333333333336</v>
      </c>
    </row>
    <row r="11" spans="2:11" x14ac:dyDescent="0.35">
      <c r="G11" t="s">
        <v>55</v>
      </c>
      <c r="H11" s="9">
        <f>H9</f>
        <v>46133.333333333336</v>
      </c>
    </row>
    <row r="12" spans="2:11" x14ac:dyDescent="0.35">
      <c r="G12" t="s">
        <v>37</v>
      </c>
      <c r="H12" s="12">
        <f>PV(C7,C9,-H11)</f>
        <v>5999808.0822149487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Proforma</vt:lpstr>
      <vt:lpstr>Taxable income</vt:lpstr>
      <vt:lpstr>IRR</vt:lpstr>
      <vt:lpstr>Debt Service</vt:lpstr>
      <vt:lpstr>Max 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Kotian</dc:creator>
  <cp:lastModifiedBy>Rahul Kotian</cp:lastModifiedBy>
  <dcterms:created xsi:type="dcterms:W3CDTF">2015-06-05T18:17:20Z</dcterms:created>
  <dcterms:modified xsi:type="dcterms:W3CDTF">2024-07-19T23:13:22Z</dcterms:modified>
</cp:coreProperties>
</file>