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efaultThemeVersion="124226"/>
  <mc:AlternateContent xmlns:mc="http://schemas.openxmlformats.org/markup-compatibility/2006">
    <mc:Choice Requires="x15">
      <x15ac:absPath xmlns:x15ac="http://schemas.microsoft.com/office/spreadsheetml/2010/11/ac" url="C:\Users\gdec\OneDrive - The University of Texas at Dallas\Courses\FIN6322 -20F-Online\RCP Case\"/>
    </mc:Choice>
  </mc:AlternateContent>
  <xr:revisionPtr revIDLastSave="3" documentId="13_ncr:1_{C9295934-8892-440C-A6CA-4D2C39EA89D6}" xr6:coauthVersionLast="45" xr6:coauthVersionMax="45" xr10:uidLastSave="{06701C4B-2B7D-4AA4-B593-D044EF3668CC}"/>
  <bookViews>
    <workbookView xWindow="-120" yWindow="-120" windowWidth="25440" windowHeight="15990" xr2:uid="{00000000-000D-0000-FFFF-FFFF00000000}"/>
  </bookViews>
  <sheets>
    <sheet name="NOI" sheetId="1" r:id="rId1"/>
    <sheet name="Cash Flow (Loan A)" sheetId="2" r:id="rId2"/>
    <sheet name="Cash Flow (Loan B)" sheetId="5" r:id="rId3"/>
    <sheet name="Cash Flow (No Loan)" sheetId="7" r:id="rId4"/>
    <sheet name="Tax Accounting (A) Advanced" sheetId="4" r:id="rId5"/>
  </sheets>
  <externalReferences>
    <externalReference r:id="rId6"/>
    <externalReference r:id="rId7"/>
    <externalReference r:id="rId8"/>
    <externalReference r:id="rId9"/>
  </externalReferences>
  <definedNames>
    <definedName name="__123Graph_A" hidden="1">'[1]REITs &amp; S&amp;P'!$E$11:$E$31</definedName>
    <definedName name="__123Graph_X" hidden="1">'[1]REITs &amp; S&amp;P'!$D$11:$D$31</definedName>
    <definedName name="_1__123Graph_ACHART_1" hidden="1">'[1]REITs &amp; S&amp;P'!$F$11:$F$31</definedName>
    <definedName name="_2__123Graph_ACHART_2" hidden="1">[2]A!$E$171:$E$177</definedName>
    <definedName name="_3__123Graph_BCHART_1" hidden="1">[3]A!$E$135:$E$141</definedName>
    <definedName name="_4__123Graph_XCHART_1" hidden="1">'[1]REITs &amp; S&amp;P'!$D$11:$D$31</definedName>
    <definedName name="_5__123Graph_XCHART_2" hidden="1">[2]A!$D$171:$D$177</definedName>
    <definedName name="_Table1_In1" hidden="1">[3]A!$F$60</definedName>
    <definedName name="_Table1_Out" hidden="1">[3]A!$C$134:$E$141</definedName>
    <definedName name="Class_A">'[4]Ch20 CMBS'!$K$11</definedName>
    <definedName name="Class_B">'[4]Ch20 CMBS'!$K$16</definedName>
    <definedName name="ClassA_Coupon">'[4]Ch20 CMBS'!$I$11</definedName>
    <definedName name="ClassB_Coupon">'[4]Ch20 CMBS'!$I$16</definedName>
    <definedName name="Default_property_Price">'[4]Ch20 CMBS'!$F$4</definedName>
    <definedName name="Interest_rate">'[4]Ch20 CMBS'!$C$5</definedName>
    <definedName name="Maturity">'[4]Ch20 CMBS'!$C$6</definedName>
    <definedName name="Mortgages">'[4]Ch20 CMBS'!$C$4</definedName>
    <definedName name="Residual">'[4]Ch20 CMBS'!$K$18</definedName>
    <definedName name="Total_Asset">'[4]Ch20 CMBS'!$K$20</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3" i="1" l="1"/>
  <c r="D50" i="1"/>
  <c r="E49" i="1"/>
  <c r="E48" i="1"/>
  <c r="E47" i="1"/>
  <c r="E46" i="1"/>
  <c r="E45" i="1"/>
  <c r="E50" i="1" l="1"/>
  <c r="D23" i="1"/>
  <c r="E23" i="1" s="1"/>
  <c r="F23" i="1" s="1"/>
  <c r="G23" i="1" s="1"/>
  <c r="E22" i="1"/>
  <c r="F22" i="1" s="1"/>
  <c r="G22" i="1" s="1"/>
  <c r="H22" i="1" s="1"/>
  <c r="I22" i="1" s="1"/>
  <c r="H23" i="1" l="1"/>
  <c r="I23" i="1" s="1"/>
  <c r="C7" i="7"/>
  <c r="C54" i="7" s="1"/>
  <c r="C27" i="2"/>
  <c r="C34" i="2"/>
  <c r="C7" i="5"/>
  <c r="C34" i="5" s="1"/>
  <c r="D87" i="7"/>
  <c r="C87" i="7"/>
  <c r="E87" i="7"/>
  <c r="E88" i="7" s="1"/>
  <c r="F87" i="7"/>
  <c r="G87" i="7"/>
  <c r="H87" i="7"/>
  <c r="H88" i="7" s="1"/>
  <c r="H98" i="7"/>
  <c r="G126" i="7"/>
  <c r="G129" i="7" s="1"/>
  <c r="G133" i="7" s="1"/>
  <c r="G137" i="7" s="1"/>
  <c r="F126" i="7"/>
  <c r="F129" i="7" s="1"/>
  <c r="F133" i="7" s="1"/>
  <c r="F137" i="7" s="1"/>
  <c r="E126" i="7"/>
  <c r="E129" i="7" s="1"/>
  <c r="E133" i="7" s="1"/>
  <c r="E137" i="7" s="1"/>
  <c r="D126" i="7"/>
  <c r="D129" i="7" s="1"/>
  <c r="D133" i="7" s="1"/>
  <c r="D137" i="7" s="1"/>
  <c r="C56" i="7"/>
  <c r="C56" i="5"/>
  <c r="C54" i="2"/>
  <c r="C55" i="2"/>
  <c r="C56" i="2"/>
  <c r="E32" i="1"/>
  <c r="D75" i="1" s="1"/>
  <c r="G126" i="5"/>
  <c r="G129" i="5" s="1"/>
  <c r="G133" i="5" s="1"/>
  <c r="G137" i="5" s="1"/>
  <c r="F126" i="5"/>
  <c r="F129" i="5" s="1"/>
  <c r="F133" i="5" s="1"/>
  <c r="F137" i="5" s="1"/>
  <c r="E126" i="5"/>
  <c r="E129" i="5" s="1"/>
  <c r="E133" i="5" s="1"/>
  <c r="E137" i="5" s="1"/>
  <c r="D126" i="5"/>
  <c r="D129" i="5" s="1"/>
  <c r="D133" i="5" s="1"/>
  <c r="D137" i="5" s="1"/>
  <c r="H98" i="5"/>
  <c r="H87" i="5"/>
  <c r="G87" i="5"/>
  <c r="F87" i="5"/>
  <c r="E87" i="5"/>
  <c r="D87" i="5"/>
  <c r="D88" i="5" s="1"/>
  <c r="C87" i="5"/>
  <c r="C7" i="4"/>
  <c r="D18" i="4"/>
  <c r="D16" i="4"/>
  <c r="D6" i="4"/>
  <c r="D7" i="4" s="1"/>
  <c r="H98" i="2"/>
  <c r="G126" i="2"/>
  <c r="G129" i="2" s="1"/>
  <c r="G133" i="2" s="1"/>
  <c r="G137" i="2" s="1"/>
  <c r="F126" i="2"/>
  <c r="F129" i="2" s="1"/>
  <c r="F133" i="2" s="1"/>
  <c r="F137" i="2" s="1"/>
  <c r="E126" i="2"/>
  <c r="E129" i="2" s="1"/>
  <c r="E133" i="2" s="1"/>
  <c r="E137" i="2" s="1"/>
  <c r="D126" i="2"/>
  <c r="D129" i="2" s="1"/>
  <c r="D133" i="2" s="1"/>
  <c r="D137" i="2" s="1"/>
  <c r="E87" i="2"/>
  <c r="F87" i="2"/>
  <c r="G87" i="2"/>
  <c r="H87" i="2"/>
  <c r="D87" i="2"/>
  <c r="C87" i="2"/>
  <c r="E59" i="1"/>
  <c r="F59" i="1" s="1"/>
  <c r="G59" i="1" s="1"/>
  <c r="H59" i="1" s="1"/>
  <c r="I59" i="1" s="1"/>
  <c r="E30" i="1"/>
  <c r="D73" i="1" s="1"/>
  <c r="E31" i="1"/>
  <c r="D74" i="1" s="1"/>
  <c r="E33" i="1"/>
  <c r="D76" i="1" s="1"/>
  <c r="E34" i="1"/>
  <c r="D77" i="1" s="1"/>
  <c r="E35" i="1"/>
  <c r="D78" i="1" s="1"/>
  <c r="C37" i="1"/>
  <c r="E71" i="1"/>
  <c r="E73" i="1" s="1"/>
  <c r="D61" i="1"/>
  <c r="D62" i="1"/>
  <c r="E62" i="1" s="1"/>
  <c r="F62" i="1" s="1"/>
  <c r="G62" i="1" s="1"/>
  <c r="D63" i="1"/>
  <c r="E63" i="1" s="1"/>
  <c r="F63" i="1" s="1"/>
  <c r="G63" i="1" s="1"/>
  <c r="H63" i="1" s="1"/>
  <c r="I63" i="1" s="1"/>
  <c r="D64" i="1"/>
  <c r="E64" i="1" s="1"/>
  <c r="F64" i="1" s="1"/>
  <c r="G64" i="1" s="1"/>
  <c r="H64" i="1" s="1"/>
  <c r="I64" i="1" s="1"/>
  <c r="D65" i="1"/>
  <c r="E65" i="1" s="1"/>
  <c r="F65" i="1" s="1"/>
  <c r="G65" i="1" s="1"/>
  <c r="H65" i="1"/>
  <c r="I65" i="1" s="1"/>
  <c r="E104" i="1"/>
  <c r="F104" i="1" s="1"/>
  <c r="G104" i="1" s="1"/>
  <c r="H104" i="1" s="1"/>
  <c r="I104" i="1" s="1"/>
  <c r="D88" i="2"/>
  <c r="H88" i="2"/>
  <c r="G88" i="2"/>
  <c r="H62" i="1"/>
  <c r="I62" i="1" s="1"/>
  <c r="G88" i="7"/>
  <c r="F88" i="5"/>
  <c r="E88" i="5"/>
  <c r="G88" i="5"/>
  <c r="E88" i="2" l="1"/>
  <c r="F88" i="2"/>
  <c r="D88" i="7"/>
  <c r="H88" i="5"/>
  <c r="F88" i="7"/>
  <c r="C27" i="5"/>
  <c r="C55" i="7"/>
  <c r="C57" i="7" s="1"/>
  <c r="C34" i="7"/>
  <c r="C57" i="2"/>
  <c r="C27" i="7"/>
  <c r="C54" i="5"/>
  <c r="C55" i="5"/>
  <c r="D8" i="4"/>
  <c r="D12" i="4" s="1"/>
  <c r="D50" i="4" s="1"/>
  <c r="F71" i="1"/>
  <c r="F73" i="1" s="1"/>
  <c r="E77" i="1"/>
  <c r="E87" i="1" s="1"/>
  <c r="E74" i="1"/>
  <c r="E78" i="1"/>
  <c r="E76" i="1"/>
  <c r="E75" i="1"/>
  <c r="E85" i="1" s="1"/>
  <c r="E61" i="1"/>
  <c r="D66" i="1"/>
  <c r="D87" i="1"/>
  <c r="D85" i="1"/>
  <c r="E37" i="1"/>
  <c r="D53" i="1" s="1"/>
  <c r="D83" i="1"/>
  <c r="D80" i="1"/>
  <c r="D106" i="1" s="1"/>
  <c r="D88" i="1"/>
  <c r="D86" i="1"/>
  <c r="D84" i="1"/>
  <c r="E53" i="1" l="1"/>
  <c r="E55" i="1" s="1"/>
  <c r="D55" i="1"/>
  <c r="C57" i="5"/>
  <c r="E50" i="4"/>
  <c r="H50" i="4"/>
  <c r="G50" i="4"/>
  <c r="F50" i="4"/>
  <c r="F74" i="1"/>
  <c r="F75" i="1"/>
  <c r="F85" i="1" s="1"/>
  <c r="F76" i="1"/>
  <c r="F77" i="1"/>
  <c r="F87" i="1" s="1"/>
  <c r="F78" i="1"/>
  <c r="G71" i="1"/>
  <c r="G73" i="1" s="1"/>
  <c r="D113" i="1"/>
  <c r="D67" i="1"/>
  <c r="E66" i="1"/>
  <c r="F61" i="1"/>
  <c r="E86" i="1"/>
  <c r="D90" i="1"/>
  <c r="E80" i="1"/>
  <c r="E106" i="1" s="1"/>
  <c r="E83" i="1"/>
  <c r="E88" i="1"/>
  <c r="E84" i="1"/>
  <c r="G83" i="1" l="1"/>
  <c r="G74" i="1"/>
  <c r="G75" i="1"/>
  <c r="G76" i="1"/>
  <c r="G86" i="1" s="1"/>
  <c r="G77" i="1"/>
  <c r="G87" i="1" s="1"/>
  <c r="G78" i="1"/>
  <c r="H71" i="1"/>
  <c r="H73" i="1" s="1"/>
  <c r="F66" i="1"/>
  <c r="G61" i="1"/>
  <c r="D96" i="1"/>
  <c r="D93" i="1"/>
  <c r="D98" i="1"/>
  <c r="D95" i="1"/>
  <c r="D97" i="1"/>
  <c r="D94" i="1"/>
  <c r="E113" i="1"/>
  <c r="E67" i="1"/>
  <c r="F84" i="1"/>
  <c r="D107" i="1"/>
  <c r="F80" i="1"/>
  <c r="F83" i="1"/>
  <c r="F86" i="1"/>
  <c r="F88" i="1"/>
  <c r="E90" i="1"/>
  <c r="E107" i="1" s="1"/>
  <c r="H83" i="1" l="1"/>
  <c r="H74" i="1"/>
  <c r="H84" i="1" s="1"/>
  <c r="H75" i="1"/>
  <c r="H85" i="1" s="1"/>
  <c r="H76" i="1"/>
  <c r="H86" i="1" s="1"/>
  <c r="H77" i="1"/>
  <c r="H87" i="1" s="1"/>
  <c r="H78" i="1"/>
  <c r="H88" i="1" s="1"/>
  <c r="I71" i="1"/>
  <c r="I73" i="1" s="1"/>
  <c r="E95" i="1"/>
  <c r="E93" i="1"/>
  <c r="E96" i="1"/>
  <c r="E97" i="1"/>
  <c r="E94" i="1"/>
  <c r="E98" i="1"/>
  <c r="D99" i="1"/>
  <c r="H61" i="1"/>
  <c r="G66" i="1"/>
  <c r="F113" i="1"/>
  <c r="F67" i="1"/>
  <c r="G85" i="1"/>
  <c r="F90" i="1"/>
  <c r="F107" i="1" s="1"/>
  <c r="G80" i="1"/>
  <c r="G84" i="1"/>
  <c r="F106" i="1"/>
  <c r="G88" i="1"/>
  <c r="I74" i="1" l="1"/>
  <c r="I84" i="1" s="1"/>
  <c r="I75" i="1"/>
  <c r="I85" i="1" s="1"/>
  <c r="I76" i="1"/>
  <c r="I86" i="1" s="1"/>
  <c r="I77" i="1"/>
  <c r="I87" i="1" s="1"/>
  <c r="I78" i="1"/>
  <c r="I88" i="1" s="1"/>
  <c r="G90" i="1"/>
  <c r="G107" i="1" s="1"/>
  <c r="H66" i="1"/>
  <c r="I61" i="1"/>
  <c r="I66" i="1" s="1"/>
  <c r="E99" i="1"/>
  <c r="F93" i="1"/>
  <c r="F95" i="1"/>
  <c r="F97" i="1"/>
  <c r="F94" i="1"/>
  <c r="F98" i="1"/>
  <c r="F96" i="1"/>
  <c r="G67" i="1"/>
  <c r="G113" i="1"/>
  <c r="D108" i="1"/>
  <c r="D109" i="1" s="1"/>
  <c r="D110" i="1" s="1"/>
  <c r="D111" i="1" s="1"/>
  <c r="D114" i="1" s="1"/>
  <c r="D115" i="1" s="1"/>
  <c r="C24" i="5" s="1"/>
  <c r="C25" i="5" s="1"/>
  <c r="C26" i="5" s="1"/>
  <c r="C28" i="5" s="1"/>
  <c r="C47" i="5" s="1"/>
  <c r="H90" i="1"/>
  <c r="H107" i="1" s="1"/>
  <c r="H80" i="1"/>
  <c r="G106" i="1"/>
  <c r="I83" i="1" l="1"/>
  <c r="I90" i="1" s="1"/>
  <c r="I107" i="1" s="1"/>
  <c r="I80" i="1"/>
  <c r="I106" i="1" s="1"/>
  <c r="D80" i="7"/>
  <c r="D82" i="7" s="1"/>
  <c r="C24" i="2"/>
  <c r="C25" i="2" s="1"/>
  <c r="C26" i="2" s="1"/>
  <c r="C28" i="2" s="1"/>
  <c r="C30" i="2" s="1"/>
  <c r="D71" i="2" s="1"/>
  <c r="C24" i="7"/>
  <c r="C25" i="7" s="1"/>
  <c r="C26" i="7" s="1"/>
  <c r="C28" i="7" s="1"/>
  <c r="C47" i="7" s="1"/>
  <c r="C48" i="7" s="1"/>
  <c r="D80" i="2"/>
  <c r="C163" i="2" s="1"/>
  <c r="D80" i="5"/>
  <c r="D82" i="5" s="1"/>
  <c r="F99" i="1"/>
  <c r="G98" i="1"/>
  <c r="G96" i="1"/>
  <c r="G97" i="1"/>
  <c r="G93" i="1"/>
  <c r="G95" i="1"/>
  <c r="G94" i="1"/>
  <c r="E108" i="1"/>
  <c r="E109" i="1" s="1"/>
  <c r="E110" i="1" s="1"/>
  <c r="E111" i="1" s="1"/>
  <c r="E114" i="1" s="1"/>
  <c r="E115" i="1" s="1"/>
  <c r="I67" i="1"/>
  <c r="I113" i="1"/>
  <c r="H67" i="1"/>
  <c r="H113" i="1"/>
  <c r="C71" i="5"/>
  <c r="C30" i="5"/>
  <c r="D72" i="5" s="1"/>
  <c r="C35" i="5"/>
  <c r="C36" i="5" s="1"/>
  <c r="H106" i="1"/>
  <c r="C48" i="5"/>
  <c r="C30" i="7" l="1"/>
  <c r="F72" i="7" s="1"/>
  <c r="F75" i="7" s="1"/>
  <c r="E71" i="2"/>
  <c r="E73" i="2" s="1"/>
  <c r="E47" i="4" s="1"/>
  <c r="H71" i="2"/>
  <c r="H97" i="2" s="1"/>
  <c r="C163" i="7"/>
  <c r="I72" i="2"/>
  <c r="C35" i="7"/>
  <c r="C75" i="7" s="1"/>
  <c r="E72" i="2"/>
  <c r="E83" i="2" s="1"/>
  <c r="G71" i="2"/>
  <c r="F71" i="2"/>
  <c r="D15" i="4"/>
  <c r="D17" i="4" s="1"/>
  <c r="D19" i="4" s="1"/>
  <c r="G51" i="4" s="1"/>
  <c r="C35" i="2"/>
  <c r="C36" i="2" s="1"/>
  <c r="C101" i="2" s="1"/>
  <c r="I71" i="2"/>
  <c r="F72" i="2"/>
  <c r="F83" i="2" s="1"/>
  <c r="D72" i="2"/>
  <c r="D75" i="2" s="1"/>
  <c r="D71" i="5"/>
  <c r="C71" i="2"/>
  <c r="D73" i="2" s="1"/>
  <c r="D47" i="4" s="1"/>
  <c r="G72" i="2"/>
  <c r="G75" i="2" s="1"/>
  <c r="H72" i="2"/>
  <c r="H83" i="2" s="1"/>
  <c r="E72" i="5"/>
  <c r="E83" i="5" s="1"/>
  <c r="C47" i="2"/>
  <c r="C48" i="2" s="1"/>
  <c r="D82" i="2"/>
  <c r="D46" i="4" s="1"/>
  <c r="C71" i="7"/>
  <c r="D73" i="5"/>
  <c r="D74" i="5" s="1"/>
  <c r="E80" i="5"/>
  <c r="E82" i="5" s="1"/>
  <c r="E80" i="2"/>
  <c r="E82" i="2" s="1"/>
  <c r="E46" i="4" s="1"/>
  <c r="E80" i="7"/>
  <c r="E82" i="7" s="1"/>
  <c r="H72" i="5"/>
  <c r="H71" i="5"/>
  <c r="H97" i="5" s="1"/>
  <c r="G71" i="5"/>
  <c r="E71" i="5"/>
  <c r="F71" i="5"/>
  <c r="I95" i="1"/>
  <c r="I93" i="1"/>
  <c r="I98" i="1"/>
  <c r="I97" i="1"/>
  <c r="I96" i="1"/>
  <c r="I94" i="1"/>
  <c r="G72" i="5"/>
  <c r="G83" i="5" s="1"/>
  <c r="I71" i="5"/>
  <c r="H94" i="1"/>
  <c r="H98" i="1"/>
  <c r="H95" i="1"/>
  <c r="H96" i="1"/>
  <c r="H93" i="1"/>
  <c r="H97" i="1"/>
  <c r="G99" i="1"/>
  <c r="F108" i="1"/>
  <c r="F109" i="1" s="1"/>
  <c r="F110" i="1" s="1"/>
  <c r="F111" i="1" s="1"/>
  <c r="F114" i="1" s="1"/>
  <c r="F115" i="1" s="1"/>
  <c r="C75" i="5"/>
  <c r="F72" i="5"/>
  <c r="F75" i="5" s="1"/>
  <c r="I72" i="5"/>
  <c r="D75" i="5"/>
  <c r="D83" i="5"/>
  <c r="C101" i="5"/>
  <c r="C40" i="5"/>
  <c r="C39" i="5"/>
  <c r="D84" i="5" l="1"/>
  <c r="C41" i="5"/>
  <c r="I71" i="7"/>
  <c r="G72" i="7"/>
  <c r="G75" i="7" s="1"/>
  <c r="I73" i="2"/>
  <c r="I74" i="2" s="1"/>
  <c r="H73" i="2"/>
  <c r="H47" i="4" s="1"/>
  <c r="I72" i="7"/>
  <c r="E75" i="2"/>
  <c r="E75" i="5"/>
  <c r="F83" i="7"/>
  <c r="D71" i="7"/>
  <c r="D73" i="7" s="1"/>
  <c r="H72" i="7"/>
  <c r="H83" i="7" s="1"/>
  <c r="D72" i="7"/>
  <c r="D83" i="7" s="1"/>
  <c r="D92" i="7" s="1"/>
  <c r="F71" i="7"/>
  <c r="G71" i="7"/>
  <c r="E72" i="7"/>
  <c r="E75" i="7" s="1"/>
  <c r="D83" i="2"/>
  <c r="D92" i="2" s="1"/>
  <c r="H71" i="7"/>
  <c r="H97" i="7" s="1"/>
  <c r="E71" i="7"/>
  <c r="E73" i="7" s="1"/>
  <c r="F51" i="4"/>
  <c r="F73" i="2"/>
  <c r="F47" i="4" s="1"/>
  <c r="G83" i="2"/>
  <c r="F75" i="2"/>
  <c r="H75" i="2"/>
  <c r="I99" i="1"/>
  <c r="I108" i="1" s="1"/>
  <c r="I109" i="1" s="1"/>
  <c r="D51" i="4"/>
  <c r="H51" i="4"/>
  <c r="G73" i="2"/>
  <c r="G47" i="4" s="1"/>
  <c r="C36" i="7"/>
  <c r="C40" i="7" s="1"/>
  <c r="C50" i="7" s="1"/>
  <c r="C39" i="2"/>
  <c r="C75" i="2"/>
  <c r="E73" i="5"/>
  <c r="E74" i="5" s="1"/>
  <c r="E51" i="4"/>
  <c r="C40" i="2"/>
  <c r="C157" i="2" s="1"/>
  <c r="I73" i="5"/>
  <c r="I74" i="5" s="1"/>
  <c r="H75" i="5"/>
  <c r="H83" i="5"/>
  <c r="F83" i="5"/>
  <c r="G73" i="5"/>
  <c r="E92" i="5"/>
  <c r="G75" i="5"/>
  <c r="F73" i="5"/>
  <c r="F74" i="5" s="1"/>
  <c r="G74" i="5"/>
  <c r="E92" i="2"/>
  <c r="H73" i="5"/>
  <c r="H74" i="5" s="1"/>
  <c r="G108" i="1"/>
  <c r="G109" i="1" s="1"/>
  <c r="G110" i="1" s="1"/>
  <c r="G111" i="1" s="1"/>
  <c r="G114" i="1" s="1"/>
  <c r="G115" i="1" s="1"/>
  <c r="G80" i="5" s="1"/>
  <c r="G82" i="5" s="1"/>
  <c r="H99" i="1"/>
  <c r="F80" i="7"/>
  <c r="F82" i="7" s="1"/>
  <c r="F80" i="5"/>
  <c r="F82" i="5" s="1"/>
  <c r="F80" i="2"/>
  <c r="F82" i="2" s="1"/>
  <c r="F46" i="4" s="1"/>
  <c r="E74" i="2"/>
  <c r="D74" i="2"/>
  <c r="C157" i="5"/>
  <c r="C159" i="5" s="1"/>
  <c r="C50" i="5"/>
  <c r="H84" i="5"/>
  <c r="E84" i="5"/>
  <c r="E85" i="5" s="1"/>
  <c r="E90" i="5" s="1"/>
  <c r="C152" i="5"/>
  <c r="C154" i="5" s="1"/>
  <c r="C49" i="5"/>
  <c r="G84" i="5"/>
  <c r="C141" i="5"/>
  <c r="C144" i="5" s="1"/>
  <c r="D85" i="5"/>
  <c r="D90" i="5" s="1"/>
  <c r="F84" i="5"/>
  <c r="D92" i="5"/>
  <c r="G83" i="7" l="1"/>
  <c r="H74" i="2"/>
  <c r="D84" i="2"/>
  <c r="D85" i="2" s="1"/>
  <c r="D90" i="2" s="1"/>
  <c r="C41" i="2"/>
  <c r="E83" i="7"/>
  <c r="E92" i="7" s="1"/>
  <c r="C76" i="5"/>
  <c r="D74" i="7"/>
  <c r="H73" i="7"/>
  <c r="H74" i="7" s="1"/>
  <c r="F84" i="2"/>
  <c r="F85" i="2" s="1"/>
  <c r="F90" i="2" s="1"/>
  <c r="E74" i="7"/>
  <c r="H75" i="7"/>
  <c r="C39" i="7"/>
  <c r="C101" i="7"/>
  <c r="D75" i="7"/>
  <c r="F73" i="7"/>
  <c r="F74" i="7" s="1"/>
  <c r="G73" i="7"/>
  <c r="G74" i="7" s="1"/>
  <c r="I73" i="7"/>
  <c r="I74" i="7" s="1"/>
  <c r="F74" i="2"/>
  <c r="C76" i="2"/>
  <c r="G74" i="2"/>
  <c r="F92" i="7"/>
  <c r="H59" i="4"/>
  <c r="C49" i="2"/>
  <c r="C157" i="7"/>
  <c r="C159" i="7" s="1"/>
  <c r="H84" i="2"/>
  <c r="C141" i="2"/>
  <c r="C144" i="2" s="1"/>
  <c r="C50" i="2"/>
  <c r="E84" i="2"/>
  <c r="E85" i="2" s="1"/>
  <c r="E90" i="2" s="1"/>
  <c r="C152" i="2"/>
  <c r="C154" i="2" s="1"/>
  <c r="G84" i="2"/>
  <c r="G80" i="7"/>
  <c r="G82" i="7" s="1"/>
  <c r="F92" i="2"/>
  <c r="H108" i="1"/>
  <c r="H109" i="1" s="1"/>
  <c r="F85" i="5"/>
  <c r="F90" i="5" s="1"/>
  <c r="F109" i="5" s="1"/>
  <c r="G80" i="2"/>
  <c r="G82" i="2" s="1"/>
  <c r="G46" i="4" s="1"/>
  <c r="I110" i="1"/>
  <c r="I111" i="1" s="1"/>
  <c r="F92" i="5"/>
  <c r="G85" i="5"/>
  <c r="G90" i="5" s="1"/>
  <c r="G101" i="5" s="1"/>
  <c r="G92" i="5"/>
  <c r="D109" i="5"/>
  <c r="D101" i="5"/>
  <c r="E109" i="5"/>
  <c r="E101" i="5"/>
  <c r="C51" i="5"/>
  <c r="C31" i="4"/>
  <c r="C159" i="2"/>
  <c r="D84" i="7" l="1"/>
  <c r="D85" i="7" s="1"/>
  <c r="D90" i="7" s="1"/>
  <c r="D109" i="7" s="1"/>
  <c r="C41" i="7"/>
  <c r="C152" i="7"/>
  <c r="C154" i="7" s="1"/>
  <c r="E84" i="7"/>
  <c r="E85" i="7" s="1"/>
  <c r="E90" i="7" s="1"/>
  <c r="E101" i="7" s="1"/>
  <c r="C76" i="7"/>
  <c r="D43" i="4"/>
  <c r="D52" i="4" s="1"/>
  <c r="D96" i="4" s="1"/>
  <c r="C141" i="7"/>
  <c r="C144" i="7" s="1"/>
  <c r="H84" i="7"/>
  <c r="F84" i="7"/>
  <c r="F85" i="7" s="1"/>
  <c r="F90" i="7" s="1"/>
  <c r="F101" i="7" s="1"/>
  <c r="C49" i="7"/>
  <c r="C51" i="7" s="1"/>
  <c r="G84" i="7"/>
  <c r="G85" i="7" s="1"/>
  <c r="G90" i="7" s="1"/>
  <c r="G101" i="7" s="1"/>
  <c r="C51" i="2"/>
  <c r="F101" i="5"/>
  <c r="E43" i="4"/>
  <c r="E52" i="4" s="1"/>
  <c r="E96" i="4" s="1"/>
  <c r="C25" i="4"/>
  <c r="D81" i="4" s="1"/>
  <c r="G92" i="7"/>
  <c r="F43" i="4"/>
  <c r="F52" i="4" s="1"/>
  <c r="F96" i="4" s="1"/>
  <c r="G85" i="2"/>
  <c r="G90" i="2" s="1"/>
  <c r="G101" i="2" s="1"/>
  <c r="G109" i="5"/>
  <c r="G111" i="5" s="1"/>
  <c r="G112" i="5" s="1"/>
  <c r="G92" i="2"/>
  <c r="I114" i="1"/>
  <c r="I115" i="1" s="1"/>
  <c r="H110" i="1"/>
  <c r="H111" i="1" s="1"/>
  <c r="H114" i="1" s="1"/>
  <c r="H115" i="1" s="1"/>
  <c r="D111" i="5"/>
  <c r="D112" i="5" s="1"/>
  <c r="F111" i="5"/>
  <c r="F112" i="5" s="1"/>
  <c r="E111" i="5"/>
  <c r="F109" i="2"/>
  <c r="F101" i="2"/>
  <c r="D111" i="7"/>
  <c r="D112" i="7" s="1"/>
  <c r="D109" i="2"/>
  <c r="D101" i="2"/>
  <c r="E109" i="2"/>
  <c r="E101" i="2"/>
  <c r="E121" i="4"/>
  <c r="E81" i="4"/>
  <c r="D101" i="7" l="1"/>
  <c r="F109" i="7"/>
  <c r="F111" i="7" s="1"/>
  <c r="E109" i="7"/>
  <c r="E111" i="7" s="1"/>
  <c r="D121" i="4"/>
  <c r="G43" i="4"/>
  <c r="G52" i="4" s="1"/>
  <c r="G96" i="4" s="1"/>
  <c r="G98" i="4" s="1"/>
  <c r="G99" i="4" s="1"/>
  <c r="G109" i="7"/>
  <c r="G111" i="7" s="1"/>
  <c r="G109" i="2"/>
  <c r="G111" i="2" s="1"/>
  <c r="H80" i="2"/>
  <c r="H80" i="5"/>
  <c r="H80" i="7"/>
  <c r="I80" i="2"/>
  <c r="H95" i="2" s="1"/>
  <c r="I80" i="7"/>
  <c r="H95" i="7" s="1"/>
  <c r="I80" i="5"/>
  <c r="H95" i="5" s="1"/>
  <c r="E118" i="1"/>
  <c r="E98" i="4"/>
  <c r="G114" i="5"/>
  <c r="D114" i="7"/>
  <c r="D115" i="7" s="1"/>
  <c r="F114" i="5"/>
  <c r="F115" i="5" s="1"/>
  <c r="D114" i="5"/>
  <c r="F98" i="4"/>
  <c r="F99" i="4" s="1"/>
  <c r="D98" i="4"/>
  <c r="D99" i="4" s="1"/>
  <c r="E111" i="2"/>
  <c r="E112" i="2" s="1"/>
  <c r="D111" i="2"/>
  <c r="F111" i="2"/>
  <c r="E112" i="5"/>
  <c r="F112" i="7" l="1"/>
  <c r="F114" i="7" s="1"/>
  <c r="E112" i="7"/>
  <c r="E114" i="7" s="1"/>
  <c r="G112" i="7"/>
  <c r="G114" i="7" s="1"/>
  <c r="G115" i="7" s="1"/>
  <c r="H82" i="7"/>
  <c r="H85" i="7" s="1"/>
  <c r="H90" i="7" s="1"/>
  <c r="H92" i="7"/>
  <c r="H96" i="5"/>
  <c r="H99" i="5" s="1"/>
  <c r="H123" i="5" s="1"/>
  <c r="H125" i="5" s="1"/>
  <c r="H82" i="5"/>
  <c r="H85" i="5" s="1"/>
  <c r="H90" i="5" s="1"/>
  <c r="H92" i="5"/>
  <c r="H96" i="2"/>
  <c r="H57" i="4" s="1"/>
  <c r="H56" i="4"/>
  <c r="H96" i="7"/>
  <c r="H99" i="7" s="1"/>
  <c r="H123" i="7" s="1"/>
  <c r="H82" i="2"/>
  <c r="H46" i="4" s="1"/>
  <c r="H58" i="4" s="1"/>
  <c r="H92" i="2"/>
  <c r="E114" i="2"/>
  <c r="E115" i="2" s="1"/>
  <c r="F117" i="5"/>
  <c r="F118" i="5"/>
  <c r="F157" i="5" s="1"/>
  <c r="F159" i="5" s="1"/>
  <c r="D117" i="7"/>
  <c r="D118" i="7"/>
  <c r="D157" i="7" s="1"/>
  <c r="D159" i="7" s="1"/>
  <c r="G101" i="4"/>
  <c r="F112" i="2"/>
  <c r="G112" i="2"/>
  <c r="D112" i="2"/>
  <c r="D115" i="5"/>
  <c r="G115" i="5"/>
  <c r="E99" i="4"/>
  <c r="E114" i="5"/>
  <c r="E115" i="5" s="1"/>
  <c r="D101" i="4"/>
  <c r="F101" i="4"/>
  <c r="F102" i="4" s="1"/>
  <c r="H85" i="2" l="1"/>
  <c r="H90" i="2" s="1"/>
  <c r="H101" i="5"/>
  <c r="C103" i="5" s="1"/>
  <c r="H109" i="5"/>
  <c r="H111" i="5" s="1"/>
  <c r="H112" i="5" s="1"/>
  <c r="H101" i="7"/>
  <c r="C103" i="7" s="1"/>
  <c r="H109" i="7"/>
  <c r="H111" i="7" s="1"/>
  <c r="H112" i="7" s="1"/>
  <c r="H114" i="7" s="1"/>
  <c r="H115" i="7" s="1"/>
  <c r="H125" i="7"/>
  <c r="H142" i="7" s="1"/>
  <c r="H126" i="5"/>
  <c r="H142" i="5"/>
  <c r="H43" i="4"/>
  <c r="H52" i="4" s="1"/>
  <c r="H96" i="4" s="1"/>
  <c r="H98" i="4" s="1"/>
  <c r="H99" i="4" s="1"/>
  <c r="H101" i="4" s="1"/>
  <c r="H99" i="2"/>
  <c r="H123" i="2" s="1"/>
  <c r="H125" i="2" s="1"/>
  <c r="H60" i="4"/>
  <c r="D119" i="7"/>
  <c r="F105" i="4"/>
  <c r="F110" i="4" s="1"/>
  <c r="F104" i="4"/>
  <c r="F109" i="4" s="1"/>
  <c r="E117" i="5"/>
  <c r="E118" i="5"/>
  <c r="E157" i="5" s="1"/>
  <c r="E159" i="5" s="1"/>
  <c r="D114" i="2"/>
  <c r="D115" i="2" s="1"/>
  <c r="G114" i="2"/>
  <c r="G115" i="2" s="1"/>
  <c r="F114" i="2"/>
  <c r="G102" i="4"/>
  <c r="F152" i="5"/>
  <c r="F154" i="5" s="1"/>
  <c r="F141" i="5"/>
  <c r="F144" i="5" s="1"/>
  <c r="D102" i="4"/>
  <c r="D117" i="5"/>
  <c r="D118" i="5"/>
  <c r="D157" i="5" s="1"/>
  <c r="D159" i="5" s="1"/>
  <c r="F119" i="5"/>
  <c r="E101" i="4"/>
  <c r="D141" i="7"/>
  <c r="D144" i="7" s="1"/>
  <c r="D152" i="7"/>
  <c r="D154" i="7" s="1"/>
  <c r="E118" i="2"/>
  <c r="E117" i="2"/>
  <c r="G118" i="7"/>
  <c r="G157" i="7" s="1"/>
  <c r="G159" i="7" s="1"/>
  <c r="G117" i="7"/>
  <c r="F115" i="7"/>
  <c r="G117" i="5"/>
  <c r="G118" i="5"/>
  <c r="G157" i="5" s="1"/>
  <c r="G159" i="5" s="1"/>
  <c r="E115" i="7"/>
  <c r="H102" i="4" l="1"/>
  <c r="H105" i="4" s="1"/>
  <c r="H110" i="4" s="1"/>
  <c r="H117" i="7"/>
  <c r="H152" i="7" s="1"/>
  <c r="H118" i="7"/>
  <c r="H157" i="7" s="1"/>
  <c r="H126" i="2"/>
  <c r="H128" i="2" s="1"/>
  <c r="H129" i="2" s="1"/>
  <c r="H142" i="2"/>
  <c r="H128" i="5"/>
  <c r="H129" i="5" s="1"/>
  <c r="H101" i="2"/>
  <c r="C103" i="2" s="1"/>
  <c r="H109" i="2"/>
  <c r="H126" i="7"/>
  <c r="H128" i="7" s="1"/>
  <c r="H129" i="7" s="1"/>
  <c r="H114" i="5"/>
  <c r="H115" i="5" s="1"/>
  <c r="E119" i="5"/>
  <c r="E119" i="2"/>
  <c r="E157" i="2"/>
  <c r="E32" i="4" s="1"/>
  <c r="F106" i="4"/>
  <c r="D117" i="2"/>
  <c r="D118" i="2"/>
  <c r="D157" i="2" s="1"/>
  <c r="D141" i="5"/>
  <c r="D144" i="5" s="1"/>
  <c r="D152" i="5"/>
  <c r="D154" i="5" s="1"/>
  <c r="G141" i="7"/>
  <c r="G144" i="7" s="1"/>
  <c r="G152" i="7"/>
  <c r="G154" i="7" s="1"/>
  <c r="E152" i="2"/>
  <c r="E154" i="2" s="1"/>
  <c r="E141" i="2"/>
  <c r="E118" i="7"/>
  <c r="E157" i="7" s="1"/>
  <c r="E159" i="7" s="1"/>
  <c r="E117" i="7"/>
  <c r="G152" i="5"/>
  <c r="G154" i="5" s="1"/>
  <c r="G141" i="5"/>
  <c r="G144" i="5" s="1"/>
  <c r="F115" i="2"/>
  <c r="G119" i="5"/>
  <c r="G119" i="7"/>
  <c r="D119" i="5"/>
  <c r="D105" i="4"/>
  <c r="D110" i="4" s="1"/>
  <c r="D104" i="4"/>
  <c r="D109" i="4" s="1"/>
  <c r="F117" i="7"/>
  <c r="F118" i="7"/>
  <c r="F157" i="7" s="1"/>
  <c r="F159" i="7" s="1"/>
  <c r="G104" i="4"/>
  <c r="G109" i="4" s="1"/>
  <c r="G105" i="4"/>
  <c r="G110" i="4" s="1"/>
  <c r="G118" i="2"/>
  <c r="G157" i="2" s="1"/>
  <c r="G117" i="2"/>
  <c r="E102" i="4"/>
  <c r="E152" i="5"/>
  <c r="E154" i="5" s="1"/>
  <c r="E141" i="5"/>
  <c r="E144" i="5" s="1"/>
  <c r="H104" i="4" l="1"/>
  <c r="H109" i="4" s="1"/>
  <c r="I143" i="5"/>
  <c r="H131" i="5"/>
  <c r="H133" i="5" s="1"/>
  <c r="H131" i="7"/>
  <c r="H133" i="7" s="1"/>
  <c r="I143" i="7"/>
  <c r="H111" i="2"/>
  <c r="H112" i="2" s="1"/>
  <c r="H118" i="5"/>
  <c r="H157" i="5" s="1"/>
  <c r="H117" i="5"/>
  <c r="H141" i="7"/>
  <c r="H144" i="7" s="1"/>
  <c r="H119" i="7"/>
  <c r="I143" i="2"/>
  <c r="H131" i="2"/>
  <c r="G119" i="2"/>
  <c r="E159" i="2"/>
  <c r="F119" i="7"/>
  <c r="D119" i="2"/>
  <c r="D32" i="4"/>
  <c r="D159" i="2"/>
  <c r="E152" i="7"/>
  <c r="E154" i="7" s="1"/>
  <c r="E141" i="7"/>
  <c r="E144" i="7" s="1"/>
  <c r="E144" i="2"/>
  <c r="E26" i="4"/>
  <c r="E37" i="4" s="1"/>
  <c r="E68" i="4" s="1"/>
  <c r="G152" i="2"/>
  <c r="G154" i="2" s="1"/>
  <c r="G141" i="2"/>
  <c r="D106" i="4"/>
  <c r="E105" i="4"/>
  <c r="E110" i="4" s="1"/>
  <c r="E122" i="4" s="1"/>
  <c r="E104" i="4"/>
  <c r="E109" i="4" s="1"/>
  <c r="F141" i="7"/>
  <c r="F144" i="7" s="1"/>
  <c r="F152" i="7"/>
  <c r="F154" i="7" s="1"/>
  <c r="F118" i="2"/>
  <c r="F157" i="2" s="1"/>
  <c r="F117" i="2"/>
  <c r="E119" i="7"/>
  <c r="H106" i="4"/>
  <c r="G106" i="4"/>
  <c r="G32" i="4"/>
  <c r="G159" i="2"/>
  <c r="D141" i="2"/>
  <c r="D152" i="2"/>
  <c r="D154" i="2" s="1"/>
  <c r="D122" i="4" l="1"/>
  <c r="F119" i="2"/>
  <c r="H136" i="7"/>
  <c r="H158" i="7" s="1"/>
  <c r="H159" i="7" s="1"/>
  <c r="C160" i="7" s="1"/>
  <c r="H135" i="7"/>
  <c r="H153" i="7" s="1"/>
  <c r="H154" i="7" s="1"/>
  <c r="C155" i="7" s="1"/>
  <c r="H136" i="5"/>
  <c r="H158" i="5" s="1"/>
  <c r="H159" i="5" s="1"/>
  <c r="C160" i="5" s="1"/>
  <c r="H135" i="5"/>
  <c r="H153" i="5" s="1"/>
  <c r="H133" i="2"/>
  <c r="H152" i="5"/>
  <c r="H119" i="5"/>
  <c r="H141" i="5"/>
  <c r="H144" i="5" s="1"/>
  <c r="C145" i="5" s="1"/>
  <c r="H114" i="2"/>
  <c r="H115" i="2" s="1"/>
  <c r="I111" i="4"/>
  <c r="E106" i="4"/>
  <c r="C145" i="7"/>
  <c r="D26" i="4"/>
  <c r="D38" i="4" s="1"/>
  <c r="D69" i="4" s="1"/>
  <c r="D144" i="2"/>
  <c r="F141" i="2"/>
  <c r="F152" i="2"/>
  <c r="F154" i="2" s="1"/>
  <c r="F159" i="2"/>
  <c r="F32" i="4"/>
  <c r="F34" i="4" s="1"/>
  <c r="G26" i="4"/>
  <c r="G37" i="4" s="1"/>
  <c r="G68" i="4" s="1"/>
  <c r="G144" i="2"/>
  <c r="E38" i="4"/>
  <c r="E69" i="4" s="1"/>
  <c r="D34" i="4"/>
  <c r="E34" i="4"/>
  <c r="H137" i="7" l="1"/>
  <c r="H154" i="5"/>
  <c r="C155" i="5" s="1"/>
  <c r="H118" i="2"/>
  <c r="H157" i="2" s="1"/>
  <c r="H117" i="2"/>
  <c r="H135" i="2"/>
  <c r="H153" i="2" s="1"/>
  <c r="H27" i="4" s="1"/>
  <c r="H136" i="2"/>
  <c r="H158" i="2" s="1"/>
  <c r="H33" i="4" s="1"/>
  <c r="H137" i="5"/>
  <c r="G38" i="4"/>
  <c r="G69" i="4" s="1"/>
  <c r="D37" i="4"/>
  <c r="D68" i="4" s="1"/>
  <c r="D28" i="4"/>
  <c r="E28" i="4"/>
  <c r="F144" i="2"/>
  <c r="F26" i="4"/>
  <c r="F37" i="4" s="1"/>
  <c r="F68" i="4" s="1"/>
  <c r="G34" i="4"/>
  <c r="H137" i="2" l="1"/>
  <c r="H159" i="2"/>
  <c r="C160" i="2" s="1"/>
  <c r="H32" i="4"/>
  <c r="E84" i="4"/>
  <c r="E124" i="4"/>
  <c r="D124" i="4"/>
  <c r="D84" i="4"/>
  <c r="H119" i="2"/>
  <c r="H141" i="2"/>
  <c r="H152" i="2"/>
  <c r="H154" i="2" s="1"/>
  <c r="C155" i="2" s="1"/>
  <c r="F38" i="4"/>
  <c r="F69" i="4" s="1"/>
  <c r="G28" i="4"/>
  <c r="F28" i="4"/>
  <c r="H26" i="4" l="1"/>
  <c r="H144" i="2"/>
  <c r="C145" i="2" s="1"/>
  <c r="E123" i="4"/>
  <c r="E125" i="4" s="1"/>
  <c r="E83" i="4"/>
  <c r="H34" i="4"/>
  <c r="I34" i="4" s="1"/>
  <c r="H37" i="4" l="1"/>
  <c r="H68" i="4" s="1"/>
  <c r="D123" i="4"/>
  <c r="D125" i="4" s="1"/>
  <c r="H38" i="4"/>
  <c r="H69" i="4" s="1"/>
  <c r="E82" i="4" s="1"/>
  <c r="E85" i="4" s="1"/>
  <c r="D83" i="4"/>
  <c r="H28" i="4"/>
  <c r="I28" i="4" s="1"/>
  <c r="I35" i="4" s="1"/>
  <c r="E126" i="4"/>
  <c r="H114" i="4" s="1"/>
  <c r="E127" i="4" l="1"/>
  <c r="I70" i="4"/>
  <c r="D82" i="4"/>
  <c r="D85" i="4" s="1"/>
  <c r="E86" i="4"/>
  <c r="H73" i="4" s="1"/>
  <c r="D126" i="4"/>
  <c r="H113" i="4" s="1"/>
  <c r="E87" i="4" l="1"/>
  <c r="H115" i="4"/>
  <c r="I115" i="4"/>
  <c r="I116" i="4" s="1"/>
  <c r="D127" i="4"/>
  <c r="D86" i="4"/>
  <c r="H72" i="4" s="1"/>
  <c r="D87" i="4" l="1"/>
  <c r="H74" i="4"/>
  <c r="I74" i="4"/>
  <c r="I75" i="4" s="1"/>
  <c r="I76" i="4" s="1"/>
  <c r="I117"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author>
    <author>George DeCourcy</author>
  </authors>
  <commentList>
    <comment ref="A1" authorId="0" shapeId="0" xr:uid="{00000000-0006-0000-0000-000001000000}">
      <text>
        <r>
          <rPr>
            <b/>
            <sz val="9"/>
            <color indexed="81"/>
            <rFont val="Tahoma"/>
            <family val="2"/>
          </rPr>
          <t>George:</t>
        </r>
        <r>
          <rPr>
            <sz val="9"/>
            <color indexed="81"/>
            <rFont val="Tahoma"/>
            <family val="2"/>
          </rPr>
          <t xml:space="preserve">
This is proposed solution to RCP case study. 
NOI Tab: Assumptions should be obvious. Format originally taken from Brug/Fisher Ch11 Lease spreadsheet example, but it has been re-worked and cleaned up.
CF Tabs: These are of original design using principles of leverage applied in some Ch12 tabs and an equity waterfall concept which is introduced in Ch18. Course Excel files have been updated to similar format. There is some controvery on how this waterfall works, hence the caveat note shown in Case Exhibit D.
Tax Accounting Tab: Advanced concepts of tax calculations and partnership allocation accounting. Two methodologies shown. No breakout of depreciation recapture on gain as problem is already complex enough.
Case does not have leasing commissions, TI's or credit loss concepts at this point.
Solution Note:
Version Number is indicated at bottom of schedule near Avg. Compound NOI Growth.
The model is set-up to handle a CPI growth clause for base rents however it is not used subsequent to edition 14 of the text.</t>
        </r>
      </text>
    </comment>
    <comment ref="B82" authorId="1" shapeId="0" xr:uid="{00000000-0006-0000-0000-000002000000}">
      <text>
        <r>
          <rPr>
            <b/>
            <sz val="9"/>
            <color indexed="81"/>
            <rFont val="Tahoma"/>
            <charset val="1"/>
          </rPr>
          <t>George DeCourcy:</t>
        </r>
        <r>
          <rPr>
            <sz val="9"/>
            <color indexed="81"/>
            <rFont val="Tahoma"/>
            <charset val="1"/>
          </rPr>
          <t xml:space="preserve">
This section was used in 14e, but is no longer in the structure in later editions. I have left formulas here, but this is not a required section in the case and is blank in the Template</t>
        </r>
      </text>
    </comment>
    <comment ref="D83" authorId="1" shapeId="0" xr:uid="{00000000-0006-0000-0000-000003000000}">
      <text>
        <r>
          <rPr>
            <b/>
            <sz val="9"/>
            <color indexed="81"/>
            <rFont val="Tahoma"/>
            <charset val="1"/>
          </rPr>
          <t>George DeCourcy:</t>
        </r>
        <r>
          <rPr>
            <sz val="9"/>
            <color indexed="81"/>
            <rFont val="Tahoma"/>
            <charset val="1"/>
          </rPr>
          <t xml:space="preserve">
Some debate on how this formula works. This version shows only 1 year of CPI bump even though lease structure indicates 2 would be appropriate.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George DeCourcy</author>
    <author>George</author>
  </authors>
  <commentList>
    <comment ref="C7" authorId="0" shapeId="0" xr:uid="{00000000-0006-0000-0100-000001000000}">
      <text>
        <r>
          <rPr>
            <b/>
            <sz val="9"/>
            <color indexed="81"/>
            <rFont val="Tahoma"/>
            <family val="2"/>
          </rPr>
          <t>George DeCourcy:</t>
        </r>
        <r>
          <rPr>
            <sz val="9"/>
            <color indexed="81"/>
            <rFont val="Tahoma"/>
            <family val="2"/>
          </rPr>
          <t xml:space="preserve">
Input field.</t>
        </r>
      </text>
    </comment>
    <comment ref="D26" authorId="0" shapeId="0" xr:uid="{00000000-0006-0000-0100-000002000000}">
      <text>
        <r>
          <rPr>
            <b/>
            <sz val="9"/>
            <color indexed="81"/>
            <rFont val="Tahoma"/>
            <family val="2"/>
          </rPr>
          <t>George DeCourcy:</t>
        </r>
        <r>
          <rPr>
            <sz val="9"/>
            <color indexed="81"/>
            <rFont val="Tahoma"/>
            <family val="2"/>
          </rPr>
          <t xml:space="preserve">
See Ch 10 Tab Mtg Eq. Cap Cell L22;
or Selected Solutions 12-3(b)</t>
        </r>
      </text>
    </comment>
    <comment ref="B45" authorId="0" shapeId="0" xr:uid="{00000000-0006-0000-0100-000003000000}">
      <text>
        <r>
          <rPr>
            <b/>
            <sz val="9"/>
            <color indexed="81"/>
            <rFont val="Tahoma"/>
            <family val="2"/>
          </rPr>
          <t>George DeCourcy:</t>
        </r>
        <r>
          <rPr>
            <sz val="9"/>
            <color indexed="81"/>
            <rFont val="Tahoma"/>
            <family val="2"/>
          </rPr>
          <t xml:space="preserve">
This section should auto complete.</t>
        </r>
      </text>
    </comment>
    <comment ref="C103" authorId="0" shapeId="0" xr:uid="{00000000-0006-0000-0100-000004000000}">
      <text>
        <r>
          <rPr>
            <b/>
            <sz val="9"/>
            <color indexed="81"/>
            <rFont val="Tahoma"/>
            <family val="2"/>
          </rPr>
          <t>George DeCourcy:</t>
        </r>
        <r>
          <rPr>
            <sz val="9"/>
            <color indexed="81"/>
            <rFont val="Tahoma"/>
            <family val="2"/>
          </rPr>
          <t xml:space="preserve">
This number is affected by the change in ptshp admin fee as well as rate on interest  and alteration of leverage</t>
        </r>
      </text>
    </comment>
    <comment ref="H143" authorId="1" shapeId="0" xr:uid="{00000000-0006-0000-0100-000005000000}">
      <text>
        <r>
          <rPr>
            <b/>
            <sz val="9"/>
            <color indexed="81"/>
            <rFont val="Tahoma"/>
            <family val="2"/>
          </rPr>
          <t>George:
Plug</t>
        </r>
        <r>
          <rPr>
            <sz val="9"/>
            <color indexed="81"/>
            <rFont val="Tahoma"/>
            <family val="2"/>
          </rPr>
          <t xml:space="preserve">
Requires manual input. Use Goal Seek to estimate then interpolate.
Make sure you have enough cash available to pay this.
</t>
        </r>
      </text>
    </comment>
    <comment ref="C160" authorId="1" shapeId="0" xr:uid="{00000000-0006-0000-0100-000006000000}">
      <text>
        <r>
          <rPr>
            <b/>
            <sz val="9"/>
            <color indexed="81"/>
            <rFont val="Tahoma"/>
            <family val="2"/>
          </rPr>
          <t>George:</t>
        </r>
        <r>
          <rPr>
            <sz val="9"/>
            <color indexed="81"/>
            <rFont val="Tahoma"/>
            <family val="2"/>
          </rPr>
          <t xml:space="preserve">
This IRR is not really relevant as it includes the sponsor's promote for expertise and sweat equity and is not really a return on capital.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George DeCourcy</author>
    <author>George</author>
  </authors>
  <commentList>
    <comment ref="B45" authorId="0" shapeId="0" xr:uid="{00000000-0006-0000-0200-000001000000}">
      <text>
        <r>
          <rPr>
            <b/>
            <sz val="9"/>
            <color indexed="81"/>
            <rFont val="Tahoma"/>
            <family val="2"/>
          </rPr>
          <t>George DeCourcy:</t>
        </r>
        <r>
          <rPr>
            <sz val="9"/>
            <color indexed="81"/>
            <rFont val="Tahoma"/>
            <family val="2"/>
          </rPr>
          <t xml:space="preserve">
This section should auto complete.</t>
        </r>
      </text>
    </comment>
    <comment ref="H143" authorId="1" shapeId="0" xr:uid="{00000000-0006-0000-0200-000002000000}">
      <text>
        <r>
          <rPr>
            <b/>
            <sz val="9"/>
            <color indexed="81"/>
            <rFont val="Tahoma"/>
            <family val="2"/>
          </rPr>
          <t>George:
Plug</t>
        </r>
        <r>
          <rPr>
            <sz val="9"/>
            <color indexed="81"/>
            <rFont val="Tahoma"/>
            <family val="2"/>
          </rPr>
          <t xml:space="preserve">
Requires manual input. Use Goal Seek to estimate then interpolate.
Make sure you have enough cash to pay this.
</t>
        </r>
      </text>
    </comment>
    <comment ref="C160" authorId="1" shapeId="0" xr:uid="{00000000-0006-0000-0200-000003000000}">
      <text>
        <r>
          <rPr>
            <b/>
            <sz val="9"/>
            <color indexed="81"/>
            <rFont val="Tahoma"/>
            <family val="2"/>
          </rPr>
          <t>George:</t>
        </r>
        <r>
          <rPr>
            <sz val="9"/>
            <color indexed="81"/>
            <rFont val="Tahoma"/>
            <family val="2"/>
          </rPr>
          <t xml:space="preserve">
This IRR is not really relevant as it includes the sponsor's promote for expertise and sweat equity and is not really a return on capital.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George DeCourcy</author>
    <author>George</author>
  </authors>
  <commentList>
    <comment ref="C26" authorId="0" shapeId="0" xr:uid="{00000000-0006-0000-0300-000002000000}">
      <text>
        <r>
          <rPr>
            <b/>
            <sz val="9"/>
            <color indexed="81"/>
            <rFont val="Tahoma"/>
            <charset val="1"/>
          </rPr>
          <t>George DeCourcy:</t>
        </r>
        <r>
          <rPr>
            <sz val="9"/>
            <color indexed="81"/>
            <rFont val="Tahoma"/>
            <charset val="1"/>
          </rPr>
          <t xml:space="preserve">
This number is meaningless in the "No loan" scenario.</t>
        </r>
      </text>
    </comment>
    <comment ref="D26" authorId="0" shapeId="0" xr:uid="{00000000-0006-0000-0300-000003000000}">
      <text>
        <r>
          <rPr>
            <b/>
            <sz val="9"/>
            <color indexed="81"/>
            <rFont val="Tahoma"/>
            <family val="2"/>
          </rPr>
          <t>George DeCourcy:</t>
        </r>
        <r>
          <rPr>
            <sz val="9"/>
            <color indexed="81"/>
            <rFont val="Tahoma"/>
            <family val="2"/>
          </rPr>
          <t xml:space="preserve">
See Ch 10 Tab Mtg Eq. Cap Cell L22;
or Selected Solutions 12-3(b)</t>
        </r>
      </text>
    </comment>
    <comment ref="B45" authorId="0" shapeId="0" xr:uid="{00000000-0006-0000-0300-000004000000}">
      <text>
        <r>
          <rPr>
            <b/>
            <sz val="9"/>
            <color indexed="81"/>
            <rFont val="Tahoma"/>
            <family val="2"/>
          </rPr>
          <t>George DeCourcy:</t>
        </r>
        <r>
          <rPr>
            <sz val="9"/>
            <color indexed="81"/>
            <rFont val="Tahoma"/>
            <family val="2"/>
          </rPr>
          <t xml:space="preserve">
This section should auto complete.</t>
        </r>
      </text>
    </comment>
    <comment ref="C103" authorId="0" shapeId="0" xr:uid="{00000000-0006-0000-0300-000005000000}">
      <text>
        <r>
          <rPr>
            <b/>
            <sz val="9"/>
            <color indexed="81"/>
            <rFont val="Tahoma"/>
            <family val="2"/>
          </rPr>
          <t>George DeCourcy:</t>
        </r>
        <r>
          <rPr>
            <sz val="9"/>
            <color indexed="81"/>
            <rFont val="Tahoma"/>
            <family val="2"/>
          </rPr>
          <t xml:space="preserve">
This number is affected by the change in ptshp admin fee as well as rate on interest  and alteration of leverage</t>
        </r>
      </text>
    </comment>
    <comment ref="H143" authorId="1" shapeId="0" xr:uid="{00000000-0006-0000-0300-000006000000}">
      <text>
        <r>
          <rPr>
            <b/>
            <sz val="9"/>
            <color indexed="81"/>
            <rFont val="Tahoma"/>
            <family val="2"/>
          </rPr>
          <t>George:
Plug</t>
        </r>
        <r>
          <rPr>
            <sz val="9"/>
            <color indexed="81"/>
            <rFont val="Tahoma"/>
            <family val="2"/>
          </rPr>
          <t xml:space="preserve">
Requires manual input. Use Goal Seek to estimate then interpolate.
Make sure you have enough cash available to pay this.
</t>
        </r>
      </text>
    </comment>
    <comment ref="C160" authorId="1" shapeId="0" xr:uid="{00000000-0006-0000-0300-000007000000}">
      <text>
        <r>
          <rPr>
            <b/>
            <sz val="9"/>
            <color indexed="81"/>
            <rFont val="Tahoma"/>
            <family val="2"/>
          </rPr>
          <t>George:</t>
        </r>
        <r>
          <rPr>
            <sz val="9"/>
            <color indexed="81"/>
            <rFont val="Tahoma"/>
            <family val="2"/>
          </rPr>
          <t xml:space="preserve">
This IRR is not really relevant as it includes the sponsor's promote for expertise and sweat equity and is not really a return on capital.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George</author>
  </authors>
  <commentList>
    <comment ref="B63" authorId="0" shapeId="0" xr:uid="{00000000-0006-0000-0400-000001000000}">
      <text>
        <r>
          <rPr>
            <b/>
            <sz val="9"/>
            <color indexed="81"/>
            <rFont val="Tahoma"/>
            <family val="2"/>
          </rPr>
          <t>George:</t>
        </r>
        <r>
          <rPr>
            <sz val="9"/>
            <color indexed="81"/>
            <rFont val="Tahoma"/>
            <family val="2"/>
          </rPr>
          <t xml:space="preserve">
Tax allocation is done in same proportion as actual cash distributions on annual basis.
Final tax allocation of gain forces a balancing of capital accounts to insure Substantial economic effect.
This is one "reasonable" method of attempting to have tax allocations track a complex cash allocation scenario.
Other allocation methodologies may have merit.</t>
        </r>
      </text>
    </comment>
    <comment ref="H74" authorId="0" shapeId="0" xr:uid="{00000000-0006-0000-0400-000002000000}">
      <text>
        <r>
          <rPr>
            <b/>
            <sz val="9"/>
            <color indexed="81"/>
            <rFont val="Tahoma"/>
            <family val="2"/>
          </rPr>
          <t>George:</t>
        </r>
        <r>
          <rPr>
            <sz val="9"/>
            <color indexed="81"/>
            <rFont val="Tahoma"/>
            <family val="2"/>
          </rPr>
          <t xml:space="preserve">
Error notification if tax allocation not equal to taxable gain calculation.</t>
        </r>
      </text>
    </comment>
    <comment ref="I76" authorId="0" shapeId="0" xr:uid="{00000000-0006-0000-0400-000003000000}">
      <text>
        <r>
          <rPr>
            <b/>
            <sz val="9"/>
            <color indexed="81"/>
            <rFont val="Tahoma"/>
            <family val="2"/>
          </rPr>
          <t>George:</t>
        </r>
        <r>
          <rPr>
            <sz val="9"/>
            <color indexed="81"/>
            <rFont val="Tahoma"/>
            <family val="2"/>
          </rPr>
          <t xml:space="preserve">
Error Notification here if cash and tax overall allocations are not equal.</t>
        </r>
      </text>
    </comment>
    <comment ref="B91" authorId="0" shapeId="0" xr:uid="{00000000-0006-0000-0400-000004000000}">
      <text>
        <r>
          <rPr>
            <b/>
            <sz val="9"/>
            <color indexed="81"/>
            <rFont val="Tahoma"/>
            <family val="2"/>
          </rPr>
          <t>George:</t>
        </r>
        <r>
          <rPr>
            <sz val="9"/>
            <color indexed="81"/>
            <rFont val="Tahoma"/>
            <family val="2"/>
          </rPr>
          <t xml:space="preserve">
This methodology of tax allocation attempts to allocate taxable income with the same priorities as for cash distributions (ie waterfall). It has merit as long as not abusive and still requires a balancing final allocation.</t>
        </r>
      </text>
    </comment>
    <comment ref="H115" authorId="0" shapeId="0" xr:uid="{00000000-0006-0000-0400-000005000000}">
      <text>
        <r>
          <rPr>
            <b/>
            <sz val="9"/>
            <color indexed="81"/>
            <rFont val="Tahoma"/>
            <family val="2"/>
          </rPr>
          <t>George:</t>
        </r>
        <r>
          <rPr>
            <sz val="9"/>
            <color indexed="81"/>
            <rFont val="Tahoma"/>
            <family val="2"/>
          </rPr>
          <t xml:space="preserve">
Error Notification if total gain allocated is incorrect.</t>
        </r>
      </text>
    </comment>
    <comment ref="I117" authorId="0" shapeId="0" xr:uid="{00000000-0006-0000-0400-000006000000}">
      <text>
        <r>
          <rPr>
            <b/>
            <sz val="9"/>
            <color indexed="81"/>
            <rFont val="Tahoma"/>
            <family val="2"/>
          </rPr>
          <t>George:</t>
        </r>
        <r>
          <rPr>
            <sz val="9"/>
            <color indexed="81"/>
            <rFont val="Tahoma"/>
            <family val="2"/>
          </rPr>
          <t xml:space="preserve">
Error Notification here if cash and tax overall allocations are not equal.</t>
        </r>
      </text>
    </comment>
  </commentList>
</comments>
</file>

<file path=xl/sharedStrings.xml><?xml version="1.0" encoding="utf-8"?>
<sst xmlns="http://schemas.openxmlformats.org/spreadsheetml/2006/main" count="598" uniqueCount="266">
  <si>
    <t>Average compound increase in NOI</t>
  </si>
  <si>
    <t>NOI</t>
  </si>
  <si>
    <t xml:space="preserve">  Reimbursable expenses</t>
  </si>
  <si>
    <t>Less operating expenses:</t>
  </si>
  <si>
    <t>Effective Gross Income</t>
  </si>
  <si>
    <t>Less Vacancy</t>
  </si>
  <si>
    <t>Total Potential Income</t>
  </si>
  <si>
    <t>Plus Reimbursements</t>
  </si>
  <si>
    <t>Plus CPI Adjustment</t>
  </si>
  <si>
    <t>Base income</t>
  </si>
  <si>
    <t>Year</t>
  </si>
  <si>
    <t>PROJECTED NET OPERATING INCOME</t>
  </si>
  <si>
    <t>Total before management</t>
  </si>
  <si>
    <t>Maintenance</t>
  </si>
  <si>
    <t>Janitorial</t>
  </si>
  <si>
    <t>Utilities</t>
  </si>
  <si>
    <t>Insurance</t>
  </si>
  <si>
    <t>Property tax</t>
  </si>
  <si>
    <t>Tenant 6</t>
  </si>
  <si>
    <t>Tenant 5</t>
  </si>
  <si>
    <t>Tenant 4</t>
  </si>
  <si>
    <t>Tenant 3</t>
  </si>
  <si>
    <t>Tenant 2</t>
  </si>
  <si>
    <t>Tenant 1</t>
  </si>
  <si>
    <t>Total CPI</t>
  </si>
  <si>
    <t>Total base</t>
  </si>
  <si>
    <t>Total</t>
  </si>
  <si>
    <t xml:space="preserve"> of EGI</t>
  </si>
  <si>
    <t xml:space="preserve"> per year</t>
  </si>
  <si>
    <t xml:space="preserve"> increase</t>
  </si>
  <si>
    <t>per s.f.</t>
  </si>
  <si>
    <t>Dollars</t>
  </si>
  <si>
    <t>term (yrs)</t>
  </si>
  <si>
    <t>Rent</t>
  </si>
  <si>
    <t>Remaining</t>
  </si>
  <si>
    <t>Sq. ft.</t>
  </si>
  <si>
    <t xml:space="preserve">  Tenant</t>
  </si>
  <si>
    <t>per year</t>
  </si>
  <si>
    <t>Estimated increase in CPI</t>
  </si>
  <si>
    <t>Management costs</t>
  </si>
  <si>
    <t>s.f.</t>
  </si>
  <si>
    <t>Net rentable square feet of building</t>
  </si>
  <si>
    <t>Gross square feet of building</t>
  </si>
  <si>
    <t>Current Market Rent</t>
  </si>
  <si>
    <t>Input Data:</t>
  </si>
  <si>
    <t>of EGI</t>
  </si>
  <si>
    <t xml:space="preserve">                 Total Reimbursements</t>
  </si>
  <si>
    <t>Base Rents</t>
  </si>
  <si>
    <t>Expense Recoveries</t>
  </si>
  <si>
    <t xml:space="preserve">  Management Fee</t>
  </si>
  <si>
    <t>CPI</t>
  </si>
  <si>
    <t>adjustment</t>
  </si>
  <si>
    <t>%</t>
  </si>
  <si>
    <t>Expense</t>
  </si>
  <si>
    <t>stop</t>
  </si>
  <si>
    <t>Summary of Reimbursable Expenses - By year</t>
  </si>
  <si>
    <t>PROJECTED REVENUE</t>
  </si>
  <si>
    <t>Note 1: Bolded rents are new</t>
  </si>
  <si>
    <t>Note 2: Expense stop excludes management expenses</t>
  </si>
  <si>
    <t>Vacancy rate Year 4</t>
  </si>
  <si>
    <t>Vacancy rate Year 5 on</t>
  </si>
  <si>
    <t>Summary Expense Information - Assumptions</t>
  </si>
  <si>
    <t>Analysis to arrive at NOI</t>
  </si>
  <si>
    <t>5 year structure</t>
  </si>
  <si>
    <t>Lease revenue buildup uses manual analysis</t>
  </si>
  <si>
    <t>Vacancy rate Year 1 - 3</t>
  </si>
  <si>
    <t>Vacancy assumptions (three levels) require manual analysis</t>
  </si>
  <si>
    <t>Model Limitations:</t>
  </si>
  <si>
    <t xml:space="preserve"> (from year 1 to 6)</t>
  </si>
  <si>
    <t>Per  s.f. (rounded)</t>
  </si>
  <si>
    <t>NOTE</t>
  </si>
  <si>
    <t>years</t>
  </si>
  <si>
    <t>Interest</t>
  </si>
  <si>
    <t>Principal</t>
  </si>
  <si>
    <t>Before-tax Cash Flow</t>
  </si>
  <si>
    <t>Deal Analysis</t>
  </si>
  <si>
    <t>Loan To Value Maximum</t>
  </si>
  <si>
    <t>Property Assumptions</t>
  </si>
  <si>
    <t>Purchase Price</t>
  </si>
  <si>
    <t>Equity Funding</t>
  </si>
  <si>
    <t>General Partner Funding %</t>
  </si>
  <si>
    <t>Limited Partners Funding %</t>
  </si>
  <si>
    <t>Estimated closing costs (% of PP)</t>
  </si>
  <si>
    <t>Closing Points &amp; Fees</t>
  </si>
  <si>
    <t>CF Distribution Rules</t>
  </si>
  <si>
    <t>"Pref" on equity</t>
  </si>
  <si>
    <t>Initial Reserve Requirement</t>
  </si>
  <si>
    <t>On-going cash reserve</t>
  </si>
  <si>
    <t>Residual flow to Limiteds</t>
  </si>
  <si>
    <t>Residual flow to General</t>
  </si>
  <si>
    <t>Established Year 1 NOI</t>
  </si>
  <si>
    <t>[See NOI schedule]</t>
  </si>
  <si>
    <t>Interest rate</t>
  </si>
  <si>
    <t>Amortization Term</t>
  </si>
  <si>
    <t>Implied Loan max (LTV)</t>
  </si>
  <si>
    <t>Implied Loan max (DCR)</t>
  </si>
  <si>
    <t>DCR</t>
  </si>
  <si>
    <t>Implied Debt Service max</t>
  </si>
  <si>
    <t>Loan Calculations</t>
  </si>
  <si>
    <t>Mortgage Balance (EOY)</t>
  </si>
  <si>
    <t>Term</t>
  </si>
  <si>
    <t>Debt Service</t>
  </si>
  <si>
    <t>Annual "capex" reserve req't</t>
  </si>
  <si>
    <t>Capex expenditures/reserve</t>
  </si>
  <si>
    <t>Cash reserve requirement</t>
  </si>
  <si>
    <t>Increase in reserve</t>
  </si>
  <si>
    <t>Cash available for distribution (Ops)</t>
  </si>
  <si>
    <t>Property Sale</t>
  </si>
  <si>
    <t>Property Sale Gross Proceeds</t>
  </si>
  <si>
    <t>Going-out "cap rate"</t>
  </si>
  <si>
    <t>Selling expenses %</t>
  </si>
  <si>
    <t>Selling expenses:</t>
  </si>
  <si>
    <t>Debt retirement:</t>
  </si>
  <si>
    <t>Operations Cash Flow Waterfall</t>
  </si>
  <si>
    <t>Cash Available</t>
  </si>
  <si>
    <t>Sale Proceeds Cash Flow Waterfall</t>
  </si>
  <si>
    <t>C/F pre final dist.</t>
  </si>
  <si>
    <t>Special pref.</t>
  </si>
  <si>
    <t>SUMMARY RECAP BY PARTNER</t>
  </si>
  <si>
    <t>IRR</t>
  </si>
  <si>
    <t>Pref to Ltds</t>
  </si>
  <si>
    <t>Pref to RCP</t>
  </si>
  <si>
    <t>(non-accruing)</t>
  </si>
  <si>
    <t>Residual to Ltds</t>
  </si>
  <si>
    <t>Residual to RCP</t>
  </si>
  <si>
    <t>Ltds payback</t>
  </si>
  <si>
    <t>RCP payback</t>
  </si>
  <si>
    <t>Special distribution to Ltds</t>
  </si>
  <si>
    <t>Special distribution to RCP</t>
  </si>
  <si>
    <t>Release of cash held in reserve</t>
  </si>
  <si>
    <t>Cash available (on Sale)</t>
  </si>
  <si>
    <t>Ltds</t>
  </si>
  <si>
    <t>RCP</t>
  </si>
  <si>
    <t>Loan Analysis</t>
  </si>
  <si>
    <t>Cash Flow Analysis (Partnership Level)</t>
  </si>
  <si>
    <t>Distributions to Partners</t>
  </si>
  <si>
    <t>Calculation of special distribution</t>
  </si>
  <si>
    <t>Initial IRR to Ltd</t>
  </si>
  <si>
    <t>Partnership Admin Fee</t>
  </si>
  <si>
    <t>Admin Fee</t>
  </si>
  <si>
    <t xml:space="preserve"> of Ltd Ptr equity</t>
  </si>
  <si>
    <t>Tax Accounting Analysis</t>
  </si>
  <si>
    <t>Restated Assumptions Affecting Taxes</t>
  </si>
  <si>
    <t>Percent Depreciable</t>
  </si>
  <si>
    <t>Recovery Period</t>
  </si>
  <si>
    <t>Financing Points</t>
  </si>
  <si>
    <t>Loan Amount</t>
  </si>
  <si>
    <t>Amortization</t>
  </si>
  <si>
    <t>Depreciation</t>
  </si>
  <si>
    <t>Depreciation annually</t>
  </si>
  <si>
    <t>Term of loan</t>
  </si>
  <si>
    <t>Principal Portion of Debt Service</t>
  </si>
  <si>
    <t>Taxable Income Estimate</t>
  </si>
  <si>
    <t>Upon Sale of Property</t>
  </si>
  <si>
    <t>Gross Proceeds</t>
  </si>
  <si>
    <t>Basis</t>
  </si>
  <si>
    <t>Less closing costs</t>
  </si>
  <si>
    <t>Unamortized financing costs</t>
  </si>
  <si>
    <t>Total fee</t>
  </si>
  <si>
    <t>Allocation to Partners - K1</t>
  </si>
  <si>
    <t>Restated Cash Flow Distributions</t>
  </si>
  <si>
    <t>To Ltds</t>
  </si>
  <si>
    <t>To RCP</t>
  </si>
  <si>
    <t xml:space="preserve"> - Cumulative</t>
  </si>
  <si>
    <t xml:space="preserve"> - Annual Distributions</t>
  </si>
  <si>
    <t xml:space="preserve"> - Ltds</t>
  </si>
  <si>
    <t xml:space="preserve"> - RCP</t>
  </si>
  <si>
    <t xml:space="preserve"> - Investment</t>
  </si>
  <si>
    <t xml:space="preserve">Distributions </t>
  </si>
  <si>
    <t>Add back non-deductibles</t>
  </si>
  <si>
    <t>Less: non-cash tax items</t>
  </si>
  <si>
    <t xml:space="preserve"> (ignore depreciation on capex)</t>
  </si>
  <si>
    <t>Amortization - financing fees</t>
  </si>
  <si>
    <t>Ratio of Annual Distributions</t>
  </si>
  <si>
    <t>Payments</t>
  </si>
  <si>
    <t>Capitalized closing costs</t>
  </si>
  <si>
    <t xml:space="preserve">   Total cost</t>
  </si>
  <si>
    <t xml:space="preserve">Total Tax </t>
  </si>
  <si>
    <t>Allocations</t>
  </si>
  <si>
    <t>Tax Capital Accounts</t>
  </si>
  <si>
    <t>Initial Investment</t>
  </si>
  <si>
    <t xml:space="preserve"> - Final Distribution</t>
  </si>
  <si>
    <t>Distributions - annual (5 yrs)</t>
  </si>
  <si>
    <t>Distribution - final</t>
  </si>
  <si>
    <t>Income  Tax Allocations (5 yrs)</t>
  </si>
  <si>
    <t xml:space="preserve">    Preliminary before final alloc.</t>
  </si>
  <si>
    <t>Final tax allocation - gain</t>
  </si>
  <si>
    <t>Final Capital Account Bal.</t>
  </si>
  <si>
    <t>Ordinary Income - in same proportion as cash flow distributions</t>
  </si>
  <si>
    <t>Capital Gain Allocation - ensuring Substantial Economic Effect</t>
  </si>
  <si>
    <t>Total Cash</t>
  </si>
  <si>
    <t>Allocation - METHOD A</t>
  </si>
  <si>
    <t>Allocation - METHOD B</t>
  </si>
  <si>
    <t>Taxable Income to be allocated</t>
  </si>
  <si>
    <t>K-1 (ordinary) to Limiteds</t>
  </si>
  <si>
    <t>K-1 (ordinary) to RCP</t>
  </si>
  <si>
    <t>K-1 (gain) to Limiteds</t>
  </si>
  <si>
    <t>K-1 (gain) to RCP</t>
  </si>
  <si>
    <t>Ordinary Income - applying cash distribution priorities to taxable income</t>
  </si>
  <si>
    <t>&gt;  Investment</t>
  </si>
  <si>
    <t>Partnership Cash Flows and Distributions</t>
  </si>
  <si>
    <t>(capitalized - non financing)</t>
  </si>
  <si>
    <t>Tax Accounting</t>
  </si>
  <si>
    <t>Partnership Allocation of Tax Attributes</t>
  </si>
  <si>
    <t>Base</t>
  </si>
  <si>
    <t>DCR (info only)</t>
  </si>
  <si>
    <t>3rd Party Financing - Loan A Shown</t>
  </si>
  <si>
    <t>3rd Party Financing - Loan B Shown</t>
  </si>
  <si>
    <t>Equity Source:</t>
  </si>
  <si>
    <t>Requirements:</t>
  </si>
  <si>
    <t>Equity Contrib.</t>
  </si>
  <si>
    <t>Total "deal level" CF</t>
  </si>
  <si>
    <t>Total "deal level" IRR</t>
  </si>
  <si>
    <t>Total "ptshp level" CF</t>
  </si>
  <si>
    <t>Total "ptshp level" IRR</t>
  </si>
  <si>
    <t>Estimated debt payment</t>
  </si>
  <si>
    <t>Total Amount required to close</t>
  </si>
  <si>
    <t>Less Loan Proceeds (net of pts.)</t>
  </si>
  <si>
    <t>Max Actual Loan (lesser of two)</t>
  </si>
  <si>
    <t>Loan Flow</t>
  </si>
  <si>
    <t>IRR on Loan</t>
  </si>
  <si>
    <t>Admin Fee Max</t>
  </si>
  <si>
    <t>Implied Debt Service max (annual)</t>
  </si>
  <si>
    <t>[NOI/DCR]</t>
  </si>
  <si>
    <t>[Purchase Price * LTV]</t>
  </si>
  <si>
    <t>[PV supported by above]</t>
  </si>
  <si>
    <t>Tax Gain on Sale (to be allocated)</t>
  </si>
  <si>
    <t>In order to allocate final tax gain, we do a preliminary subtotal for the capital accounts. Then allocate absolute amount to zero them out.</t>
  </si>
  <si>
    <t>&lt;--- allocation of Tax Gain</t>
  </si>
  <si>
    <t>Management* (estimated using base rent)</t>
  </si>
  <si>
    <t>Additional Info:</t>
  </si>
  <si>
    <t xml:space="preserve">  Purchase price implied cap rate:</t>
  </si>
  <si>
    <t>Summary Sources and Uses of Funds at Closing</t>
  </si>
  <si>
    <t>Sources:</t>
  </si>
  <si>
    <t>Loan Proceeds (Gross)</t>
  </si>
  <si>
    <t xml:space="preserve">   Less: Points netted at closing:</t>
  </si>
  <si>
    <t>Equity: Limited Partner (Investor)</t>
  </si>
  <si>
    <t>Equity: General Partner (RPC)</t>
  </si>
  <si>
    <t xml:space="preserve">     Total Funds Available</t>
  </si>
  <si>
    <t>Uses:</t>
  </si>
  <si>
    <t>Closing Costs</t>
  </si>
  <si>
    <t>Initial Cash reserve required:</t>
  </si>
  <si>
    <t xml:space="preserve">   Total Funds Required at closing</t>
  </si>
  <si>
    <t>Tenant 3 new</t>
  </si>
  <si>
    <t>Tenant 5 new</t>
  </si>
  <si>
    <t>Tenant 6 new</t>
  </si>
  <si>
    <t xml:space="preserve">   (EGI not yet known)</t>
  </si>
  <si>
    <t>[Use MIN function]</t>
  </si>
  <si>
    <t xml:space="preserve"> (of NOI)</t>
  </si>
  <si>
    <t>SUMMARY FUTURE MARKET RATE ESTIMATES</t>
  </si>
  <si>
    <t>Market Rent Projections</t>
  </si>
  <si>
    <t>CPI Adjustments (N/A)</t>
  </si>
  <si>
    <t>Estimated rental growth rate</t>
  </si>
  <si>
    <t>N/A</t>
  </si>
  <si>
    <t>SUMMARY LEASE INFORMATION - ALL ARE 5 YEAR LEASES</t>
  </si>
  <si>
    <t xml:space="preserve">Estimated closing costs </t>
  </si>
  <si>
    <t xml:space="preserve"> (of PP)</t>
  </si>
  <si>
    <t>Reimbursable Expenses</t>
  </si>
  <si>
    <t>Subtotal (reimbursable)</t>
  </si>
  <si>
    <t>Non-Reimbursable Expenses</t>
  </si>
  <si>
    <t>*Note: In this case, we are treating management expenses as "non-reimbursable". Practice may vary.</t>
  </si>
  <si>
    <t xml:space="preserve">     Total Equity Required</t>
  </si>
  <si>
    <t xml:space="preserve">     Total Equity</t>
  </si>
  <si>
    <t xml:space="preserve"> of Ltd Ptr equity only</t>
  </si>
  <si>
    <t>Calculation of special distribution to Ltds</t>
  </si>
  <si>
    <t>Version 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</si>
</sst>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5" formatCode="&quot;$&quot;#,##0_);\(&quot;$&quot;#,##0\)"/>
    <numFmt numFmtId="7" formatCode="&quot;$&quot;#,##0.00_);\(&quot;$&quot;#,##0.00\)"/>
    <numFmt numFmtId="43" formatCode="_(* #,##0.00_);_(* \(#,##0.00\);_(* &quot;-&quot;??_);_(@_)"/>
    <numFmt numFmtId="164" formatCode="_(* #,##0_);_(* \(#,##0\);_(* &quot;-&quot;??_);_(@_)"/>
    <numFmt numFmtId="165" formatCode="0.0%"/>
    <numFmt numFmtId="166" formatCode="_(* #,##0_);_(* \(#,##0\);_(* &quot;-&quot;?_);_(@_)"/>
    <numFmt numFmtId="167" formatCode="&quot;$&quot;#,##0"/>
    <numFmt numFmtId="168" formatCode="0.000%"/>
    <numFmt numFmtId="169" formatCode="#,##0.000_);[Red]\(#,##0.000\)"/>
  </numFmts>
  <fonts count="31" x14ac:knownFonts="1">
    <font>
      <sz val="10"/>
      <name val="Arial"/>
    </font>
    <font>
      <u/>
      <sz val="10"/>
      <color indexed="12"/>
      <name val="Arial"/>
      <family val="2"/>
    </font>
    <font>
      <b/>
      <sz val="10"/>
      <color indexed="9"/>
      <name val="Arial"/>
      <family val="2"/>
    </font>
    <font>
      <sz val="10"/>
      <color indexed="9"/>
      <name val="Arial"/>
      <family val="2"/>
    </font>
    <font>
      <b/>
      <sz val="10"/>
      <color indexed="17"/>
      <name val="Arial"/>
      <family val="2"/>
    </font>
    <font>
      <b/>
      <sz val="11"/>
      <color indexed="9"/>
      <name val="Arial"/>
      <family val="2"/>
    </font>
    <font>
      <b/>
      <sz val="12"/>
      <color indexed="9"/>
      <name val="Arial"/>
      <family val="2"/>
    </font>
    <font>
      <b/>
      <i/>
      <sz val="10"/>
      <color indexed="12"/>
      <name val="Arial"/>
      <family val="2"/>
    </font>
    <font>
      <sz val="10"/>
      <name val="Arial"/>
      <family val="2"/>
    </font>
    <font>
      <sz val="11"/>
      <color indexed="9"/>
      <name val="Arial"/>
      <family val="2"/>
    </font>
    <font>
      <b/>
      <sz val="11"/>
      <color indexed="9"/>
      <name val="Arial"/>
      <family val="2"/>
    </font>
    <font>
      <sz val="10"/>
      <color indexed="12"/>
      <name val="Arial"/>
      <family val="2"/>
    </font>
    <font>
      <sz val="10"/>
      <color indexed="20"/>
      <name val="Arial"/>
      <family val="2"/>
    </font>
    <font>
      <sz val="10"/>
      <color indexed="8"/>
      <name val="Arial"/>
      <family val="2"/>
    </font>
    <font>
      <b/>
      <sz val="10"/>
      <name val="Arial"/>
      <family val="2"/>
    </font>
    <font>
      <sz val="10"/>
      <name val="Arial"/>
      <family val="2"/>
    </font>
    <font>
      <b/>
      <sz val="14"/>
      <name val="Arial"/>
      <family val="2"/>
    </font>
    <font>
      <i/>
      <sz val="10"/>
      <name val="Arial"/>
      <family val="2"/>
    </font>
    <font>
      <b/>
      <sz val="10"/>
      <color rgb="FFC00000"/>
      <name val="Arial"/>
      <family val="2"/>
    </font>
    <font>
      <sz val="9"/>
      <color indexed="81"/>
      <name val="Tahoma"/>
      <family val="2"/>
    </font>
    <font>
      <b/>
      <sz val="9"/>
      <color indexed="81"/>
      <name val="Tahoma"/>
      <family val="2"/>
    </font>
    <font>
      <sz val="10"/>
      <color theme="4" tint="-0.249977111117893"/>
      <name val="Arial"/>
      <family val="2"/>
    </font>
    <font>
      <sz val="10"/>
      <color rgb="FFFF0000"/>
      <name val="Arial"/>
      <family val="2"/>
    </font>
    <font>
      <u/>
      <sz val="10"/>
      <name val="Arial"/>
      <family val="2"/>
    </font>
    <font>
      <sz val="10"/>
      <color rgb="FFC00000"/>
      <name val="Arial"/>
      <family val="2"/>
    </font>
    <font>
      <i/>
      <sz val="10"/>
      <color theme="9" tint="-0.499984740745262"/>
      <name val="Arial"/>
      <family val="2"/>
    </font>
    <font>
      <sz val="10"/>
      <color theme="9" tint="-0.499984740745262"/>
      <name val="Arial"/>
      <family val="2"/>
    </font>
    <font>
      <sz val="9"/>
      <color indexed="81"/>
      <name val="Tahoma"/>
      <charset val="1"/>
    </font>
    <font>
      <b/>
      <sz val="9"/>
      <color indexed="81"/>
      <name val="Tahoma"/>
      <charset val="1"/>
    </font>
    <font>
      <b/>
      <u/>
      <sz val="10"/>
      <name val="Arial"/>
      <family val="2"/>
    </font>
    <font>
      <sz val="10"/>
      <color theme="2" tint="-0.499984740745262"/>
      <name val="Arial"/>
      <family val="2"/>
    </font>
  </fonts>
  <fills count="15">
    <fill>
      <patternFill patternType="none"/>
    </fill>
    <fill>
      <patternFill patternType="gray125"/>
    </fill>
    <fill>
      <patternFill patternType="solid">
        <fgColor indexed="21"/>
        <bgColor indexed="64"/>
      </patternFill>
    </fill>
    <fill>
      <patternFill patternType="solid">
        <fgColor indexed="12"/>
        <bgColor indexed="64"/>
      </patternFill>
    </fill>
    <fill>
      <patternFill patternType="solid">
        <fgColor indexed="23"/>
        <bgColor indexed="64"/>
      </patternFill>
    </fill>
    <fill>
      <patternFill patternType="solid">
        <fgColor indexed="43"/>
        <bgColor indexed="64"/>
      </patternFill>
    </fill>
    <fill>
      <patternFill patternType="solid">
        <fgColor indexed="48"/>
        <bgColor indexed="64"/>
      </patternFill>
    </fill>
    <fill>
      <patternFill patternType="solid">
        <fgColor indexed="17"/>
        <bgColor indexed="64"/>
      </patternFill>
    </fill>
    <fill>
      <patternFill patternType="solid">
        <fgColor rgb="FFFFFF00"/>
        <bgColor indexed="64"/>
      </patternFill>
    </fill>
    <fill>
      <patternFill patternType="solid">
        <fgColor rgb="FFFFFF99"/>
        <bgColor indexed="64"/>
      </patternFill>
    </fill>
    <fill>
      <patternFill patternType="solid">
        <fgColor theme="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59999389629810485"/>
        <bgColor indexed="64"/>
      </patternFill>
    </fill>
  </fills>
  <borders count="25">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double">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applyNumberFormat="0" applyFill="0" applyBorder="0" applyAlignment="0" applyProtection="0">
      <alignment vertical="top"/>
      <protection locked="0"/>
    </xf>
    <xf numFmtId="43" fontId="15" fillId="0" borderId="0" applyFont="0" applyFill="0" applyBorder="0" applyAlignment="0" applyProtection="0"/>
    <xf numFmtId="9" fontId="15"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cellStyleXfs>
  <cellXfs count="360">
    <xf numFmtId="0" fontId="0" fillId="0" borderId="0" xfId="0"/>
    <xf numFmtId="0" fontId="0" fillId="0" borderId="0" xfId="0" applyNumberFormat="1"/>
    <xf numFmtId="0" fontId="1" fillId="0" borderId="0" xfId="1" applyFont="1" applyAlignment="1" applyProtection="1"/>
    <xf numFmtId="0" fontId="0" fillId="0" borderId="1" xfId="0" applyNumberFormat="1" applyBorder="1"/>
    <xf numFmtId="0" fontId="0" fillId="0" borderId="2" xfId="0" applyNumberFormat="1" applyBorder="1"/>
    <xf numFmtId="0" fontId="0" fillId="0" borderId="3" xfId="0" applyNumberFormat="1" applyBorder="1"/>
    <xf numFmtId="0" fontId="0" fillId="0" borderId="4" xfId="0" applyNumberFormat="1" applyBorder="1"/>
    <xf numFmtId="0" fontId="0" fillId="0" borderId="0" xfId="0" applyNumberFormat="1" applyBorder="1"/>
    <xf numFmtId="10" fontId="2" fillId="2" borderId="5" xfId="0" applyNumberFormat="1" applyFont="1" applyFill="1" applyBorder="1"/>
    <xf numFmtId="0" fontId="0" fillId="0" borderId="6" xfId="0" applyNumberFormat="1" applyBorder="1"/>
    <xf numFmtId="10" fontId="0" fillId="0" borderId="0" xfId="0" applyNumberFormat="1" applyBorder="1"/>
    <xf numFmtId="5" fontId="0" fillId="0" borderId="0" xfId="0" applyNumberFormat="1" applyBorder="1"/>
    <xf numFmtId="37" fontId="0" fillId="0" borderId="4" xfId="0" applyNumberFormat="1" applyBorder="1"/>
    <xf numFmtId="37" fontId="0" fillId="0" borderId="0" xfId="0" applyNumberFormat="1" applyBorder="1"/>
    <xf numFmtId="5" fontId="0" fillId="0" borderId="4" xfId="0" applyNumberFormat="1" applyBorder="1"/>
    <xf numFmtId="0" fontId="2" fillId="3" borderId="5" xfId="0" applyNumberFormat="1" applyFont="1" applyFill="1" applyBorder="1" applyAlignment="1">
      <alignment horizontal="center"/>
    </xf>
    <xf numFmtId="7" fontId="0" fillId="0" borderId="0" xfId="0" applyNumberFormat="1" applyBorder="1"/>
    <xf numFmtId="2" fontId="0" fillId="0" borderId="0" xfId="0" applyNumberFormat="1" applyBorder="1"/>
    <xf numFmtId="0" fontId="4" fillId="0" borderId="0" xfId="0" applyFont="1" applyBorder="1" applyAlignment="1">
      <alignment horizontal="left"/>
    </xf>
    <xf numFmtId="0" fontId="4" fillId="0" borderId="6" xfId="0" applyFont="1" applyBorder="1" applyAlignment="1">
      <alignment horizontal="left"/>
    </xf>
    <xf numFmtId="0" fontId="0" fillId="0" borderId="6" xfId="0" applyBorder="1"/>
    <xf numFmtId="0" fontId="0" fillId="0" borderId="3" xfId="0" applyNumberFormat="1" applyBorder="1" applyAlignment="1">
      <alignment horizontal="center"/>
    </xf>
    <xf numFmtId="0" fontId="0" fillId="0" borderId="6" xfId="0" applyNumberFormat="1" applyBorder="1" applyAlignment="1">
      <alignment horizontal="center"/>
    </xf>
    <xf numFmtId="0" fontId="0" fillId="0" borderId="0" xfId="0" applyBorder="1"/>
    <xf numFmtId="0" fontId="0" fillId="0" borderId="0" xfId="0" applyNumberFormat="1" applyBorder="1" applyAlignment="1">
      <alignment horizontal="center"/>
    </xf>
    <xf numFmtId="0" fontId="7" fillId="0" borderId="2" xfId="0" applyNumberFormat="1" applyFont="1" applyBorder="1"/>
    <xf numFmtId="1" fontId="0" fillId="0" borderId="4" xfId="0" applyNumberFormat="1" applyBorder="1"/>
    <xf numFmtId="1" fontId="0" fillId="0" borderId="0" xfId="0" applyNumberFormat="1" applyBorder="1"/>
    <xf numFmtId="39" fontId="0" fillId="0" borderId="0" xfId="0" applyNumberFormat="1" applyBorder="1"/>
    <xf numFmtId="37" fontId="8" fillId="5" borderId="0" xfId="0" applyNumberFormat="1" applyFont="1" applyFill="1" applyBorder="1"/>
    <xf numFmtId="0" fontId="9" fillId="6" borderId="10" xfId="0" applyNumberFormat="1" applyFont="1" applyFill="1" applyBorder="1" applyAlignment="1">
      <alignment horizontal="center"/>
    </xf>
    <xf numFmtId="0" fontId="10" fillId="6" borderId="10" xfId="0" applyNumberFormat="1" applyFont="1" applyFill="1" applyBorder="1" applyAlignment="1">
      <alignment horizontal="center"/>
    </xf>
    <xf numFmtId="0" fontId="5" fillId="6" borderId="11" xfId="0" applyNumberFormat="1" applyFont="1" applyFill="1" applyBorder="1" applyAlignment="1">
      <alignment horizontal="center"/>
    </xf>
    <xf numFmtId="0" fontId="10" fillId="6" borderId="11" xfId="0" applyNumberFormat="1" applyFont="1" applyFill="1" applyBorder="1" applyAlignment="1">
      <alignment horizontal="center"/>
    </xf>
    <xf numFmtId="0" fontId="9" fillId="6" borderId="12" xfId="0" applyNumberFormat="1" applyFont="1" applyFill="1" applyBorder="1" applyAlignment="1">
      <alignment horizontal="center"/>
    </xf>
    <xf numFmtId="0" fontId="10" fillId="6" borderId="12" xfId="0" applyNumberFormat="1" applyFont="1" applyFill="1" applyBorder="1" applyAlignment="1">
      <alignment horizontal="center"/>
    </xf>
    <xf numFmtId="0" fontId="0" fillId="0" borderId="4" xfId="0" applyBorder="1"/>
    <xf numFmtId="0" fontId="11" fillId="0" borderId="0" xfId="0" applyNumberFormat="1" applyFont="1" applyBorder="1"/>
    <xf numFmtId="0" fontId="8" fillId="0" borderId="1" xfId="0" applyNumberFormat="1" applyFont="1" applyBorder="1"/>
    <xf numFmtId="10" fontId="8" fillId="5" borderId="2" xfId="0" applyNumberFormat="1" applyFont="1" applyFill="1" applyBorder="1"/>
    <xf numFmtId="0" fontId="8" fillId="0" borderId="2" xfId="0" applyNumberFormat="1" applyFont="1" applyBorder="1"/>
    <xf numFmtId="0" fontId="8" fillId="0" borderId="3" xfId="0" applyNumberFormat="1" applyFont="1" applyBorder="1"/>
    <xf numFmtId="0" fontId="8" fillId="0" borderId="4" xfId="0" applyNumberFormat="1" applyFont="1" applyBorder="1"/>
    <xf numFmtId="10" fontId="8" fillId="5" borderId="0" xfId="0" applyNumberFormat="1" applyFont="1" applyFill="1" applyBorder="1"/>
    <xf numFmtId="0" fontId="8" fillId="0" borderId="0" xfId="0" applyNumberFormat="1" applyFont="1" applyBorder="1"/>
    <xf numFmtId="0" fontId="8" fillId="0" borderId="6" xfId="0" applyNumberFormat="1" applyFont="1" applyBorder="1"/>
    <xf numFmtId="7" fontId="8" fillId="5" borderId="0" xfId="0" applyNumberFormat="1" applyFont="1" applyFill="1" applyBorder="1"/>
    <xf numFmtId="0" fontId="12" fillId="0" borderId="4" xfId="0" applyFont="1" applyBorder="1" applyAlignment="1">
      <alignment horizontal="center"/>
    </xf>
    <xf numFmtId="0" fontId="12" fillId="0" borderId="0" xfId="0" applyFont="1" applyBorder="1" applyAlignment="1">
      <alignment horizontal="center"/>
    </xf>
    <xf numFmtId="0" fontId="12" fillId="0" borderId="6" xfId="0" applyFont="1" applyBorder="1" applyAlignment="1">
      <alignment horizontal="center"/>
    </xf>
    <xf numFmtId="0" fontId="8" fillId="0" borderId="4" xfId="0" applyFont="1" applyBorder="1" applyAlignment="1">
      <alignment horizontal="center"/>
    </xf>
    <xf numFmtId="0" fontId="8" fillId="0" borderId="0" xfId="0" applyFont="1" applyBorder="1" applyAlignment="1">
      <alignment horizontal="center"/>
    </xf>
    <xf numFmtId="37" fontId="8" fillId="5" borderId="16" xfId="0" applyNumberFormat="1" applyFont="1" applyFill="1" applyBorder="1"/>
    <xf numFmtId="5" fontId="13" fillId="0" borderId="16" xfId="0" applyNumberFormat="1" applyFont="1" applyBorder="1"/>
    <xf numFmtId="2" fontId="13" fillId="0" borderId="16" xfId="0" applyNumberFormat="1" applyFont="1" applyBorder="1"/>
    <xf numFmtId="2" fontId="0" fillId="0" borderId="16" xfId="0" applyNumberFormat="1" applyBorder="1"/>
    <xf numFmtId="37" fontId="8" fillId="0" borderId="16" xfId="0" applyNumberFormat="1" applyFont="1" applyBorder="1"/>
    <xf numFmtId="37" fontId="8" fillId="0" borderId="17" xfId="0" applyNumberFormat="1" applyFont="1" applyBorder="1"/>
    <xf numFmtId="5" fontId="8" fillId="0" borderId="16" xfId="0" applyNumberFormat="1" applyFont="1" applyBorder="1"/>
    <xf numFmtId="5" fontId="8" fillId="0" borderId="17" xfId="0" applyNumberFormat="1" applyFont="1" applyBorder="1"/>
    <xf numFmtId="0" fontId="14" fillId="0" borderId="6" xfId="0" applyNumberFormat="1" applyFont="1" applyBorder="1"/>
    <xf numFmtId="37" fontId="0" fillId="0" borderId="16" xfId="0" applyNumberFormat="1" applyBorder="1"/>
    <xf numFmtId="37" fontId="0" fillId="0" borderId="17" xfId="0" applyNumberFormat="1" applyBorder="1"/>
    <xf numFmtId="7" fontId="14" fillId="0" borderId="0" xfId="0" applyNumberFormat="1" applyFont="1" applyBorder="1"/>
    <xf numFmtId="164" fontId="0" fillId="0" borderId="0" xfId="2" applyNumberFormat="1" applyFont="1" applyBorder="1"/>
    <xf numFmtId="164" fontId="0" fillId="0" borderId="4" xfId="2" applyNumberFormat="1" applyFont="1" applyBorder="1"/>
    <xf numFmtId="164" fontId="0" fillId="0" borderId="16" xfId="2" applyNumberFormat="1" applyFont="1" applyBorder="1"/>
    <xf numFmtId="164" fontId="0" fillId="0" borderId="17" xfId="2" applyNumberFormat="1" applyFont="1" applyBorder="1"/>
    <xf numFmtId="164" fontId="8" fillId="0" borderId="16" xfId="2" applyNumberFormat="1" applyFont="1" applyBorder="1"/>
    <xf numFmtId="164" fontId="0" fillId="0" borderId="2" xfId="2" applyNumberFormat="1" applyFont="1" applyBorder="1"/>
    <xf numFmtId="5" fontId="0" fillId="9" borderId="0" xfId="0" applyNumberFormat="1" applyFill="1" applyBorder="1"/>
    <xf numFmtId="37" fontId="0" fillId="9" borderId="0" xfId="0" applyNumberFormat="1" applyFill="1" applyBorder="1"/>
    <xf numFmtId="37" fontId="13" fillId="9" borderId="16" xfId="0" applyNumberFormat="1" applyFont="1" applyFill="1" applyBorder="1"/>
    <xf numFmtId="10" fontId="0" fillId="9" borderId="0" xfId="0" applyNumberFormat="1" applyFill="1" applyBorder="1"/>
    <xf numFmtId="0" fontId="14" fillId="8" borderId="5" xfId="0" applyNumberFormat="1" applyFont="1" applyFill="1" applyBorder="1"/>
    <xf numFmtId="0" fontId="14" fillId="8" borderId="5" xfId="0" applyNumberFormat="1" applyFont="1" applyFill="1" applyBorder="1" applyAlignment="1">
      <alignment horizontal="left"/>
    </xf>
    <xf numFmtId="164" fontId="0" fillId="0" borderId="1" xfId="2" applyNumberFormat="1" applyFont="1" applyBorder="1"/>
    <xf numFmtId="0" fontId="7" fillId="0" borderId="3" xfId="0" applyNumberFormat="1" applyFont="1" applyBorder="1"/>
    <xf numFmtId="0" fontId="0" fillId="0" borderId="1" xfId="0" applyBorder="1"/>
    <xf numFmtId="0" fontId="5" fillId="3" borderId="10" xfId="0" applyNumberFormat="1" applyFont="1" applyFill="1" applyBorder="1"/>
    <xf numFmtId="0" fontId="5" fillId="3" borderId="10" xfId="0" applyNumberFormat="1" applyFont="1" applyFill="1" applyBorder="1" applyAlignment="1">
      <alignment horizontal="center"/>
    </xf>
    <xf numFmtId="0" fontId="8" fillId="0" borderId="0" xfId="0" applyFont="1" applyBorder="1" applyAlignment="1">
      <alignment horizontal="left"/>
    </xf>
    <xf numFmtId="0" fontId="17" fillId="0" borderId="3" xfId="0" applyNumberFormat="1" applyFont="1" applyBorder="1"/>
    <xf numFmtId="2" fontId="17" fillId="0" borderId="2" xfId="0" applyNumberFormat="1" applyFont="1" applyBorder="1"/>
    <xf numFmtId="2" fontId="17" fillId="0" borderId="1" xfId="0" applyNumberFormat="1" applyFont="1" applyBorder="1"/>
    <xf numFmtId="0" fontId="18" fillId="0" borderId="0" xfId="0" applyFont="1"/>
    <xf numFmtId="0" fontId="8" fillId="0" borderId="0" xfId="0" applyFont="1" applyBorder="1"/>
    <xf numFmtId="10" fontId="14" fillId="0" borderId="0" xfId="0" applyNumberFormat="1" applyFont="1" applyBorder="1" applyProtection="1"/>
    <xf numFmtId="49" fontId="8" fillId="0" borderId="6" xfId="0" applyNumberFormat="1" applyFont="1" applyBorder="1" applyAlignment="1">
      <alignment horizontal="left"/>
    </xf>
    <xf numFmtId="38" fontId="8" fillId="0" borderId="0" xfId="0" applyNumberFormat="1" applyFont="1" applyBorder="1" applyProtection="1"/>
    <xf numFmtId="37" fontId="8" fillId="0" borderId="0" xfId="0" applyNumberFormat="1" applyFont="1" applyBorder="1" applyProtection="1"/>
    <xf numFmtId="49" fontId="8" fillId="0" borderId="3" xfId="0" applyNumberFormat="1" applyFont="1" applyBorder="1" applyAlignment="1">
      <alignment horizontal="left"/>
    </xf>
    <xf numFmtId="49" fontId="8" fillId="0" borderId="6" xfId="0" applyNumberFormat="1" applyFont="1" applyBorder="1"/>
    <xf numFmtId="37" fontId="8" fillId="0" borderId="2" xfId="0" applyNumberFormat="1" applyFont="1" applyBorder="1" applyProtection="1"/>
    <xf numFmtId="49" fontId="14" fillId="0" borderId="6" xfId="0" applyNumberFormat="1" applyFont="1" applyBorder="1" applyAlignment="1">
      <alignment horizontal="left"/>
    </xf>
    <xf numFmtId="38" fontId="14" fillId="0" borderId="0" xfId="0" applyNumberFormat="1" applyFont="1" applyBorder="1" applyProtection="1"/>
    <xf numFmtId="0" fontId="0" fillId="0" borderId="0" xfId="0" applyFill="1" applyBorder="1"/>
    <xf numFmtId="7" fontId="8" fillId="0" borderId="0" xfId="0" applyNumberFormat="1" applyFont="1" applyFill="1" applyBorder="1"/>
    <xf numFmtId="10" fontId="8" fillId="0" borderId="0" xfId="0" applyNumberFormat="1" applyFont="1" applyFill="1" applyBorder="1"/>
    <xf numFmtId="0" fontId="2" fillId="3" borderId="10" xfId="0" applyFont="1" applyFill="1" applyBorder="1" applyAlignment="1" applyProtection="1">
      <alignment horizontal="center"/>
    </xf>
    <xf numFmtId="0" fontId="8" fillId="0" borderId="0" xfId="0" applyFont="1" applyBorder="1" applyAlignment="1">
      <alignment horizontal="right"/>
    </xf>
    <xf numFmtId="165" fontId="21" fillId="0" borderId="0" xfId="3" applyNumberFormat="1" applyFont="1" applyBorder="1" applyAlignment="1">
      <alignment horizontal="right"/>
    </xf>
    <xf numFmtId="165" fontId="21" fillId="0" borderId="0" xfId="3" applyNumberFormat="1" applyFont="1" applyFill="1" applyBorder="1"/>
    <xf numFmtId="43" fontId="21" fillId="0" borderId="0" xfId="2" applyFont="1" applyFill="1" applyBorder="1"/>
    <xf numFmtId="165" fontId="21" fillId="0" borderId="0" xfId="3" applyNumberFormat="1" applyFont="1" applyBorder="1"/>
    <xf numFmtId="164" fontId="21" fillId="0" borderId="0" xfId="2" applyNumberFormat="1" applyFont="1" applyFill="1" applyBorder="1"/>
    <xf numFmtId="5" fontId="8" fillId="0" borderId="0" xfId="0" applyNumberFormat="1" applyFont="1" applyBorder="1"/>
    <xf numFmtId="164" fontId="21" fillId="0" borderId="0" xfId="2" applyNumberFormat="1" applyFont="1" applyBorder="1"/>
    <xf numFmtId="166" fontId="8" fillId="0" borderId="0" xfId="0" applyNumberFormat="1" applyFont="1" applyBorder="1"/>
    <xf numFmtId="43" fontId="8" fillId="0" borderId="0" xfId="0" applyNumberFormat="1" applyFont="1" applyBorder="1"/>
    <xf numFmtId="164" fontId="8" fillId="0" borderId="0" xfId="0" applyNumberFormat="1" applyFont="1" applyBorder="1"/>
    <xf numFmtId="164" fontId="8" fillId="0" borderId="0" xfId="2" applyNumberFormat="1" applyFont="1" applyBorder="1"/>
    <xf numFmtId="164" fontId="8" fillId="0" borderId="0" xfId="2" applyNumberFormat="1" applyFont="1" applyFill="1" applyBorder="1"/>
    <xf numFmtId="164" fontId="8" fillId="0" borderId="16" xfId="2" applyNumberFormat="1" applyFont="1" applyFill="1" applyBorder="1"/>
    <xf numFmtId="164" fontId="8" fillId="0" borderId="0" xfId="2" applyNumberFormat="1" applyFont="1" applyBorder="1" applyAlignment="1">
      <alignment horizontal="center"/>
    </xf>
    <xf numFmtId="0" fontId="8" fillId="0" borderId="18" xfId="0" applyNumberFormat="1" applyFont="1" applyBorder="1"/>
    <xf numFmtId="0" fontId="2" fillId="3" borderId="11" xfId="0" applyFont="1" applyFill="1" applyBorder="1" applyAlignment="1" applyProtection="1">
      <alignment horizontal="center"/>
    </xf>
    <xf numFmtId="49" fontId="14" fillId="0" borderId="0" xfId="0" applyNumberFormat="1" applyFont="1" applyBorder="1"/>
    <xf numFmtId="164" fontId="8" fillId="0" borderId="0" xfId="2" applyNumberFormat="1" applyFont="1" applyBorder="1" applyProtection="1"/>
    <xf numFmtId="164" fontId="8" fillId="0" borderId="16" xfId="2" applyNumberFormat="1" applyFont="1" applyBorder="1" applyProtection="1"/>
    <xf numFmtId="0" fontId="0" fillId="0" borderId="16" xfId="0" applyBorder="1"/>
    <xf numFmtId="164" fontId="0" fillId="0" borderId="16" xfId="0" applyNumberFormat="1" applyBorder="1"/>
    <xf numFmtId="0" fontId="3" fillId="4" borderId="8" xfId="0" applyFont="1" applyFill="1" applyBorder="1" applyAlignment="1">
      <alignment horizontal="center"/>
    </xf>
    <xf numFmtId="0" fontId="3" fillId="4" borderId="7" xfId="0" applyFont="1" applyFill="1" applyBorder="1" applyAlignment="1">
      <alignment horizontal="center"/>
    </xf>
    <xf numFmtId="164" fontId="21" fillId="0" borderId="0" xfId="2" applyNumberFormat="1" applyFont="1" applyFill="1" applyBorder="1" applyAlignment="1">
      <alignment horizontal="left"/>
    </xf>
    <xf numFmtId="0" fontId="21" fillId="0" borderId="0" xfId="0" applyFont="1" applyBorder="1" applyAlignment="1">
      <alignment horizontal="right"/>
    </xf>
    <xf numFmtId="0" fontId="14" fillId="8" borderId="9" xfId="4" applyFont="1" applyFill="1" applyBorder="1"/>
    <xf numFmtId="0" fontId="8" fillId="8" borderId="8" xfId="4" applyFill="1" applyBorder="1"/>
    <xf numFmtId="0" fontId="8" fillId="8" borderId="7" xfId="4" applyFill="1" applyBorder="1"/>
    <xf numFmtId="0" fontId="8" fillId="0" borderId="0" xfId="4" applyFill="1" applyBorder="1"/>
    <xf numFmtId="0" fontId="8" fillId="0" borderId="4" xfId="4" applyFill="1" applyBorder="1"/>
    <xf numFmtId="0" fontId="14" fillId="0" borderId="6" xfId="4" applyFont="1" applyFill="1" applyBorder="1"/>
    <xf numFmtId="0" fontId="8" fillId="0" borderId="6" xfId="4" applyFont="1" applyFill="1" applyBorder="1"/>
    <xf numFmtId="0" fontId="8" fillId="0" borderId="0" xfId="4" applyBorder="1"/>
    <xf numFmtId="164" fontId="8" fillId="0" borderId="0" xfId="4" applyNumberFormat="1" applyFill="1" applyBorder="1"/>
    <xf numFmtId="164" fontId="8" fillId="0" borderId="4" xfId="4" applyNumberFormat="1" applyFill="1" applyBorder="1"/>
    <xf numFmtId="0" fontId="8" fillId="0" borderId="6" xfId="4" applyBorder="1"/>
    <xf numFmtId="0" fontId="8" fillId="11" borderId="6" xfId="4" applyFill="1" applyBorder="1" applyAlignment="1">
      <alignment horizontal="left"/>
    </xf>
    <xf numFmtId="167" fontId="8" fillId="11" borderId="0" xfId="4" applyNumberFormat="1" applyFill="1" applyBorder="1"/>
    <xf numFmtId="164" fontId="0" fillId="11" borderId="16" xfId="5" applyNumberFormat="1" applyFont="1" applyFill="1" applyBorder="1"/>
    <xf numFmtId="164" fontId="0" fillId="11" borderId="17" xfId="5" applyNumberFormat="1" applyFont="1" applyFill="1" applyBorder="1"/>
    <xf numFmtId="0" fontId="17" fillId="0" borderId="6" xfId="4" applyFont="1" applyFill="1" applyBorder="1" applyAlignment="1">
      <alignment horizontal="left"/>
    </xf>
    <xf numFmtId="167" fontId="8" fillId="0" borderId="0" xfId="4" applyNumberFormat="1" applyFill="1" applyBorder="1"/>
    <xf numFmtId="164" fontId="0" fillId="0" borderId="0" xfId="5" applyNumberFormat="1" applyFont="1" applyFill="1" applyBorder="1"/>
    <xf numFmtId="164" fontId="0" fillId="0" borderId="4" xfId="5" applyNumberFormat="1" applyFont="1" applyFill="1" applyBorder="1"/>
    <xf numFmtId="0" fontId="8" fillId="0" borderId="6" xfId="4" applyFill="1" applyBorder="1" applyAlignment="1">
      <alignment horizontal="center"/>
    </xf>
    <xf numFmtId="167" fontId="8" fillId="0" borderId="4" xfId="4" applyNumberFormat="1" applyFill="1" applyBorder="1"/>
    <xf numFmtId="0" fontId="8" fillId="12" borderId="6" xfId="4" applyFill="1" applyBorder="1" applyAlignment="1">
      <alignment horizontal="left"/>
    </xf>
    <xf numFmtId="167" fontId="8" fillId="12" borderId="0" xfId="4" applyNumberFormat="1" applyFill="1" applyBorder="1"/>
    <xf numFmtId="164" fontId="0" fillId="12" borderId="16" xfId="5" applyNumberFormat="1" applyFont="1" applyFill="1" applyBorder="1"/>
    <xf numFmtId="164" fontId="0" fillId="12" borderId="17" xfId="5" applyNumberFormat="1" applyFont="1" applyFill="1" applyBorder="1"/>
    <xf numFmtId="0" fontId="8" fillId="0" borderId="6" xfId="4" applyFill="1" applyBorder="1"/>
    <xf numFmtId="0" fontId="8" fillId="11" borderId="6" xfId="4" applyFill="1" applyBorder="1"/>
    <xf numFmtId="0" fontId="8" fillId="11" borderId="0" xfId="4" applyFill="1" applyBorder="1"/>
    <xf numFmtId="164" fontId="0" fillId="11" borderId="0" xfId="5" applyNumberFormat="1" applyFont="1" applyFill="1" applyBorder="1"/>
    <xf numFmtId="164" fontId="0" fillId="11" borderId="4" xfId="5" applyNumberFormat="1" applyFont="1" applyFill="1" applyBorder="1"/>
    <xf numFmtId="0" fontId="8" fillId="12" borderId="6" xfId="4" applyFill="1" applyBorder="1"/>
    <xf numFmtId="0" fontId="8" fillId="12" borderId="0" xfId="4" applyFill="1" applyBorder="1"/>
    <xf numFmtId="164" fontId="8" fillId="0" borderId="19" xfId="4" applyNumberFormat="1" applyFill="1" applyBorder="1"/>
    <xf numFmtId="164" fontId="8" fillId="0" borderId="20" xfId="4" applyNumberFormat="1" applyFill="1" applyBorder="1"/>
    <xf numFmtId="0" fontId="2" fillId="0" borderId="6" xfId="4" applyFont="1" applyFill="1" applyBorder="1" applyAlignment="1">
      <alignment horizontal="center" wrapText="1"/>
    </xf>
    <xf numFmtId="0" fontId="2" fillId="0" borderId="0" xfId="4" applyFont="1" applyFill="1" applyBorder="1" applyAlignment="1">
      <alignment horizontal="center" wrapText="1"/>
    </xf>
    <xf numFmtId="164" fontId="0" fillId="0" borderId="16" xfId="5" applyNumberFormat="1" applyFont="1" applyBorder="1"/>
    <xf numFmtId="0" fontId="17" fillId="0" borderId="0" xfId="4" applyFont="1" applyFill="1" applyBorder="1"/>
    <xf numFmtId="164" fontId="0" fillId="0" borderId="16" xfId="5" applyNumberFormat="1" applyFont="1" applyFill="1" applyBorder="1"/>
    <xf numFmtId="0" fontId="8" fillId="0" borderId="16" xfId="4" applyFill="1" applyBorder="1"/>
    <xf numFmtId="0" fontId="8" fillId="0" borderId="3" xfId="4" applyFill="1" applyBorder="1"/>
    <xf numFmtId="0" fontId="8" fillId="0" borderId="2" xfId="4" applyFill="1" applyBorder="1"/>
    <xf numFmtId="0" fontId="8" fillId="0" borderId="1" xfId="4" applyFill="1" applyBorder="1"/>
    <xf numFmtId="0" fontId="8" fillId="0" borderId="14" xfId="4" applyFill="1" applyBorder="1"/>
    <xf numFmtId="0" fontId="8" fillId="0" borderId="13" xfId="4" applyFill="1" applyBorder="1"/>
    <xf numFmtId="164" fontId="0" fillId="8" borderId="17" xfId="5" applyNumberFormat="1" applyFont="1" applyFill="1" applyBorder="1"/>
    <xf numFmtId="0" fontId="8" fillId="0" borderId="4" xfId="4" applyBorder="1"/>
    <xf numFmtId="0" fontId="8" fillId="0" borderId="3" xfId="4" applyBorder="1"/>
    <xf numFmtId="0" fontId="8" fillId="0" borderId="2" xfId="4" applyBorder="1"/>
    <xf numFmtId="0" fontId="8" fillId="0" borderId="1" xfId="4" applyBorder="1"/>
    <xf numFmtId="164" fontId="8" fillId="0" borderId="0" xfId="4" applyNumberFormat="1" applyBorder="1"/>
    <xf numFmtId="0" fontId="8" fillId="0" borderId="14" xfId="4" applyBorder="1"/>
    <xf numFmtId="164" fontId="8" fillId="0" borderId="13" xfId="4" applyNumberFormat="1" applyBorder="1"/>
    <xf numFmtId="164" fontId="8" fillId="0" borderId="4" xfId="4" applyNumberFormat="1" applyBorder="1"/>
    <xf numFmtId="0" fontId="14" fillId="8" borderId="16" xfId="4" applyFont="1" applyFill="1" applyBorder="1"/>
    <xf numFmtId="164" fontId="14" fillId="8" borderId="16" xfId="5" applyNumberFormat="1" applyFont="1" applyFill="1" applyBorder="1"/>
    <xf numFmtId="0" fontId="14" fillId="8" borderId="17" xfId="4" applyFont="1" applyFill="1" applyBorder="1"/>
    <xf numFmtId="164" fontId="8" fillId="11" borderId="0" xfId="4" applyNumberFormat="1" applyFill="1" applyBorder="1"/>
    <xf numFmtId="164" fontId="8" fillId="11" borderId="4" xfId="4" applyNumberFormat="1" applyFill="1" applyBorder="1"/>
    <xf numFmtId="10" fontId="0" fillId="0" borderId="0" xfId="6" applyNumberFormat="1" applyFont="1" applyBorder="1"/>
    <xf numFmtId="164" fontId="0" fillId="0" borderId="0" xfId="5" applyNumberFormat="1" applyFont="1" applyBorder="1"/>
    <xf numFmtId="164" fontId="0" fillId="12" borderId="0" xfId="5" applyNumberFormat="1" applyFont="1" applyFill="1" applyBorder="1"/>
    <xf numFmtId="164" fontId="8" fillId="12" borderId="0" xfId="4" applyNumberFormat="1" applyFill="1" applyBorder="1"/>
    <xf numFmtId="164" fontId="8" fillId="12" borderId="4" xfId="4" applyNumberFormat="1" applyFill="1" applyBorder="1"/>
    <xf numFmtId="164" fontId="0" fillId="0" borderId="0" xfId="0" applyNumberFormat="1" applyBorder="1"/>
    <xf numFmtId="0" fontId="0" fillId="0" borderId="14" xfId="0" applyFill="1" applyBorder="1"/>
    <xf numFmtId="0" fontId="0" fillId="0" borderId="14" xfId="0" applyBorder="1"/>
    <xf numFmtId="0" fontId="0" fillId="0" borderId="13" xfId="0" applyBorder="1"/>
    <xf numFmtId="0" fontId="0" fillId="0" borderId="3" xfId="0" applyBorder="1"/>
    <xf numFmtId="165" fontId="0" fillId="0" borderId="2" xfId="3" applyNumberFormat="1" applyFont="1" applyFill="1" applyBorder="1"/>
    <xf numFmtId="0" fontId="0" fillId="0" borderId="2" xfId="0" applyBorder="1"/>
    <xf numFmtId="166" fontId="0" fillId="0" borderId="0" xfId="0" applyNumberFormat="1" applyBorder="1"/>
    <xf numFmtId="164" fontId="8" fillId="0" borderId="4" xfId="2" applyNumberFormat="1" applyFont="1" applyBorder="1" applyAlignment="1">
      <alignment horizontal="center"/>
    </xf>
    <xf numFmtId="38" fontId="8" fillId="0" borderId="4" xfId="0" applyNumberFormat="1" applyFont="1" applyBorder="1" applyProtection="1"/>
    <xf numFmtId="37" fontId="8" fillId="0" borderId="1" xfId="0" applyNumberFormat="1" applyFont="1" applyBorder="1" applyProtection="1"/>
    <xf numFmtId="164" fontId="8" fillId="10" borderId="4" xfId="2" applyNumberFormat="1" applyFont="1" applyFill="1" applyBorder="1" applyProtection="1"/>
    <xf numFmtId="38" fontId="8" fillId="10" borderId="4" xfId="0" applyNumberFormat="1" applyFont="1" applyFill="1" applyBorder="1" applyProtection="1"/>
    <xf numFmtId="49" fontId="8" fillId="0" borderId="6" xfId="0" applyNumberFormat="1" applyFont="1" applyFill="1" applyBorder="1" applyAlignment="1">
      <alignment horizontal="left"/>
    </xf>
    <xf numFmtId="0" fontId="0" fillId="10" borderId="17" xfId="0" applyFill="1" applyBorder="1"/>
    <xf numFmtId="38" fontId="14" fillId="0" borderId="4" xfId="0" applyNumberFormat="1" applyFont="1" applyBorder="1" applyProtection="1"/>
    <xf numFmtId="0" fontId="0" fillId="0" borderId="4" xfId="0" applyFill="1" applyBorder="1"/>
    <xf numFmtId="38" fontId="0" fillId="0" borderId="0" xfId="0" applyNumberFormat="1" applyBorder="1"/>
    <xf numFmtId="0" fontId="14" fillId="8" borderId="9" xfId="0" applyFont="1" applyFill="1" applyBorder="1"/>
    <xf numFmtId="0" fontId="0" fillId="8" borderId="8" xfId="0" applyFill="1" applyBorder="1"/>
    <xf numFmtId="0" fontId="0" fillId="8" borderId="7" xfId="0" applyFill="1" applyBorder="1"/>
    <xf numFmtId="0" fontId="12" fillId="0" borderId="3" xfId="0" applyFont="1" applyBorder="1" applyAlignment="1">
      <alignment horizontal="center"/>
    </xf>
    <xf numFmtId="0" fontId="12" fillId="0" borderId="2" xfId="0" applyFont="1" applyBorder="1" applyAlignment="1">
      <alignment horizontal="right"/>
    </xf>
    <xf numFmtId="0" fontId="12" fillId="0" borderId="2" xfId="0" applyFont="1" applyBorder="1" applyAlignment="1">
      <alignment horizontal="center"/>
    </xf>
    <xf numFmtId="0" fontId="12" fillId="0" borderId="1" xfId="0" applyFont="1" applyBorder="1" applyAlignment="1">
      <alignment horizontal="center"/>
    </xf>
    <xf numFmtId="49" fontId="2" fillId="4" borderId="9" xfId="0" applyNumberFormat="1" applyFont="1" applyFill="1" applyBorder="1" applyAlignment="1">
      <alignment horizontal="left"/>
    </xf>
    <xf numFmtId="49" fontId="2" fillId="4" borderId="8" xfId="0" applyNumberFormat="1" applyFont="1" applyFill="1" applyBorder="1" applyAlignment="1">
      <alignment horizontal="center"/>
    </xf>
    <xf numFmtId="49" fontId="2" fillId="4" borderId="7" xfId="0" applyNumberFormat="1" applyFont="1" applyFill="1" applyBorder="1" applyAlignment="1">
      <alignment horizontal="center"/>
    </xf>
    <xf numFmtId="49" fontId="8" fillId="0" borderId="15" xfId="0" applyNumberFormat="1" applyFont="1" applyBorder="1" applyAlignment="1">
      <alignment horizontal="left"/>
    </xf>
    <xf numFmtId="38" fontId="8" fillId="0" borderId="14" xfId="0" applyNumberFormat="1" applyFont="1" applyBorder="1" applyProtection="1"/>
    <xf numFmtId="38" fontId="8" fillId="0" borderId="13" xfId="0" applyNumberFormat="1" applyFont="1" applyBorder="1" applyProtection="1"/>
    <xf numFmtId="9" fontId="8" fillId="0" borderId="0" xfId="3" applyFont="1" applyBorder="1" applyAlignment="1">
      <alignment horizontal="right"/>
    </xf>
    <xf numFmtId="9" fontId="21" fillId="0" borderId="0" xfId="3" applyFont="1" applyBorder="1" applyAlignment="1">
      <alignment horizontal="right"/>
    </xf>
    <xf numFmtId="164" fontId="8" fillId="0" borderId="0" xfId="0" applyNumberFormat="1" applyFont="1" applyBorder="1" applyAlignment="1">
      <alignment horizontal="center"/>
    </xf>
    <xf numFmtId="164" fontId="8" fillId="0" borderId="0" xfId="2" applyNumberFormat="1" applyFont="1" applyBorder="1" applyAlignment="1">
      <alignment horizontal="right"/>
    </xf>
    <xf numFmtId="165" fontId="21" fillId="0" borderId="2" xfId="3" applyNumberFormat="1" applyFont="1" applyBorder="1" applyAlignment="1">
      <alignment horizontal="right"/>
    </xf>
    <xf numFmtId="9" fontId="8" fillId="0" borderId="2" xfId="3" applyFont="1" applyBorder="1" applyAlignment="1">
      <alignment horizontal="right"/>
    </xf>
    <xf numFmtId="0" fontId="8" fillId="0" borderId="1" xfId="0" applyFont="1" applyBorder="1" applyAlignment="1">
      <alignment horizontal="center"/>
    </xf>
    <xf numFmtId="10" fontId="8" fillId="0" borderId="0" xfId="3" applyNumberFormat="1" applyFont="1" applyBorder="1" applyAlignment="1">
      <alignment horizontal="right"/>
    </xf>
    <xf numFmtId="0" fontId="14" fillId="0" borderId="6" xfId="0" applyFont="1" applyBorder="1"/>
    <xf numFmtId="164" fontId="0" fillId="0" borderId="0" xfId="0" applyNumberFormat="1"/>
    <xf numFmtId="49" fontId="23" fillId="0" borderId="6" xfId="0" applyNumberFormat="1" applyFont="1" applyBorder="1" applyAlignment="1">
      <alignment horizontal="left"/>
    </xf>
    <xf numFmtId="0" fontId="22" fillId="0" borderId="0" xfId="0" applyFont="1"/>
    <xf numFmtId="164" fontId="22" fillId="0" borderId="0" xfId="0" applyNumberFormat="1" applyFont="1"/>
    <xf numFmtId="0" fontId="0" fillId="0" borderId="6" xfId="0" applyFill="1" applyBorder="1"/>
    <xf numFmtId="0" fontId="0" fillId="0" borderId="3" xfId="0" applyFill="1" applyBorder="1"/>
    <xf numFmtId="0" fontId="8" fillId="0" borderId="2" xfId="0" applyFont="1" applyBorder="1" applyAlignment="1">
      <alignment horizontal="right"/>
    </xf>
    <xf numFmtId="10" fontId="8" fillId="0" borderId="2" xfId="3" applyNumberFormat="1" applyFont="1" applyBorder="1" applyAlignment="1">
      <alignment horizontal="right"/>
    </xf>
    <xf numFmtId="0" fontId="2" fillId="3" borderId="5" xfId="0" applyFont="1" applyFill="1" applyBorder="1" applyAlignment="1" applyProtection="1">
      <alignment horizontal="center"/>
    </xf>
    <xf numFmtId="0" fontId="2" fillId="3" borderId="9" xfId="0" applyFont="1" applyFill="1" applyBorder="1" applyAlignment="1" applyProtection="1">
      <alignment horizontal="center"/>
    </xf>
    <xf numFmtId="0" fontId="0" fillId="0" borderId="11" xfId="0" applyBorder="1"/>
    <xf numFmtId="164" fontId="0" fillId="0" borderId="11" xfId="0" applyNumberFormat="1" applyBorder="1"/>
    <xf numFmtId="164" fontId="0" fillId="0" borderId="21" xfId="0" applyNumberFormat="1" applyBorder="1"/>
    <xf numFmtId="0" fontId="0" fillId="0" borderId="10" xfId="0" applyBorder="1"/>
    <xf numFmtId="0" fontId="14" fillId="8" borderId="12" xfId="0" applyFont="1" applyFill="1" applyBorder="1" applyAlignment="1">
      <alignment horizontal="center"/>
    </xf>
    <xf numFmtId="0" fontId="14" fillId="8" borderId="11" xfId="0" applyFont="1" applyFill="1" applyBorder="1" applyAlignment="1">
      <alignment horizontal="center"/>
    </xf>
    <xf numFmtId="0" fontId="14" fillId="8" borderId="10" xfId="0" applyFont="1" applyFill="1" applyBorder="1" applyAlignment="1">
      <alignment horizontal="center"/>
    </xf>
    <xf numFmtId="164" fontId="8" fillId="0" borderId="16" xfId="2" applyNumberFormat="1" applyFont="1" applyBorder="1" applyAlignment="1">
      <alignment horizontal="center"/>
    </xf>
    <xf numFmtId="9" fontId="8" fillId="0" borderId="0" xfId="3" applyFont="1" applyFill="1" applyBorder="1" applyAlignment="1">
      <alignment horizontal="right"/>
    </xf>
    <xf numFmtId="0" fontId="14" fillId="8" borderId="13" xfId="0" applyFont="1" applyFill="1" applyBorder="1" applyAlignment="1">
      <alignment horizontal="center"/>
    </xf>
    <xf numFmtId="0" fontId="14" fillId="8" borderId="1" xfId="0" applyFont="1" applyFill="1" applyBorder="1" applyAlignment="1">
      <alignment horizontal="center"/>
    </xf>
    <xf numFmtId="164" fontId="8" fillId="0" borderId="4" xfId="2" applyNumberFormat="1" applyFont="1" applyBorder="1" applyProtection="1"/>
    <xf numFmtId="164" fontId="8" fillId="0" borderId="17" xfId="2" applyNumberFormat="1" applyFont="1" applyBorder="1" applyProtection="1"/>
    <xf numFmtId="0" fontId="0" fillId="0" borderId="12" xfId="0" applyBorder="1"/>
    <xf numFmtId="164" fontId="0" fillId="0" borderId="11" xfId="2" applyNumberFormat="1" applyFont="1" applyBorder="1"/>
    <xf numFmtId="164" fontId="0" fillId="0" borderId="21" xfId="2" applyNumberFormat="1" applyFont="1" applyBorder="1"/>
    <xf numFmtId="164" fontId="24" fillId="0" borderId="0" xfId="0" applyNumberFormat="1" applyFont="1" applyBorder="1" applyAlignment="1">
      <alignment horizontal="center"/>
    </xf>
    <xf numFmtId="164" fontId="8" fillId="11" borderId="16" xfId="4" applyNumberFormat="1" applyFill="1" applyBorder="1"/>
    <xf numFmtId="164" fontId="8" fillId="11" borderId="17" xfId="4" applyNumberFormat="1" applyFill="1" applyBorder="1"/>
    <xf numFmtId="164" fontId="8" fillId="12" borderId="16" xfId="4" applyNumberFormat="1" applyFill="1" applyBorder="1"/>
    <xf numFmtId="164" fontId="8" fillId="12" borderId="17" xfId="4" applyNumberFormat="1" applyFill="1" applyBorder="1"/>
    <xf numFmtId="0" fontId="8" fillId="0" borderId="3" xfId="4" applyBorder="1" applyAlignment="1">
      <alignment horizontal="center"/>
    </xf>
    <xf numFmtId="0" fontId="14" fillId="11" borderId="6" xfId="4" applyFont="1" applyFill="1" applyBorder="1"/>
    <xf numFmtId="0" fontId="14" fillId="12" borderId="6" xfId="4" applyFont="1" applyFill="1" applyBorder="1"/>
    <xf numFmtId="164" fontId="0" fillId="12" borderId="4" xfId="5" applyNumberFormat="1" applyFont="1" applyFill="1" applyBorder="1"/>
    <xf numFmtId="0" fontId="14" fillId="0" borderId="0" xfId="0" applyFont="1" applyBorder="1"/>
    <xf numFmtId="164" fontId="0" fillId="0" borderId="6" xfId="0" applyNumberFormat="1" applyBorder="1"/>
    <xf numFmtId="164" fontId="0" fillId="0" borderId="4" xfId="0" applyNumberFormat="1" applyBorder="1"/>
    <xf numFmtId="164" fontId="0" fillId="0" borderId="18" xfId="0" applyNumberFormat="1" applyBorder="1"/>
    <xf numFmtId="164" fontId="0" fillId="0" borderId="17" xfId="0" applyNumberFormat="1" applyBorder="1"/>
    <xf numFmtId="164" fontId="0" fillId="0" borderId="22" xfId="0" applyNumberFormat="1" applyBorder="1"/>
    <xf numFmtId="164" fontId="0" fillId="0" borderId="20" xfId="0" applyNumberFormat="1" applyBorder="1"/>
    <xf numFmtId="0" fontId="14" fillId="8" borderId="9" xfId="0" applyFont="1" applyFill="1" applyBorder="1" applyAlignment="1">
      <alignment horizontal="center"/>
    </xf>
    <xf numFmtId="0" fontId="14" fillId="8" borderId="7" xfId="0" applyFont="1" applyFill="1" applyBorder="1" applyAlignment="1">
      <alignment horizontal="center"/>
    </xf>
    <xf numFmtId="49" fontId="14" fillId="0" borderId="15" xfId="0" applyNumberFormat="1" applyFont="1" applyBorder="1" applyAlignment="1">
      <alignment horizontal="left"/>
    </xf>
    <xf numFmtId="38" fontId="8" fillId="0" borderId="2" xfId="0" applyNumberFormat="1" applyFont="1" applyBorder="1" applyProtection="1"/>
    <xf numFmtId="38" fontId="8" fillId="0" borderId="1" xfId="0" applyNumberFormat="1" applyFont="1" applyBorder="1" applyProtection="1"/>
    <xf numFmtId="49" fontId="8" fillId="0" borderId="15" xfId="0" applyNumberFormat="1" applyFont="1" applyFill="1" applyBorder="1" applyAlignment="1">
      <alignment horizontal="left"/>
    </xf>
    <xf numFmtId="49" fontId="8" fillId="0" borderId="0" xfId="0" applyNumberFormat="1" applyFont="1" applyBorder="1" applyAlignment="1">
      <alignment horizontal="left"/>
    </xf>
    <xf numFmtId="164" fontId="0" fillId="8" borderId="23" xfId="0" applyNumberFormat="1" applyFill="1" applyBorder="1"/>
    <xf numFmtId="164" fontId="0" fillId="0" borderId="0" xfId="2" applyNumberFormat="1" applyFont="1" applyFill="1" applyBorder="1"/>
    <xf numFmtId="0" fontId="3" fillId="4" borderId="8" xfId="0" applyFont="1" applyFill="1" applyBorder="1" applyAlignment="1">
      <alignment horizontal="center"/>
    </xf>
    <xf numFmtId="0" fontId="3" fillId="4" borderId="7" xfId="0" applyFont="1" applyFill="1" applyBorder="1" applyAlignment="1">
      <alignment horizontal="center"/>
    </xf>
    <xf numFmtId="49" fontId="25" fillId="0" borderId="6" xfId="0" applyNumberFormat="1" applyFont="1" applyBorder="1" applyAlignment="1">
      <alignment horizontal="left"/>
    </xf>
    <xf numFmtId="0" fontId="26" fillId="0" borderId="0" xfId="0" applyFont="1" applyBorder="1"/>
    <xf numFmtId="169" fontId="25" fillId="0" borderId="0" xfId="0" applyNumberFormat="1" applyFont="1" applyBorder="1" applyProtection="1"/>
    <xf numFmtId="0" fontId="14" fillId="0" borderId="15" xfId="0" applyFont="1" applyBorder="1"/>
    <xf numFmtId="164" fontId="8" fillId="0" borderId="16" xfId="2" applyNumberFormat="1" applyFont="1" applyFill="1" applyBorder="1" applyAlignment="1">
      <alignment horizontal="right"/>
    </xf>
    <xf numFmtId="38" fontId="0" fillId="0" borderId="16" xfId="0" applyNumberFormat="1" applyBorder="1"/>
    <xf numFmtId="10" fontId="0" fillId="0" borderId="24" xfId="0" applyNumberFormat="1" applyBorder="1"/>
    <xf numFmtId="0" fontId="14" fillId="0" borderId="3" xfId="0" applyFont="1" applyBorder="1"/>
    <xf numFmtId="164" fontId="8" fillId="0" borderId="0" xfId="2" applyNumberFormat="1" applyFont="1" applyFill="1" applyBorder="1" applyAlignment="1">
      <alignment horizontal="left"/>
    </xf>
    <xf numFmtId="49" fontId="8" fillId="13" borderId="15" xfId="0" applyNumberFormat="1" applyFont="1" applyFill="1" applyBorder="1" applyAlignment="1">
      <alignment horizontal="left"/>
    </xf>
    <xf numFmtId="38" fontId="8" fillId="13" borderId="14" xfId="0" applyNumberFormat="1" applyFont="1" applyFill="1" applyBorder="1" applyProtection="1"/>
    <xf numFmtId="0" fontId="0" fillId="13" borderId="13" xfId="0" applyFill="1" applyBorder="1"/>
    <xf numFmtId="49" fontId="8" fillId="13" borderId="3" xfId="0" applyNumberFormat="1" applyFont="1" applyFill="1" applyBorder="1" applyAlignment="1">
      <alignment horizontal="left"/>
    </xf>
    <xf numFmtId="10" fontId="8" fillId="13" borderId="2" xfId="3" applyNumberFormat="1" applyFont="1" applyFill="1" applyBorder="1" applyProtection="1"/>
    <xf numFmtId="38" fontId="8" fillId="13" borderId="2" xfId="0" applyNumberFormat="1" applyFont="1" applyFill="1" applyBorder="1" applyProtection="1"/>
    <xf numFmtId="37" fontId="8" fillId="13" borderId="2" xfId="0" applyNumberFormat="1" applyFont="1" applyFill="1" applyBorder="1" applyProtection="1"/>
    <xf numFmtId="0" fontId="0" fillId="13" borderId="1" xfId="0" applyFill="1" applyBorder="1"/>
    <xf numFmtId="0" fontId="8" fillId="0" borderId="3" xfId="0" applyFont="1" applyBorder="1"/>
    <xf numFmtId="0" fontId="0" fillId="0" borderId="0" xfId="0" applyFill="1"/>
    <xf numFmtId="168" fontId="22" fillId="0" borderId="0" xfId="4" applyNumberFormat="1" applyFont="1" applyBorder="1"/>
    <xf numFmtId="164" fontId="0" fillId="14" borderId="6" xfId="0" applyNumberFormat="1" applyFill="1" applyBorder="1"/>
    <xf numFmtId="164" fontId="0" fillId="14" borderId="18" xfId="0" applyNumberFormat="1" applyFill="1" applyBorder="1"/>
    <xf numFmtId="164" fontId="0" fillId="13" borderId="6" xfId="0" applyNumberFormat="1" applyFill="1" applyBorder="1"/>
    <xf numFmtId="164" fontId="0" fillId="13" borderId="18" xfId="0" applyNumberFormat="1" applyFill="1" applyBorder="1"/>
    <xf numFmtId="164" fontId="0" fillId="13" borderId="4" xfId="0" applyNumberFormat="1" applyFill="1" applyBorder="1"/>
    <xf numFmtId="164" fontId="0" fillId="13" borderId="17" xfId="0" applyNumberFormat="1" applyFill="1" applyBorder="1"/>
    <xf numFmtId="164" fontId="0" fillId="14" borderId="4" xfId="0" applyNumberFormat="1" applyFill="1" applyBorder="1"/>
    <xf numFmtId="164" fontId="0" fillId="14" borderId="17" xfId="0" applyNumberFormat="1" applyFill="1" applyBorder="1"/>
    <xf numFmtId="0" fontId="8" fillId="0" borderId="6" xfId="0" applyFont="1" applyBorder="1"/>
    <xf numFmtId="164" fontId="25" fillId="0" borderId="0" xfId="2" applyNumberFormat="1" applyFont="1" applyBorder="1"/>
    <xf numFmtId="38" fontId="25" fillId="0" borderId="0" xfId="0" applyNumberFormat="1" applyFont="1" applyBorder="1" applyProtection="1"/>
    <xf numFmtId="0" fontId="8" fillId="0" borderId="0" xfId="0" applyFont="1"/>
    <xf numFmtId="10" fontId="0" fillId="0" borderId="0" xfId="3" applyNumberFormat="1" applyFont="1"/>
    <xf numFmtId="0" fontId="14" fillId="0" borderId="0" xfId="0" applyFont="1"/>
    <xf numFmtId="0" fontId="3" fillId="4" borderId="8" xfId="0" applyFont="1" applyFill="1" applyBorder="1" applyAlignment="1">
      <alignment horizontal="center"/>
    </xf>
    <xf numFmtId="0" fontId="3" fillId="4" borderId="7" xfId="0" applyFont="1" applyFill="1" applyBorder="1" applyAlignment="1">
      <alignment horizontal="center"/>
    </xf>
    <xf numFmtId="0" fontId="14" fillId="0" borderId="15" xfId="0" applyFont="1" applyFill="1" applyBorder="1"/>
    <xf numFmtId="164" fontId="21" fillId="0" borderId="14" xfId="5" applyNumberFormat="1" applyFont="1" applyFill="1" applyBorder="1"/>
    <xf numFmtId="0" fontId="8" fillId="0" borderId="6" xfId="0" applyFont="1" applyFill="1" applyBorder="1"/>
    <xf numFmtId="164" fontId="8" fillId="0" borderId="0" xfId="5" applyNumberFormat="1" applyFont="1" applyFill="1" applyBorder="1"/>
    <xf numFmtId="164" fontId="8" fillId="0" borderId="16" xfId="5" applyNumberFormat="1" applyFont="1" applyFill="1" applyBorder="1"/>
    <xf numFmtId="164" fontId="8" fillId="0" borderId="19" xfId="5" applyNumberFormat="1" applyFont="1" applyFill="1" applyBorder="1"/>
    <xf numFmtId="0" fontId="14" fillId="0" borderId="6" xfId="0" applyFont="1" applyFill="1" applyBorder="1"/>
    <xf numFmtId="164" fontId="21" fillId="0" borderId="2" xfId="5" applyNumberFormat="1" applyFont="1" applyFill="1" applyBorder="1"/>
    <xf numFmtId="10" fontId="8" fillId="0" borderId="4" xfId="0" applyNumberFormat="1" applyFont="1" applyFill="1" applyBorder="1"/>
    <xf numFmtId="0" fontId="8" fillId="0" borderId="9" xfId="0" applyNumberFormat="1" applyFont="1" applyBorder="1"/>
    <xf numFmtId="0" fontId="0" fillId="0" borderId="8" xfId="0" applyNumberFormat="1" applyBorder="1"/>
    <xf numFmtId="7" fontId="0" fillId="0" borderId="8" xfId="0" applyNumberFormat="1" applyBorder="1"/>
    <xf numFmtId="0" fontId="8" fillId="0" borderId="2" xfId="0" applyFont="1" applyBorder="1" applyAlignment="1">
      <alignment horizontal="left"/>
    </xf>
    <xf numFmtId="7" fontId="0" fillId="0" borderId="7" xfId="0" applyNumberFormat="1" applyBorder="1"/>
    <xf numFmtId="0" fontId="0" fillId="0" borderId="14" xfId="0" applyNumberFormat="1" applyBorder="1"/>
    <xf numFmtId="0" fontId="0" fillId="0" borderId="13" xfId="0" applyNumberFormat="1" applyBorder="1"/>
    <xf numFmtId="0" fontId="29" fillId="0" borderId="6" xfId="0" applyNumberFormat="1" applyFont="1" applyBorder="1"/>
    <xf numFmtId="164" fontId="8" fillId="0" borderId="19" xfId="2" applyNumberFormat="1" applyFont="1" applyFill="1" applyBorder="1"/>
    <xf numFmtId="164" fontId="0" fillId="0" borderId="19" xfId="0" applyNumberFormat="1" applyBorder="1"/>
    <xf numFmtId="0" fontId="16" fillId="8" borderId="9" xfId="0" applyFont="1" applyFill="1" applyBorder="1" applyAlignment="1">
      <alignment horizontal="center"/>
    </xf>
    <xf numFmtId="0" fontId="16" fillId="8" borderId="8" xfId="0" applyFont="1" applyFill="1" applyBorder="1" applyAlignment="1">
      <alignment horizontal="center"/>
    </xf>
    <xf numFmtId="0" fontId="16" fillId="8" borderId="7" xfId="0" applyFont="1" applyFill="1" applyBorder="1" applyAlignment="1">
      <alignment horizontal="center"/>
    </xf>
    <xf numFmtId="0" fontId="6" fillId="7" borderId="9" xfId="0" applyFont="1" applyFill="1" applyBorder="1" applyAlignment="1">
      <alignment horizontal="center"/>
    </xf>
    <xf numFmtId="0" fontId="6" fillId="7" borderId="8" xfId="0" applyFont="1" applyFill="1" applyBorder="1" applyAlignment="1">
      <alignment horizontal="center"/>
    </xf>
    <xf numFmtId="0" fontId="6" fillId="7" borderId="7" xfId="0" applyFont="1" applyFill="1" applyBorder="1" applyAlignment="1">
      <alignment horizontal="center"/>
    </xf>
    <xf numFmtId="0" fontId="2" fillId="3" borderId="9" xfId="0" applyNumberFormat="1" applyFont="1" applyFill="1" applyBorder="1" applyAlignment="1">
      <alignment horizontal="center"/>
    </xf>
    <xf numFmtId="0" fontId="2" fillId="3" borderId="8" xfId="0" applyFont="1" applyFill="1" applyBorder="1" applyAlignment="1">
      <alignment horizontal="center"/>
    </xf>
    <xf numFmtId="0" fontId="2" fillId="3" borderId="7" xfId="0" applyFont="1" applyFill="1" applyBorder="1" applyAlignment="1">
      <alignment horizontal="center"/>
    </xf>
    <xf numFmtId="0" fontId="2" fillId="4" borderId="15" xfId="0" applyFont="1" applyFill="1" applyBorder="1" applyAlignment="1">
      <alignment horizontal="center"/>
    </xf>
    <xf numFmtId="0" fontId="2" fillId="4" borderId="14" xfId="0" applyFont="1" applyFill="1" applyBorder="1" applyAlignment="1">
      <alignment horizontal="center"/>
    </xf>
    <xf numFmtId="0" fontId="2" fillId="4" borderId="13" xfId="0" applyFont="1" applyFill="1" applyBorder="1" applyAlignment="1">
      <alignment horizontal="center"/>
    </xf>
    <xf numFmtId="0" fontId="2" fillId="4" borderId="9" xfId="0" applyFont="1" applyFill="1" applyBorder="1" applyAlignment="1">
      <alignment horizontal="center"/>
    </xf>
    <xf numFmtId="0" fontId="3" fillId="4" borderId="8" xfId="0" applyFont="1" applyFill="1" applyBorder="1" applyAlignment="1">
      <alignment horizontal="center"/>
    </xf>
    <xf numFmtId="0" fontId="3" fillId="4" borderId="7" xfId="0" applyFont="1" applyFill="1" applyBorder="1" applyAlignment="1">
      <alignment horizontal="center"/>
    </xf>
    <xf numFmtId="0" fontId="2" fillId="4" borderId="9" xfId="0" applyNumberFormat="1" applyFont="1" applyFill="1" applyBorder="1" applyAlignment="1">
      <alignment horizontal="center"/>
    </xf>
    <xf numFmtId="0" fontId="2" fillId="4" borderId="8" xfId="0" applyNumberFormat="1" applyFont="1" applyFill="1" applyBorder="1" applyAlignment="1">
      <alignment horizontal="center"/>
    </xf>
    <xf numFmtId="0" fontId="2" fillId="4" borderId="7" xfId="0" applyNumberFormat="1" applyFont="1" applyFill="1" applyBorder="1" applyAlignment="1">
      <alignment horizontal="center"/>
    </xf>
    <xf numFmtId="0" fontId="2" fillId="3" borderId="15" xfId="0" applyNumberFormat="1" applyFont="1" applyFill="1" applyBorder="1" applyAlignment="1">
      <alignment horizontal="left"/>
    </xf>
    <xf numFmtId="0" fontId="2" fillId="3" borderId="14" xfId="0" applyFont="1" applyFill="1" applyBorder="1" applyAlignment="1">
      <alignment horizontal="left"/>
    </xf>
    <xf numFmtId="0" fontId="2" fillId="3" borderId="13" xfId="0" applyFont="1" applyFill="1" applyBorder="1" applyAlignment="1">
      <alignment horizontal="left"/>
    </xf>
    <xf numFmtId="10" fontId="30" fillId="0" borderId="2" xfId="6" applyNumberFormat="1" applyFont="1" applyBorder="1"/>
  </cellXfs>
  <cellStyles count="7">
    <cellStyle name="Comma" xfId="2" builtinId="3"/>
    <cellStyle name="Comma 2" xfId="5" xr:uid="{00000000-0005-0000-0000-000001000000}"/>
    <cellStyle name="Hyperlink" xfId="1" builtinId="8"/>
    <cellStyle name="Normal" xfId="0" builtinId="0"/>
    <cellStyle name="Normal 2" xfId="4" xr:uid="{00000000-0005-0000-0000-000004000000}"/>
    <cellStyle name="Percent" xfId="3" builtinId="5"/>
    <cellStyle name="Percent 2" xfId="6" xr:uid="{00000000-0005-0000-0000-00000600000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FFFF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indiana.edu/~cres/R510/download/Ex20_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indiana.edu/~cres/R510/download/Finance/10th%20edition/Chapters/Chapter%2019%20templates/cm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ww.indiana.edu/~cres/R510/download/Finance/10th%20edition/Chapters/Chapter%2019%20templates/IO-P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ometmail-my.sharepoint.com/Users/George/Documents/UTD/Courses/FIN6322%20-S12/DataFiles/GDCfiles/14e_Excel_GD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CREIF &amp; S&amp;P"/>
      <sheetName val="REITs &amp; S&amp;P"/>
      <sheetName val="A"/>
    </sheetNames>
    <sheetDataSet>
      <sheetData sheetId="0"/>
      <sheetData sheetId="1">
        <row r="11">
          <cell r="D11">
            <v>0.10256580965724643</v>
          </cell>
          <cell r="E11">
            <v>3.9374304347826114E-2</v>
          </cell>
          <cell r="F11">
            <v>3.9374304347826112</v>
          </cell>
        </row>
        <row r="12">
          <cell r="D12">
            <v>9.9699466842594398E-2</v>
          </cell>
          <cell r="E12">
            <v>3.9434344565217411E-2</v>
          </cell>
          <cell r="F12">
            <v>3.9434344565217412</v>
          </cell>
        </row>
        <row r="13">
          <cell r="D13">
            <v>9.6926697633896594E-2</v>
          </cell>
          <cell r="E13">
            <v>3.9494384782608721E-2</v>
          </cell>
          <cell r="F13">
            <v>3.949438478260872</v>
          </cell>
        </row>
        <row r="14">
          <cell r="D14">
            <v>9.4255760498720725E-2</v>
          </cell>
          <cell r="E14">
            <v>3.9554425000000018E-2</v>
          </cell>
          <cell r="F14">
            <v>3.955442500000002</v>
          </cell>
        </row>
        <row r="15">
          <cell r="D15">
            <v>9.1695554459503378E-2</v>
          </cell>
          <cell r="E15">
            <v>3.9614465217391329E-2</v>
          </cell>
          <cell r="F15">
            <v>3.9614465217391328</v>
          </cell>
        </row>
        <row r="16">
          <cell r="D16">
            <v>8.9255608650344487E-2</v>
          </cell>
          <cell r="E16">
            <v>3.9674505434782625E-2</v>
          </cell>
          <cell r="F16">
            <v>3.9674505434782628</v>
          </cell>
        </row>
        <row r="17">
          <cell r="D17">
            <v>8.6946048161577236E-2</v>
          </cell>
          <cell r="E17">
            <v>3.9734545652173922E-2</v>
          </cell>
          <cell r="F17">
            <v>3.9734545652173923</v>
          </cell>
        </row>
        <row r="18">
          <cell r="D18">
            <v>8.4777529769104062E-2</v>
          </cell>
          <cell r="E18">
            <v>3.9794585869565233E-2</v>
          </cell>
          <cell r="F18">
            <v>3.9794585869565231</v>
          </cell>
        </row>
        <row r="19">
          <cell r="D19">
            <v>8.2761141026761451E-2</v>
          </cell>
          <cell r="E19">
            <v>3.9854626086956536E-2</v>
          </cell>
          <cell r="F19">
            <v>3.9854626086956535</v>
          </cell>
        </row>
        <row r="20">
          <cell r="D20">
            <v>8.0908256821018112E-2</v>
          </cell>
          <cell r="E20">
            <v>3.991466630434784E-2</v>
          </cell>
          <cell r="F20">
            <v>3.9914666304347839</v>
          </cell>
        </row>
        <row r="21">
          <cell r="D21">
            <v>7.9230349153871005E-2</v>
          </cell>
          <cell r="E21">
            <v>3.9974706521739137E-2</v>
          </cell>
          <cell r="F21">
            <v>3.9974706521739138</v>
          </cell>
        </row>
        <row r="22">
          <cell r="D22">
            <v>7.7738748894852619E-2</v>
          </cell>
          <cell r="E22">
            <v>4.0034746739130447E-2</v>
          </cell>
          <cell r="F22">
            <v>4.0034746739130451</v>
          </cell>
        </row>
        <row r="23">
          <cell r="D23">
            <v>7.6444362642995103E-2</v>
          </cell>
          <cell r="E23">
            <v>4.0094786956521744E-2</v>
          </cell>
          <cell r="F23">
            <v>4.0094786956521746</v>
          </cell>
        </row>
        <row r="24">
          <cell r="D24">
            <v>7.5357353506573591E-2</v>
          </cell>
          <cell r="E24">
            <v>4.0154827173913048E-2</v>
          </cell>
          <cell r="F24">
            <v>4.015482717391305</v>
          </cell>
        </row>
        <row r="25">
          <cell r="D25">
            <v>7.4486800995879857E-2</v>
          </cell>
          <cell r="E25">
            <v>4.0214867391304351E-2</v>
          </cell>
          <cell r="F25">
            <v>4.0214867391304354</v>
          </cell>
        </row>
        <row r="26">
          <cell r="D26">
            <v>7.3840361355759068E-2</v>
          </cell>
          <cell r="E26">
            <v>4.0274907608695655E-2</v>
          </cell>
          <cell r="F26">
            <v>4.0274907608695658</v>
          </cell>
        </row>
        <row r="27">
          <cell r="D27">
            <v>7.3423954232678723E-2</v>
          </cell>
          <cell r="E27">
            <v>4.0334947826086959E-2</v>
          </cell>
          <cell r="F27">
            <v>4.0334947826086962</v>
          </cell>
        </row>
        <row r="28">
          <cell r="D28">
            <v>7.3241503211226341E-2</v>
          </cell>
          <cell r="E28">
            <v>4.0394988043478255E-2</v>
          </cell>
          <cell r="F28">
            <v>4.0394988043478257</v>
          </cell>
        </row>
        <row r="29">
          <cell r="D29">
            <v>7.329475545754835E-2</v>
          </cell>
          <cell r="E29">
            <v>4.0455028260869566E-2</v>
          </cell>
          <cell r="F29">
            <v>4.045502826086957</v>
          </cell>
        </row>
        <row r="30">
          <cell r="D30">
            <v>7.358319923724238E-2</v>
          </cell>
          <cell r="E30">
            <v>4.0515068478260863E-2</v>
          </cell>
          <cell r="F30">
            <v>4.0515068478260865</v>
          </cell>
        </row>
        <row r="31">
          <cell r="D31">
            <v>7.4104088212849348E-2</v>
          </cell>
          <cell r="E31">
            <v>4.0575108695652173E-2</v>
          </cell>
          <cell r="F31">
            <v>4.0575108695652169</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h20 CMBS"/>
    </sheetNames>
    <sheetDataSet>
      <sheetData sheetId="0">
        <row r="171">
          <cell r="D171">
            <v>0</v>
          </cell>
          <cell r="E171">
            <v>0.19104004814636055</v>
          </cell>
        </row>
        <row r="172">
          <cell r="D172">
            <v>0.05</v>
          </cell>
          <cell r="E172">
            <v>0.17331256212247201</v>
          </cell>
        </row>
        <row r="173">
          <cell r="D173">
            <v>0.1</v>
          </cell>
          <cell r="E173">
            <v>0.16098670463276857</v>
          </cell>
        </row>
        <row r="174">
          <cell r="D174">
            <v>0.15000000000000002</v>
          </cell>
          <cell r="E174">
            <v>0.15532835618367249</v>
          </cell>
        </row>
        <row r="175">
          <cell r="D175">
            <v>0.2</v>
          </cell>
          <cell r="E175">
            <v>0.14993493952328116</v>
          </cell>
        </row>
        <row r="176">
          <cell r="D176">
            <v>0.25</v>
          </cell>
          <cell r="E176">
            <v>0.14737549187106463</v>
          </cell>
        </row>
        <row r="177">
          <cell r="D177">
            <v>0.3</v>
          </cell>
          <cell r="E177">
            <v>0.14738328611616652</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h20 CMBS"/>
    </sheetNames>
    <sheetDataSet>
      <sheetData sheetId="0">
        <row r="60">
          <cell r="F60">
            <v>0.2</v>
          </cell>
        </row>
        <row r="134">
          <cell r="C134" t="str">
            <v>Prepayment</v>
          </cell>
          <cell r="D134">
            <v>399.74017857832689</v>
          </cell>
          <cell r="E134">
            <v>358.11775557400102</v>
          </cell>
        </row>
        <row r="135">
          <cell r="C135">
            <v>0</v>
          </cell>
          <cell r="D135">
            <v>0.30004894282811623</v>
          </cell>
          <cell r="E135">
            <v>5.3792676242975117E-2</v>
          </cell>
        </row>
        <row r="136">
          <cell r="C136">
            <v>0.05</v>
          </cell>
          <cell r="D136">
            <v>0.25320354178881338</v>
          </cell>
          <cell r="E136">
            <v>6.5681770075035173E-2</v>
          </cell>
        </row>
        <row r="137">
          <cell r="C137">
            <v>0.1</v>
          </cell>
          <cell r="D137">
            <v>0.20622497798526063</v>
          </cell>
          <cell r="E137">
            <v>7.9037589924664753E-2</v>
          </cell>
        </row>
        <row r="138">
          <cell r="C138">
            <v>0.15000000000000002</v>
          </cell>
          <cell r="D138">
            <v>0.15911549935311234</v>
          </cell>
          <cell r="E138">
            <v>9.3672789192370182E-2</v>
          </cell>
        </row>
        <row r="139">
          <cell r="C139">
            <v>0.2</v>
          </cell>
          <cell r="D139">
            <v>0.11187787934534389</v>
          </cell>
          <cell r="E139">
            <v>0.10935888548657445</v>
          </cell>
        </row>
        <row r="140">
          <cell r="C140">
            <v>0.25</v>
          </cell>
          <cell r="D140">
            <v>6.4515379452903615E-2</v>
          </cell>
          <cell r="E140">
            <v>0.12586561470778773</v>
          </cell>
        </row>
        <row r="141">
          <cell r="C141">
            <v>0.3</v>
          </cell>
          <cell r="D141">
            <v>1.7031669609579192E-2</v>
          </cell>
          <cell r="E141">
            <v>0.14298917762938032</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h4 Eff Cost"/>
      <sheetName val="Ch4 Eff Cost Simple"/>
      <sheetName val="Ch4 CAM"/>
      <sheetName val="Ch4 GPM"/>
      <sheetName val="Ch5 ARM No Caps"/>
      <sheetName val="Ch5 ARM Int Cap"/>
      <sheetName val="Ch5 ARM Pmt Cap"/>
      <sheetName val="Ch5 PLAM"/>
      <sheetName val="Ch5 PLAM Graphs"/>
      <sheetName val="Ch5 SAM"/>
      <sheetName val="Ch6 Incremental Cost"/>
      <sheetName val="Ch6 Combined Cost 2 loans"/>
      <sheetName val="Ch7 Rent vs Own"/>
      <sheetName val="Ch9 Eff.Rent -see alt."/>
      <sheetName val="Ch10 Mort Eq Cap"/>
      <sheetName val="Ch10 H&amp;BU"/>
      <sheetName val="Ch 10 Oakwood"/>
      <sheetName val="Ch11 Market Anal"/>
      <sheetName val="Ch11 Lease"/>
      <sheetName val="Ch11 Basic Investment Anal"/>
      <sheetName val="Ch11 ATIRR"/>
      <sheetName val="Ch12 Leverage"/>
      <sheetName val="Ch12 Participation"/>
      <sheetName val="Ch12 Sale Leaseback of Land"/>
      <sheetName val="Ch12 Convertible Mortgage"/>
      <sheetName val="Ch12 Accrual Loan"/>
      <sheetName val="Ch13 Risk"/>
      <sheetName val="Ch 13 Risk and Leverage"/>
      <sheetName val="Ch13 Retail"/>
      <sheetName val="Ch13 Retail (Pess)"/>
      <sheetName val="Ch13 Industrial"/>
      <sheetName val="Ch14 Return if Held"/>
      <sheetName val="Ch14 MRR"/>
      <sheetName val="Ch14 Return with Refinancing"/>
      <sheetName val="Ch14 Renovation"/>
      <sheetName val="Ch14 Installment Sale"/>
      <sheetName val="Ch 14 Exchange"/>
      <sheetName val="Ch15 Lease_Own"/>
      <sheetName val="Ch15 Prob. 1"/>
      <sheetName val="Ch16 Const"/>
      <sheetName val="Ch17 Land Dev"/>
      <sheetName val="Ch18 IRR Pref"/>
      <sheetName val="Ch18 IRR Lookback"/>
      <sheetName val="Ch18 Partner"/>
      <sheetName val="Ch19 MPS"/>
      <sheetName val="Ch20 CMO"/>
      <sheetName val="Ch20 Floater"/>
      <sheetName val="CH20 IO_PO"/>
      <sheetName val="Ch20 CMBS"/>
      <sheetName val="Ch22_Fronti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4">
          <cell r="C4">
            <v>10000000</v>
          </cell>
          <cell r="F4">
            <v>8000000</v>
          </cell>
        </row>
        <row r="5">
          <cell r="C5">
            <v>0.1</v>
          </cell>
        </row>
        <row r="6">
          <cell r="C6">
            <v>5</v>
          </cell>
        </row>
        <row r="11">
          <cell r="I11">
            <v>0.08</v>
          </cell>
          <cell r="K11">
            <v>6000000</v>
          </cell>
        </row>
        <row r="16">
          <cell r="I16">
            <v>0.1</v>
          </cell>
          <cell r="K16">
            <v>3000000</v>
          </cell>
        </row>
        <row r="18">
          <cell r="K18">
            <v>1000000</v>
          </cell>
        </row>
        <row r="20">
          <cell r="K20">
            <v>10000000</v>
          </cell>
        </row>
      </sheetData>
      <sheetData sheetId="5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1"/>
  <sheetViews>
    <sheetView tabSelected="1" workbookViewId="0"/>
  </sheetViews>
  <sheetFormatPr defaultRowHeight="12.75" x14ac:dyDescent="0.2"/>
  <cols>
    <col min="1" max="1" width="8.42578125" customWidth="1"/>
    <col min="2" max="2" width="29.85546875" customWidth="1"/>
    <col min="3" max="3" width="11.140625" customWidth="1"/>
    <col min="4" max="4" width="15.42578125" customWidth="1"/>
    <col min="5" max="5" width="14.140625" customWidth="1"/>
    <col min="6" max="6" width="12.140625" customWidth="1"/>
    <col min="7" max="7" width="14.140625" customWidth="1"/>
    <col min="8" max="8" width="12.28515625" customWidth="1"/>
    <col min="9" max="9" width="13.85546875" customWidth="1"/>
  </cols>
  <sheetData>
    <row r="1" spans="1:9" x14ac:dyDescent="0.2">
      <c r="A1" s="85" t="s">
        <v>70</v>
      </c>
    </row>
    <row r="2" spans="1:9" x14ac:dyDescent="0.2">
      <c r="A2" s="85"/>
    </row>
    <row r="3" spans="1:9" ht="13.5" thickBot="1" x14ac:dyDescent="0.25">
      <c r="A3" s="85"/>
    </row>
    <row r="4" spans="1:9" ht="18.75" thickBot="1" x14ac:dyDescent="0.3">
      <c r="B4" s="338" t="s">
        <v>62</v>
      </c>
      <c r="C4" s="339"/>
      <c r="D4" s="339"/>
      <c r="E4" s="339"/>
      <c r="F4" s="339"/>
      <c r="G4" s="339"/>
      <c r="H4" s="339"/>
      <c r="I4" s="340"/>
    </row>
    <row r="5" spans="1:9" ht="16.5" thickBot="1" x14ac:dyDescent="0.3">
      <c r="B5" s="341"/>
      <c r="C5" s="342"/>
      <c r="D5" s="342"/>
      <c r="E5" s="342"/>
      <c r="F5" s="342"/>
      <c r="G5" s="342"/>
      <c r="H5" s="342"/>
      <c r="I5" s="343"/>
    </row>
    <row r="6" spans="1:9" x14ac:dyDescent="0.2">
      <c r="B6" s="20"/>
      <c r="C6" s="51"/>
      <c r="D6" s="51"/>
      <c r="E6" s="51"/>
      <c r="F6" s="51"/>
      <c r="G6" s="51"/>
      <c r="H6" s="51"/>
      <c r="I6" s="50"/>
    </row>
    <row r="7" spans="1:9" x14ac:dyDescent="0.2">
      <c r="B7" s="20" t="s">
        <v>67</v>
      </c>
      <c r="C7" s="81" t="s">
        <v>63</v>
      </c>
      <c r="D7" s="51"/>
      <c r="E7" s="51"/>
      <c r="F7" s="51"/>
      <c r="G7" s="51"/>
      <c r="H7" s="51"/>
      <c r="I7" s="50"/>
    </row>
    <row r="8" spans="1:9" x14ac:dyDescent="0.2">
      <c r="B8" s="20"/>
      <c r="C8" s="81" t="s">
        <v>64</v>
      </c>
      <c r="D8" s="51"/>
      <c r="E8" s="51"/>
      <c r="F8" s="51"/>
      <c r="G8" s="51"/>
      <c r="H8" s="51"/>
      <c r="I8" s="50"/>
    </row>
    <row r="9" spans="1:9" x14ac:dyDescent="0.2">
      <c r="B9" s="20"/>
      <c r="C9" s="81" t="s">
        <v>66</v>
      </c>
      <c r="D9" s="51"/>
      <c r="E9" s="51"/>
      <c r="F9" s="51"/>
      <c r="G9" s="51"/>
      <c r="H9" s="51"/>
      <c r="I9" s="50"/>
    </row>
    <row r="10" spans="1:9" ht="13.5" thickBot="1" x14ac:dyDescent="0.25">
      <c r="B10" s="49"/>
      <c r="C10" s="48"/>
      <c r="D10" s="48"/>
      <c r="E10" s="48"/>
      <c r="F10" s="48"/>
      <c r="G10" s="48"/>
      <c r="H10" s="48"/>
      <c r="I10" s="47"/>
    </row>
    <row r="11" spans="1:9" ht="13.5" thickBot="1" x14ac:dyDescent="0.25">
      <c r="B11" s="344" t="s">
        <v>44</v>
      </c>
      <c r="C11" s="345"/>
      <c r="D11" s="345"/>
      <c r="E11" s="346"/>
      <c r="F11" s="7"/>
      <c r="G11" s="7"/>
      <c r="H11" s="7"/>
      <c r="I11" s="6"/>
    </row>
    <row r="12" spans="1:9" x14ac:dyDescent="0.2">
      <c r="B12" s="45" t="s">
        <v>43</v>
      </c>
      <c r="C12" s="44"/>
      <c r="D12" s="46">
        <v>32</v>
      </c>
      <c r="E12" s="42" t="s">
        <v>30</v>
      </c>
      <c r="F12" s="37"/>
      <c r="G12" s="23"/>
      <c r="H12" s="23"/>
      <c r="I12" s="6"/>
    </row>
    <row r="13" spans="1:9" x14ac:dyDescent="0.2">
      <c r="B13" s="45" t="s">
        <v>42</v>
      </c>
      <c r="C13" s="44"/>
      <c r="D13" s="29">
        <v>101350</v>
      </c>
      <c r="E13" s="42" t="s">
        <v>40</v>
      </c>
      <c r="F13" s="37"/>
      <c r="G13" s="23"/>
      <c r="H13" s="23"/>
      <c r="I13" s="6"/>
    </row>
    <row r="14" spans="1:9" x14ac:dyDescent="0.2">
      <c r="B14" s="45" t="s">
        <v>41</v>
      </c>
      <c r="C14" s="44"/>
      <c r="D14" s="29">
        <v>96500</v>
      </c>
      <c r="E14" s="42" t="s">
        <v>40</v>
      </c>
      <c r="F14" s="37"/>
      <c r="G14" s="23"/>
      <c r="H14" s="23"/>
      <c r="I14" s="6"/>
    </row>
    <row r="15" spans="1:9" x14ac:dyDescent="0.2">
      <c r="B15" s="45" t="s">
        <v>252</v>
      </c>
      <c r="C15" s="44"/>
      <c r="D15" s="43">
        <v>2.8000000000000001E-2</v>
      </c>
      <c r="E15" s="42" t="s">
        <v>37</v>
      </c>
      <c r="F15" s="37"/>
      <c r="G15" s="23"/>
      <c r="H15" s="23"/>
      <c r="I15" s="6"/>
    </row>
    <row r="16" spans="1:9" x14ac:dyDescent="0.2">
      <c r="B16" s="45" t="s">
        <v>39</v>
      </c>
      <c r="C16" s="44"/>
      <c r="D16" s="43">
        <v>0.05</v>
      </c>
      <c r="E16" s="42" t="s">
        <v>45</v>
      </c>
      <c r="F16" s="37"/>
      <c r="G16" s="23"/>
      <c r="H16" s="23"/>
      <c r="I16" s="6"/>
    </row>
    <row r="17" spans="1:10" x14ac:dyDescent="0.2">
      <c r="B17" s="45" t="s">
        <v>38</v>
      </c>
      <c r="C17" s="44"/>
      <c r="D17" s="43">
        <v>2.5000000000000001E-2</v>
      </c>
      <c r="E17" s="42" t="s">
        <v>37</v>
      </c>
      <c r="F17" s="37"/>
      <c r="G17" s="23"/>
      <c r="H17" s="23"/>
      <c r="I17" s="6"/>
    </row>
    <row r="18" spans="1:10" x14ac:dyDescent="0.2">
      <c r="B18" s="45" t="s">
        <v>65</v>
      </c>
      <c r="C18" s="44"/>
      <c r="D18" s="43">
        <v>0</v>
      </c>
      <c r="E18" s="42"/>
      <c r="F18" s="37"/>
      <c r="G18" s="23"/>
      <c r="H18" s="23"/>
      <c r="I18" s="6"/>
    </row>
    <row r="19" spans="1:10" x14ac:dyDescent="0.2">
      <c r="B19" s="45" t="s">
        <v>59</v>
      </c>
      <c r="C19" s="44"/>
      <c r="D19" s="43">
        <v>0.05</v>
      </c>
      <c r="E19" s="42"/>
      <c r="F19" s="37"/>
      <c r="G19" s="23"/>
      <c r="H19" s="23"/>
      <c r="I19" s="6"/>
    </row>
    <row r="20" spans="1:10" ht="13.5" thickBot="1" x14ac:dyDescent="0.25">
      <c r="B20" s="41" t="s">
        <v>60</v>
      </c>
      <c r="C20" s="40"/>
      <c r="D20" s="39">
        <v>0.08</v>
      </c>
      <c r="E20" s="38" t="s">
        <v>37</v>
      </c>
      <c r="F20" s="37"/>
      <c r="G20" s="23"/>
      <c r="H20" s="23"/>
      <c r="I20" s="6"/>
    </row>
    <row r="21" spans="1:10" ht="13.5" thickBot="1" x14ac:dyDescent="0.25">
      <c r="B21" s="347" t="s">
        <v>249</v>
      </c>
      <c r="C21" s="348"/>
      <c r="D21" s="348"/>
      <c r="E21" s="348"/>
      <c r="F21" s="348"/>
      <c r="G21" s="348"/>
      <c r="H21" s="348"/>
      <c r="I21" s="349"/>
    </row>
    <row r="22" spans="1:10" ht="13.5" thickBot="1" x14ac:dyDescent="0.25">
      <c r="B22" s="15" t="s">
        <v>10</v>
      </c>
      <c r="C22" s="15"/>
      <c r="D22" s="15">
        <v>1</v>
      </c>
      <c r="E22" s="15">
        <f>1+D22</f>
        <v>2</v>
      </c>
      <c r="F22" s="15">
        <f>1+E22</f>
        <v>3</v>
      </c>
      <c r="G22" s="15">
        <f>1+F22</f>
        <v>4</v>
      </c>
      <c r="H22" s="15">
        <f>1+G22</f>
        <v>5</v>
      </c>
      <c r="I22" s="15">
        <f>1+H22</f>
        <v>6</v>
      </c>
    </row>
    <row r="23" spans="1:10" ht="13.5" thickBot="1" x14ac:dyDescent="0.25">
      <c r="B23" s="328" t="s">
        <v>250</v>
      </c>
      <c r="C23" s="329"/>
      <c r="D23" s="330">
        <f>ROUND(D12*(1+D15),2)</f>
        <v>32.9</v>
      </c>
      <c r="E23" s="330">
        <f>ROUND(D23*(1+$D$15),2)</f>
        <v>33.82</v>
      </c>
      <c r="F23" s="330">
        <f t="shared" ref="F23:I23" si="0">ROUND(E23*(1+$D$15),2)</f>
        <v>34.770000000000003</v>
      </c>
      <c r="G23" s="330">
        <f t="shared" si="0"/>
        <v>35.74</v>
      </c>
      <c r="H23" s="330">
        <f t="shared" si="0"/>
        <v>36.74</v>
      </c>
      <c r="I23" s="332">
        <f t="shared" si="0"/>
        <v>37.770000000000003</v>
      </c>
    </row>
    <row r="24" spans="1:10" ht="13.5" thickBot="1" x14ac:dyDescent="0.25">
      <c r="A24" s="23"/>
      <c r="B24" s="23"/>
      <c r="C24" s="23"/>
      <c r="D24" s="23"/>
      <c r="E24" s="23"/>
      <c r="F24" s="23"/>
      <c r="G24" s="23"/>
      <c r="H24" s="23"/>
      <c r="I24" s="23"/>
      <c r="J24" s="23"/>
    </row>
    <row r="25" spans="1:10" ht="13.5" thickBot="1" x14ac:dyDescent="0.25">
      <c r="B25" s="347" t="s">
        <v>254</v>
      </c>
      <c r="C25" s="348"/>
      <c r="D25" s="348"/>
      <c r="E25" s="348"/>
      <c r="F25" s="348"/>
      <c r="G25" s="348"/>
      <c r="H25" s="348"/>
      <c r="I25" s="349"/>
    </row>
    <row r="26" spans="1:10" ht="15" x14ac:dyDescent="0.25">
      <c r="B26" s="34"/>
      <c r="C26" s="34"/>
      <c r="D26" s="35" t="s">
        <v>204</v>
      </c>
      <c r="E26" s="35"/>
      <c r="F26" s="35"/>
      <c r="G26" s="35" t="s">
        <v>53</v>
      </c>
      <c r="H26" s="35"/>
      <c r="I26" s="35" t="s">
        <v>50</v>
      </c>
    </row>
    <row r="27" spans="1:10" ht="15" x14ac:dyDescent="0.25">
      <c r="B27" s="32" t="s">
        <v>36</v>
      </c>
      <c r="C27" s="32" t="s">
        <v>35</v>
      </c>
      <c r="D27" s="33" t="s">
        <v>33</v>
      </c>
      <c r="E27" s="33" t="s">
        <v>204</v>
      </c>
      <c r="F27" s="33" t="s">
        <v>34</v>
      </c>
      <c r="G27" s="33" t="s">
        <v>54</v>
      </c>
      <c r="H27" s="33"/>
      <c r="I27" s="32" t="s">
        <v>51</v>
      </c>
    </row>
    <row r="28" spans="1:10" ht="15.75" thickBot="1" x14ac:dyDescent="0.3">
      <c r="B28" s="30"/>
      <c r="C28" s="30"/>
      <c r="D28" s="31" t="s">
        <v>30</v>
      </c>
      <c r="E28" s="31" t="s">
        <v>33</v>
      </c>
      <c r="F28" s="31" t="s">
        <v>32</v>
      </c>
      <c r="G28" s="31" t="s">
        <v>30</v>
      </c>
      <c r="H28" s="31"/>
      <c r="I28" s="31" t="s">
        <v>52</v>
      </c>
    </row>
    <row r="29" spans="1:10" x14ac:dyDescent="0.2">
      <c r="B29" s="9"/>
      <c r="C29" s="7"/>
      <c r="D29" s="7"/>
      <c r="E29" s="7"/>
      <c r="F29" s="7"/>
      <c r="G29" s="7"/>
      <c r="H29" s="7"/>
      <c r="I29" s="6"/>
    </row>
    <row r="30" spans="1:10" x14ac:dyDescent="0.2">
      <c r="B30" s="9" t="s">
        <v>23</v>
      </c>
      <c r="C30" s="29">
        <v>20000</v>
      </c>
      <c r="D30" s="16">
        <v>29.25</v>
      </c>
      <c r="E30" s="11">
        <f t="shared" ref="E30:E35" si="1">C30*D30</f>
        <v>585000</v>
      </c>
      <c r="F30" s="7">
        <v>3</v>
      </c>
      <c r="G30" s="16">
        <v>12</v>
      </c>
      <c r="I30" s="327">
        <v>0</v>
      </c>
    </row>
    <row r="31" spans="1:10" x14ac:dyDescent="0.2">
      <c r="B31" s="9" t="s">
        <v>22</v>
      </c>
      <c r="C31" s="29">
        <v>15000</v>
      </c>
      <c r="D31" s="16">
        <v>29.5</v>
      </c>
      <c r="E31" s="13">
        <f t="shared" si="1"/>
        <v>442500</v>
      </c>
      <c r="F31" s="7">
        <v>4</v>
      </c>
      <c r="G31" s="28">
        <v>12.25</v>
      </c>
      <c r="I31" s="327">
        <v>0</v>
      </c>
    </row>
    <row r="32" spans="1:10" x14ac:dyDescent="0.2">
      <c r="B32" s="9" t="s">
        <v>243</v>
      </c>
      <c r="C32" s="29">
        <v>15000</v>
      </c>
      <c r="D32" s="63">
        <v>31.75</v>
      </c>
      <c r="E32" s="13">
        <f t="shared" si="1"/>
        <v>476250</v>
      </c>
      <c r="F32" s="7">
        <v>5</v>
      </c>
      <c r="G32" s="28">
        <v>13.3</v>
      </c>
      <c r="I32" s="327">
        <v>0</v>
      </c>
    </row>
    <row r="33" spans="2:9" x14ac:dyDescent="0.2">
      <c r="B33" s="9" t="s">
        <v>20</v>
      </c>
      <c r="C33" s="29">
        <v>9000</v>
      </c>
      <c r="D33" s="16">
        <v>30.75</v>
      </c>
      <c r="E33" s="13">
        <f t="shared" si="1"/>
        <v>276750</v>
      </c>
      <c r="F33" s="7">
        <v>4</v>
      </c>
      <c r="G33" s="28">
        <v>12.5</v>
      </c>
      <c r="I33" s="327">
        <v>0</v>
      </c>
    </row>
    <row r="34" spans="2:9" x14ac:dyDescent="0.2">
      <c r="B34" s="9" t="s">
        <v>244</v>
      </c>
      <c r="C34" s="29">
        <v>16000</v>
      </c>
      <c r="D34" s="63">
        <v>32</v>
      </c>
      <c r="E34" s="13">
        <f t="shared" si="1"/>
        <v>512000</v>
      </c>
      <c r="F34" s="7">
        <v>5</v>
      </c>
      <c r="G34" s="28">
        <v>13.3</v>
      </c>
      <c r="I34" s="327">
        <v>0</v>
      </c>
    </row>
    <row r="35" spans="2:9" x14ac:dyDescent="0.2">
      <c r="B35" s="9" t="s">
        <v>245</v>
      </c>
      <c r="C35" s="52">
        <v>21500</v>
      </c>
      <c r="D35" s="63">
        <v>31.75</v>
      </c>
      <c r="E35" s="61">
        <f t="shared" si="1"/>
        <v>682625</v>
      </c>
      <c r="F35" s="7">
        <v>5</v>
      </c>
      <c r="G35" s="28">
        <v>13.3</v>
      </c>
      <c r="I35" s="327">
        <v>0</v>
      </c>
    </row>
    <row r="36" spans="2:9" x14ac:dyDescent="0.2">
      <c r="B36" s="9"/>
      <c r="C36" s="13"/>
      <c r="D36" s="16"/>
      <c r="E36" s="13"/>
      <c r="F36" s="7"/>
      <c r="G36" s="7"/>
      <c r="H36" s="7"/>
      <c r="I36" s="6"/>
    </row>
    <row r="37" spans="2:9" x14ac:dyDescent="0.2">
      <c r="B37" s="9" t="s">
        <v>26</v>
      </c>
      <c r="C37" s="13">
        <f>SUM(C30:C35)</f>
        <v>96500</v>
      </c>
      <c r="D37" s="16"/>
      <c r="E37" s="13">
        <f>SUM(E30:E35)</f>
        <v>2975125</v>
      </c>
      <c r="F37" s="7"/>
      <c r="G37" s="7"/>
      <c r="H37" s="27"/>
      <c r="I37" s="26"/>
    </row>
    <row r="38" spans="2:9" x14ac:dyDescent="0.2">
      <c r="B38" s="9"/>
      <c r="C38" s="7"/>
      <c r="D38" s="7"/>
      <c r="E38" s="7"/>
      <c r="F38" s="7"/>
      <c r="G38" s="7"/>
      <c r="H38" s="7"/>
      <c r="I38" s="6"/>
    </row>
    <row r="39" spans="2:9" ht="13.5" thickBot="1" x14ac:dyDescent="0.25">
      <c r="B39" s="77" t="s">
        <v>57</v>
      </c>
      <c r="C39" s="4"/>
      <c r="D39" s="4"/>
      <c r="E39" s="25" t="s">
        <v>58</v>
      </c>
      <c r="F39" s="4"/>
      <c r="G39" s="4"/>
      <c r="H39" s="4"/>
      <c r="I39" s="3"/>
    </row>
    <row r="41" spans="2:9" ht="13.5" thickBot="1" x14ac:dyDescent="0.25"/>
    <row r="42" spans="2:9" ht="13.5" thickBot="1" x14ac:dyDescent="0.25">
      <c r="B42" s="353" t="s">
        <v>61</v>
      </c>
      <c r="C42" s="354"/>
      <c r="D42" s="354"/>
      <c r="E42" s="354"/>
      <c r="F42" s="354"/>
      <c r="G42" s="354"/>
      <c r="H42" s="354"/>
      <c r="I42" s="355"/>
    </row>
    <row r="43" spans="2:9" ht="15.75" thickBot="1" x14ac:dyDescent="0.3">
      <c r="B43" s="9"/>
      <c r="C43" s="7"/>
      <c r="D43" s="79" t="s">
        <v>31</v>
      </c>
      <c r="E43" s="80" t="s">
        <v>30</v>
      </c>
      <c r="F43" s="7"/>
      <c r="G43" s="7"/>
      <c r="H43" s="7"/>
      <c r="I43" s="36"/>
    </row>
    <row r="44" spans="2:9" x14ac:dyDescent="0.2">
      <c r="B44" s="335" t="s">
        <v>257</v>
      </c>
      <c r="C44" s="7"/>
      <c r="D44" s="7"/>
      <c r="E44" s="7"/>
      <c r="F44" s="7"/>
      <c r="G44" s="7"/>
      <c r="H44" s="7"/>
      <c r="I44" s="36"/>
    </row>
    <row r="45" spans="2:9" x14ac:dyDescent="0.2">
      <c r="B45" s="9" t="s">
        <v>17</v>
      </c>
      <c r="C45" s="7"/>
      <c r="D45" s="70">
        <v>425000</v>
      </c>
      <c r="E45" s="17">
        <f>D45/$D$14</f>
        <v>4.4041450777202069</v>
      </c>
      <c r="F45" s="24" t="s">
        <v>29</v>
      </c>
      <c r="G45" s="73">
        <v>0.03</v>
      </c>
      <c r="H45" s="7" t="s">
        <v>28</v>
      </c>
      <c r="I45" s="36"/>
    </row>
    <row r="46" spans="2:9" x14ac:dyDescent="0.2">
      <c r="B46" s="9" t="s">
        <v>16</v>
      </c>
      <c r="C46" s="7"/>
      <c r="D46" s="71">
        <v>194000</v>
      </c>
      <c r="E46" s="17">
        <f>D46/$D$14</f>
        <v>2.0103626943005182</v>
      </c>
      <c r="F46" s="24" t="s">
        <v>29</v>
      </c>
      <c r="G46" s="73">
        <v>2.5000000000000001E-2</v>
      </c>
      <c r="H46" s="7" t="s">
        <v>28</v>
      </c>
      <c r="I46" s="36"/>
    </row>
    <row r="47" spans="2:9" x14ac:dyDescent="0.2">
      <c r="B47" s="9" t="s">
        <v>15</v>
      </c>
      <c r="C47" s="7"/>
      <c r="D47" s="29">
        <v>260000</v>
      </c>
      <c r="E47" s="17">
        <f>D47/$D$14</f>
        <v>2.6943005181347148</v>
      </c>
      <c r="F47" s="24" t="s">
        <v>29</v>
      </c>
      <c r="G47" s="73">
        <v>3.5000000000000003E-2</v>
      </c>
      <c r="H47" s="7" t="s">
        <v>28</v>
      </c>
      <c r="I47" s="36"/>
    </row>
    <row r="48" spans="2:9" x14ac:dyDescent="0.2">
      <c r="B48" s="9" t="s">
        <v>14</v>
      </c>
      <c r="C48" s="7"/>
      <c r="D48" s="71">
        <v>164500</v>
      </c>
      <c r="E48" s="17">
        <f>D48/$D$14</f>
        <v>1.7046632124352332</v>
      </c>
      <c r="F48" s="24" t="s">
        <v>29</v>
      </c>
      <c r="G48" s="73">
        <v>0.03</v>
      </c>
      <c r="H48" s="7" t="s">
        <v>28</v>
      </c>
      <c r="I48" s="36"/>
    </row>
    <row r="49" spans="2:9" x14ac:dyDescent="0.2">
      <c r="B49" s="9" t="s">
        <v>13</v>
      </c>
      <c r="C49" s="7"/>
      <c r="D49" s="72">
        <v>240000</v>
      </c>
      <c r="E49" s="55">
        <f>D49/$D$14</f>
        <v>2.4870466321243523</v>
      </c>
      <c r="F49" s="24" t="s">
        <v>29</v>
      </c>
      <c r="G49" s="73">
        <v>2.5000000000000001E-2</v>
      </c>
      <c r="H49" s="7" t="s">
        <v>28</v>
      </c>
      <c r="I49" s="36"/>
    </row>
    <row r="50" spans="2:9" x14ac:dyDescent="0.2">
      <c r="B50" s="45" t="s">
        <v>258</v>
      </c>
      <c r="C50" s="7"/>
      <c r="D50" s="13">
        <f>SUM(D45:D49)</f>
        <v>1283500</v>
      </c>
      <c r="E50" s="17">
        <f>SUM(E45:E49)</f>
        <v>13.300518134715027</v>
      </c>
      <c r="F50" s="7"/>
      <c r="G50" s="7"/>
      <c r="H50" s="7"/>
      <c r="I50" s="36"/>
    </row>
    <row r="51" spans="2:9" x14ac:dyDescent="0.2">
      <c r="B51" s="20"/>
      <c r="C51" s="23"/>
      <c r="D51" s="23"/>
      <c r="E51" s="23"/>
      <c r="F51" s="23"/>
      <c r="G51" s="23"/>
      <c r="H51" s="23"/>
      <c r="I51" s="36"/>
    </row>
    <row r="52" spans="2:9" x14ac:dyDescent="0.2">
      <c r="B52" s="335" t="s">
        <v>259</v>
      </c>
      <c r="C52" s="7"/>
      <c r="D52" s="7"/>
      <c r="E52" s="7"/>
      <c r="F52" s="7"/>
      <c r="G52" s="7"/>
      <c r="H52" s="7"/>
      <c r="I52" s="36"/>
    </row>
    <row r="53" spans="2:9" x14ac:dyDescent="0.2">
      <c r="B53" s="45" t="s">
        <v>229</v>
      </c>
      <c r="C53" s="7"/>
      <c r="D53" s="53">
        <f>F53*E37</f>
        <v>148756.25</v>
      </c>
      <c r="E53" s="54">
        <f>D53/$D$14</f>
        <v>1.5415155440414507</v>
      </c>
      <c r="F53" s="10">
        <f>D16</f>
        <v>0.05</v>
      </c>
      <c r="G53" s="10" t="s">
        <v>27</v>
      </c>
      <c r="H53" s="7"/>
      <c r="I53" s="36"/>
    </row>
    <row r="54" spans="2:9" x14ac:dyDescent="0.2">
      <c r="B54" s="9" t="s">
        <v>246</v>
      </c>
      <c r="C54" s="7"/>
      <c r="D54" s="11"/>
      <c r="E54" s="11"/>
      <c r="F54" s="7"/>
      <c r="G54" s="7"/>
      <c r="H54" s="7"/>
      <c r="I54" s="36"/>
    </row>
    <row r="55" spans="2:9" x14ac:dyDescent="0.2">
      <c r="B55" s="9" t="s">
        <v>26</v>
      </c>
      <c r="C55" s="7"/>
      <c r="D55" s="11">
        <f>D50+D53</f>
        <v>1432256.25</v>
      </c>
      <c r="E55" s="16">
        <f>E50+E53</f>
        <v>14.842033678756477</v>
      </c>
      <c r="F55" s="10"/>
      <c r="G55" s="7"/>
      <c r="H55" s="7"/>
      <c r="I55" s="36"/>
    </row>
    <row r="56" spans="2:9" ht="13.5" thickBot="1" x14ac:dyDescent="0.25">
      <c r="B56" s="82" t="s">
        <v>260</v>
      </c>
      <c r="C56" s="4"/>
      <c r="D56" s="4"/>
      <c r="E56" s="4"/>
      <c r="F56" s="4"/>
      <c r="G56" s="4"/>
      <c r="H56" s="4"/>
      <c r="I56" s="78"/>
    </row>
    <row r="57" spans="2:9" ht="13.5" thickBot="1" x14ac:dyDescent="0.25"/>
    <row r="58" spans="2:9" ht="13.5" thickBot="1" x14ac:dyDescent="0.25">
      <c r="B58" s="350" t="s">
        <v>55</v>
      </c>
      <c r="C58" s="351"/>
      <c r="D58" s="351"/>
      <c r="E58" s="351"/>
      <c r="F58" s="351"/>
      <c r="G58" s="351"/>
      <c r="H58" s="351"/>
      <c r="I58" s="352"/>
    </row>
    <row r="59" spans="2:9" ht="13.5" thickBot="1" x14ac:dyDescent="0.25">
      <c r="B59" s="15" t="s">
        <v>10</v>
      </c>
      <c r="C59" s="15"/>
      <c r="D59" s="15">
        <v>1</v>
      </c>
      <c r="E59" s="15">
        <f>1+D59</f>
        <v>2</v>
      </c>
      <c r="F59" s="15">
        <f>1+E59</f>
        <v>3</v>
      </c>
      <c r="G59" s="15">
        <f>1+F59</f>
        <v>4</v>
      </c>
      <c r="H59" s="15">
        <f>1+G59</f>
        <v>5</v>
      </c>
      <c r="I59" s="15">
        <f>1+H59</f>
        <v>6</v>
      </c>
    </row>
    <row r="60" spans="2:9" x14ac:dyDescent="0.2">
      <c r="B60" s="19"/>
      <c r="C60" s="18"/>
      <c r="D60" s="18"/>
      <c r="E60" s="18"/>
      <c r="F60" s="18"/>
      <c r="G60" s="18"/>
      <c r="H60" s="18"/>
      <c r="I60" s="6"/>
    </row>
    <row r="61" spans="2:9" x14ac:dyDescent="0.2">
      <c r="B61" s="9" t="s">
        <v>17</v>
      </c>
      <c r="C61" s="7"/>
      <c r="D61" s="13">
        <f>D45</f>
        <v>425000</v>
      </c>
      <c r="E61" s="13">
        <f>D61*(1+$G$45)</f>
        <v>437750</v>
      </c>
      <c r="F61" s="13">
        <f t="shared" ref="F61:I61" si="2">E61*(1+$G$45)</f>
        <v>450882.5</v>
      </c>
      <c r="G61" s="13">
        <f t="shared" si="2"/>
        <v>464408.97500000003</v>
      </c>
      <c r="H61" s="13">
        <f t="shared" si="2"/>
        <v>478341.24425000005</v>
      </c>
      <c r="I61" s="12">
        <f t="shared" si="2"/>
        <v>492691.48157750006</v>
      </c>
    </row>
    <row r="62" spans="2:9" x14ac:dyDescent="0.2">
      <c r="B62" s="9" t="s">
        <v>16</v>
      </c>
      <c r="C62" s="7"/>
      <c r="D62" s="13">
        <f>D46</f>
        <v>194000</v>
      </c>
      <c r="E62" s="13">
        <f t="shared" ref="E62" si="3">D62*(1+$G$46)</f>
        <v>198849.99999999997</v>
      </c>
      <c r="F62" s="13">
        <f t="shared" ref="F62" si="4">E62*(1+$G$46)</f>
        <v>203821.24999999994</v>
      </c>
      <c r="G62" s="13">
        <f t="shared" ref="G62" si="5">F62*(1+$G$46)</f>
        <v>208916.78124999991</v>
      </c>
      <c r="H62" s="13">
        <f t="shared" ref="H62" si="6">G62*(1+$G$46)</f>
        <v>214139.70078124988</v>
      </c>
      <c r="I62" s="12">
        <f t="shared" ref="I62" si="7">H62*(1+$G$46)</f>
        <v>219493.1933007811</v>
      </c>
    </row>
    <row r="63" spans="2:9" x14ac:dyDescent="0.2">
      <c r="B63" s="9" t="s">
        <v>15</v>
      </c>
      <c r="C63" s="7"/>
      <c r="D63" s="13">
        <f>D47</f>
        <v>260000</v>
      </c>
      <c r="E63" s="13">
        <f>D63*(1+$G$47)</f>
        <v>269100</v>
      </c>
      <c r="F63" s="13">
        <f t="shared" ref="F63:I63" si="8">E63*(1+$G$47)</f>
        <v>278518.5</v>
      </c>
      <c r="G63" s="13">
        <f t="shared" si="8"/>
        <v>288266.64749999996</v>
      </c>
      <c r="H63" s="13">
        <f t="shared" si="8"/>
        <v>298355.98016249994</v>
      </c>
      <c r="I63" s="12">
        <f t="shared" si="8"/>
        <v>308798.4394681874</v>
      </c>
    </row>
    <row r="64" spans="2:9" x14ac:dyDescent="0.2">
      <c r="B64" s="9" t="s">
        <v>14</v>
      </c>
      <c r="C64" s="7"/>
      <c r="D64" s="13">
        <f>D48</f>
        <v>164500</v>
      </c>
      <c r="E64" s="13">
        <f>D64*(1+$G$48)</f>
        <v>169435</v>
      </c>
      <c r="F64" s="13">
        <f t="shared" ref="F64:I64" si="9">E64*(1+$G$48)</f>
        <v>174518.05000000002</v>
      </c>
      <c r="G64" s="13">
        <f t="shared" si="9"/>
        <v>179753.59150000001</v>
      </c>
      <c r="H64" s="13">
        <f t="shared" si="9"/>
        <v>185146.19924500003</v>
      </c>
      <c r="I64" s="12">
        <f t="shared" si="9"/>
        <v>190700.58522235003</v>
      </c>
    </row>
    <row r="65" spans="2:9" x14ac:dyDescent="0.2">
      <c r="B65" s="9" t="s">
        <v>13</v>
      </c>
      <c r="C65" s="7"/>
      <c r="D65" s="56">
        <f>D49</f>
        <v>240000</v>
      </c>
      <c r="E65" s="56">
        <f>D65*(1+$G$49)</f>
        <v>245999.99999999997</v>
      </c>
      <c r="F65" s="56">
        <f t="shared" ref="F65:I65" si="10">E65*(1+$G$49)</f>
        <v>252149.99999999994</v>
      </c>
      <c r="G65" s="56">
        <f t="shared" si="10"/>
        <v>258453.74999999991</v>
      </c>
      <c r="H65" s="56">
        <f t="shared" si="10"/>
        <v>264915.09374999988</v>
      </c>
      <c r="I65" s="57">
        <f t="shared" si="10"/>
        <v>271537.97109374986</v>
      </c>
    </row>
    <row r="66" spans="2:9" x14ac:dyDescent="0.2">
      <c r="B66" s="9" t="s">
        <v>12</v>
      </c>
      <c r="C66" s="7"/>
      <c r="D66" s="13">
        <f t="shared" ref="D66:I66" si="11">SUM(D61:D65)</f>
        <v>1283500</v>
      </c>
      <c r="E66" s="13">
        <f t="shared" si="11"/>
        <v>1321135</v>
      </c>
      <c r="F66" s="13">
        <f t="shared" si="11"/>
        <v>1359890.3</v>
      </c>
      <c r="G66" s="13">
        <f t="shared" si="11"/>
        <v>1399799.7452499999</v>
      </c>
      <c r="H66" s="13">
        <f t="shared" si="11"/>
        <v>1440898.2181887496</v>
      </c>
      <c r="I66" s="12">
        <f t="shared" si="11"/>
        <v>1483221.6706625684</v>
      </c>
    </row>
    <row r="67" spans="2:9" ht="13.5" thickBot="1" x14ac:dyDescent="0.25">
      <c r="B67" s="82" t="s">
        <v>69</v>
      </c>
      <c r="C67" s="4"/>
      <c r="D67" s="83">
        <f>ROUND(D66/$D$14,2)</f>
        <v>13.3</v>
      </c>
      <c r="E67" s="83">
        <f t="shared" ref="E67:I67" si="12">ROUND(E66/$D$14,2)</f>
        <v>13.69</v>
      </c>
      <c r="F67" s="83">
        <f t="shared" si="12"/>
        <v>14.09</v>
      </c>
      <c r="G67" s="83">
        <f t="shared" si="12"/>
        <v>14.51</v>
      </c>
      <c r="H67" s="83">
        <f t="shared" si="12"/>
        <v>14.93</v>
      </c>
      <c r="I67" s="84">
        <f t="shared" si="12"/>
        <v>15.37</v>
      </c>
    </row>
    <row r="69" spans="2:9" ht="13.5" thickBot="1" x14ac:dyDescent="0.25"/>
    <row r="70" spans="2:9" ht="13.5" thickBot="1" x14ac:dyDescent="0.25">
      <c r="B70" s="350" t="s">
        <v>56</v>
      </c>
      <c r="C70" s="351"/>
      <c r="D70" s="351"/>
      <c r="E70" s="351"/>
      <c r="F70" s="351"/>
      <c r="G70" s="351"/>
      <c r="H70" s="351"/>
      <c r="I70" s="352"/>
    </row>
    <row r="71" spans="2:9" ht="13.5" thickBot="1" x14ac:dyDescent="0.25">
      <c r="B71" s="15" t="s">
        <v>10</v>
      </c>
      <c r="C71" s="15"/>
      <c r="D71" s="15">
        <v>1</v>
      </c>
      <c r="E71" s="15">
        <f>1+D71</f>
        <v>2</v>
      </c>
      <c r="F71" s="15">
        <f>1+E71</f>
        <v>3</v>
      </c>
      <c r="G71" s="15">
        <f>1+F71</f>
        <v>4</v>
      </c>
      <c r="H71" s="15">
        <f>1+G71</f>
        <v>5</v>
      </c>
      <c r="I71" s="15">
        <f>1+H71</f>
        <v>6</v>
      </c>
    </row>
    <row r="72" spans="2:9" ht="13.5" thickBot="1" x14ac:dyDescent="0.25">
      <c r="B72" s="74" t="s">
        <v>47</v>
      </c>
      <c r="C72" s="333"/>
      <c r="D72" s="333"/>
      <c r="E72" s="333"/>
      <c r="F72" s="333"/>
      <c r="G72" s="333"/>
      <c r="H72" s="333"/>
      <c r="I72" s="334"/>
    </row>
    <row r="73" spans="2:9" x14ac:dyDescent="0.2">
      <c r="B73" s="9" t="s">
        <v>23</v>
      </c>
      <c r="C73" s="7"/>
      <c r="D73" s="111">
        <f>$E$30</f>
        <v>585000</v>
      </c>
      <c r="E73" s="64">
        <f t="shared" ref="E73:I78" si="13">IF(E$71-$F30=1,$C30*E$23,D73)</f>
        <v>585000</v>
      </c>
      <c r="F73" s="64">
        <f t="shared" si="13"/>
        <v>585000</v>
      </c>
      <c r="G73" s="64">
        <f t="shared" si="13"/>
        <v>714800</v>
      </c>
      <c r="H73" s="64">
        <f t="shared" si="13"/>
        <v>714800</v>
      </c>
      <c r="I73" s="65">
        <f t="shared" si="13"/>
        <v>714800</v>
      </c>
    </row>
    <row r="74" spans="2:9" x14ac:dyDescent="0.2">
      <c r="B74" s="9" t="s">
        <v>22</v>
      </c>
      <c r="C74" s="7"/>
      <c r="D74" s="64">
        <f>$E$31</f>
        <v>442500</v>
      </c>
      <c r="E74" s="64">
        <f t="shared" si="13"/>
        <v>442500</v>
      </c>
      <c r="F74" s="64">
        <f t="shared" si="13"/>
        <v>442500</v>
      </c>
      <c r="G74" s="64">
        <f t="shared" si="13"/>
        <v>442500</v>
      </c>
      <c r="H74" s="64">
        <f t="shared" si="13"/>
        <v>551100</v>
      </c>
      <c r="I74" s="65">
        <f t="shared" si="13"/>
        <v>551100</v>
      </c>
    </row>
    <row r="75" spans="2:9" x14ac:dyDescent="0.2">
      <c r="B75" s="9" t="s">
        <v>21</v>
      </c>
      <c r="C75" s="7"/>
      <c r="D75" s="64">
        <f>$E$32</f>
        <v>476250</v>
      </c>
      <c r="E75" s="64">
        <f t="shared" si="13"/>
        <v>476250</v>
      </c>
      <c r="F75" s="64">
        <f t="shared" si="13"/>
        <v>476250</v>
      </c>
      <c r="G75" s="64">
        <f t="shared" si="13"/>
        <v>476250</v>
      </c>
      <c r="H75" s="64">
        <f t="shared" si="13"/>
        <v>476250</v>
      </c>
      <c r="I75" s="65">
        <f t="shared" si="13"/>
        <v>566550</v>
      </c>
    </row>
    <row r="76" spans="2:9" x14ac:dyDescent="0.2">
      <c r="B76" s="9" t="s">
        <v>20</v>
      </c>
      <c r="C76" s="7"/>
      <c r="D76" s="64">
        <f>$E$33</f>
        <v>276750</v>
      </c>
      <c r="E76" s="64">
        <f t="shared" si="13"/>
        <v>276750</v>
      </c>
      <c r="F76" s="64">
        <f t="shared" si="13"/>
        <v>276750</v>
      </c>
      <c r="G76" s="64">
        <f t="shared" si="13"/>
        <v>276750</v>
      </c>
      <c r="H76" s="64">
        <f t="shared" si="13"/>
        <v>330660</v>
      </c>
      <c r="I76" s="65">
        <f t="shared" si="13"/>
        <v>330660</v>
      </c>
    </row>
    <row r="77" spans="2:9" x14ac:dyDescent="0.2">
      <c r="B77" s="9" t="s">
        <v>19</v>
      </c>
      <c r="C77" s="7"/>
      <c r="D77" s="64">
        <f>$E$34</f>
        <v>512000</v>
      </c>
      <c r="E77" s="64">
        <f t="shared" si="13"/>
        <v>512000</v>
      </c>
      <c r="F77" s="64">
        <f t="shared" si="13"/>
        <v>512000</v>
      </c>
      <c r="G77" s="64">
        <f t="shared" si="13"/>
        <v>512000</v>
      </c>
      <c r="H77" s="64">
        <f t="shared" si="13"/>
        <v>512000</v>
      </c>
      <c r="I77" s="65">
        <f t="shared" si="13"/>
        <v>604320</v>
      </c>
    </row>
    <row r="78" spans="2:9" x14ac:dyDescent="0.2">
      <c r="B78" s="9" t="s">
        <v>18</v>
      </c>
      <c r="C78" s="7"/>
      <c r="D78" s="64">
        <f>$E$35</f>
        <v>682625</v>
      </c>
      <c r="E78" s="64">
        <f t="shared" si="13"/>
        <v>682625</v>
      </c>
      <c r="F78" s="64">
        <f t="shared" si="13"/>
        <v>682625</v>
      </c>
      <c r="G78" s="64">
        <f t="shared" si="13"/>
        <v>682625</v>
      </c>
      <c r="H78" s="64">
        <f t="shared" si="13"/>
        <v>682625</v>
      </c>
      <c r="I78" s="65">
        <f t="shared" si="13"/>
        <v>812055.00000000012</v>
      </c>
    </row>
    <row r="79" spans="2:9" x14ac:dyDescent="0.2">
      <c r="B79" s="9"/>
      <c r="C79" s="7"/>
      <c r="D79" s="66"/>
      <c r="E79" s="66"/>
      <c r="F79" s="66"/>
      <c r="G79" s="66"/>
      <c r="H79" s="66"/>
      <c r="I79" s="67"/>
    </row>
    <row r="80" spans="2:9" x14ac:dyDescent="0.2">
      <c r="B80" s="22" t="s">
        <v>25</v>
      </c>
      <c r="C80" s="7"/>
      <c r="D80" s="64">
        <f t="shared" ref="D80:I80" si="14">SUM(D73:D78)</f>
        <v>2975125</v>
      </c>
      <c r="E80" s="64">
        <f t="shared" si="14"/>
        <v>2975125</v>
      </c>
      <c r="F80" s="64">
        <f t="shared" si="14"/>
        <v>2975125</v>
      </c>
      <c r="G80" s="64">
        <f t="shared" si="14"/>
        <v>3104925</v>
      </c>
      <c r="H80" s="64">
        <f t="shared" si="14"/>
        <v>3267435</v>
      </c>
      <c r="I80" s="65">
        <f t="shared" si="14"/>
        <v>3579485</v>
      </c>
    </row>
    <row r="81" spans="2:9" ht="13.5" thickBot="1" x14ac:dyDescent="0.25">
      <c r="B81" s="22"/>
      <c r="C81" s="7"/>
      <c r="D81" s="64"/>
      <c r="E81" s="64"/>
      <c r="F81" s="64"/>
      <c r="G81" s="64"/>
      <c r="H81" s="64"/>
      <c r="I81" s="65"/>
    </row>
    <row r="82" spans="2:9" ht="13.5" thickBot="1" x14ac:dyDescent="0.25">
      <c r="B82" s="74" t="s">
        <v>251</v>
      </c>
      <c r="C82" s="7"/>
      <c r="D82" s="64"/>
      <c r="E82" s="64"/>
      <c r="F82" s="64"/>
      <c r="G82" s="64"/>
      <c r="H82" s="64"/>
      <c r="I82" s="65"/>
    </row>
    <row r="83" spans="2:9" x14ac:dyDescent="0.2">
      <c r="B83" s="9" t="s">
        <v>23</v>
      </c>
      <c r="C83" s="7"/>
      <c r="D83" s="280">
        <f t="shared" ref="D83:F84" si="15">D73*((1+$I30*$D$17)^(D$71+0)-1)</f>
        <v>0</v>
      </c>
      <c r="E83" s="280">
        <f t="shared" si="15"/>
        <v>0</v>
      </c>
      <c r="F83" s="280">
        <f t="shared" si="15"/>
        <v>0</v>
      </c>
      <c r="G83" s="280">
        <f>G73*((1+$I30*$D$17)^(G71-4)-1)</f>
        <v>0</v>
      </c>
      <c r="H83" s="280">
        <f>H73*((1+$I30*$D$17)^(H71-4)-1)</f>
        <v>0</v>
      </c>
      <c r="I83" s="65">
        <f>I73*((1+$I30*$D$17)^(I$71-4)-1)</f>
        <v>0</v>
      </c>
    </row>
    <row r="84" spans="2:9" x14ac:dyDescent="0.2">
      <c r="B84" s="9" t="s">
        <v>22</v>
      </c>
      <c r="C84" s="7"/>
      <c r="D84" s="280">
        <f t="shared" si="15"/>
        <v>0</v>
      </c>
      <c r="E84" s="280">
        <f t="shared" si="15"/>
        <v>0</v>
      </c>
      <c r="F84" s="280">
        <f t="shared" si="15"/>
        <v>0</v>
      </c>
      <c r="G84" s="280">
        <f>G74*((1+$I31*$D$17)^(G$71+0)-1)</f>
        <v>0</v>
      </c>
      <c r="H84" s="64">
        <f>H74*((1+$I31*$D$17)^(H$71-5)-1)</f>
        <v>0</v>
      </c>
      <c r="I84" s="65">
        <f>I74*((1+$I31*$D$17)^(I$71-5)-1)</f>
        <v>0</v>
      </c>
    </row>
    <row r="85" spans="2:9" x14ac:dyDescent="0.2">
      <c r="B85" s="9" t="s">
        <v>21</v>
      </c>
      <c r="C85" s="7"/>
      <c r="D85" s="280">
        <f>D75*((1+$I32*$D$17)^(D$71-1)-1)</f>
        <v>0</v>
      </c>
      <c r="E85" s="280">
        <f>E75*((1+$I32*$D$17)^(E$71-1)-1)</f>
        <v>0</v>
      </c>
      <c r="F85" s="280">
        <f>F75*((1+$I32*$D$17)^(F$71-1)-1)</f>
        <v>0</v>
      </c>
      <c r="G85" s="280">
        <f>G75*((1+$I32*$D$17)^(G$71-1)-1)</f>
        <v>0</v>
      </c>
      <c r="H85" s="280">
        <f>H75*((1+$I32*$D$17)^(H$71-1)-1)</f>
        <v>0</v>
      </c>
      <c r="I85" s="65">
        <f>I75*((1+$I32*$D$17)^(I$71-6)-1)</f>
        <v>0</v>
      </c>
    </row>
    <row r="86" spans="2:9" x14ac:dyDescent="0.2">
      <c r="B86" s="9" t="s">
        <v>20</v>
      </c>
      <c r="C86" s="7"/>
      <c r="D86" s="280">
        <f>D76*((1+$I33*$D$17)^(D$71+0)-1)</f>
        <v>0</v>
      </c>
      <c r="E86" s="280">
        <f>E76*((1+$I33*$D$17)^(E$71+0)-1)</f>
        <v>0</v>
      </c>
      <c r="F86" s="280">
        <f>F76*((1+$I33*$D$17)^(F$71+0)-1)</f>
        <v>0</v>
      </c>
      <c r="G86" s="280">
        <f>G76*((1+$I33*$D$17)^(G$71+0)-1)</f>
        <v>0</v>
      </c>
      <c r="H86" s="64">
        <f>H76*((1+$I33*$D$17)^(H$71-5)-1)</f>
        <v>0</v>
      </c>
      <c r="I86" s="65">
        <f>I76*((1+$I33*$D$17)^(I$71-5)-1)</f>
        <v>0</v>
      </c>
    </row>
    <row r="87" spans="2:9" x14ac:dyDescent="0.2">
      <c r="B87" s="9" t="s">
        <v>19</v>
      </c>
      <c r="C87" s="7"/>
      <c r="D87" s="280">
        <f t="shared" ref="D87:H88" si="16">D77*((1+$I34*$D$17)^(D$71-1)-1)</f>
        <v>0</v>
      </c>
      <c r="E87" s="280">
        <f t="shared" si="16"/>
        <v>0</v>
      </c>
      <c r="F87" s="280">
        <f t="shared" si="16"/>
        <v>0</v>
      </c>
      <c r="G87" s="280">
        <f t="shared" si="16"/>
        <v>0</v>
      </c>
      <c r="H87" s="280">
        <f t="shared" si="16"/>
        <v>0</v>
      </c>
      <c r="I87" s="65">
        <f>I77*((1+$I34*$D$17)^(I$71-6)-1)</f>
        <v>0</v>
      </c>
    </row>
    <row r="88" spans="2:9" x14ac:dyDescent="0.2">
      <c r="B88" s="9" t="s">
        <v>18</v>
      </c>
      <c r="C88" s="7"/>
      <c r="D88" s="280">
        <f t="shared" si="16"/>
        <v>0</v>
      </c>
      <c r="E88" s="280">
        <f t="shared" si="16"/>
        <v>0</v>
      </c>
      <c r="F88" s="280">
        <f t="shared" si="16"/>
        <v>0</v>
      </c>
      <c r="G88" s="280">
        <f t="shared" si="16"/>
        <v>0</v>
      </c>
      <c r="H88" s="280">
        <f t="shared" si="16"/>
        <v>0</v>
      </c>
      <c r="I88" s="65">
        <f>I78*((1+$I35*$D$17)^(I$71-6)-1)</f>
        <v>0</v>
      </c>
    </row>
    <row r="89" spans="2:9" x14ac:dyDescent="0.2">
      <c r="B89" s="9"/>
      <c r="C89" s="23"/>
      <c r="D89" s="66"/>
      <c r="E89" s="66"/>
      <c r="F89" s="66"/>
      <c r="G89" s="66"/>
      <c r="H89" s="66"/>
      <c r="I89" s="67"/>
    </row>
    <row r="90" spans="2:9" x14ac:dyDescent="0.2">
      <c r="B90" s="22" t="s">
        <v>24</v>
      </c>
      <c r="C90" s="7"/>
      <c r="D90" s="64">
        <f>SUM(D83:D88)</f>
        <v>0</v>
      </c>
      <c r="E90" s="64">
        <f t="shared" ref="E90:I90" si="17">SUM(E83:E88)</f>
        <v>0</v>
      </c>
      <c r="F90" s="64">
        <f t="shared" si="17"/>
        <v>0</v>
      </c>
      <c r="G90" s="64">
        <f t="shared" si="17"/>
        <v>0</v>
      </c>
      <c r="H90" s="64">
        <f t="shared" si="17"/>
        <v>0</v>
      </c>
      <c r="I90" s="65">
        <f t="shared" si="17"/>
        <v>0</v>
      </c>
    </row>
    <row r="91" spans="2:9" ht="13.5" thickBot="1" x14ac:dyDescent="0.25">
      <c r="B91" s="22"/>
      <c r="C91" s="7"/>
      <c r="D91" s="64"/>
      <c r="E91" s="64"/>
      <c r="F91" s="64"/>
      <c r="G91" s="64"/>
      <c r="H91" s="64"/>
      <c r="I91" s="65"/>
    </row>
    <row r="92" spans="2:9" ht="13.5" thickBot="1" x14ac:dyDescent="0.25">
      <c r="B92" s="75" t="s">
        <v>48</v>
      </c>
      <c r="C92" s="7"/>
      <c r="D92" s="64"/>
      <c r="E92" s="64"/>
      <c r="F92" s="64"/>
      <c r="G92" s="64"/>
      <c r="H92" s="64"/>
      <c r="I92" s="65"/>
    </row>
    <row r="93" spans="2:9" x14ac:dyDescent="0.2">
      <c r="B93" s="9" t="s">
        <v>23</v>
      </c>
      <c r="C93" s="7"/>
      <c r="D93" s="64">
        <f>(+D67-$G$30)*$C$30</f>
        <v>26000.000000000015</v>
      </c>
      <c r="E93" s="64">
        <f>(+E67-$G$30)*$C$30</f>
        <v>33799.999999999993</v>
      </c>
      <c r="F93" s="64">
        <f>(+F67-$G$30)*$C$30</f>
        <v>41800</v>
      </c>
      <c r="G93" s="64">
        <f>(+G67-$G$67)*$C$30</f>
        <v>0</v>
      </c>
      <c r="H93" s="64">
        <f>(+H67-$G$67)*$C$30</f>
        <v>8399.9999999999982</v>
      </c>
      <c r="I93" s="65">
        <f>(+I67-$G$67)*$C$30</f>
        <v>17199.999999999989</v>
      </c>
    </row>
    <row r="94" spans="2:9" x14ac:dyDescent="0.2">
      <c r="B94" s="9" t="s">
        <v>22</v>
      </c>
      <c r="C94" s="7"/>
      <c r="D94" s="64">
        <f>(+D67-$G$31)*$C$31</f>
        <v>15750.000000000011</v>
      </c>
      <c r="E94" s="64">
        <f>(+E67-$G$31)*$C$31</f>
        <v>21599.999999999993</v>
      </c>
      <c r="F94" s="64">
        <f>(+F67-$G$31)*$C$31</f>
        <v>27599.999999999996</v>
      </c>
      <c r="G94" s="64">
        <f>(+G67-$G$31)*$C$31</f>
        <v>33900</v>
      </c>
      <c r="H94" s="64">
        <f>(+H67-$H$67)*$C$31</f>
        <v>0</v>
      </c>
      <c r="I94" s="65">
        <f>(+I67-$H$67)*$C$31</f>
        <v>6599.9999999999927</v>
      </c>
    </row>
    <row r="95" spans="2:9" x14ac:dyDescent="0.2">
      <c r="B95" s="9" t="s">
        <v>21</v>
      </c>
      <c r="C95" s="7"/>
      <c r="D95" s="64">
        <f>(+D67-$G$32)*$C$32</f>
        <v>0</v>
      </c>
      <c r="E95" s="64">
        <f>(+E67-$G$32)*$C$32</f>
        <v>5849.9999999999818</v>
      </c>
      <c r="F95" s="64">
        <f>(+F67-$G$32)*$C$32</f>
        <v>11849.999999999987</v>
      </c>
      <c r="G95" s="64">
        <f>(+G67-$G$32)*$C$32</f>
        <v>18149.999999999985</v>
      </c>
      <c r="H95" s="64">
        <f>(+H67-$G$32)*$C$32</f>
        <v>24449.999999999985</v>
      </c>
      <c r="I95" s="65">
        <f>(+I67-$I$67)*$C$31</f>
        <v>0</v>
      </c>
    </row>
    <row r="96" spans="2:9" x14ac:dyDescent="0.2">
      <c r="B96" s="9" t="s">
        <v>20</v>
      </c>
      <c r="C96" s="7"/>
      <c r="D96" s="64">
        <f>(+D67-$G$33)*$C$33</f>
        <v>7200.0000000000064</v>
      </c>
      <c r="E96" s="64">
        <f>(+E67-$G$33)*$C$33</f>
        <v>10709.999999999996</v>
      </c>
      <c r="F96" s="64">
        <f>(+F67-$G$33)*$C$33</f>
        <v>14309.999999999998</v>
      </c>
      <c r="G96" s="64">
        <f>(+G67-$G$33)*$C$33</f>
        <v>18089.999999999996</v>
      </c>
      <c r="H96" s="64">
        <f>(H67-$H$67)*$C$33</f>
        <v>0</v>
      </c>
      <c r="I96" s="65">
        <f>(I67-$H$67)*$C$33</f>
        <v>3959.9999999999955</v>
      </c>
    </row>
    <row r="97" spans="2:9" x14ac:dyDescent="0.2">
      <c r="B97" s="9" t="s">
        <v>19</v>
      </c>
      <c r="C97" s="7"/>
      <c r="D97" s="64">
        <f>(+D67-$G$34)*$C$34</f>
        <v>0</v>
      </c>
      <c r="E97" s="64">
        <f>(+E67-$G$34)*$C$34</f>
        <v>6239.9999999999809</v>
      </c>
      <c r="F97" s="64">
        <f>(+F67-$G$34)*$C$34</f>
        <v>12639.999999999985</v>
      </c>
      <c r="G97" s="64">
        <f>(+G67-$G$34)*$C$34</f>
        <v>19359.999999999985</v>
      </c>
      <c r="H97" s="64">
        <f>(+H67-$G$34)*$C$34</f>
        <v>26079.999999999985</v>
      </c>
      <c r="I97" s="65">
        <f>(I67-$I$67)*$C$33</f>
        <v>0</v>
      </c>
    </row>
    <row r="98" spans="2:9" x14ac:dyDescent="0.2">
      <c r="B98" s="9" t="s">
        <v>18</v>
      </c>
      <c r="C98" s="7"/>
      <c r="D98" s="68">
        <f>(+D67-$G$35)*$C$35</f>
        <v>0</v>
      </c>
      <c r="E98" s="68">
        <f>(+E67-$G$35)*$C$35</f>
        <v>8384.9999999999745</v>
      </c>
      <c r="F98" s="68">
        <f>(+F67-$G$35)*$C$35</f>
        <v>16984.999999999982</v>
      </c>
      <c r="G98" s="68">
        <f>(+G67-$G$35)*$C$35</f>
        <v>26014.999999999982</v>
      </c>
      <c r="H98" s="68">
        <f>(+H67-$G$35)*$C$35</f>
        <v>35044.999999999978</v>
      </c>
      <c r="I98" s="67">
        <f>(I67-$I$67)*$C$33</f>
        <v>0</v>
      </c>
    </row>
    <row r="99" spans="2:9" x14ac:dyDescent="0.2">
      <c r="B99" s="9" t="s">
        <v>46</v>
      </c>
      <c r="C99" s="7"/>
      <c r="D99" s="64">
        <f t="shared" ref="D99:I99" si="18">SUM(D93:D98)</f>
        <v>48950.000000000036</v>
      </c>
      <c r="E99" s="64">
        <f t="shared" si="18"/>
        <v>86584.999999999927</v>
      </c>
      <c r="F99" s="64">
        <f t="shared" si="18"/>
        <v>125184.99999999996</v>
      </c>
      <c r="G99" s="64">
        <f t="shared" si="18"/>
        <v>115514.99999999996</v>
      </c>
      <c r="H99" s="64">
        <f t="shared" si="18"/>
        <v>93974.999999999942</v>
      </c>
      <c r="I99" s="65">
        <f t="shared" si="18"/>
        <v>27759.999999999978</v>
      </c>
    </row>
    <row r="100" spans="2:9" ht="13.5" thickBot="1" x14ac:dyDescent="0.25">
      <c r="B100" s="21"/>
      <c r="C100" s="4"/>
      <c r="D100" s="69"/>
      <c r="E100" s="69"/>
      <c r="F100" s="69"/>
      <c r="G100" s="69"/>
      <c r="H100" s="69"/>
      <c r="I100" s="76"/>
    </row>
    <row r="102" spans="2:9" ht="13.5" thickBot="1" x14ac:dyDescent="0.25"/>
    <row r="103" spans="2:9" ht="13.5" thickBot="1" x14ac:dyDescent="0.25">
      <c r="B103" s="350" t="s">
        <v>11</v>
      </c>
      <c r="C103" s="351"/>
      <c r="D103" s="351"/>
      <c r="E103" s="351"/>
      <c r="F103" s="351"/>
      <c r="G103" s="351"/>
      <c r="H103" s="351"/>
      <c r="I103" s="352"/>
    </row>
    <row r="104" spans="2:9" ht="13.5" thickBot="1" x14ac:dyDescent="0.25">
      <c r="B104" s="15" t="s">
        <v>10</v>
      </c>
      <c r="C104" s="15"/>
      <c r="D104" s="15">
        <v>1</v>
      </c>
      <c r="E104" s="15">
        <f>D104+1</f>
        <v>2</v>
      </c>
      <c r="F104" s="15">
        <f>E104+1</f>
        <v>3</v>
      </c>
      <c r="G104" s="15">
        <f>F104+1</f>
        <v>4</v>
      </c>
      <c r="H104" s="15">
        <f>G104+1</f>
        <v>5</v>
      </c>
      <c r="I104" s="15">
        <f>H104+1</f>
        <v>6</v>
      </c>
    </row>
    <row r="105" spans="2:9" x14ac:dyDescent="0.2">
      <c r="B105" s="20"/>
      <c r="C105" s="23"/>
      <c r="D105" s="23"/>
      <c r="E105" s="23"/>
      <c r="F105" s="23"/>
      <c r="G105" s="23"/>
      <c r="H105" s="23"/>
      <c r="I105" s="36"/>
    </row>
    <row r="106" spans="2:9" x14ac:dyDescent="0.2">
      <c r="B106" s="9" t="s">
        <v>9</v>
      </c>
      <c r="C106" s="7"/>
      <c r="D106" s="11">
        <f t="shared" ref="D106:I106" si="19">D80</f>
        <v>2975125</v>
      </c>
      <c r="E106" s="11">
        <f t="shared" si="19"/>
        <v>2975125</v>
      </c>
      <c r="F106" s="11">
        <f t="shared" si="19"/>
        <v>2975125</v>
      </c>
      <c r="G106" s="11">
        <f t="shared" si="19"/>
        <v>3104925</v>
      </c>
      <c r="H106" s="11">
        <f t="shared" si="19"/>
        <v>3267435</v>
      </c>
      <c r="I106" s="14">
        <f t="shared" si="19"/>
        <v>3579485</v>
      </c>
    </row>
    <row r="107" spans="2:9" x14ac:dyDescent="0.2">
      <c r="B107" s="9" t="s">
        <v>8</v>
      </c>
      <c r="C107" s="7" t="s">
        <v>253</v>
      </c>
      <c r="D107" s="13">
        <f t="shared" ref="D107:I107" si="20">D90</f>
        <v>0</v>
      </c>
      <c r="E107" s="13">
        <f t="shared" si="20"/>
        <v>0</v>
      </c>
      <c r="F107" s="13">
        <f t="shared" si="20"/>
        <v>0</v>
      </c>
      <c r="G107" s="13">
        <f t="shared" si="20"/>
        <v>0</v>
      </c>
      <c r="H107" s="13">
        <f t="shared" si="20"/>
        <v>0</v>
      </c>
      <c r="I107" s="12">
        <f t="shared" si="20"/>
        <v>0</v>
      </c>
    </row>
    <row r="108" spans="2:9" x14ac:dyDescent="0.2">
      <c r="B108" s="9" t="s">
        <v>7</v>
      </c>
      <c r="C108" s="7"/>
      <c r="D108" s="58">
        <f t="shared" ref="D108:I108" si="21">D99</f>
        <v>48950.000000000036</v>
      </c>
      <c r="E108" s="58">
        <f t="shared" si="21"/>
        <v>86584.999999999927</v>
      </c>
      <c r="F108" s="58">
        <f t="shared" si="21"/>
        <v>125184.99999999996</v>
      </c>
      <c r="G108" s="58">
        <f t="shared" si="21"/>
        <v>115514.99999999996</v>
      </c>
      <c r="H108" s="58">
        <f t="shared" si="21"/>
        <v>93974.999999999942</v>
      </c>
      <c r="I108" s="59">
        <f t="shared" si="21"/>
        <v>27759.999999999978</v>
      </c>
    </row>
    <row r="109" spans="2:9" x14ac:dyDescent="0.2">
      <c r="B109" s="60" t="s">
        <v>6</v>
      </c>
      <c r="C109" s="7"/>
      <c r="D109" s="11">
        <f t="shared" ref="D109:I109" si="22">SUM(D106:D108)</f>
        <v>3024075</v>
      </c>
      <c r="E109" s="11">
        <f t="shared" si="22"/>
        <v>3061710</v>
      </c>
      <c r="F109" s="11">
        <f t="shared" si="22"/>
        <v>3100310</v>
      </c>
      <c r="G109" s="11">
        <f t="shared" si="22"/>
        <v>3220440</v>
      </c>
      <c r="H109" s="11">
        <f t="shared" si="22"/>
        <v>3361410</v>
      </c>
      <c r="I109" s="14">
        <f t="shared" si="22"/>
        <v>3607245</v>
      </c>
    </row>
    <row r="110" spans="2:9" x14ac:dyDescent="0.2">
      <c r="B110" s="9" t="s">
        <v>5</v>
      </c>
      <c r="C110" s="7"/>
      <c r="D110" s="61">
        <f>$D$18*D109</f>
        <v>0</v>
      </c>
      <c r="E110" s="61">
        <f t="shared" ref="E110:F110" si="23">$D$18*E109</f>
        <v>0</v>
      </c>
      <c r="F110" s="61">
        <f t="shared" si="23"/>
        <v>0</v>
      </c>
      <c r="G110" s="61">
        <f>$D$19*G109</f>
        <v>161022</v>
      </c>
      <c r="H110" s="61">
        <f>$D$20*H109</f>
        <v>268912.8</v>
      </c>
      <c r="I110" s="62">
        <f>$D$20*I109</f>
        <v>288579.60000000003</v>
      </c>
    </row>
    <row r="111" spans="2:9" x14ac:dyDescent="0.2">
      <c r="B111" s="60" t="s">
        <v>4</v>
      </c>
      <c r="C111" s="7"/>
      <c r="D111" s="13">
        <f t="shared" ref="D111:I111" si="24">D109-D110</f>
        <v>3024075</v>
      </c>
      <c r="E111" s="13">
        <f t="shared" si="24"/>
        <v>3061710</v>
      </c>
      <c r="F111" s="13">
        <f t="shared" si="24"/>
        <v>3100310</v>
      </c>
      <c r="G111" s="13">
        <f t="shared" si="24"/>
        <v>3059418</v>
      </c>
      <c r="H111" s="13">
        <f t="shared" si="24"/>
        <v>3092497.2</v>
      </c>
      <c r="I111" s="12">
        <f t="shared" si="24"/>
        <v>3318665.4</v>
      </c>
    </row>
    <row r="112" spans="2:9" x14ac:dyDescent="0.2">
      <c r="B112" s="9" t="s">
        <v>3</v>
      </c>
      <c r="C112" s="7"/>
      <c r="D112" s="13"/>
      <c r="E112" s="13"/>
      <c r="F112" s="13"/>
      <c r="G112" s="13"/>
      <c r="H112" s="13"/>
      <c r="I112" s="12"/>
    </row>
    <row r="113" spans="2:9" x14ac:dyDescent="0.2">
      <c r="B113" s="9" t="s">
        <v>2</v>
      </c>
      <c r="C113" s="7"/>
      <c r="D113" s="13">
        <f t="shared" ref="D113:I113" si="25">D66</f>
        <v>1283500</v>
      </c>
      <c r="E113" s="13">
        <f t="shared" si="25"/>
        <v>1321135</v>
      </c>
      <c r="F113" s="13">
        <f t="shared" si="25"/>
        <v>1359890.3</v>
      </c>
      <c r="G113" s="13">
        <f t="shared" si="25"/>
        <v>1399799.7452499999</v>
      </c>
      <c r="H113" s="13">
        <f t="shared" si="25"/>
        <v>1440898.2181887496</v>
      </c>
      <c r="I113" s="12">
        <f t="shared" si="25"/>
        <v>1483221.6706625684</v>
      </c>
    </row>
    <row r="114" spans="2:9" x14ac:dyDescent="0.2">
      <c r="B114" s="9" t="s">
        <v>49</v>
      </c>
      <c r="C114" s="7"/>
      <c r="D114" s="56">
        <f>D111*$D$16</f>
        <v>151203.75</v>
      </c>
      <c r="E114" s="56">
        <f t="shared" ref="E114:I114" si="26">E111*$D$16</f>
        <v>153085.5</v>
      </c>
      <c r="F114" s="56">
        <f t="shared" si="26"/>
        <v>155015.5</v>
      </c>
      <c r="G114" s="56">
        <f t="shared" si="26"/>
        <v>152970.9</v>
      </c>
      <c r="H114" s="56">
        <f t="shared" si="26"/>
        <v>154624.86000000002</v>
      </c>
      <c r="I114" s="57">
        <f t="shared" si="26"/>
        <v>165933.27000000002</v>
      </c>
    </row>
    <row r="115" spans="2:9" x14ac:dyDescent="0.2">
      <c r="B115" s="60" t="s">
        <v>1</v>
      </c>
      <c r="C115" s="7"/>
      <c r="D115" s="11">
        <f t="shared" ref="D115:I115" si="27">D111-D113-D114</f>
        <v>1589371.25</v>
      </c>
      <c r="E115" s="11">
        <f t="shared" si="27"/>
        <v>1587489.5</v>
      </c>
      <c r="F115" s="11">
        <f t="shared" si="27"/>
        <v>1585404.2</v>
      </c>
      <c r="G115" s="11">
        <f t="shared" si="27"/>
        <v>1506647.3547500002</v>
      </c>
      <c r="H115" s="11">
        <f t="shared" si="27"/>
        <v>1496974.1218112505</v>
      </c>
      <c r="I115" s="14">
        <f t="shared" si="27"/>
        <v>1669510.4593374315</v>
      </c>
    </row>
    <row r="116" spans="2:9" x14ac:dyDescent="0.2">
      <c r="B116" s="9"/>
      <c r="C116" s="7"/>
      <c r="D116" s="7"/>
      <c r="E116" s="7"/>
      <c r="F116" s="7"/>
      <c r="G116" s="7"/>
      <c r="H116" s="7"/>
      <c r="I116" s="6"/>
    </row>
    <row r="117" spans="2:9" ht="13.5" thickBot="1" x14ac:dyDescent="0.25">
      <c r="B117" s="5"/>
      <c r="C117" s="4"/>
      <c r="D117" s="4"/>
      <c r="E117" s="4"/>
      <c r="F117" s="4"/>
      <c r="G117" s="4"/>
      <c r="H117" s="4"/>
      <c r="I117" s="3"/>
    </row>
    <row r="118" spans="2:9" ht="13.5" thickBot="1" x14ac:dyDescent="0.25">
      <c r="B118" s="9" t="s">
        <v>0</v>
      </c>
      <c r="C118" s="7"/>
      <c r="D118" s="7"/>
      <c r="E118" s="8">
        <f>(I115/D115)^(1/5)-1</f>
        <v>9.8869455733783251E-3</v>
      </c>
      <c r="F118" s="7" t="s">
        <v>68</v>
      </c>
      <c r="G118" s="7"/>
      <c r="H118" s="7"/>
      <c r="I118" s="6"/>
    </row>
    <row r="119" spans="2:9" ht="13.5" thickBot="1" x14ac:dyDescent="0.25">
      <c r="B119" s="5" t="s">
        <v>265</v>
      </c>
      <c r="C119" s="4"/>
      <c r="D119" s="4"/>
      <c r="E119" s="4"/>
      <c r="F119" s="4"/>
      <c r="G119" s="4"/>
      <c r="H119" s="4"/>
      <c r="I119" s="3"/>
    </row>
    <row r="120" spans="2:9" x14ac:dyDescent="0.2">
      <c r="B120" s="2"/>
      <c r="C120" s="1"/>
      <c r="D120" s="1"/>
      <c r="E120" s="1"/>
      <c r="F120" s="1"/>
      <c r="G120" s="1"/>
      <c r="H120" s="1"/>
      <c r="I120" s="1"/>
    </row>
    <row r="121" spans="2:9" x14ac:dyDescent="0.2">
      <c r="B121" s="1"/>
      <c r="C121" s="1"/>
      <c r="D121" s="1"/>
      <c r="E121" s="1"/>
      <c r="F121" s="1"/>
      <c r="G121" s="1"/>
      <c r="H121" s="1"/>
      <c r="I121" s="1"/>
    </row>
  </sheetData>
  <mergeCells count="9">
    <mergeCell ref="B4:I4"/>
    <mergeCell ref="B5:I5"/>
    <mergeCell ref="B11:E11"/>
    <mergeCell ref="B25:I25"/>
    <mergeCell ref="B103:I103"/>
    <mergeCell ref="B70:I70"/>
    <mergeCell ref="B58:I58"/>
    <mergeCell ref="B42:I42"/>
    <mergeCell ref="B21:I21"/>
  </mergeCells>
  <pageMargins left="0.25" right="0.25" top="0.75" bottom="0.75" header="0.3" footer="0.3"/>
  <pageSetup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163"/>
  <sheetViews>
    <sheetView workbookViewId="0"/>
  </sheetViews>
  <sheetFormatPr defaultRowHeight="12.75" x14ac:dyDescent="0.2"/>
  <cols>
    <col min="1" max="1" width="3.140625" customWidth="1"/>
    <col min="2" max="2" width="30.5703125" customWidth="1"/>
    <col min="3" max="9" width="14.28515625" customWidth="1"/>
    <col min="10" max="10" width="12.28515625" customWidth="1"/>
  </cols>
  <sheetData>
    <row r="2" spans="2:10" ht="13.5" thickBot="1" x14ac:dyDescent="0.25"/>
    <row r="3" spans="2:10" ht="18.75" thickBot="1" x14ac:dyDescent="0.3">
      <c r="B3" s="338" t="s">
        <v>75</v>
      </c>
      <c r="C3" s="339"/>
      <c r="D3" s="339"/>
      <c r="E3" s="339"/>
      <c r="F3" s="339"/>
      <c r="G3" s="339"/>
      <c r="H3" s="339"/>
      <c r="I3" s="340"/>
    </row>
    <row r="4" spans="2:10" ht="16.5" thickBot="1" x14ac:dyDescent="0.3">
      <c r="B4" s="341" t="s">
        <v>200</v>
      </c>
      <c r="C4" s="342"/>
      <c r="D4" s="342"/>
      <c r="E4" s="342"/>
      <c r="F4" s="342"/>
      <c r="G4" s="342"/>
      <c r="H4" s="342"/>
      <c r="I4" s="343"/>
    </row>
    <row r="5" spans="2:10" ht="13.5" thickBot="1" x14ac:dyDescent="0.25">
      <c r="B5" s="20"/>
      <c r="C5" s="51"/>
      <c r="D5" s="51"/>
      <c r="E5" s="51"/>
      <c r="F5" s="51"/>
      <c r="G5" s="51"/>
      <c r="H5" s="51"/>
      <c r="I5" s="51"/>
      <c r="J5" s="23"/>
    </row>
    <row r="6" spans="2:10" ht="13.5" thickBot="1" x14ac:dyDescent="0.25">
      <c r="B6" s="344" t="s">
        <v>77</v>
      </c>
      <c r="C6" s="345"/>
      <c r="D6" s="345"/>
      <c r="E6" s="346"/>
      <c r="F6" s="51"/>
      <c r="G6" s="51"/>
      <c r="H6" s="51"/>
      <c r="I6" s="51"/>
      <c r="J6" s="23"/>
    </row>
    <row r="7" spans="2:10" x14ac:dyDescent="0.2">
      <c r="B7" s="20" t="s">
        <v>78</v>
      </c>
      <c r="C7" s="124">
        <v>19400000</v>
      </c>
      <c r="D7" s="51"/>
      <c r="E7" s="50"/>
      <c r="F7" s="51"/>
      <c r="G7" s="51"/>
      <c r="H7" s="51"/>
      <c r="I7" s="51"/>
      <c r="J7" s="23"/>
    </row>
    <row r="8" spans="2:10" x14ac:dyDescent="0.2">
      <c r="B8" s="311" t="s">
        <v>255</v>
      </c>
      <c r="C8" s="101">
        <v>0.01</v>
      </c>
      <c r="D8" s="81" t="s">
        <v>256</v>
      </c>
      <c r="E8" s="50"/>
      <c r="F8" s="51"/>
      <c r="G8" s="51"/>
      <c r="H8" s="51"/>
      <c r="I8" s="51"/>
      <c r="J8" s="23"/>
    </row>
    <row r="9" spans="2:10" x14ac:dyDescent="0.2">
      <c r="B9" s="20" t="s">
        <v>102</v>
      </c>
      <c r="C9" s="101">
        <v>0.01</v>
      </c>
      <c r="D9" s="81" t="s">
        <v>248</v>
      </c>
      <c r="E9" s="50"/>
      <c r="F9" s="51"/>
      <c r="G9" s="51"/>
      <c r="H9" s="51"/>
      <c r="I9" s="51"/>
      <c r="J9" s="23"/>
    </row>
    <row r="10" spans="2:10" x14ac:dyDescent="0.2">
      <c r="B10" s="20"/>
      <c r="C10" s="125"/>
      <c r="D10" s="51"/>
      <c r="E10" s="50"/>
      <c r="F10" s="51"/>
      <c r="G10" s="51"/>
      <c r="H10" s="51"/>
      <c r="I10" s="51"/>
      <c r="J10" s="23"/>
    </row>
    <row r="11" spans="2:10" x14ac:dyDescent="0.2">
      <c r="B11" s="20" t="s">
        <v>109</v>
      </c>
      <c r="C11" s="101">
        <v>7.4999999999999997E-2</v>
      </c>
      <c r="D11" s="51"/>
      <c r="E11" s="50"/>
      <c r="F11" s="51"/>
      <c r="G11" s="51"/>
      <c r="H11" s="51"/>
      <c r="I11" s="51"/>
      <c r="J11" s="23"/>
    </row>
    <row r="12" spans="2:10" x14ac:dyDescent="0.2">
      <c r="B12" s="20" t="s">
        <v>110</v>
      </c>
      <c r="C12" s="101">
        <v>0.04</v>
      </c>
      <c r="D12" s="51"/>
      <c r="E12" s="50"/>
      <c r="F12" s="51"/>
      <c r="G12" s="51"/>
      <c r="H12" s="51"/>
      <c r="I12" s="51"/>
      <c r="J12" s="23"/>
    </row>
    <row r="13" spans="2:10" ht="13.5" thickBot="1" x14ac:dyDescent="0.25">
      <c r="B13" s="45"/>
      <c r="C13" s="98"/>
      <c r="D13" s="331"/>
      <c r="E13" s="214"/>
      <c r="F13" s="48"/>
      <c r="G13" s="48"/>
      <c r="H13" s="48"/>
      <c r="I13" s="48"/>
      <c r="J13" s="23"/>
    </row>
    <row r="14" spans="2:10" ht="13.5" thickBot="1" x14ac:dyDescent="0.25">
      <c r="B14" s="344" t="s">
        <v>206</v>
      </c>
      <c r="C14" s="345"/>
      <c r="D14" s="345"/>
      <c r="E14" s="346"/>
      <c r="F14" s="7"/>
      <c r="G14" s="7"/>
      <c r="H14" s="7"/>
      <c r="I14" s="7"/>
      <c r="J14" s="23"/>
    </row>
    <row r="15" spans="2:10" x14ac:dyDescent="0.2">
      <c r="B15" s="45"/>
      <c r="C15" s="44"/>
      <c r="D15" s="97"/>
      <c r="E15" s="42"/>
      <c r="F15" s="37"/>
      <c r="G15" s="23"/>
      <c r="H15" s="23"/>
      <c r="I15" s="7"/>
      <c r="J15" s="23"/>
    </row>
    <row r="16" spans="2:10" x14ac:dyDescent="0.2">
      <c r="B16" s="45" t="s">
        <v>76</v>
      </c>
      <c r="C16" s="102">
        <v>0.88</v>
      </c>
      <c r="E16" s="42"/>
      <c r="F16" s="37"/>
      <c r="G16" s="23"/>
      <c r="H16" s="23"/>
      <c r="I16" s="7"/>
      <c r="J16" s="23"/>
    </row>
    <row r="17" spans="2:10" x14ac:dyDescent="0.2">
      <c r="B17" s="45" t="s">
        <v>96</v>
      </c>
      <c r="C17" s="103">
        <v>1.25</v>
      </c>
      <c r="E17" s="42"/>
      <c r="F17" s="37"/>
      <c r="G17" s="23"/>
      <c r="H17" s="23"/>
      <c r="I17" s="7"/>
      <c r="J17" s="23"/>
    </row>
    <row r="18" spans="2:10" x14ac:dyDescent="0.2">
      <c r="B18" s="45" t="s">
        <v>83</v>
      </c>
      <c r="C18" s="104">
        <v>2.5000000000000001E-2</v>
      </c>
      <c r="D18" s="98"/>
      <c r="E18" s="42"/>
      <c r="F18" s="37"/>
      <c r="G18" s="23"/>
      <c r="H18" s="23"/>
      <c r="I18" s="7"/>
      <c r="J18" s="23"/>
    </row>
    <row r="19" spans="2:10" x14ac:dyDescent="0.2">
      <c r="B19" s="45" t="s">
        <v>92</v>
      </c>
      <c r="C19" s="104">
        <v>7.0000000000000007E-2</v>
      </c>
      <c r="D19" s="98"/>
      <c r="E19" s="42"/>
      <c r="F19" s="37"/>
      <c r="G19" s="23"/>
      <c r="H19" s="23"/>
      <c r="I19" s="7"/>
      <c r="J19" s="23"/>
    </row>
    <row r="20" spans="2:10" x14ac:dyDescent="0.2">
      <c r="B20" s="45" t="s">
        <v>93</v>
      </c>
      <c r="C20" s="107">
        <v>30</v>
      </c>
      <c r="D20" s="98" t="s">
        <v>71</v>
      </c>
      <c r="E20" s="42"/>
      <c r="F20" s="37"/>
      <c r="G20" s="23"/>
      <c r="H20" s="23"/>
      <c r="I20" s="7"/>
      <c r="J20" s="23"/>
    </row>
    <row r="21" spans="2:10" x14ac:dyDescent="0.2">
      <c r="B21" s="45" t="s">
        <v>100</v>
      </c>
      <c r="C21" s="107">
        <v>10</v>
      </c>
      <c r="D21" s="98" t="s">
        <v>71</v>
      </c>
      <c r="E21" s="42"/>
      <c r="F21" s="37"/>
      <c r="G21" s="23"/>
      <c r="H21" s="23"/>
      <c r="I21" s="7"/>
      <c r="J21" s="23"/>
    </row>
    <row r="22" spans="2:10" x14ac:dyDescent="0.2">
      <c r="B22" s="45"/>
      <c r="C22" s="104"/>
      <c r="D22" s="98"/>
      <c r="E22" s="42"/>
      <c r="F22" s="37"/>
      <c r="G22" s="23"/>
      <c r="H22" s="23"/>
      <c r="I22" s="7"/>
      <c r="J22" s="23"/>
    </row>
    <row r="23" spans="2:10" x14ac:dyDescent="0.2">
      <c r="B23" s="115" t="s">
        <v>98</v>
      </c>
      <c r="C23" s="44"/>
      <c r="D23" s="98"/>
      <c r="E23" s="42"/>
      <c r="F23" s="37"/>
      <c r="G23" s="23"/>
      <c r="H23" s="23"/>
      <c r="I23" s="7"/>
      <c r="J23" s="23"/>
    </row>
    <row r="24" spans="2:10" x14ac:dyDescent="0.2">
      <c r="B24" s="45" t="s">
        <v>90</v>
      </c>
      <c r="C24" s="106">
        <f>NOI!D115</f>
        <v>1589371.25</v>
      </c>
      <c r="D24" s="98" t="s">
        <v>91</v>
      </c>
      <c r="E24" s="42"/>
      <c r="F24" s="37"/>
      <c r="G24" s="23"/>
      <c r="H24" s="23"/>
      <c r="I24" s="7"/>
      <c r="J24" s="23"/>
    </row>
    <row r="25" spans="2:10" x14ac:dyDescent="0.2">
      <c r="B25" s="45" t="s">
        <v>222</v>
      </c>
      <c r="C25" s="110">
        <f>C24/C17</f>
        <v>1271497</v>
      </c>
      <c r="D25" s="98" t="s">
        <v>223</v>
      </c>
      <c r="E25" s="42"/>
      <c r="F25" s="37"/>
      <c r="G25" s="23"/>
      <c r="H25" s="23"/>
      <c r="I25" s="7"/>
      <c r="J25" s="23"/>
    </row>
    <row r="26" spans="2:10" x14ac:dyDescent="0.2">
      <c r="B26" s="45" t="s">
        <v>95</v>
      </c>
      <c r="C26" s="111">
        <f>-PV(C19/12,C20*12,C25/12)</f>
        <v>15926301.810245905</v>
      </c>
      <c r="D26" s="98" t="s">
        <v>225</v>
      </c>
      <c r="E26" s="42"/>
      <c r="F26" s="37"/>
      <c r="G26" s="23"/>
      <c r="H26" s="23"/>
      <c r="I26" s="7"/>
      <c r="J26" s="23"/>
    </row>
    <row r="27" spans="2:10" x14ac:dyDescent="0.2">
      <c r="B27" s="45" t="s">
        <v>94</v>
      </c>
      <c r="C27" s="108">
        <f>C7*C16</f>
        <v>17072000</v>
      </c>
      <c r="D27" s="98" t="s">
        <v>224</v>
      </c>
      <c r="E27" s="42"/>
      <c r="F27" s="37"/>
      <c r="G27" s="23"/>
      <c r="H27" s="23"/>
      <c r="I27" s="7"/>
      <c r="J27" s="23"/>
    </row>
    <row r="28" spans="2:10" x14ac:dyDescent="0.2">
      <c r="B28" s="45" t="s">
        <v>218</v>
      </c>
      <c r="C28" s="108">
        <f>MIN(C26:C27)</f>
        <v>15926301.810245905</v>
      </c>
      <c r="D28" s="98" t="s">
        <v>247</v>
      </c>
      <c r="E28" s="42"/>
      <c r="F28" s="37"/>
      <c r="G28" s="23"/>
      <c r="H28" s="23"/>
      <c r="I28" s="7"/>
      <c r="J28" s="23"/>
    </row>
    <row r="29" spans="2:10" x14ac:dyDescent="0.2">
      <c r="B29" s="45"/>
      <c r="C29" s="109"/>
      <c r="D29" s="98"/>
      <c r="E29" s="42"/>
      <c r="F29" s="37"/>
      <c r="G29" s="23"/>
      <c r="H29" s="23"/>
      <c r="I29" s="7"/>
      <c r="J29" s="23"/>
    </row>
    <row r="30" spans="2:10" ht="13.5" thickBot="1" x14ac:dyDescent="0.25">
      <c r="B30" s="45" t="s">
        <v>215</v>
      </c>
      <c r="C30" s="89">
        <f>-PMT(C19/12,C20*12,C28)*12</f>
        <v>1271497.0000000012</v>
      </c>
      <c r="D30" s="98"/>
      <c r="E30" s="42"/>
      <c r="F30" s="37"/>
      <c r="G30" s="23"/>
      <c r="H30" s="23"/>
      <c r="I30" s="7"/>
      <c r="J30" s="23"/>
    </row>
    <row r="31" spans="2:10" ht="13.5" thickBot="1" x14ac:dyDescent="0.25">
      <c r="B31" s="344" t="s">
        <v>79</v>
      </c>
      <c r="C31" s="345"/>
      <c r="D31" s="345"/>
      <c r="E31" s="346"/>
      <c r="F31" s="7"/>
      <c r="G31" s="7"/>
      <c r="H31" s="7"/>
      <c r="I31" s="7"/>
      <c r="J31" s="23"/>
    </row>
    <row r="32" spans="2:10" x14ac:dyDescent="0.2">
      <c r="B32" s="286" t="s">
        <v>209</v>
      </c>
      <c r="C32" s="191"/>
      <c r="D32" s="192"/>
      <c r="E32" s="193"/>
      <c r="F32" s="96"/>
      <c r="G32" s="96"/>
      <c r="H32" s="86"/>
      <c r="I32" s="96"/>
    </row>
    <row r="33" spans="2:9" x14ac:dyDescent="0.2">
      <c r="B33" s="20" t="s">
        <v>86</v>
      </c>
      <c r="C33" s="105">
        <v>25000</v>
      </c>
      <c r="D33" s="23"/>
      <c r="E33" s="36"/>
      <c r="F33" s="96"/>
      <c r="G33" s="96"/>
      <c r="H33" s="86"/>
      <c r="I33" s="96"/>
    </row>
    <row r="34" spans="2:9" x14ac:dyDescent="0.2">
      <c r="B34" s="20" t="s">
        <v>216</v>
      </c>
      <c r="C34" s="112">
        <f>C7+(C7*C8)</f>
        <v>19594000</v>
      </c>
      <c r="D34" s="23"/>
      <c r="E34" s="36"/>
      <c r="F34" s="96"/>
      <c r="G34" s="96"/>
      <c r="H34" s="86"/>
      <c r="I34" s="96"/>
    </row>
    <row r="35" spans="2:9" x14ac:dyDescent="0.2">
      <c r="B35" s="20" t="s">
        <v>217</v>
      </c>
      <c r="C35" s="113">
        <f>-(1-C18)*C28</f>
        <v>-15528144.264989758</v>
      </c>
      <c r="D35" s="23"/>
      <c r="E35" s="36"/>
      <c r="F35" s="96"/>
      <c r="G35" s="96"/>
      <c r="H35" s="86"/>
      <c r="I35" s="96"/>
    </row>
    <row r="36" spans="2:9" ht="13.5" thickBot="1" x14ac:dyDescent="0.25">
      <c r="B36" s="311" t="s">
        <v>261</v>
      </c>
      <c r="C36" s="336">
        <f>SUM(C33:C35)</f>
        <v>4090855.7350102421</v>
      </c>
      <c r="D36" s="23"/>
      <c r="E36" s="36"/>
      <c r="F36" s="96"/>
      <c r="G36" s="96"/>
      <c r="H36" s="86"/>
      <c r="I36" s="96"/>
    </row>
    <row r="37" spans="2:9" ht="13.5" thickTop="1" x14ac:dyDescent="0.2">
      <c r="B37" s="20"/>
      <c r="C37" s="112"/>
      <c r="D37" s="23"/>
      <c r="E37" s="36"/>
      <c r="F37" s="96"/>
      <c r="G37" s="96"/>
      <c r="H37" s="86"/>
      <c r="I37" s="96"/>
    </row>
    <row r="38" spans="2:9" x14ac:dyDescent="0.2">
      <c r="B38" s="229" t="s">
        <v>208</v>
      </c>
      <c r="C38" s="287" t="s">
        <v>210</v>
      </c>
      <c r="D38" s="23"/>
      <c r="E38" s="36"/>
      <c r="F38" s="96"/>
      <c r="G38" s="96"/>
      <c r="H38" s="86"/>
      <c r="I38" s="96"/>
    </row>
    <row r="39" spans="2:9" x14ac:dyDescent="0.2">
      <c r="B39" s="20" t="s">
        <v>81</v>
      </c>
      <c r="C39" s="190">
        <f>$C$36*D39</f>
        <v>3886312.9482597299</v>
      </c>
      <c r="D39" s="102">
        <v>0.95</v>
      </c>
      <c r="E39" s="36"/>
      <c r="F39" s="96"/>
      <c r="G39" s="96"/>
      <c r="H39" s="86"/>
      <c r="I39" s="96"/>
    </row>
    <row r="40" spans="2:9" x14ac:dyDescent="0.2">
      <c r="B40" s="20" t="s">
        <v>80</v>
      </c>
      <c r="C40" s="190">
        <f>$C$36*D40</f>
        <v>204542.78675051211</v>
      </c>
      <c r="D40" s="102">
        <v>0.05</v>
      </c>
      <c r="E40" s="36"/>
      <c r="F40" s="96"/>
      <c r="G40" s="96"/>
      <c r="H40" s="86"/>
      <c r="I40" s="96"/>
    </row>
    <row r="41" spans="2:9" ht="13.5" thickBot="1" x14ac:dyDescent="0.25">
      <c r="B41" s="311" t="s">
        <v>262</v>
      </c>
      <c r="C41" s="337">
        <f>SUM(C39:C40)</f>
        <v>4090855.7350102421</v>
      </c>
      <c r="D41" s="102"/>
      <c r="E41" s="36"/>
      <c r="F41" s="96"/>
      <c r="G41" s="96"/>
      <c r="H41" s="86"/>
      <c r="I41" s="96"/>
    </row>
    <row r="42" spans="2:9" ht="13.5" thickTop="1" x14ac:dyDescent="0.2">
      <c r="B42" s="20"/>
      <c r="C42" s="112"/>
      <c r="D42" s="23"/>
      <c r="E42" s="36"/>
      <c r="F42" s="96"/>
      <c r="G42" s="96"/>
      <c r="H42" s="86"/>
      <c r="I42" s="96"/>
    </row>
    <row r="43" spans="2:9" x14ac:dyDescent="0.2">
      <c r="B43" s="20" t="s">
        <v>139</v>
      </c>
      <c r="C43" s="102">
        <v>0.01</v>
      </c>
      <c r="D43" s="86" t="s">
        <v>263</v>
      </c>
      <c r="E43" s="36"/>
      <c r="F43" s="96"/>
      <c r="G43" s="96"/>
      <c r="H43" s="86"/>
      <c r="I43" s="96"/>
    </row>
    <row r="44" spans="2:9" ht="13.5" thickBot="1" x14ac:dyDescent="0.25">
      <c r="B44" s="300" t="s">
        <v>221</v>
      </c>
      <c r="C44" s="105">
        <v>25000</v>
      </c>
      <c r="D44" s="196"/>
      <c r="E44" s="78"/>
      <c r="F44" s="96"/>
      <c r="G44" s="96"/>
      <c r="H44" s="86"/>
      <c r="I44" s="96"/>
    </row>
    <row r="45" spans="2:9" ht="13.5" thickBot="1" x14ac:dyDescent="0.25">
      <c r="B45" s="344" t="s">
        <v>232</v>
      </c>
      <c r="C45" s="345"/>
      <c r="D45" s="345"/>
      <c r="E45" s="346"/>
      <c r="F45" s="96"/>
      <c r="G45" s="96"/>
      <c r="H45" s="86"/>
      <c r="I45" s="96"/>
    </row>
    <row r="46" spans="2:9" x14ac:dyDescent="0.2">
      <c r="B46" s="319" t="s">
        <v>233</v>
      </c>
      <c r="C46" s="320"/>
      <c r="D46" s="192"/>
      <c r="E46" s="193"/>
      <c r="F46" s="96"/>
      <c r="G46" s="96"/>
      <c r="H46" s="86"/>
      <c r="I46" s="96"/>
    </row>
    <row r="47" spans="2:9" x14ac:dyDescent="0.2">
      <c r="B47" s="321" t="s">
        <v>234</v>
      </c>
      <c r="C47" s="322">
        <f>C28</f>
        <v>15926301.810245905</v>
      </c>
      <c r="D47" s="23"/>
      <c r="E47" s="36"/>
      <c r="F47" s="96"/>
      <c r="G47" s="96"/>
      <c r="H47" s="86"/>
      <c r="I47" s="96"/>
    </row>
    <row r="48" spans="2:9" x14ac:dyDescent="0.2">
      <c r="B48" s="321" t="s">
        <v>235</v>
      </c>
      <c r="C48" s="322">
        <f>-C47*C18</f>
        <v>-398157.54525614763</v>
      </c>
      <c r="D48" s="23"/>
      <c r="E48" s="36"/>
      <c r="F48" s="96"/>
      <c r="G48" s="96"/>
      <c r="H48" s="86"/>
      <c r="I48" s="96"/>
    </row>
    <row r="49" spans="2:9" x14ac:dyDescent="0.2">
      <c r="B49" s="321" t="s">
        <v>236</v>
      </c>
      <c r="C49" s="322">
        <f>C39</f>
        <v>3886312.9482597299</v>
      </c>
      <c r="D49" s="23"/>
      <c r="E49" s="36"/>
      <c r="F49" s="96"/>
      <c r="G49" s="96"/>
      <c r="H49" s="86"/>
      <c r="I49" s="96"/>
    </row>
    <row r="50" spans="2:9" x14ac:dyDescent="0.2">
      <c r="B50" s="321" t="s">
        <v>237</v>
      </c>
      <c r="C50" s="323">
        <f>C40</f>
        <v>204542.78675051211</v>
      </c>
      <c r="D50" s="23"/>
      <c r="E50" s="36"/>
      <c r="F50" s="96"/>
      <c r="G50" s="96"/>
      <c r="H50" s="86"/>
      <c r="I50" s="96"/>
    </row>
    <row r="51" spans="2:9" ht="13.5" thickBot="1" x14ac:dyDescent="0.25">
      <c r="B51" s="321" t="s">
        <v>238</v>
      </c>
      <c r="C51" s="324">
        <f>SUM(C47:C50)</f>
        <v>19619000</v>
      </c>
      <c r="D51" s="23"/>
      <c r="E51" s="36"/>
      <c r="F51" s="96"/>
      <c r="G51" s="96"/>
      <c r="H51" s="86"/>
      <c r="I51" s="96"/>
    </row>
    <row r="52" spans="2:9" ht="13.5" thickTop="1" x14ac:dyDescent="0.2">
      <c r="B52" s="311"/>
      <c r="C52" s="322"/>
      <c r="D52" s="23"/>
      <c r="E52" s="36"/>
      <c r="F52" s="96"/>
      <c r="G52" s="96"/>
      <c r="H52" s="86"/>
      <c r="I52" s="96"/>
    </row>
    <row r="53" spans="2:9" x14ac:dyDescent="0.2">
      <c r="B53" s="325" t="s">
        <v>239</v>
      </c>
      <c r="C53" s="322"/>
      <c r="D53" s="23"/>
      <c r="E53" s="36"/>
      <c r="F53" s="96"/>
      <c r="G53" s="96"/>
      <c r="H53" s="86"/>
      <c r="I53" s="96"/>
    </row>
    <row r="54" spans="2:9" x14ac:dyDescent="0.2">
      <c r="B54" s="321" t="s">
        <v>78</v>
      </c>
      <c r="C54" s="322">
        <f>C7</f>
        <v>19400000</v>
      </c>
      <c r="D54" s="23"/>
      <c r="E54" s="36"/>
      <c r="F54" s="96"/>
      <c r="G54" s="96"/>
      <c r="H54" s="86"/>
      <c r="I54" s="96"/>
    </row>
    <row r="55" spans="2:9" x14ac:dyDescent="0.2">
      <c r="B55" s="321" t="s">
        <v>240</v>
      </c>
      <c r="C55" s="322">
        <f>C7*C8</f>
        <v>194000</v>
      </c>
      <c r="D55" s="23"/>
      <c r="E55" s="36"/>
      <c r="F55" s="96"/>
      <c r="G55" s="96"/>
      <c r="H55" s="86"/>
      <c r="I55" s="96"/>
    </row>
    <row r="56" spans="2:9" x14ac:dyDescent="0.2">
      <c r="B56" s="321" t="s">
        <v>241</v>
      </c>
      <c r="C56" s="323">
        <f>C33</f>
        <v>25000</v>
      </c>
      <c r="D56" s="23"/>
      <c r="E56" s="36"/>
      <c r="F56" s="96"/>
      <c r="G56" s="96"/>
      <c r="H56" s="86"/>
      <c r="I56" s="96"/>
    </row>
    <row r="57" spans="2:9" ht="13.5" thickBot="1" x14ac:dyDescent="0.25">
      <c r="B57" s="321" t="s">
        <v>242</v>
      </c>
      <c r="C57" s="324">
        <f>SUM(C54:C56)</f>
        <v>19619000</v>
      </c>
      <c r="D57" s="23"/>
      <c r="E57" s="36"/>
      <c r="F57" s="96"/>
      <c r="G57" s="96"/>
      <c r="H57" s="86"/>
      <c r="I57" s="96"/>
    </row>
    <row r="58" spans="2:9" ht="14.25" thickTop="1" thickBot="1" x14ac:dyDescent="0.25">
      <c r="B58" s="300"/>
      <c r="C58" s="326"/>
      <c r="D58" s="196"/>
      <c r="E58" s="78"/>
      <c r="F58" s="96"/>
      <c r="G58" s="96"/>
      <c r="H58" s="86"/>
      <c r="I58" s="96"/>
    </row>
    <row r="59" spans="2:9" ht="13.5" thickBot="1" x14ac:dyDescent="0.25">
      <c r="B59" s="344" t="s">
        <v>84</v>
      </c>
      <c r="C59" s="345"/>
      <c r="D59" s="345"/>
      <c r="E59" s="346"/>
      <c r="F59" s="96"/>
      <c r="G59" s="96"/>
      <c r="H59" s="86"/>
      <c r="I59" s="96"/>
    </row>
    <row r="60" spans="2:9" x14ac:dyDescent="0.2">
      <c r="B60" s="20"/>
      <c r="C60" s="96"/>
      <c r="D60" s="23"/>
      <c r="E60" s="36"/>
      <c r="F60" s="96"/>
      <c r="G60" s="96"/>
      <c r="H60" s="86"/>
      <c r="I60" s="96"/>
    </row>
    <row r="61" spans="2:9" x14ac:dyDescent="0.2">
      <c r="B61" s="20" t="s">
        <v>87</v>
      </c>
      <c r="C61" s="105">
        <v>50000</v>
      </c>
      <c r="D61" s="23"/>
      <c r="E61" s="36"/>
      <c r="F61" s="96"/>
      <c r="G61" s="96"/>
      <c r="H61" s="86"/>
      <c r="I61" s="96"/>
    </row>
    <row r="62" spans="2:9" x14ac:dyDescent="0.2">
      <c r="B62" s="20" t="s">
        <v>85</v>
      </c>
      <c r="C62" s="102">
        <v>0.08</v>
      </c>
      <c r="D62" s="23" t="s">
        <v>122</v>
      </c>
      <c r="E62" s="36"/>
      <c r="F62" s="96"/>
      <c r="G62" s="96"/>
      <c r="H62" s="86"/>
      <c r="I62" s="96"/>
    </row>
    <row r="63" spans="2:9" x14ac:dyDescent="0.2">
      <c r="B63" s="20"/>
      <c r="C63" s="102"/>
      <c r="D63" s="23"/>
      <c r="E63" s="36"/>
      <c r="F63" s="96"/>
      <c r="G63" s="96"/>
      <c r="H63" s="86"/>
      <c r="I63" s="96"/>
    </row>
    <row r="64" spans="2:9" x14ac:dyDescent="0.2">
      <c r="B64" s="20" t="s">
        <v>88</v>
      </c>
      <c r="C64" s="102">
        <v>0.7</v>
      </c>
      <c r="D64" s="23"/>
      <c r="E64" s="36"/>
      <c r="F64" s="96"/>
      <c r="G64" s="96"/>
      <c r="H64" s="86"/>
      <c r="I64" s="96"/>
    </row>
    <row r="65" spans="1:9" x14ac:dyDescent="0.2">
      <c r="B65" s="20" t="s">
        <v>89</v>
      </c>
      <c r="C65" s="102">
        <v>0.3</v>
      </c>
      <c r="D65" s="23"/>
      <c r="E65" s="36"/>
      <c r="F65" s="96"/>
      <c r="G65" s="96"/>
      <c r="H65" s="86"/>
      <c r="I65" s="96"/>
    </row>
    <row r="66" spans="1:9" ht="13.5" thickBot="1" x14ac:dyDescent="0.25">
      <c r="B66" s="194"/>
      <c r="C66" s="195"/>
      <c r="D66" s="196"/>
      <c r="E66" s="78"/>
      <c r="F66" s="96"/>
      <c r="G66" s="96"/>
      <c r="H66" s="86"/>
      <c r="I66" s="96"/>
    </row>
    <row r="67" spans="1:9" x14ac:dyDescent="0.2">
      <c r="B67" s="23"/>
      <c r="C67" s="96"/>
      <c r="D67" s="23"/>
      <c r="E67" s="23"/>
      <c r="F67" s="96"/>
      <c r="G67" s="96"/>
      <c r="H67" s="86"/>
      <c r="I67" s="96"/>
    </row>
    <row r="68" spans="1:9" ht="13.5" thickBot="1" x14ac:dyDescent="0.25">
      <c r="A68" s="23"/>
      <c r="B68" s="117"/>
      <c r="C68" s="87"/>
      <c r="D68" s="86"/>
      <c r="E68" s="86"/>
      <c r="F68" s="86"/>
      <c r="G68" s="86"/>
      <c r="H68" s="86"/>
      <c r="I68" s="96"/>
    </row>
    <row r="69" spans="1:9" ht="13.5" thickBot="1" x14ac:dyDescent="0.25">
      <c r="A69" s="23"/>
      <c r="B69" s="215" t="s">
        <v>133</v>
      </c>
      <c r="C69" s="122"/>
      <c r="D69" s="122"/>
      <c r="E69" s="122"/>
      <c r="F69" s="122"/>
      <c r="G69" s="122"/>
      <c r="H69" s="216"/>
      <c r="I69" s="123"/>
    </row>
    <row r="70" spans="1:9" ht="13.5" thickBot="1" x14ac:dyDescent="0.25">
      <c r="B70" s="99" t="s">
        <v>10</v>
      </c>
      <c r="C70" s="99">
        <v>0</v>
      </c>
      <c r="D70" s="99">
        <v>1</v>
      </c>
      <c r="E70" s="99">
        <v>2</v>
      </c>
      <c r="F70" s="99">
        <v>3</v>
      </c>
      <c r="G70" s="99">
        <v>4</v>
      </c>
      <c r="H70" s="99">
        <v>5</v>
      </c>
      <c r="I70" s="116">
        <v>6</v>
      </c>
    </row>
    <row r="71" spans="1:9" x14ac:dyDescent="0.2">
      <c r="B71" s="88" t="s">
        <v>99</v>
      </c>
      <c r="C71" s="197">
        <f>C28</f>
        <v>15926301.810245905</v>
      </c>
      <c r="D71" s="114">
        <f>-PV($C$19/12,$C$20*12-12*D70,$C$30/12)</f>
        <v>15764520.871014252</v>
      </c>
      <c r="E71" s="114">
        <f t="shared" ref="E71:I71" si="0">-PV($C$19/12,$C$20*12-12*E70,$C$30/12)</f>
        <v>15591044.774604525</v>
      </c>
      <c r="F71" s="114">
        <f t="shared" si="0"/>
        <v>15405028.077158717</v>
      </c>
      <c r="G71" s="114">
        <f t="shared" si="0"/>
        <v>15205564.217613941</v>
      </c>
      <c r="H71" s="114">
        <f t="shared" si="0"/>
        <v>14991681.099534778</v>
      </c>
      <c r="I71" s="198">
        <f t="shared" si="0"/>
        <v>14762336.353555886</v>
      </c>
    </row>
    <row r="72" spans="1:9" x14ac:dyDescent="0.2">
      <c r="B72" s="88" t="s">
        <v>174</v>
      </c>
      <c r="C72" s="23"/>
      <c r="D72" s="89">
        <f>$C$30</f>
        <v>1271497.0000000012</v>
      </c>
      <c r="E72" s="89">
        <f t="shared" ref="E72:I72" si="1">$C$30</f>
        <v>1271497.0000000012</v>
      </c>
      <c r="F72" s="89">
        <f t="shared" si="1"/>
        <v>1271497.0000000012</v>
      </c>
      <c r="G72" s="89">
        <f t="shared" si="1"/>
        <v>1271497.0000000012</v>
      </c>
      <c r="H72" s="89">
        <f t="shared" si="1"/>
        <v>1271497.0000000012</v>
      </c>
      <c r="I72" s="199">
        <f t="shared" si="1"/>
        <v>1271497.0000000012</v>
      </c>
    </row>
    <row r="73" spans="1:9" x14ac:dyDescent="0.2">
      <c r="B73" s="88" t="s">
        <v>73</v>
      </c>
      <c r="C73" s="23"/>
      <c r="D73" s="89">
        <f>C71-D71</f>
        <v>161780.93923165277</v>
      </c>
      <c r="E73" s="89">
        <f t="shared" ref="E73:I73" si="2">D71-E71</f>
        <v>173476.09640972689</v>
      </c>
      <c r="F73" s="89">
        <f t="shared" si="2"/>
        <v>186016.69744580798</v>
      </c>
      <c r="G73" s="89">
        <f t="shared" si="2"/>
        <v>199463.85954477638</v>
      </c>
      <c r="H73" s="89">
        <f t="shared" si="2"/>
        <v>213883.11807916313</v>
      </c>
      <c r="I73" s="199">
        <f t="shared" si="2"/>
        <v>229344.74597889185</v>
      </c>
    </row>
    <row r="74" spans="1:9" ht="13.5" thickBot="1" x14ac:dyDescent="0.25">
      <c r="B74" s="91" t="s">
        <v>72</v>
      </c>
      <c r="C74" s="196"/>
      <c r="D74" s="93">
        <f>D72-D73</f>
        <v>1109716.0607683484</v>
      </c>
      <c r="E74" s="93">
        <f t="shared" ref="E74:I74" si="3">E72-E73</f>
        <v>1098020.9035902743</v>
      </c>
      <c r="F74" s="93">
        <f t="shared" si="3"/>
        <v>1085480.3025541932</v>
      </c>
      <c r="G74" s="93">
        <f t="shared" si="3"/>
        <v>1072033.1404552248</v>
      </c>
      <c r="H74" s="93">
        <f t="shared" si="3"/>
        <v>1057613.881920838</v>
      </c>
      <c r="I74" s="200">
        <f t="shared" si="3"/>
        <v>1042152.2540211093</v>
      </c>
    </row>
    <row r="75" spans="1:9" x14ac:dyDescent="0.2">
      <c r="B75" s="292" t="s">
        <v>219</v>
      </c>
      <c r="C75" s="293">
        <f>C35</f>
        <v>-15528144.264989758</v>
      </c>
      <c r="D75" s="293">
        <f>D72</f>
        <v>1271497.0000000012</v>
      </c>
      <c r="E75" s="293">
        <f t="shared" ref="E75:G75" si="4">E72</f>
        <v>1271497.0000000012</v>
      </c>
      <c r="F75" s="293">
        <f t="shared" si="4"/>
        <v>1271497.0000000012</v>
      </c>
      <c r="G75" s="293">
        <f t="shared" si="4"/>
        <v>1271497.0000000012</v>
      </c>
      <c r="H75" s="293">
        <f>H72+H71</f>
        <v>16263178.09953478</v>
      </c>
      <c r="I75" s="294"/>
    </row>
    <row r="76" spans="1:9" ht="13.5" thickBot="1" x14ac:dyDescent="0.25">
      <c r="A76" s="23"/>
      <c r="B76" s="295" t="s">
        <v>220</v>
      </c>
      <c r="C76" s="296">
        <f>IRR(C75:H75)</f>
        <v>7.5946693369977725E-2</v>
      </c>
      <c r="D76" s="297"/>
      <c r="E76" s="297"/>
      <c r="F76" s="297"/>
      <c r="G76" s="297"/>
      <c r="H76" s="298"/>
      <c r="I76" s="299"/>
    </row>
    <row r="77" spans="1:9" ht="13.5" thickBot="1" x14ac:dyDescent="0.25"/>
    <row r="78" spans="1:9" ht="13.5" thickBot="1" x14ac:dyDescent="0.25">
      <c r="B78" s="215" t="s">
        <v>134</v>
      </c>
      <c r="C78" s="216"/>
      <c r="D78" s="216"/>
      <c r="E78" s="216"/>
      <c r="F78" s="216"/>
      <c r="G78" s="216"/>
      <c r="H78" s="216"/>
      <c r="I78" s="217"/>
    </row>
    <row r="79" spans="1:9" ht="13.5" thickBot="1" x14ac:dyDescent="0.25">
      <c r="B79" s="116" t="s">
        <v>10</v>
      </c>
      <c r="C79" s="116">
        <v>0</v>
      </c>
      <c r="D79" s="116">
        <v>1</v>
      </c>
      <c r="E79" s="116">
        <v>2</v>
      </c>
      <c r="F79" s="116">
        <v>3</v>
      </c>
      <c r="G79" s="116">
        <v>4</v>
      </c>
      <c r="H79" s="116">
        <v>5</v>
      </c>
      <c r="I79" s="116">
        <v>6</v>
      </c>
    </row>
    <row r="80" spans="1:9" x14ac:dyDescent="0.2">
      <c r="B80" s="218" t="s">
        <v>1</v>
      </c>
      <c r="C80" s="192"/>
      <c r="D80" s="219">
        <f>NOI!D115</f>
        <v>1589371.25</v>
      </c>
      <c r="E80" s="219">
        <f>NOI!E115</f>
        <v>1587489.5</v>
      </c>
      <c r="F80" s="219">
        <f>NOI!F115</f>
        <v>1585404.2</v>
      </c>
      <c r="G80" s="219">
        <f>NOI!G115</f>
        <v>1506647.3547500002</v>
      </c>
      <c r="H80" s="219">
        <f>NOI!H115</f>
        <v>1496974.1218112505</v>
      </c>
      <c r="I80" s="220">
        <f>NOI!I115</f>
        <v>1669510.4593374315</v>
      </c>
    </row>
    <row r="81" spans="2:10" x14ac:dyDescent="0.2">
      <c r="B81" s="88"/>
      <c r="C81" s="23"/>
      <c r="D81" s="89"/>
      <c r="E81" s="89"/>
      <c r="F81" s="89"/>
      <c r="G81" s="89"/>
      <c r="H81" s="89"/>
      <c r="I81" s="199"/>
    </row>
    <row r="82" spans="2:10" x14ac:dyDescent="0.2">
      <c r="B82" s="88" t="s">
        <v>103</v>
      </c>
      <c r="C82" s="23"/>
      <c r="D82" s="118">
        <f>-(D80*$C$9)</f>
        <v>-15893.7125</v>
      </c>
      <c r="E82" s="118">
        <f t="shared" ref="E82:H82" si="5">-(E80*$C$9)</f>
        <v>-15874.895</v>
      </c>
      <c r="F82" s="118">
        <f t="shared" si="5"/>
        <v>-15854.041999999999</v>
      </c>
      <c r="G82" s="118">
        <f t="shared" si="5"/>
        <v>-15066.473547500002</v>
      </c>
      <c r="H82" s="118">
        <f t="shared" si="5"/>
        <v>-14969.741218112506</v>
      </c>
      <c r="I82" s="201"/>
    </row>
    <row r="83" spans="2:10" x14ac:dyDescent="0.2">
      <c r="B83" s="88" t="s">
        <v>101</v>
      </c>
      <c r="C83" s="23"/>
      <c r="D83" s="118">
        <f>-D72</f>
        <v>-1271497.0000000012</v>
      </c>
      <c r="E83" s="118">
        <f>-E72</f>
        <v>-1271497.0000000012</v>
      </c>
      <c r="F83" s="118">
        <f>-F72</f>
        <v>-1271497.0000000012</v>
      </c>
      <c r="G83" s="118">
        <f>-G72</f>
        <v>-1271497.0000000012</v>
      </c>
      <c r="H83" s="118">
        <f>-H72</f>
        <v>-1271497.0000000012</v>
      </c>
      <c r="I83" s="201"/>
      <c r="J83" s="230"/>
    </row>
    <row r="84" spans="2:10" x14ac:dyDescent="0.2">
      <c r="B84" s="88" t="s">
        <v>138</v>
      </c>
      <c r="C84" s="23"/>
      <c r="D84" s="119">
        <f>-MIN($C$43*$C$39,$C$44)</f>
        <v>-25000</v>
      </c>
      <c r="E84" s="119">
        <f t="shared" ref="E84:H84" si="6">-MIN($C$43*$C$39,$C$44)</f>
        <v>-25000</v>
      </c>
      <c r="F84" s="119">
        <f t="shared" si="6"/>
        <v>-25000</v>
      </c>
      <c r="G84" s="119">
        <f t="shared" si="6"/>
        <v>-25000</v>
      </c>
      <c r="H84" s="119">
        <f t="shared" si="6"/>
        <v>-25000</v>
      </c>
      <c r="I84" s="201"/>
    </row>
    <row r="85" spans="2:10" x14ac:dyDescent="0.2">
      <c r="B85" s="94" t="s">
        <v>74</v>
      </c>
      <c r="C85" s="23"/>
      <c r="D85" s="89">
        <f>SUM(D80:D84)</f>
        <v>276980.53749999893</v>
      </c>
      <c r="E85" s="89">
        <f t="shared" ref="E85:H85" si="7">SUM(E80:E84)</f>
        <v>275117.60499999882</v>
      </c>
      <c r="F85" s="89">
        <f t="shared" si="7"/>
        <v>273053.15799999889</v>
      </c>
      <c r="G85" s="89">
        <f t="shared" si="7"/>
        <v>195083.88120249892</v>
      </c>
      <c r="H85" s="89">
        <f t="shared" si="7"/>
        <v>185507.38059313688</v>
      </c>
      <c r="I85" s="202"/>
    </row>
    <row r="86" spans="2:10" x14ac:dyDescent="0.2">
      <c r="B86" s="88"/>
      <c r="C86" s="23"/>
      <c r="D86" s="89"/>
      <c r="E86" s="89"/>
      <c r="F86" s="89"/>
      <c r="G86" s="89"/>
      <c r="H86" s="89"/>
      <c r="I86" s="202"/>
    </row>
    <row r="87" spans="2:10" x14ac:dyDescent="0.2">
      <c r="B87" s="283" t="s">
        <v>104</v>
      </c>
      <c r="C87" s="312">
        <f>C33</f>
        <v>25000</v>
      </c>
      <c r="D87" s="313">
        <f>$C$61</f>
        <v>50000</v>
      </c>
      <c r="E87" s="313">
        <f t="shared" ref="E87:H87" si="8">$C$61</f>
        <v>50000</v>
      </c>
      <c r="F87" s="313">
        <f t="shared" si="8"/>
        <v>50000</v>
      </c>
      <c r="G87" s="313">
        <f t="shared" si="8"/>
        <v>50000</v>
      </c>
      <c r="H87" s="313">
        <f t="shared" si="8"/>
        <v>50000</v>
      </c>
      <c r="I87" s="202"/>
    </row>
    <row r="88" spans="2:10" x14ac:dyDescent="0.2">
      <c r="B88" s="203" t="s">
        <v>105</v>
      </c>
      <c r="C88" s="23"/>
      <c r="D88" s="89">
        <f>D87-C87</f>
        <v>25000</v>
      </c>
      <c r="E88" s="89">
        <f t="shared" ref="E88:H88" si="9">E87-D87</f>
        <v>0</v>
      </c>
      <c r="F88" s="89">
        <f t="shared" si="9"/>
        <v>0</v>
      </c>
      <c r="G88" s="89">
        <f t="shared" si="9"/>
        <v>0</v>
      </c>
      <c r="H88" s="89">
        <f t="shared" si="9"/>
        <v>0</v>
      </c>
      <c r="I88" s="202"/>
    </row>
    <row r="89" spans="2:10" x14ac:dyDescent="0.2">
      <c r="B89" s="20"/>
      <c r="C89" s="23"/>
      <c r="D89" s="120"/>
      <c r="E89" s="120"/>
      <c r="F89" s="120"/>
      <c r="G89" s="120"/>
      <c r="H89" s="120"/>
      <c r="I89" s="204"/>
    </row>
    <row r="90" spans="2:10" x14ac:dyDescent="0.2">
      <c r="B90" s="94" t="s">
        <v>106</v>
      </c>
      <c r="C90" s="23"/>
      <c r="D90" s="89">
        <f>D85-D88</f>
        <v>251980.53749999893</v>
      </c>
      <c r="E90" s="89">
        <f t="shared" ref="E90:H90" si="10">E85-E88</f>
        <v>275117.60499999882</v>
      </c>
      <c r="F90" s="89">
        <f t="shared" si="10"/>
        <v>273053.15799999889</v>
      </c>
      <c r="G90" s="89">
        <f t="shared" si="10"/>
        <v>195083.88120249892</v>
      </c>
      <c r="H90" s="89">
        <f t="shared" si="10"/>
        <v>185507.38059313688</v>
      </c>
      <c r="I90" s="202"/>
    </row>
    <row r="91" spans="2:10" x14ac:dyDescent="0.2">
      <c r="B91" s="88"/>
      <c r="C91" s="23"/>
      <c r="D91" s="89"/>
      <c r="E91" s="89"/>
      <c r="F91" s="89"/>
      <c r="G91" s="89"/>
      <c r="H91" s="89"/>
      <c r="I91" s="199"/>
    </row>
    <row r="92" spans="2:10" x14ac:dyDescent="0.2">
      <c r="B92" s="283" t="s">
        <v>205</v>
      </c>
      <c r="C92" s="284"/>
      <c r="D92" s="285">
        <f>D80/-D83</f>
        <v>1.2499999999999989</v>
      </c>
      <c r="E92" s="285">
        <f t="shared" ref="E92:H92" si="11">E80/-E83</f>
        <v>1.2485200515612687</v>
      </c>
      <c r="F92" s="285">
        <f t="shared" si="11"/>
        <v>1.2468800162328331</v>
      </c>
      <c r="G92" s="285">
        <f t="shared" si="11"/>
        <v>1.1849397637194572</v>
      </c>
      <c r="H92" s="285">
        <f t="shared" si="11"/>
        <v>1.1773320124319988</v>
      </c>
      <c r="I92" s="199"/>
    </row>
    <row r="93" spans="2:10" x14ac:dyDescent="0.2">
      <c r="B93" s="88"/>
      <c r="C93" s="23"/>
      <c r="D93" s="89"/>
      <c r="E93" s="89"/>
      <c r="F93" s="89"/>
      <c r="G93" s="89"/>
      <c r="H93" s="89"/>
      <c r="I93" s="199"/>
    </row>
    <row r="94" spans="2:10" x14ac:dyDescent="0.2">
      <c r="B94" s="94" t="s">
        <v>107</v>
      </c>
      <c r="C94" s="23"/>
      <c r="D94" s="95"/>
      <c r="E94" s="95"/>
      <c r="F94" s="95"/>
      <c r="G94" s="95"/>
      <c r="H94" s="23"/>
      <c r="I94" s="205"/>
    </row>
    <row r="95" spans="2:10" x14ac:dyDescent="0.2">
      <c r="B95" s="92" t="s">
        <v>108</v>
      </c>
      <c r="C95" s="89"/>
      <c r="D95" s="89"/>
      <c r="E95" s="89"/>
      <c r="F95" s="89"/>
      <c r="G95" s="89"/>
      <c r="H95" s="89">
        <f>I80/C11</f>
        <v>22260139.457832422</v>
      </c>
      <c r="I95" s="206"/>
    </row>
    <row r="96" spans="2:10" x14ac:dyDescent="0.2">
      <c r="B96" s="20" t="s">
        <v>111</v>
      </c>
      <c r="C96" s="23"/>
      <c r="D96" s="23"/>
      <c r="E96" s="23"/>
      <c r="F96" s="23"/>
      <c r="G96" s="23"/>
      <c r="H96" s="64">
        <f>-H95*C12</f>
        <v>-890405.57831329689</v>
      </c>
      <c r="I96" s="36"/>
    </row>
    <row r="97" spans="2:9" x14ac:dyDescent="0.2">
      <c r="B97" s="20" t="s">
        <v>112</v>
      </c>
      <c r="C97" s="23"/>
      <c r="D97" s="23"/>
      <c r="E97" s="23"/>
      <c r="F97" s="23"/>
      <c r="G97" s="23"/>
      <c r="H97" s="190">
        <f>-H71</f>
        <v>-14991681.099534778</v>
      </c>
      <c r="I97" s="36"/>
    </row>
    <row r="98" spans="2:9" x14ac:dyDescent="0.2">
      <c r="B98" s="20" t="s">
        <v>129</v>
      </c>
      <c r="C98" s="23"/>
      <c r="D98" s="23"/>
      <c r="E98" s="23"/>
      <c r="F98" s="23"/>
      <c r="G98" s="23"/>
      <c r="H98" s="121">
        <f>C61</f>
        <v>50000</v>
      </c>
      <c r="I98" s="36"/>
    </row>
    <row r="99" spans="2:9" x14ac:dyDescent="0.2">
      <c r="B99" s="94" t="s">
        <v>130</v>
      </c>
      <c r="C99" s="23"/>
      <c r="D99" s="23"/>
      <c r="E99" s="23"/>
      <c r="F99" s="23"/>
      <c r="G99" s="23"/>
      <c r="H99" s="207">
        <f>SUM(H95:H98)</f>
        <v>6428052.7799843457</v>
      </c>
      <c r="I99" s="36"/>
    </row>
    <row r="100" spans="2:9" x14ac:dyDescent="0.2">
      <c r="B100" s="94"/>
      <c r="C100" s="23"/>
      <c r="D100" s="120"/>
      <c r="E100" s="120"/>
      <c r="F100" s="120"/>
      <c r="G100" s="120"/>
      <c r="H100" s="288"/>
      <c r="I100" s="36"/>
    </row>
    <row r="101" spans="2:9" x14ac:dyDescent="0.2">
      <c r="B101" s="94" t="s">
        <v>213</v>
      </c>
      <c r="C101" s="190">
        <f>-C36</f>
        <v>-4090855.7350102421</v>
      </c>
      <c r="D101" s="207">
        <f>D90</f>
        <v>251980.53749999893</v>
      </c>
      <c r="E101" s="207">
        <f t="shared" ref="E101:G101" si="12">E90</f>
        <v>275117.60499999882</v>
      </c>
      <c r="F101" s="207">
        <f t="shared" si="12"/>
        <v>273053.15799999889</v>
      </c>
      <c r="G101" s="207">
        <f t="shared" si="12"/>
        <v>195083.88120249892</v>
      </c>
      <c r="H101" s="207">
        <f>H90+H99</f>
        <v>6613560.1605774825</v>
      </c>
      <c r="I101" s="36"/>
    </row>
    <row r="102" spans="2:9" x14ac:dyDescent="0.2">
      <c r="B102" s="94"/>
      <c r="C102" s="190"/>
      <c r="D102" s="207"/>
      <c r="E102" s="207"/>
      <c r="F102" s="207"/>
      <c r="G102" s="207"/>
      <c r="H102" s="207"/>
      <c r="I102" s="36"/>
    </row>
    <row r="103" spans="2:9" ht="13.5" thickBot="1" x14ac:dyDescent="0.25">
      <c r="B103" s="290" t="s">
        <v>214</v>
      </c>
      <c r="C103" s="289">
        <f>IRR(C101:H101)</f>
        <v>0.14468948621353217</v>
      </c>
      <c r="D103" s="196"/>
      <c r="E103" s="196"/>
      <c r="F103" s="196"/>
      <c r="G103" s="196"/>
      <c r="H103" s="196"/>
      <c r="I103" s="78"/>
    </row>
    <row r="104" spans="2:9" ht="13.5" thickBot="1" x14ac:dyDescent="0.25"/>
    <row r="105" spans="2:9" ht="13.5" thickBot="1" x14ac:dyDescent="0.25">
      <c r="B105" s="208" t="s">
        <v>135</v>
      </c>
      <c r="C105" s="209"/>
      <c r="D105" s="209"/>
      <c r="E105" s="209"/>
      <c r="F105" s="209"/>
      <c r="G105" s="209"/>
      <c r="H105" s="210"/>
    </row>
    <row r="106" spans="2:9" ht="13.5" thickBot="1" x14ac:dyDescent="0.25">
      <c r="B106" s="20"/>
      <c r="C106" s="23"/>
      <c r="D106" s="23"/>
      <c r="E106" s="23"/>
      <c r="F106" s="23"/>
      <c r="G106" s="23"/>
      <c r="H106" s="36"/>
    </row>
    <row r="107" spans="2:9" ht="13.5" thickBot="1" x14ac:dyDescent="0.25">
      <c r="B107" s="126" t="s">
        <v>113</v>
      </c>
      <c r="C107" s="127"/>
      <c r="D107" s="127"/>
      <c r="E107" s="128"/>
      <c r="F107" s="129"/>
      <c r="G107" s="129"/>
      <c r="H107" s="130"/>
    </row>
    <row r="108" spans="2:9" x14ac:dyDescent="0.2">
      <c r="B108" s="131"/>
      <c r="C108" s="129"/>
      <c r="D108" s="129"/>
      <c r="E108" s="129"/>
      <c r="F108" s="129"/>
      <c r="G108" s="129"/>
      <c r="H108" s="130"/>
    </row>
    <row r="109" spans="2:9" x14ac:dyDescent="0.2">
      <c r="B109" s="132" t="s">
        <v>114</v>
      </c>
      <c r="C109" s="133"/>
      <c r="D109" s="134">
        <f>D90</f>
        <v>251980.53749999893</v>
      </c>
      <c r="E109" s="134">
        <f t="shared" ref="E109:H109" si="13">E90</f>
        <v>275117.60499999882</v>
      </c>
      <c r="F109" s="134">
        <f t="shared" si="13"/>
        <v>273053.15799999889</v>
      </c>
      <c r="G109" s="134">
        <f t="shared" si="13"/>
        <v>195083.88120249892</v>
      </c>
      <c r="H109" s="135">
        <f t="shared" si="13"/>
        <v>185507.38059313688</v>
      </c>
    </row>
    <row r="110" spans="2:9" x14ac:dyDescent="0.2">
      <c r="B110" s="136"/>
      <c r="C110" s="129"/>
      <c r="D110" s="129"/>
      <c r="E110" s="129"/>
      <c r="F110" s="129"/>
      <c r="G110" s="129"/>
      <c r="H110" s="130"/>
    </row>
    <row r="111" spans="2:9" x14ac:dyDescent="0.2">
      <c r="B111" s="137" t="s">
        <v>120</v>
      </c>
      <c r="C111" s="138"/>
      <c r="D111" s="139">
        <f>IF($C$62*$C$39&gt;D109,-D109,-$C$62*$C$39)</f>
        <v>-251980.53749999893</v>
      </c>
      <c r="E111" s="139">
        <f t="shared" ref="E111:H111" si="14">IF($C$62*$C$39&gt;E109,-E109,-$C$62*$C$39)</f>
        <v>-275117.60499999882</v>
      </c>
      <c r="F111" s="139">
        <f t="shared" si="14"/>
        <v>-273053.15799999889</v>
      </c>
      <c r="G111" s="139">
        <f t="shared" si="14"/>
        <v>-195083.88120249892</v>
      </c>
      <c r="H111" s="140">
        <f t="shared" si="14"/>
        <v>-185507.38059313688</v>
      </c>
    </row>
    <row r="112" spans="2:9" x14ac:dyDescent="0.2">
      <c r="B112" s="141" t="s">
        <v>34</v>
      </c>
      <c r="C112" s="142"/>
      <c r="D112" s="143">
        <f>D109+D111</f>
        <v>0</v>
      </c>
      <c r="E112" s="143">
        <f>E109+E111</f>
        <v>0</v>
      </c>
      <c r="F112" s="143">
        <f>F109+F111</f>
        <v>0</v>
      </c>
      <c r="G112" s="143">
        <f>G109+G111</f>
        <v>0</v>
      </c>
      <c r="H112" s="144">
        <f>H109+H111</f>
        <v>0</v>
      </c>
    </row>
    <row r="113" spans="2:8" x14ac:dyDescent="0.2">
      <c r="B113" s="145"/>
      <c r="C113" s="142"/>
      <c r="D113" s="142"/>
      <c r="E113" s="129"/>
      <c r="F113" s="142"/>
      <c r="G113" s="142"/>
      <c r="H113" s="146"/>
    </row>
    <row r="114" spans="2:8" x14ac:dyDescent="0.2">
      <c r="B114" s="147" t="s">
        <v>121</v>
      </c>
      <c r="C114" s="148"/>
      <c r="D114" s="149">
        <f>IF($C$62*$C$40&gt;D112,-D112,-$C$62*$C$40)</f>
        <v>0</v>
      </c>
      <c r="E114" s="149">
        <f t="shared" ref="E114:H114" si="15">IF($C$62*$C$40&gt;E112,-E112,-$C$62*$C$40)</f>
        <v>0</v>
      </c>
      <c r="F114" s="149">
        <f t="shared" si="15"/>
        <v>0</v>
      </c>
      <c r="G114" s="149">
        <f t="shared" si="15"/>
        <v>0</v>
      </c>
      <c r="H114" s="150">
        <f t="shared" si="15"/>
        <v>0</v>
      </c>
    </row>
    <row r="115" spans="2:8" x14ac:dyDescent="0.2">
      <c r="B115" s="141" t="s">
        <v>34</v>
      </c>
      <c r="C115" s="142"/>
      <c r="D115" s="143">
        <f>D112+D114</f>
        <v>0</v>
      </c>
      <c r="E115" s="143">
        <f>E112+E114</f>
        <v>0</v>
      </c>
      <c r="F115" s="143">
        <f>F112+F114</f>
        <v>0</v>
      </c>
      <c r="G115" s="143">
        <f>G112+G114</f>
        <v>0</v>
      </c>
      <c r="H115" s="144">
        <f>H112+H114</f>
        <v>0</v>
      </c>
    </row>
    <row r="116" spans="2:8" x14ac:dyDescent="0.2">
      <c r="B116" s="151"/>
      <c r="C116" s="129"/>
      <c r="D116" s="129"/>
      <c r="E116" s="129"/>
      <c r="F116" s="129"/>
      <c r="G116" s="129"/>
      <c r="H116" s="130"/>
    </row>
    <row r="117" spans="2:8" x14ac:dyDescent="0.2">
      <c r="B117" s="152" t="s">
        <v>123</v>
      </c>
      <c r="C117" s="153"/>
      <c r="D117" s="154">
        <f>-IF(D115&gt;0,$C$64*D115,0)</f>
        <v>0</v>
      </c>
      <c r="E117" s="154">
        <f t="shared" ref="E117:H117" si="16">-IF(E115&gt;0,$C$64*E115,0)</f>
        <v>0</v>
      </c>
      <c r="F117" s="154">
        <f t="shared" si="16"/>
        <v>0</v>
      </c>
      <c r="G117" s="154">
        <f t="shared" si="16"/>
        <v>0</v>
      </c>
      <c r="H117" s="155">
        <f t="shared" si="16"/>
        <v>0</v>
      </c>
    </row>
    <row r="118" spans="2:8" x14ac:dyDescent="0.2">
      <c r="B118" s="156" t="s">
        <v>124</v>
      </c>
      <c r="C118" s="157"/>
      <c r="D118" s="149">
        <f>-IF(D115&gt;0,$C$65*D115,0)</f>
        <v>0</v>
      </c>
      <c r="E118" s="149">
        <f t="shared" ref="E118:H118" si="17">-IF(E115&gt;0,$C$65*E115,0)</f>
        <v>0</v>
      </c>
      <c r="F118" s="149">
        <f t="shared" si="17"/>
        <v>0</v>
      </c>
      <c r="G118" s="149">
        <f t="shared" si="17"/>
        <v>0</v>
      </c>
      <c r="H118" s="150">
        <f t="shared" si="17"/>
        <v>0</v>
      </c>
    </row>
    <row r="119" spans="2:8" ht="13.5" thickBot="1" x14ac:dyDescent="0.25">
      <c r="B119" s="141" t="s">
        <v>34</v>
      </c>
      <c r="C119" s="129"/>
      <c r="D119" s="158">
        <f>D115+D117+D118</f>
        <v>0</v>
      </c>
      <c r="E119" s="158">
        <f>E115+E117+E118</f>
        <v>0</v>
      </c>
      <c r="F119" s="158">
        <f>F115+F117+F118</f>
        <v>0</v>
      </c>
      <c r="G119" s="158">
        <f>G115+G117+G118</f>
        <v>0</v>
      </c>
      <c r="H119" s="159">
        <f>H115+H117+H118</f>
        <v>0</v>
      </c>
    </row>
    <row r="120" spans="2:8" ht="14.25" thickTop="1" thickBot="1" x14ac:dyDescent="0.25">
      <c r="B120" s="160"/>
      <c r="C120" s="161"/>
      <c r="D120" s="161"/>
      <c r="E120" s="129"/>
      <c r="F120" s="129"/>
      <c r="G120" s="129"/>
      <c r="H120" s="130"/>
    </row>
    <row r="121" spans="2:8" ht="13.5" thickBot="1" x14ac:dyDescent="0.25">
      <c r="B121" s="126" t="s">
        <v>115</v>
      </c>
      <c r="C121" s="127"/>
      <c r="D121" s="127"/>
      <c r="E121" s="128"/>
      <c r="F121" s="129"/>
      <c r="G121" s="129"/>
      <c r="H121" s="130"/>
    </row>
    <row r="122" spans="2:8" x14ac:dyDescent="0.2">
      <c r="B122" s="131"/>
      <c r="C122" s="129"/>
      <c r="D122" s="129"/>
      <c r="E122" s="129"/>
      <c r="F122" s="129"/>
      <c r="G122" s="129"/>
      <c r="H122" s="130"/>
    </row>
    <row r="123" spans="2:8" x14ac:dyDescent="0.2">
      <c r="B123" s="132" t="s">
        <v>114</v>
      </c>
      <c r="C123" s="133"/>
      <c r="D123" s="134"/>
      <c r="E123" s="134"/>
      <c r="F123" s="134"/>
      <c r="G123" s="134"/>
      <c r="H123" s="135">
        <f>H99</f>
        <v>6428052.7799843457</v>
      </c>
    </row>
    <row r="124" spans="2:8" x14ac:dyDescent="0.2">
      <c r="B124" s="136"/>
      <c r="C124" s="129"/>
      <c r="D124" s="129"/>
      <c r="E124" s="129"/>
      <c r="F124" s="129"/>
      <c r="G124" s="129"/>
      <c r="H124" s="130"/>
    </row>
    <row r="125" spans="2:8" x14ac:dyDescent="0.2">
      <c r="B125" s="137" t="s">
        <v>125</v>
      </c>
      <c r="C125" s="142"/>
      <c r="D125" s="162"/>
      <c r="E125" s="162"/>
      <c r="F125" s="162"/>
      <c r="G125" s="162"/>
      <c r="H125" s="140">
        <f>-IF(H123&gt;C39,C39,H123)</f>
        <v>-3886312.9482597299</v>
      </c>
    </row>
    <row r="126" spans="2:8" x14ac:dyDescent="0.2">
      <c r="B126" s="141" t="s">
        <v>34</v>
      </c>
      <c r="C126" s="142"/>
      <c r="D126" s="143">
        <f>D123-D125</f>
        <v>0</v>
      </c>
      <c r="E126" s="143">
        <f>E123-E125</f>
        <v>0</v>
      </c>
      <c r="F126" s="143">
        <f>F123-F125</f>
        <v>0</v>
      </c>
      <c r="G126" s="143">
        <f>G123-G125</f>
        <v>0</v>
      </c>
      <c r="H126" s="144">
        <f>SUM(H123:H125)</f>
        <v>2541739.8317246158</v>
      </c>
    </row>
    <row r="127" spans="2:8" x14ac:dyDescent="0.2">
      <c r="B127" s="145"/>
      <c r="C127" s="142"/>
      <c r="D127" s="142"/>
      <c r="E127" s="129"/>
      <c r="F127" s="142"/>
      <c r="G127" s="142"/>
      <c r="H127" s="146"/>
    </row>
    <row r="128" spans="2:8" x14ac:dyDescent="0.2">
      <c r="B128" s="147" t="s">
        <v>126</v>
      </c>
      <c r="C128" s="142"/>
      <c r="D128" s="162"/>
      <c r="E128" s="162"/>
      <c r="F128" s="162"/>
      <c r="G128" s="162"/>
      <c r="H128" s="150">
        <f>-IF(H126&gt;C40,C40,H126)</f>
        <v>-204542.78675051211</v>
      </c>
    </row>
    <row r="129" spans="2:9" x14ac:dyDescent="0.2">
      <c r="B129" s="141" t="s">
        <v>34</v>
      </c>
      <c r="C129" s="142"/>
      <c r="D129" s="143">
        <f>D126-D128</f>
        <v>0</v>
      </c>
      <c r="E129" s="143">
        <f>E126-E128</f>
        <v>0</v>
      </c>
      <c r="F129" s="143">
        <f>F126-F128</f>
        <v>0</v>
      </c>
      <c r="G129" s="143">
        <f>G126-G128</f>
        <v>0</v>
      </c>
      <c r="H129" s="144">
        <f>SUM(H126:H128)</f>
        <v>2337197.0449741036</v>
      </c>
    </row>
    <row r="130" spans="2:9" x14ac:dyDescent="0.2">
      <c r="B130" s="151"/>
      <c r="C130" s="129"/>
      <c r="D130" s="129"/>
      <c r="E130" s="129"/>
      <c r="F130" s="129"/>
      <c r="G130" s="129"/>
      <c r="H130" s="130"/>
    </row>
    <row r="131" spans="2:9" x14ac:dyDescent="0.2">
      <c r="B131" s="152" t="s">
        <v>127</v>
      </c>
      <c r="C131" s="163"/>
      <c r="D131" s="143"/>
      <c r="E131" s="143"/>
      <c r="F131" s="143"/>
      <c r="G131" s="143"/>
      <c r="H131" s="155">
        <f>-MIN(H143,H129)</f>
        <v>-1433200</v>
      </c>
    </row>
    <row r="132" spans="2:9" x14ac:dyDescent="0.2">
      <c r="B132" s="156" t="s">
        <v>128</v>
      </c>
      <c r="C132" s="129"/>
      <c r="D132" s="164"/>
      <c r="E132" s="164"/>
      <c r="F132" s="164"/>
      <c r="G132" s="164"/>
      <c r="H132" s="150"/>
    </row>
    <row r="133" spans="2:9" x14ac:dyDescent="0.2">
      <c r="B133" s="141" t="s">
        <v>34</v>
      </c>
      <c r="C133" s="129"/>
      <c r="D133" s="134">
        <f>D129-D131-D132</f>
        <v>0</v>
      </c>
      <c r="E133" s="134">
        <f>E129-E131-E132</f>
        <v>0</v>
      </c>
      <c r="F133" s="134">
        <f>F129-F131-F132</f>
        <v>0</v>
      </c>
      <c r="G133" s="134">
        <f>G129-G131-G132</f>
        <v>0</v>
      </c>
      <c r="H133" s="135">
        <f>SUM(H129:H132)</f>
        <v>903997.04497410357</v>
      </c>
    </row>
    <row r="134" spans="2:9" x14ac:dyDescent="0.2">
      <c r="B134" s="151"/>
      <c r="C134" s="129"/>
      <c r="D134" s="129"/>
      <c r="E134" s="129"/>
      <c r="F134" s="129"/>
      <c r="G134" s="129"/>
      <c r="H134" s="130"/>
    </row>
    <row r="135" spans="2:9" x14ac:dyDescent="0.2">
      <c r="B135" s="152" t="s">
        <v>123</v>
      </c>
      <c r="C135" s="129"/>
      <c r="D135" s="129"/>
      <c r="E135" s="129"/>
      <c r="F135" s="129"/>
      <c r="G135" s="129"/>
      <c r="H135" s="155">
        <f>-IF(H133&gt;0,$C$64*H133,0)</f>
        <v>-632797.93148187245</v>
      </c>
    </row>
    <row r="136" spans="2:9" x14ac:dyDescent="0.2">
      <c r="B136" s="156" t="s">
        <v>124</v>
      </c>
      <c r="C136" s="129"/>
      <c r="D136" s="165"/>
      <c r="E136" s="165"/>
      <c r="F136" s="165"/>
      <c r="G136" s="165"/>
      <c r="H136" s="150">
        <f>-IF(H133&gt;0,$C$65*H133,0)</f>
        <v>-271199.11349223106</v>
      </c>
    </row>
    <row r="137" spans="2:9" ht="13.5" thickBot="1" x14ac:dyDescent="0.25">
      <c r="B137" s="141" t="s">
        <v>34</v>
      </c>
      <c r="C137" s="129"/>
      <c r="D137" s="158">
        <f>D133+D135+D136</f>
        <v>0</v>
      </c>
      <c r="E137" s="158">
        <f>E133+E135+E136</f>
        <v>0</v>
      </c>
      <c r="F137" s="158">
        <f>F133+F135+F136</f>
        <v>0</v>
      </c>
      <c r="G137" s="158">
        <f>G133+G135+G136</f>
        <v>0</v>
      </c>
      <c r="H137" s="159">
        <f>H133+H135+H136</f>
        <v>0</v>
      </c>
    </row>
    <row r="138" spans="2:9" ht="14.25" thickTop="1" thickBot="1" x14ac:dyDescent="0.25">
      <c r="B138" s="166"/>
      <c r="C138" s="167"/>
      <c r="D138" s="167"/>
      <c r="E138" s="167"/>
      <c r="F138" s="167"/>
      <c r="G138" s="167"/>
      <c r="H138" s="168"/>
    </row>
    <row r="139" spans="2:9" ht="13.5" thickBot="1" x14ac:dyDescent="0.25">
      <c r="B139" s="129"/>
      <c r="C139" s="129"/>
      <c r="D139" s="129"/>
      <c r="E139" s="129"/>
      <c r="F139" s="129"/>
      <c r="G139" s="129"/>
      <c r="H139" s="129"/>
    </row>
    <row r="140" spans="2:9" ht="13.5" thickBot="1" x14ac:dyDescent="0.25">
      <c r="B140" s="126" t="s">
        <v>264</v>
      </c>
      <c r="C140" s="127"/>
      <c r="D140" s="127"/>
      <c r="E140" s="128"/>
      <c r="F140" s="169"/>
      <c r="G140" s="169"/>
      <c r="H140" s="170"/>
    </row>
    <row r="141" spans="2:9" x14ac:dyDescent="0.2">
      <c r="B141" s="151" t="s">
        <v>116</v>
      </c>
      <c r="C141" s="143">
        <f>-C39</f>
        <v>-3886312.9482597299</v>
      </c>
      <c r="D141" s="134">
        <f>-(D111+D117)</f>
        <v>251980.53749999893</v>
      </c>
      <c r="E141" s="134">
        <f>-(E111+E117)</f>
        <v>275117.60499999882</v>
      </c>
      <c r="F141" s="134">
        <f>-(F111+F117)</f>
        <v>273053.15799999889</v>
      </c>
      <c r="G141" s="134">
        <f>-(G111+G117)</f>
        <v>195083.88120249892</v>
      </c>
      <c r="H141" s="135">
        <f>-(H111+H117)</f>
        <v>185507.38059313688</v>
      </c>
    </row>
    <row r="142" spans="2:9" x14ac:dyDescent="0.2">
      <c r="B142" s="151" t="s">
        <v>125</v>
      </c>
      <c r="C142" s="143"/>
      <c r="D142" s="134"/>
      <c r="E142" s="134"/>
      <c r="F142" s="134"/>
      <c r="G142" s="134"/>
      <c r="H142" s="135">
        <f>-H125</f>
        <v>3886312.9482597299</v>
      </c>
    </row>
    <row r="143" spans="2:9" x14ac:dyDescent="0.2">
      <c r="B143" s="151" t="s">
        <v>117</v>
      </c>
      <c r="C143" s="165"/>
      <c r="D143" s="165"/>
      <c r="E143" s="165"/>
      <c r="F143" s="165"/>
      <c r="G143" s="165"/>
      <c r="H143" s="171">
        <v>1433200</v>
      </c>
      <c r="I143" s="301" t="str">
        <f>IF(H143&gt;H129,"error","")</f>
        <v/>
      </c>
    </row>
    <row r="144" spans="2:9" x14ac:dyDescent="0.2">
      <c r="B144" s="151" t="s">
        <v>26</v>
      </c>
      <c r="C144" s="134">
        <f t="shared" ref="C144:H144" si="18">SUM(C141:C143)</f>
        <v>-3886312.9482597299</v>
      </c>
      <c r="D144" s="134">
        <f t="shared" si="18"/>
        <v>251980.53749999893</v>
      </c>
      <c r="E144" s="134">
        <f t="shared" si="18"/>
        <v>275117.60499999882</v>
      </c>
      <c r="F144" s="134">
        <f t="shared" si="18"/>
        <v>273053.15799999889</v>
      </c>
      <c r="G144" s="134">
        <f t="shared" si="18"/>
        <v>195083.88120249892</v>
      </c>
      <c r="H144" s="135">
        <f t="shared" si="18"/>
        <v>5505020.3288528668</v>
      </c>
    </row>
    <row r="145" spans="2:8" x14ac:dyDescent="0.2">
      <c r="B145" s="136" t="s">
        <v>137</v>
      </c>
      <c r="C145" s="302">
        <f>IRR(C144:H144)</f>
        <v>0.12000137401335076</v>
      </c>
      <c r="D145" s="133"/>
      <c r="E145" s="133"/>
      <c r="F145" s="133"/>
      <c r="G145" s="133"/>
      <c r="H145" s="172"/>
    </row>
    <row r="146" spans="2:8" ht="13.5" thickBot="1" x14ac:dyDescent="0.25">
      <c r="B146" s="173"/>
      <c r="C146" s="174"/>
      <c r="D146" s="174"/>
      <c r="E146" s="174"/>
      <c r="F146" s="174"/>
      <c r="G146" s="174"/>
      <c r="H146" s="175"/>
    </row>
    <row r="147" spans="2:8" x14ac:dyDescent="0.2">
      <c r="B147" s="133"/>
      <c r="C147" s="133"/>
      <c r="D147" s="133"/>
      <c r="E147" s="133"/>
      <c r="F147" s="133"/>
      <c r="G147" s="133"/>
      <c r="H147" s="133"/>
    </row>
    <row r="148" spans="2:8" ht="13.5" thickBot="1" x14ac:dyDescent="0.25">
      <c r="B148" s="133"/>
      <c r="C148" s="133"/>
      <c r="D148" s="133"/>
      <c r="E148" s="133"/>
      <c r="F148" s="133"/>
      <c r="G148" s="133"/>
      <c r="H148" s="176"/>
    </row>
    <row r="149" spans="2:8" ht="13.5" thickBot="1" x14ac:dyDescent="0.25">
      <c r="B149" s="126" t="s">
        <v>118</v>
      </c>
      <c r="C149" s="127"/>
      <c r="D149" s="127"/>
      <c r="E149" s="128"/>
      <c r="F149" s="177"/>
      <c r="G149" s="177"/>
      <c r="H149" s="178"/>
    </row>
    <row r="150" spans="2:8" x14ac:dyDescent="0.2">
      <c r="B150" s="131"/>
      <c r="C150" s="129"/>
      <c r="D150" s="129"/>
      <c r="E150" s="129"/>
      <c r="F150" s="133"/>
      <c r="G150" s="133"/>
      <c r="H150" s="179"/>
    </row>
    <row r="151" spans="2:8" x14ac:dyDescent="0.2">
      <c r="B151" s="131"/>
      <c r="C151" s="180">
        <v>0</v>
      </c>
      <c r="D151" s="181">
        <v>1</v>
      </c>
      <c r="E151" s="180">
        <v>2</v>
      </c>
      <c r="F151" s="180">
        <v>3</v>
      </c>
      <c r="G151" s="181">
        <v>4</v>
      </c>
      <c r="H151" s="182">
        <v>5</v>
      </c>
    </row>
    <row r="152" spans="2:8" x14ac:dyDescent="0.2">
      <c r="B152" s="262" t="s">
        <v>131</v>
      </c>
      <c r="C152" s="154">
        <f>-C39</f>
        <v>-3886312.9482597299</v>
      </c>
      <c r="D152" s="183">
        <f>-(D111+D117)</f>
        <v>251980.53749999893</v>
      </c>
      <c r="E152" s="183">
        <f>-(E111+E117)</f>
        <v>275117.60499999882</v>
      </c>
      <c r="F152" s="183">
        <f>-(F111+F117)</f>
        <v>273053.15799999889</v>
      </c>
      <c r="G152" s="183">
        <f>-(G111+G117)</f>
        <v>195083.88120249892</v>
      </c>
      <c r="H152" s="184">
        <f>-(H111+H117)</f>
        <v>185507.38059313688</v>
      </c>
    </row>
    <row r="153" spans="2:8" x14ac:dyDescent="0.2">
      <c r="B153" s="152"/>
      <c r="C153" s="139"/>
      <c r="D153" s="257"/>
      <c r="E153" s="257"/>
      <c r="F153" s="257"/>
      <c r="G153" s="257"/>
      <c r="H153" s="258">
        <f>-(H125+H131+H135)</f>
        <v>5952310.8797416026</v>
      </c>
    </row>
    <row r="154" spans="2:8" x14ac:dyDescent="0.2">
      <c r="B154" s="152"/>
      <c r="C154" s="154">
        <f>SUM(C152:C153)</f>
        <v>-3886312.9482597299</v>
      </c>
      <c r="D154" s="154">
        <f t="shared" ref="D154:H154" si="19">SUM(D152:D153)</f>
        <v>251980.53749999893</v>
      </c>
      <c r="E154" s="154">
        <f t="shared" si="19"/>
        <v>275117.60499999882</v>
      </c>
      <c r="F154" s="154">
        <f t="shared" si="19"/>
        <v>273053.15799999889</v>
      </c>
      <c r="G154" s="154">
        <f t="shared" si="19"/>
        <v>195083.88120249892</v>
      </c>
      <c r="H154" s="155">
        <f t="shared" si="19"/>
        <v>6137818.2603347395</v>
      </c>
    </row>
    <row r="155" spans="2:8" x14ac:dyDescent="0.2">
      <c r="B155" s="145" t="s">
        <v>119</v>
      </c>
      <c r="C155" s="185">
        <f>IRR(C154:H154)</f>
        <v>0.14221590398908379</v>
      </c>
      <c r="D155" s="176"/>
      <c r="E155" s="176"/>
      <c r="F155" s="176"/>
      <c r="G155" s="176"/>
      <c r="H155" s="179"/>
    </row>
    <row r="156" spans="2:8" x14ac:dyDescent="0.2">
      <c r="B156" s="151"/>
      <c r="C156" s="186"/>
      <c r="D156" s="176"/>
      <c r="E156" s="176"/>
      <c r="F156" s="176"/>
      <c r="G156" s="176"/>
      <c r="H156" s="179"/>
    </row>
    <row r="157" spans="2:8" x14ac:dyDescent="0.2">
      <c r="B157" s="263" t="s">
        <v>132</v>
      </c>
      <c r="C157" s="187">
        <f>-C40</f>
        <v>-204542.78675051211</v>
      </c>
      <c r="D157" s="188">
        <f>-(D114+D118)</f>
        <v>0</v>
      </c>
      <c r="E157" s="188">
        <f>-(E114+E118)</f>
        <v>0</v>
      </c>
      <c r="F157" s="188">
        <f>-(F114+F118)</f>
        <v>0</v>
      </c>
      <c r="G157" s="188">
        <f>-(G114+G118)</f>
        <v>0</v>
      </c>
      <c r="H157" s="189">
        <f>-(H114+H118)</f>
        <v>0</v>
      </c>
    </row>
    <row r="158" spans="2:8" x14ac:dyDescent="0.2">
      <c r="B158" s="156"/>
      <c r="C158" s="149"/>
      <c r="D158" s="259"/>
      <c r="E158" s="259"/>
      <c r="F158" s="259"/>
      <c r="G158" s="259"/>
      <c r="H158" s="260">
        <f>-(H128+H136)</f>
        <v>475741.9002427432</v>
      </c>
    </row>
    <row r="159" spans="2:8" x14ac:dyDescent="0.2">
      <c r="B159" s="156"/>
      <c r="C159" s="187">
        <f>SUM(C157:C158)</f>
        <v>-204542.78675051211</v>
      </c>
      <c r="D159" s="187">
        <f t="shared" ref="D159:H159" si="20">SUM(D157:D158)</f>
        <v>0</v>
      </c>
      <c r="E159" s="187">
        <f t="shared" si="20"/>
        <v>0</v>
      </c>
      <c r="F159" s="187">
        <f t="shared" si="20"/>
        <v>0</v>
      </c>
      <c r="G159" s="187">
        <f t="shared" si="20"/>
        <v>0</v>
      </c>
      <c r="H159" s="264">
        <f t="shared" si="20"/>
        <v>475741.9002427432</v>
      </c>
    </row>
    <row r="160" spans="2:8" ht="13.5" thickBot="1" x14ac:dyDescent="0.25">
      <c r="B160" s="261" t="s">
        <v>119</v>
      </c>
      <c r="C160" s="359">
        <f>IRR(C159:H159)</f>
        <v>0.18390661419630461</v>
      </c>
      <c r="D160" s="174"/>
      <c r="E160" s="174"/>
      <c r="F160" s="174"/>
      <c r="G160" s="174"/>
      <c r="H160" s="175"/>
    </row>
    <row r="162" spans="2:3" x14ac:dyDescent="0.2">
      <c r="B162" s="316" t="s">
        <v>230</v>
      </c>
    </row>
    <row r="163" spans="2:3" x14ac:dyDescent="0.2">
      <c r="B163" s="314" t="s">
        <v>231</v>
      </c>
      <c r="C163" s="315">
        <f>D80/C7</f>
        <v>8.192635309278351E-2</v>
      </c>
    </row>
  </sheetData>
  <mergeCells count="7">
    <mergeCell ref="B59:E59"/>
    <mergeCell ref="B3:I3"/>
    <mergeCell ref="B4:I4"/>
    <mergeCell ref="B14:E14"/>
    <mergeCell ref="B31:E31"/>
    <mergeCell ref="B6:E6"/>
    <mergeCell ref="B45:E45"/>
  </mergeCells>
  <conditionalFormatting sqref="D85:I85">
    <cfRule type="cellIs" dxfId="3" priority="1" operator="lessThan">
      <formula>0</formula>
    </cfRule>
  </conditionalFormatting>
  <pageMargins left="0.25" right="0.25" top="0.75" bottom="0.75" header="0.3" footer="0.3"/>
  <pageSetup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160"/>
  <sheetViews>
    <sheetView workbookViewId="0"/>
  </sheetViews>
  <sheetFormatPr defaultRowHeight="12.75" x14ac:dyDescent="0.2"/>
  <cols>
    <col min="1" max="1" width="4.5703125" customWidth="1"/>
    <col min="2" max="2" width="30.5703125" customWidth="1"/>
    <col min="3" max="9" width="14.28515625" customWidth="1"/>
  </cols>
  <sheetData>
    <row r="2" spans="2:9" ht="13.5" thickBot="1" x14ac:dyDescent="0.25"/>
    <row r="3" spans="2:9" ht="18.75" thickBot="1" x14ac:dyDescent="0.3">
      <c r="B3" s="338" t="s">
        <v>75</v>
      </c>
      <c r="C3" s="339"/>
      <c r="D3" s="339"/>
      <c r="E3" s="339"/>
      <c r="F3" s="339"/>
      <c r="G3" s="339"/>
      <c r="H3" s="339"/>
      <c r="I3" s="340"/>
    </row>
    <row r="4" spans="2:9" ht="16.5" thickBot="1" x14ac:dyDescent="0.3">
      <c r="B4" s="341" t="s">
        <v>200</v>
      </c>
      <c r="C4" s="342"/>
      <c r="D4" s="342"/>
      <c r="E4" s="342"/>
      <c r="F4" s="342"/>
      <c r="G4" s="342"/>
      <c r="H4" s="342"/>
      <c r="I4" s="343"/>
    </row>
    <row r="5" spans="2:9" ht="13.5" thickBot="1" x14ac:dyDescent="0.25">
      <c r="B5" s="20"/>
      <c r="C5" s="51"/>
      <c r="D5" s="51"/>
      <c r="E5" s="51"/>
      <c r="F5" s="51"/>
      <c r="G5" s="51"/>
      <c r="H5" s="51"/>
      <c r="I5" s="51"/>
    </row>
    <row r="6" spans="2:9" ht="13.5" thickBot="1" x14ac:dyDescent="0.25">
      <c r="B6" s="344" t="s">
        <v>77</v>
      </c>
      <c r="C6" s="345"/>
      <c r="D6" s="345"/>
      <c r="E6" s="346"/>
      <c r="F6" s="51"/>
      <c r="G6" s="51"/>
      <c r="H6" s="51"/>
      <c r="I6" s="51"/>
    </row>
    <row r="7" spans="2:9" x14ac:dyDescent="0.2">
      <c r="B7" s="20" t="s">
        <v>78</v>
      </c>
      <c r="C7" s="291">
        <f>'Cash Flow (Loan A)'!C7</f>
        <v>19400000</v>
      </c>
      <c r="D7" s="51"/>
      <c r="E7" s="50"/>
      <c r="F7" s="51"/>
      <c r="G7" s="51"/>
      <c r="H7" s="51"/>
      <c r="I7" s="51"/>
    </row>
    <row r="8" spans="2:9" x14ac:dyDescent="0.2">
      <c r="B8" s="20" t="s">
        <v>82</v>
      </c>
      <c r="C8" s="101">
        <v>0.01</v>
      </c>
      <c r="D8" s="81" t="s">
        <v>201</v>
      </c>
      <c r="E8" s="50"/>
      <c r="F8" s="51"/>
      <c r="G8" s="51"/>
      <c r="H8" s="51"/>
      <c r="I8" s="51"/>
    </row>
    <row r="9" spans="2:9" x14ac:dyDescent="0.2">
      <c r="B9" s="20" t="s">
        <v>102</v>
      </c>
      <c r="C9" s="101">
        <v>0.01</v>
      </c>
      <c r="D9" s="81" t="s">
        <v>248</v>
      </c>
      <c r="E9" s="50"/>
      <c r="F9" s="51"/>
      <c r="G9" s="51"/>
      <c r="H9" s="51"/>
      <c r="I9" s="51"/>
    </row>
    <row r="10" spans="2:9" x14ac:dyDescent="0.2">
      <c r="B10" s="20"/>
      <c r="C10" s="125"/>
      <c r="D10" s="51"/>
      <c r="E10" s="50"/>
      <c r="F10" s="51"/>
      <c r="G10" s="51"/>
      <c r="H10" s="51"/>
      <c r="I10" s="51"/>
    </row>
    <row r="11" spans="2:9" x14ac:dyDescent="0.2">
      <c r="B11" s="20" t="s">
        <v>109</v>
      </c>
      <c r="C11" s="101">
        <v>7.4999999999999997E-2</v>
      </c>
      <c r="D11" s="51"/>
      <c r="E11" s="50"/>
      <c r="F11" s="51"/>
      <c r="G11" s="51"/>
      <c r="H11" s="51"/>
      <c r="I11" s="51"/>
    </row>
    <row r="12" spans="2:9" x14ac:dyDescent="0.2">
      <c r="B12" s="20" t="s">
        <v>110</v>
      </c>
      <c r="C12" s="101">
        <v>0.04</v>
      </c>
      <c r="D12" s="51"/>
      <c r="E12" s="50"/>
      <c r="F12" s="51"/>
      <c r="G12" s="51"/>
      <c r="H12" s="51"/>
      <c r="I12" s="51"/>
    </row>
    <row r="13" spans="2:9" ht="13.5" thickBot="1" x14ac:dyDescent="0.25">
      <c r="B13" s="45"/>
      <c r="C13" s="98"/>
      <c r="D13" s="331"/>
      <c r="E13" s="214"/>
      <c r="F13" s="48"/>
      <c r="G13" s="48"/>
      <c r="H13" s="48"/>
      <c r="I13" s="48"/>
    </row>
    <row r="14" spans="2:9" ht="13.5" thickBot="1" x14ac:dyDescent="0.25">
      <c r="B14" s="344" t="s">
        <v>207</v>
      </c>
      <c r="C14" s="345"/>
      <c r="D14" s="345"/>
      <c r="E14" s="346"/>
      <c r="F14" s="7"/>
      <c r="G14" s="7"/>
      <c r="H14" s="7"/>
      <c r="I14" s="7"/>
    </row>
    <row r="15" spans="2:9" x14ac:dyDescent="0.2">
      <c r="B15" s="45"/>
      <c r="C15" s="44"/>
      <c r="D15" s="97"/>
      <c r="E15" s="42"/>
      <c r="F15" s="37"/>
      <c r="G15" s="23"/>
      <c r="H15" s="23"/>
      <c r="I15" s="7"/>
    </row>
    <row r="16" spans="2:9" x14ac:dyDescent="0.2">
      <c r="B16" s="45" t="s">
        <v>76</v>
      </c>
      <c r="C16" s="102">
        <v>0.72</v>
      </c>
      <c r="E16" s="42"/>
      <c r="F16" s="37"/>
      <c r="G16" s="23"/>
      <c r="H16" s="23"/>
      <c r="I16" s="7"/>
    </row>
    <row r="17" spans="2:9" x14ac:dyDescent="0.2">
      <c r="B17" s="45" t="s">
        <v>96</v>
      </c>
      <c r="C17" s="103">
        <v>1.4</v>
      </c>
      <c r="E17" s="42"/>
      <c r="F17" s="37"/>
      <c r="G17" s="23"/>
      <c r="H17" s="23"/>
      <c r="I17" s="7"/>
    </row>
    <row r="18" spans="2:9" x14ac:dyDescent="0.2">
      <c r="B18" s="45" t="s">
        <v>83</v>
      </c>
      <c r="C18" s="104">
        <v>1.4999999999999999E-2</v>
      </c>
      <c r="D18" s="98"/>
      <c r="E18" s="42"/>
      <c r="F18" s="37"/>
      <c r="G18" s="23"/>
      <c r="H18" s="23"/>
      <c r="I18" s="7"/>
    </row>
    <row r="19" spans="2:9" x14ac:dyDescent="0.2">
      <c r="B19" s="45" t="s">
        <v>92</v>
      </c>
      <c r="C19" s="104">
        <v>6.5000000000000002E-2</v>
      </c>
      <c r="D19" s="98"/>
      <c r="E19" s="42"/>
      <c r="F19" s="37"/>
      <c r="G19" s="23"/>
      <c r="H19" s="23"/>
      <c r="I19" s="7"/>
    </row>
    <row r="20" spans="2:9" x14ac:dyDescent="0.2">
      <c r="B20" s="45" t="s">
        <v>93</v>
      </c>
      <c r="C20" s="107">
        <v>30</v>
      </c>
      <c r="D20" s="98" t="s">
        <v>71</v>
      </c>
      <c r="E20" s="42"/>
      <c r="F20" s="37"/>
      <c r="G20" s="23"/>
      <c r="H20" s="23"/>
      <c r="I20" s="7"/>
    </row>
    <row r="21" spans="2:9" x14ac:dyDescent="0.2">
      <c r="B21" s="45" t="s">
        <v>100</v>
      </c>
      <c r="C21" s="107">
        <v>10</v>
      </c>
      <c r="D21" s="98" t="s">
        <v>71</v>
      </c>
      <c r="E21" s="42"/>
      <c r="F21" s="37"/>
      <c r="G21" s="23"/>
      <c r="H21" s="23"/>
      <c r="I21" s="7"/>
    </row>
    <row r="22" spans="2:9" x14ac:dyDescent="0.2">
      <c r="B22" s="45"/>
      <c r="C22" s="104"/>
      <c r="D22" s="98"/>
      <c r="E22" s="42"/>
      <c r="F22" s="37"/>
      <c r="G22" s="23"/>
      <c r="H22" s="23"/>
      <c r="I22" s="7"/>
    </row>
    <row r="23" spans="2:9" x14ac:dyDescent="0.2">
      <c r="B23" s="115" t="s">
        <v>98</v>
      </c>
      <c r="C23" s="44"/>
      <c r="D23" s="98"/>
      <c r="E23" s="42"/>
      <c r="F23" s="37"/>
      <c r="G23" s="23"/>
      <c r="H23" s="23"/>
      <c r="I23" s="7"/>
    </row>
    <row r="24" spans="2:9" x14ac:dyDescent="0.2">
      <c r="B24" s="45" t="s">
        <v>90</v>
      </c>
      <c r="C24" s="106">
        <f>NOI!D115</f>
        <v>1589371.25</v>
      </c>
      <c r="D24" s="98" t="s">
        <v>91</v>
      </c>
      <c r="E24" s="42"/>
      <c r="F24" s="37"/>
      <c r="G24" s="23"/>
      <c r="H24" s="23"/>
      <c r="I24" s="7"/>
    </row>
    <row r="25" spans="2:9" x14ac:dyDescent="0.2">
      <c r="B25" s="45" t="s">
        <v>97</v>
      </c>
      <c r="C25" s="110">
        <f>C24/C17</f>
        <v>1135265.1785714286</v>
      </c>
      <c r="D25" s="98"/>
      <c r="E25" s="42"/>
      <c r="F25" s="37"/>
      <c r="G25" s="23"/>
      <c r="H25" s="23"/>
      <c r="I25" s="7"/>
    </row>
    <row r="26" spans="2:9" x14ac:dyDescent="0.2">
      <c r="B26" s="45" t="s">
        <v>95</v>
      </c>
      <c r="C26" s="111">
        <f>-PV(C19/12,C20*12,C25/12)</f>
        <v>14967602.85780726</v>
      </c>
      <c r="D26" s="98"/>
      <c r="E26" s="42"/>
      <c r="F26" s="37"/>
      <c r="G26" s="23"/>
      <c r="H26" s="23"/>
      <c r="I26" s="7"/>
    </row>
    <row r="27" spans="2:9" x14ac:dyDescent="0.2">
      <c r="B27" s="45" t="s">
        <v>94</v>
      </c>
      <c r="C27" s="108">
        <f>C7*C16</f>
        <v>13968000</v>
      </c>
      <c r="D27" s="98"/>
      <c r="E27" s="42"/>
      <c r="F27" s="37"/>
      <c r="G27" s="23"/>
      <c r="H27" s="23"/>
      <c r="I27" s="7"/>
    </row>
    <row r="28" spans="2:9" x14ac:dyDescent="0.2">
      <c r="B28" s="45" t="s">
        <v>218</v>
      </c>
      <c r="C28" s="108">
        <f>MIN(C26:C27)</f>
        <v>13968000</v>
      </c>
      <c r="D28" s="98"/>
      <c r="E28" s="42"/>
      <c r="F28" s="37"/>
      <c r="G28" s="23"/>
      <c r="H28" s="23"/>
      <c r="I28" s="7"/>
    </row>
    <row r="29" spans="2:9" x14ac:dyDescent="0.2">
      <c r="B29" s="45"/>
      <c r="C29" s="109"/>
      <c r="D29" s="98"/>
      <c r="E29" s="42"/>
      <c r="F29" s="37"/>
      <c r="G29" s="23"/>
      <c r="H29" s="23"/>
      <c r="I29" s="7"/>
    </row>
    <row r="30" spans="2:9" ht="13.5" thickBot="1" x14ac:dyDescent="0.25">
      <c r="B30" s="45" t="s">
        <v>215</v>
      </c>
      <c r="C30" s="89">
        <f>-PMT(C19/12,C20*12,C28)*12</f>
        <v>1059447.1382579661</v>
      </c>
      <c r="D30" s="98"/>
      <c r="E30" s="42"/>
      <c r="F30" s="37"/>
      <c r="G30" s="23"/>
      <c r="H30" s="23"/>
      <c r="I30" s="7"/>
    </row>
    <row r="31" spans="2:9" ht="13.5" thickBot="1" x14ac:dyDescent="0.25">
      <c r="B31" s="344" t="s">
        <v>79</v>
      </c>
      <c r="C31" s="345"/>
      <c r="D31" s="345"/>
      <c r="E31" s="346"/>
      <c r="F31" s="7"/>
      <c r="G31" s="7"/>
      <c r="H31" s="7"/>
      <c r="I31" s="7"/>
    </row>
    <row r="32" spans="2:9" x14ac:dyDescent="0.2">
      <c r="B32" s="286" t="s">
        <v>209</v>
      </c>
      <c r="C32" s="191"/>
      <c r="D32" s="192"/>
      <c r="E32" s="193"/>
      <c r="F32" s="96"/>
      <c r="G32" s="96"/>
      <c r="H32" s="86"/>
      <c r="I32" s="96"/>
    </row>
    <row r="33" spans="2:9" x14ac:dyDescent="0.2">
      <c r="B33" s="20" t="s">
        <v>86</v>
      </c>
      <c r="C33" s="105">
        <v>25000</v>
      </c>
      <c r="D33" s="23"/>
      <c r="E33" s="36"/>
      <c r="F33" s="96"/>
      <c r="G33" s="96"/>
      <c r="H33" s="86"/>
      <c r="I33" s="96"/>
    </row>
    <row r="34" spans="2:9" x14ac:dyDescent="0.2">
      <c r="B34" s="20" t="s">
        <v>216</v>
      </c>
      <c r="C34" s="112">
        <f>C7+(C7*C8)</f>
        <v>19594000</v>
      </c>
      <c r="D34" s="23"/>
      <c r="E34" s="36"/>
      <c r="F34" s="96"/>
      <c r="G34" s="96"/>
      <c r="H34" s="86"/>
      <c r="I34" s="96"/>
    </row>
    <row r="35" spans="2:9" x14ac:dyDescent="0.2">
      <c r="B35" s="20" t="s">
        <v>217</v>
      </c>
      <c r="C35" s="113">
        <f>-(1-C18)*C28</f>
        <v>-13758480</v>
      </c>
      <c r="D35" s="23"/>
      <c r="E35" s="36"/>
      <c r="F35" s="96"/>
      <c r="G35" s="96"/>
      <c r="H35" s="86"/>
      <c r="I35" s="96"/>
    </row>
    <row r="36" spans="2:9" ht="13.5" thickBot="1" x14ac:dyDescent="0.25">
      <c r="B36" s="20" t="s">
        <v>261</v>
      </c>
      <c r="C36" s="336">
        <f>SUM(C33:C35)</f>
        <v>5860520</v>
      </c>
      <c r="D36" s="23"/>
      <c r="E36" s="36"/>
      <c r="F36" s="96"/>
      <c r="G36" s="96"/>
      <c r="H36" s="86"/>
      <c r="I36" s="96"/>
    </row>
    <row r="37" spans="2:9" ht="13.5" thickTop="1" x14ac:dyDescent="0.2">
      <c r="B37" s="20"/>
      <c r="C37" s="112"/>
      <c r="D37" s="23"/>
      <c r="E37" s="36"/>
      <c r="F37" s="96"/>
      <c r="G37" s="96"/>
      <c r="H37" s="86"/>
      <c r="I37" s="96"/>
    </row>
    <row r="38" spans="2:9" x14ac:dyDescent="0.2">
      <c r="B38" s="229" t="s">
        <v>208</v>
      </c>
      <c r="C38" s="287" t="s">
        <v>210</v>
      </c>
      <c r="D38" s="23"/>
      <c r="E38" s="36"/>
      <c r="F38" s="96"/>
      <c r="G38" s="96"/>
      <c r="H38" s="86"/>
      <c r="I38" s="96"/>
    </row>
    <row r="39" spans="2:9" x14ac:dyDescent="0.2">
      <c r="B39" s="20" t="s">
        <v>81</v>
      </c>
      <c r="C39" s="190">
        <f>$C$36*D39</f>
        <v>5567494</v>
      </c>
      <c r="D39" s="102">
        <v>0.95</v>
      </c>
      <c r="E39" s="36"/>
      <c r="F39" s="96"/>
      <c r="G39" s="96"/>
      <c r="H39" s="86"/>
      <c r="I39" s="96"/>
    </row>
    <row r="40" spans="2:9" x14ac:dyDescent="0.2">
      <c r="B40" s="20" t="s">
        <v>80</v>
      </c>
      <c r="C40" s="190">
        <f>$C$36*D40</f>
        <v>293026</v>
      </c>
      <c r="D40" s="102">
        <v>0.05</v>
      </c>
      <c r="E40" s="36"/>
      <c r="F40" s="96"/>
      <c r="G40" s="96"/>
      <c r="H40" s="86"/>
      <c r="I40" s="96"/>
    </row>
    <row r="41" spans="2:9" ht="13.5" thickBot="1" x14ac:dyDescent="0.25">
      <c r="B41" s="311" t="s">
        <v>262</v>
      </c>
      <c r="C41" s="337">
        <f>SUM(C39:C40)</f>
        <v>5860520</v>
      </c>
      <c r="D41" s="102"/>
      <c r="E41" s="36"/>
      <c r="F41" s="96"/>
      <c r="G41" s="96"/>
      <c r="H41" s="86"/>
      <c r="I41" s="96"/>
    </row>
    <row r="42" spans="2:9" ht="13.5" thickTop="1" x14ac:dyDescent="0.2">
      <c r="B42" s="20"/>
      <c r="C42" s="112"/>
      <c r="D42" s="23"/>
      <c r="E42" s="36"/>
      <c r="F42" s="96"/>
      <c r="G42" s="96"/>
      <c r="H42" s="86"/>
      <c r="I42" s="96"/>
    </row>
    <row r="43" spans="2:9" x14ac:dyDescent="0.2">
      <c r="B43" s="20" t="s">
        <v>139</v>
      </c>
      <c r="C43" s="102">
        <v>0.01</v>
      </c>
      <c r="D43" s="23" t="s">
        <v>140</v>
      </c>
      <c r="E43" s="36"/>
      <c r="F43" s="96"/>
      <c r="G43" s="96"/>
      <c r="H43" s="86"/>
      <c r="I43" s="96"/>
    </row>
    <row r="44" spans="2:9" ht="13.5" thickBot="1" x14ac:dyDescent="0.25">
      <c r="B44" s="300" t="s">
        <v>221</v>
      </c>
      <c r="C44" s="105">
        <v>25000</v>
      </c>
      <c r="D44" s="196"/>
      <c r="E44" s="78"/>
      <c r="F44" s="96"/>
      <c r="G44" s="96"/>
      <c r="H44" s="86"/>
      <c r="I44" s="96"/>
    </row>
    <row r="45" spans="2:9" ht="13.5" thickBot="1" x14ac:dyDescent="0.25">
      <c r="B45" s="344" t="s">
        <v>232</v>
      </c>
      <c r="C45" s="345"/>
      <c r="D45" s="345"/>
      <c r="E45" s="346"/>
      <c r="F45" s="96"/>
      <c r="G45" s="96"/>
      <c r="H45" s="86"/>
      <c r="I45" s="96"/>
    </row>
    <row r="46" spans="2:9" x14ac:dyDescent="0.2">
      <c r="B46" s="319" t="s">
        <v>233</v>
      </c>
      <c r="C46" s="320"/>
      <c r="D46" s="192"/>
      <c r="E46" s="193"/>
      <c r="F46" s="96"/>
      <c r="G46" s="96"/>
      <c r="H46" s="86"/>
      <c r="I46" s="96"/>
    </row>
    <row r="47" spans="2:9" x14ac:dyDescent="0.2">
      <c r="B47" s="321" t="s">
        <v>234</v>
      </c>
      <c r="C47" s="322">
        <f>C28</f>
        <v>13968000</v>
      </c>
      <c r="D47" s="23"/>
      <c r="E47" s="36"/>
      <c r="F47" s="96"/>
      <c r="G47" s="96"/>
      <c r="H47" s="86"/>
      <c r="I47" s="96"/>
    </row>
    <row r="48" spans="2:9" x14ac:dyDescent="0.2">
      <c r="B48" s="321" t="s">
        <v>235</v>
      </c>
      <c r="C48" s="322">
        <f>-C47*C18</f>
        <v>-209520</v>
      </c>
      <c r="D48" s="23"/>
      <c r="E48" s="36"/>
      <c r="F48" s="96"/>
      <c r="G48" s="96"/>
      <c r="H48" s="86"/>
      <c r="I48" s="96"/>
    </row>
    <row r="49" spans="2:9" x14ac:dyDescent="0.2">
      <c r="B49" s="321" t="s">
        <v>236</v>
      </c>
      <c r="C49" s="322">
        <f>C39</f>
        <v>5567494</v>
      </c>
      <c r="D49" s="23"/>
      <c r="E49" s="36"/>
      <c r="F49" s="96"/>
      <c r="G49" s="96"/>
      <c r="H49" s="86"/>
      <c r="I49" s="96"/>
    </row>
    <row r="50" spans="2:9" x14ac:dyDescent="0.2">
      <c r="B50" s="321" t="s">
        <v>237</v>
      </c>
      <c r="C50" s="323">
        <f>C40</f>
        <v>293026</v>
      </c>
      <c r="D50" s="23"/>
      <c r="E50" s="36"/>
      <c r="F50" s="96"/>
      <c r="G50" s="96"/>
      <c r="H50" s="86"/>
      <c r="I50" s="96"/>
    </row>
    <row r="51" spans="2:9" ht="13.5" thickBot="1" x14ac:dyDescent="0.25">
      <c r="B51" s="321" t="s">
        <v>238</v>
      </c>
      <c r="C51" s="324">
        <f>SUM(C47:C50)</f>
        <v>19619000</v>
      </c>
      <c r="D51" s="23"/>
      <c r="E51" s="36"/>
      <c r="F51" s="96"/>
      <c r="G51" s="96"/>
      <c r="H51" s="86"/>
      <c r="I51" s="96"/>
    </row>
    <row r="52" spans="2:9" ht="13.5" thickTop="1" x14ac:dyDescent="0.2">
      <c r="B52" s="311"/>
      <c r="C52" s="322"/>
      <c r="D52" s="23"/>
      <c r="E52" s="36"/>
      <c r="F52" s="96"/>
      <c r="G52" s="96"/>
      <c r="H52" s="86"/>
      <c r="I52" s="96"/>
    </row>
    <row r="53" spans="2:9" x14ac:dyDescent="0.2">
      <c r="B53" s="325" t="s">
        <v>239</v>
      </c>
      <c r="C53" s="322"/>
      <c r="D53" s="23"/>
      <c r="E53" s="36"/>
      <c r="F53" s="96"/>
      <c r="G53" s="96"/>
      <c r="H53" s="86"/>
      <c r="I53" s="96"/>
    </row>
    <row r="54" spans="2:9" x14ac:dyDescent="0.2">
      <c r="B54" s="321" t="s">
        <v>78</v>
      </c>
      <c r="C54" s="322">
        <f>C7</f>
        <v>19400000</v>
      </c>
      <c r="D54" s="23"/>
      <c r="E54" s="36"/>
      <c r="F54" s="96"/>
      <c r="G54" s="96"/>
      <c r="H54" s="86"/>
      <c r="I54" s="96"/>
    </row>
    <row r="55" spans="2:9" x14ac:dyDescent="0.2">
      <c r="B55" s="321" t="s">
        <v>240</v>
      </c>
      <c r="C55" s="322">
        <f>C7*C8</f>
        <v>194000</v>
      </c>
      <c r="D55" s="23"/>
      <c r="E55" s="36"/>
      <c r="F55" s="96"/>
      <c r="G55" s="96"/>
      <c r="H55" s="86"/>
      <c r="I55" s="96"/>
    </row>
    <row r="56" spans="2:9" x14ac:dyDescent="0.2">
      <c r="B56" s="321" t="s">
        <v>241</v>
      </c>
      <c r="C56" s="323">
        <f>C33</f>
        <v>25000</v>
      </c>
      <c r="D56" s="23"/>
      <c r="E56" s="36"/>
      <c r="F56" s="96"/>
      <c r="G56" s="96"/>
      <c r="H56" s="86"/>
      <c r="I56" s="96"/>
    </row>
    <row r="57" spans="2:9" ht="13.5" thickBot="1" x14ac:dyDescent="0.25">
      <c r="B57" s="321" t="s">
        <v>242</v>
      </c>
      <c r="C57" s="324">
        <f>SUM(C54:C56)</f>
        <v>19619000</v>
      </c>
      <c r="D57" s="23"/>
      <c r="E57" s="36"/>
      <c r="F57" s="96"/>
      <c r="G57" s="96"/>
      <c r="H57" s="86"/>
      <c r="I57" s="96"/>
    </row>
    <row r="58" spans="2:9" ht="14.25" thickTop="1" thickBot="1" x14ac:dyDescent="0.25">
      <c r="B58" s="300"/>
      <c r="C58" s="326"/>
      <c r="D58" s="196"/>
      <c r="E58" s="78"/>
      <c r="F58" s="96"/>
      <c r="G58" s="96"/>
      <c r="H58" s="86"/>
      <c r="I58" s="96"/>
    </row>
    <row r="59" spans="2:9" ht="13.5" thickBot="1" x14ac:dyDescent="0.25">
      <c r="B59" s="344" t="s">
        <v>84</v>
      </c>
      <c r="C59" s="345"/>
      <c r="D59" s="345"/>
      <c r="E59" s="346"/>
      <c r="F59" s="96"/>
      <c r="G59" s="96"/>
      <c r="H59" s="86"/>
      <c r="I59" s="96"/>
    </row>
    <row r="60" spans="2:9" x14ac:dyDescent="0.2">
      <c r="B60" s="20"/>
      <c r="C60" s="96"/>
      <c r="D60" s="23"/>
      <c r="E60" s="36"/>
      <c r="F60" s="96"/>
      <c r="G60" s="96"/>
      <c r="H60" s="86"/>
      <c r="I60" s="96"/>
    </row>
    <row r="61" spans="2:9" x14ac:dyDescent="0.2">
      <c r="B61" s="20" t="s">
        <v>87</v>
      </c>
      <c r="C61" s="105">
        <v>50000</v>
      </c>
      <c r="D61" s="23"/>
      <c r="E61" s="36"/>
      <c r="F61" s="96"/>
      <c r="G61" s="96"/>
      <c r="H61" s="86"/>
      <c r="I61" s="96"/>
    </row>
    <row r="62" spans="2:9" x14ac:dyDescent="0.2">
      <c r="B62" s="20" t="s">
        <v>85</v>
      </c>
      <c r="C62" s="102">
        <v>0.08</v>
      </c>
      <c r="D62" s="23" t="s">
        <v>122</v>
      </c>
      <c r="E62" s="36"/>
      <c r="F62" s="96"/>
      <c r="G62" s="96"/>
      <c r="H62" s="86"/>
      <c r="I62" s="96"/>
    </row>
    <row r="63" spans="2:9" x14ac:dyDescent="0.2">
      <c r="B63" s="20"/>
      <c r="C63" s="102"/>
      <c r="D63" s="23"/>
      <c r="E63" s="36"/>
      <c r="F63" s="96"/>
      <c r="G63" s="96"/>
      <c r="H63" s="86"/>
      <c r="I63" s="96"/>
    </row>
    <row r="64" spans="2:9" x14ac:dyDescent="0.2">
      <c r="B64" s="20" t="s">
        <v>88</v>
      </c>
      <c r="C64" s="102">
        <v>0.7</v>
      </c>
      <c r="D64" s="23"/>
      <c r="E64" s="36"/>
      <c r="F64" s="96"/>
      <c r="G64" s="96"/>
      <c r="H64" s="86"/>
      <c r="I64" s="96"/>
    </row>
    <row r="65" spans="1:9" x14ac:dyDescent="0.2">
      <c r="B65" s="20" t="s">
        <v>89</v>
      </c>
      <c r="C65" s="102">
        <v>0.3</v>
      </c>
      <c r="D65" s="23"/>
      <c r="E65" s="36"/>
      <c r="F65" s="96"/>
      <c r="G65" s="96"/>
      <c r="H65" s="86"/>
      <c r="I65" s="96"/>
    </row>
    <row r="66" spans="1:9" ht="13.5" thickBot="1" x14ac:dyDescent="0.25">
      <c r="B66" s="194"/>
      <c r="C66" s="195"/>
      <c r="D66" s="196"/>
      <c r="E66" s="78"/>
      <c r="F66" s="96"/>
      <c r="G66" s="96"/>
      <c r="H66" s="86"/>
      <c r="I66" s="96"/>
    </row>
    <row r="67" spans="1:9" x14ac:dyDescent="0.2">
      <c r="B67" s="23"/>
      <c r="C67" s="96"/>
      <c r="D67" s="23"/>
      <c r="E67" s="23"/>
      <c r="F67" s="96"/>
      <c r="G67" s="96"/>
      <c r="H67" s="86"/>
      <c r="I67" s="96"/>
    </row>
    <row r="68" spans="1:9" ht="13.5" thickBot="1" x14ac:dyDescent="0.25">
      <c r="A68" s="23"/>
      <c r="B68" s="117"/>
      <c r="C68" s="87"/>
      <c r="D68" s="86"/>
      <c r="E68" s="86"/>
      <c r="F68" s="86"/>
      <c r="G68" s="86"/>
      <c r="H68" s="86"/>
      <c r="I68" s="96"/>
    </row>
    <row r="69" spans="1:9" ht="13.5" thickBot="1" x14ac:dyDescent="0.25">
      <c r="A69" s="23"/>
      <c r="B69" s="215" t="s">
        <v>133</v>
      </c>
      <c r="C69" s="281"/>
      <c r="D69" s="281"/>
      <c r="E69" s="281"/>
      <c r="F69" s="281"/>
      <c r="G69" s="281"/>
      <c r="H69" s="216"/>
      <c r="I69" s="282"/>
    </row>
    <row r="70" spans="1:9" ht="13.5" thickBot="1" x14ac:dyDescent="0.25">
      <c r="B70" s="99" t="s">
        <v>10</v>
      </c>
      <c r="C70" s="99">
        <v>0</v>
      </c>
      <c r="D70" s="99">
        <v>1</v>
      </c>
      <c r="E70" s="99">
        <v>2</v>
      </c>
      <c r="F70" s="99">
        <v>3</v>
      </c>
      <c r="G70" s="99">
        <v>4</v>
      </c>
      <c r="H70" s="99">
        <v>5</v>
      </c>
      <c r="I70" s="116">
        <v>6</v>
      </c>
    </row>
    <row r="71" spans="1:9" x14ac:dyDescent="0.2">
      <c r="B71" s="88" t="s">
        <v>99</v>
      </c>
      <c r="C71" s="197">
        <f>C28</f>
        <v>13968000</v>
      </c>
      <c r="D71" s="114">
        <f>-PV($C$19/12,$C$20*12-12*D70,$C$30/12)</f>
        <v>13811876.106495617</v>
      </c>
      <c r="E71" s="114">
        <f t="shared" ref="E71:I71" si="0">-PV($C$19/12,$C$20*12-12*E70,$C$30/12)</f>
        <v>13645296.306701452</v>
      </c>
      <c r="F71" s="114">
        <f t="shared" si="0"/>
        <v>13467560.349208858</v>
      </c>
      <c r="G71" s="114">
        <f t="shared" si="0"/>
        <v>13277921.085475542</v>
      </c>
      <c r="H71" s="114">
        <f t="shared" si="0"/>
        <v>13075581.329037603</v>
      </c>
      <c r="I71" s="198">
        <f t="shared" si="0"/>
        <v>12859690.504377276</v>
      </c>
    </row>
    <row r="72" spans="1:9" x14ac:dyDescent="0.2">
      <c r="B72" s="88" t="s">
        <v>174</v>
      </c>
      <c r="C72" s="23"/>
      <c r="D72" s="89">
        <f>$C$30</f>
        <v>1059447.1382579661</v>
      </c>
      <c r="E72" s="89">
        <f t="shared" ref="E72:I72" si="1">$C$30</f>
        <v>1059447.1382579661</v>
      </c>
      <c r="F72" s="89">
        <f t="shared" si="1"/>
        <v>1059447.1382579661</v>
      </c>
      <c r="G72" s="89">
        <f t="shared" si="1"/>
        <v>1059447.1382579661</v>
      </c>
      <c r="H72" s="89">
        <f t="shared" si="1"/>
        <v>1059447.1382579661</v>
      </c>
      <c r="I72" s="199">
        <f t="shared" si="1"/>
        <v>1059447.1382579661</v>
      </c>
    </row>
    <row r="73" spans="1:9" x14ac:dyDescent="0.2">
      <c r="B73" s="88" t="s">
        <v>73</v>
      </c>
      <c r="C73" s="23"/>
      <c r="D73" s="89">
        <f>C71-D71</f>
        <v>156123.89350438304</v>
      </c>
      <c r="E73" s="89">
        <f t="shared" ref="E73:I73" si="2">D71-E71</f>
        <v>166579.79979416542</v>
      </c>
      <c r="F73" s="89">
        <f t="shared" si="2"/>
        <v>177735.95749259368</v>
      </c>
      <c r="G73" s="89">
        <f t="shared" si="2"/>
        <v>189639.26373331621</v>
      </c>
      <c r="H73" s="89">
        <f t="shared" si="2"/>
        <v>202339.75643793866</v>
      </c>
      <c r="I73" s="199">
        <f t="shared" si="2"/>
        <v>215890.82466032729</v>
      </c>
    </row>
    <row r="74" spans="1:9" ht="13.5" thickBot="1" x14ac:dyDescent="0.25">
      <c r="B74" s="91" t="s">
        <v>72</v>
      </c>
      <c r="C74" s="196"/>
      <c r="D74" s="93">
        <f>D72-D73</f>
        <v>903323.2447535831</v>
      </c>
      <c r="E74" s="93">
        <f t="shared" ref="E74:I74" si="3">E72-E73</f>
        <v>892867.33846380073</v>
      </c>
      <c r="F74" s="93">
        <f t="shared" si="3"/>
        <v>881711.18076537247</v>
      </c>
      <c r="G74" s="93">
        <f t="shared" si="3"/>
        <v>869807.87452464993</v>
      </c>
      <c r="H74" s="93">
        <f t="shared" si="3"/>
        <v>857107.38182002748</v>
      </c>
      <c r="I74" s="200">
        <f t="shared" si="3"/>
        <v>843556.31359763886</v>
      </c>
    </row>
    <row r="75" spans="1:9" x14ac:dyDescent="0.2">
      <c r="B75" s="292" t="s">
        <v>219</v>
      </c>
      <c r="C75" s="293">
        <f>C35</f>
        <v>-13758480</v>
      </c>
      <c r="D75" s="293">
        <f>D72</f>
        <v>1059447.1382579661</v>
      </c>
      <c r="E75" s="293">
        <f t="shared" ref="E75:G75" si="4">E72</f>
        <v>1059447.1382579661</v>
      </c>
      <c r="F75" s="293">
        <f t="shared" si="4"/>
        <v>1059447.1382579661</v>
      </c>
      <c r="G75" s="293">
        <f t="shared" si="4"/>
        <v>1059447.1382579661</v>
      </c>
      <c r="H75" s="293">
        <f>H72+H71</f>
        <v>14135028.467295568</v>
      </c>
      <c r="I75" s="294"/>
    </row>
    <row r="76" spans="1:9" ht="13.5" thickBot="1" x14ac:dyDescent="0.25">
      <c r="A76" s="23"/>
      <c r="B76" s="295" t="s">
        <v>220</v>
      </c>
      <c r="C76" s="296">
        <f>IRR(C75:H75)</f>
        <v>6.8343615250790801E-2</v>
      </c>
      <c r="D76" s="297"/>
      <c r="E76" s="297"/>
      <c r="F76" s="297"/>
      <c r="G76" s="297"/>
      <c r="H76" s="298"/>
      <c r="I76" s="299"/>
    </row>
    <row r="77" spans="1:9" ht="13.5" thickBot="1" x14ac:dyDescent="0.25">
      <c r="B77" s="86"/>
      <c r="C77" s="89"/>
      <c r="D77" s="89"/>
      <c r="E77" s="89"/>
      <c r="F77" s="89"/>
      <c r="G77" s="89"/>
      <c r="H77" s="90"/>
      <c r="I77" s="96"/>
    </row>
    <row r="78" spans="1:9" ht="13.5" thickBot="1" x14ac:dyDescent="0.25">
      <c r="B78" s="215" t="s">
        <v>134</v>
      </c>
      <c r="C78" s="216"/>
      <c r="D78" s="216"/>
      <c r="E78" s="216"/>
      <c r="F78" s="216"/>
      <c r="G78" s="216"/>
      <c r="H78" s="216"/>
      <c r="I78" s="217"/>
    </row>
    <row r="79" spans="1:9" ht="13.5" thickBot="1" x14ac:dyDescent="0.25">
      <c r="B79" s="116" t="s">
        <v>10</v>
      </c>
      <c r="C79" s="116">
        <v>0</v>
      </c>
      <c r="D79" s="116">
        <v>1</v>
      </c>
      <c r="E79" s="116">
        <v>2</v>
      </c>
      <c r="F79" s="116">
        <v>3</v>
      </c>
      <c r="G79" s="116">
        <v>4</v>
      </c>
      <c r="H79" s="116">
        <v>5</v>
      </c>
      <c r="I79" s="116">
        <v>6</v>
      </c>
    </row>
    <row r="80" spans="1:9" x14ac:dyDescent="0.2">
      <c r="B80" s="218" t="s">
        <v>1</v>
      </c>
      <c r="C80" s="192"/>
      <c r="D80" s="219">
        <f>NOI!D115</f>
        <v>1589371.25</v>
      </c>
      <c r="E80" s="219">
        <f>NOI!E115</f>
        <v>1587489.5</v>
      </c>
      <c r="F80" s="219">
        <f>NOI!F115</f>
        <v>1585404.2</v>
      </c>
      <c r="G80" s="219">
        <f>NOI!G115</f>
        <v>1506647.3547500002</v>
      </c>
      <c r="H80" s="219">
        <f>NOI!H115</f>
        <v>1496974.1218112505</v>
      </c>
      <c r="I80" s="220">
        <f>NOI!I115</f>
        <v>1669510.4593374315</v>
      </c>
    </row>
    <row r="81" spans="2:9" x14ac:dyDescent="0.2">
      <c r="B81" s="88"/>
      <c r="C81" s="23"/>
      <c r="D81" s="89"/>
      <c r="E81" s="89"/>
      <c r="F81" s="89"/>
      <c r="G81" s="89"/>
      <c r="H81" s="89"/>
      <c r="I81" s="199"/>
    </row>
    <row r="82" spans="2:9" x14ac:dyDescent="0.2">
      <c r="B82" s="88" t="s">
        <v>103</v>
      </c>
      <c r="C82" s="23"/>
      <c r="D82" s="118">
        <f>-(D80*$C$9)</f>
        <v>-15893.7125</v>
      </c>
      <c r="E82" s="118">
        <f t="shared" ref="E82:H82" si="5">-(E80*$C$9)</f>
        <v>-15874.895</v>
      </c>
      <c r="F82" s="118">
        <f t="shared" si="5"/>
        <v>-15854.041999999999</v>
      </c>
      <c r="G82" s="118">
        <f t="shared" si="5"/>
        <v>-15066.473547500002</v>
      </c>
      <c r="H82" s="118">
        <f t="shared" si="5"/>
        <v>-14969.741218112506</v>
      </c>
      <c r="I82" s="201"/>
    </row>
    <row r="83" spans="2:9" x14ac:dyDescent="0.2">
      <c r="B83" s="88" t="s">
        <v>101</v>
      </c>
      <c r="C83" s="23"/>
      <c r="D83" s="118">
        <f>-D72</f>
        <v>-1059447.1382579661</v>
      </c>
      <c r="E83" s="118">
        <f>-E72</f>
        <v>-1059447.1382579661</v>
      </c>
      <c r="F83" s="118">
        <f>-F72</f>
        <v>-1059447.1382579661</v>
      </c>
      <c r="G83" s="118">
        <f>-G72</f>
        <v>-1059447.1382579661</v>
      </c>
      <c r="H83" s="118">
        <f>-H72</f>
        <v>-1059447.1382579661</v>
      </c>
      <c r="I83" s="201"/>
    </row>
    <row r="84" spans="2:9" x14ac:dyDescent="0.2">
      <c r="B84" s="88" t="s">
        <v>138</v>
      </c>
      <c r="C84" s="23"/>
      <c r="D84" s="119">
        <f>-MIN($C$43*$C$39,$C$44)</f>
        <v>-25000</v>
      </c>
      <c r="E84" s="119">
        <f t="shared" ref="E84:H84" si="6">-MIN($C$43*$C$39,$C$44)</f>
        <v>-25000</v>
      </c>
      <c r="F84" s="119">
        <f t="shared" si="6"/>
        <v>-25000</v>
      </c>
      <c r="G84" s="119">
        <f t="shared" si="6"/>
        <v>-25000</v>
      </c>
      <c r="H84" s="119">
        <f t="shared" si="6"/>
        <v>-25000</v>
      </c>
      <c r="I84" s="201"/>
    </row>
    <row r="85" spans="2:9" x14ac:dyDescent="0.2">
      <c r="B85" s="94" t="s">
        <v>74</v>
      </c>
      <c r="C85" s="23"/>
      <c r="D85" s="89">
        <f>SUM(D80:D84)</f>
        <v>489030.39924203395</v>
      </c>
      <c r="E85" s="89">
        <f t="shared" ref="E85:H85" si="7">SUM(E80:E84)</f>
        <v>487167.46674203384</v>
      </c>
      <c r="F85" s="89">
        <f t="shared" si="7"/>
        <v>485103.01974203391</v>
      </c>
      <c r="G85" s="89">
        <f t="shared" si="7"/>
        <v>407133.74294453394</v>
      </c>
      <c r="H85" s="89">
        <f t="shared" si="7"/>
        <v>397557.2423351719</v>
      </c>
      <c r="I85" s="202"/>
    </row>
    <row r="86" spans="2:9" x14ac:dyDescent="0.2">
      <c r="B86" s="88"/>
      <c r="C86" s="23"/>
      <c r="D86" s="89"/>
      <c r="E86" s="89"/>
      <c r="F86" s="89"/>
      <c r="G86" s="89"/>
      <c r="H86" s="89"/>
      <c r="I86" s="202"/>
    </row>
    <row r="87" spans="2:9" x14ac:dyDescent="0.2">
      <c r="B87" s="283" t="s">
        <v>104</v>
      </c>
      <c r="C87" s="312">
        <f>C33</f>
        <v>25000</v>
      </c>
      <c r="D87" s="313">
        <f>$C$61</f>
        <v>50000</v>
      </c>
      <c r="E87" s="313">
        <f t="shared" ref="E87:H87" si="8">$C$61</f>
        <v>50000</v>
      </c>
      <c r="F87" s="313">
        <f t="shared" si="8"/>
        <v>50000</v>
      </c>
      <c r="G87" s="313">
        <f t="shared" si="8"/>
        <v>50000</v>
      </c>
      <c r="H87" s="313">
        <f t="shared" si="8"/>
        <v>50000</v>
      </c>
      <c r="I87" s="202"/>
    </row>
    <row r="88" spans="2:9" x14ac:dyDescent="0.2">
      <c r="B88" s="203" t="s">
        <v>105</v>
      </c>
      <c r="C88" s="23"/>
      <c r="D88" s="89">
        <f>D87-C87</f>
        <v>25000</v>
      </c>
      <c r="E88" s="89">
        <f t="shared" ref="E88:H88" si="9">E87-D87</f>
        <v>0</v>
      </c>
      <c r="F88" s="89">
        <f t="shared" si="9"/>
        <v>0</v>
      </c>
      <c r="G88" s="89">
        <f t="shared" si="9"/>
        <v>0</v>
      </c>
      <c r="H88" s="89">
        <f t="shared" si="9"/>
        <v>0</v>
      </c>
      <c r="I88" s="202"/>
    </row>
    <row r="89" spans="2:9" x14ac:dyDescent="0.2">
      <c r="B89" s="20"/>
      <c r="C89" s="23"/>
      <c r="D89" s="120"/>
      <c r="E89" s="120"/>
      <c r="F89" s="120"/>
      <c r="G89" s="120"/>
      <c r="H89" s="120"/>
      <c r="I89" s="204"/>
    </row>
    <row r="90" spans="2:9" x14ac:dyDescent="0.2">
      <c r="B90" s="94" t="s">
        <v>106</v>
      </c>
      <c r="C90" s="23"/>
      <c r="D90" s="89">
        <f>D85-D88</f>
        <v>464030.39924203395</v>
      </c>
      <c r="E90" s="89">
        <f t="shared" ref="E90:H90" si="10">E85-E88</f>
        <v>487167.46674203384</v>
      </c>
      <c r="F90" s="89">
        <f t="shared" si="10"/>
        <v>485103.01974203391</v>
      </c>
      <c r="G90" s="89">
        <f t="shared" si="10"/>
        <v>407133.74294453394</v>
      </c>
      <c r="H90" s="89">
        <f t="shared" si="10"/>
        <v>397557.2423351719</v>
      </c>
      <c r="I90" s="202"/>
    </row>
    <row r="91" spans="2:9" x14ac:dyDescent="0.2">
      <c r="B91" s="88"/>
      <c r="C91" s="23"/>
      <c r="D91" s="89"/>
      <c r="E91" s="89"/>
      <c r="F91" s="89"/>
      <c r="G91" s="89"/>
      <c r="H91" s="89"/>
      <c r="I91" s="199"/>
    </row>
    <row r="92" spans="2:9" x14ac:dyDescent="0.2">
      <c r="B92" s="283" t="s">
        <v>205</v>
      </c>
      <c r="C92" s="284"/>
      <c r="D92" s="285">
        <f>D80/-D83</f>
        <v>1.5001892898718672</v>
      </c>
      <c r="E92" s="285">
        <f t="shared" ref="E92:H92" si="11">E80/-E83</f>
        <v>1.4984131276339907</v>
      </c>
      <c r="F92" s="285">
        <f t="shared" si="11"/>
        <v>1.496444836886206</v>
      </c>
      <c r="G92" s="285">
        <f t="shared" si="11"/>
        <v>1.4221071541401857</v>
      </c>
      <c r="H92" s="285">
        <f t="shared" si="11"/>
        <v>1.4129767005390224</v>
      </c>
      <c r="I92" s="199"/>
    </row>
    <row r="93" spans="2:9" x14ac:dyDescent="0.2">
      <c r="B93" s="88"/>
      <c r="C93" s="23"/>
      <c r="D93" s="89"/>
      <c r="E93" s="89"/>
      <c r="F93" s="89"/>
      <c r="G93" s="89"/>
      <c r="H93" s="89"/>
      <c r="I93" s="199"/>
    </row>
    <row r="94" spans="2:9" x14ac:dyDescent="0.2">
      <c r="B94" s="94" t="s">
        <v>107</v>
      </c>
      <c r="C94" s="23"/>
      <c r="D94" s="95"/>
      <c r="E94" s="95"/>
      <c r="F94" s="95"/>
      <c r="G94" s="95"/>
      <c r="H94" s="23"/>
      <c r="I94" s="205"/>
    </row>
    <row r="95" spans="2:9" x14ac:dyDescent="0.2">
      <c r="B95" s="92" t="s">
        <v>108</v>
      </c>
      <c r="C95" s="89"/>
      <c r="D95" s="89"/>
      <c r="E95" s="89"/>
      <c r="F95" s="89"/>
      <c r="G95" s="89"/>
      <c r="H95" s="89">
        <f>I80/C11</f>
        <v>22260139.457832422</v>
      </c>
      <c r="I95" s="206"/>
    </row>
    <row r="96" spans="2:9" x14ac:dyDescent="0.2">
      <c r="B96" s="20" t="s">
        <v>111</v>
      </c>
      <c r="C96" s="23"/>
      <c r="D96" s="23"/>
      <c r="E96" s="23"/>
      <c r="F96" s="23"/>
      <c r="G96" s="23"/>
      <c r="H96" s="64">
        <f>-H95*C12</f>
        <v>-890405.57831329689</v>
      </c>
      <c r="I96" s="36"/>
    </row>
    <row r="97" spans="2:9" x14ac:dyDescent="0.2">
      <c r="B97" s="20" t="s">
        <v>112</v>
      </c>
      <c r="C97" s="23"/>
      <c r="D97" s="23"/>
      <c r="E97" s="23"/>
      <c r="F97" s="23"/>
      <c r="G97" s="23"/>
      <c r="H97" s="190">
        <f>-H71</f>
        <v>-13075581.329037603</v>
      </c>
      <c r="I97" s="36"/>
    </row>
    <row r="98" spans="2:9" x14ac:dyDescent="0.2">
      <c r="B98" s="20" t="s">
        <v>129</v>
      </c>
      <c r="C98" s="23"/>
      <c r="D98" s="23"/>
      <c r="E98" s="23"/>
      <c r="F98" s="23"/>
      <c r="G98" s="23"/>
      <c r="H98" s="121">
        <f>C61</f>
        <v>50000</v>
      </c>
      <c r="I98" s="36"/>
    </row>
    <row r="99" spans="2:9" x14ac:dyDescent="0.2">
      <c r="B99" s="94" t="s">
        <v>130</v>
      </c>
      <c r="C99" s="23"/>
      <c r="D99" s="23"/>
      <c r="E99" s="23"/>
      <c r="F99" s="23"/>
      <c r="G99" s="23"/>
      <c r="H99" s="207">
        <f>SUM(H95:H98)</f>
        <v>8344152.5504815206</v>
      </c>
      <c r="I99" s="36"/>
    </row>
    <row r="100" spans="2:9" x14ac:dyDescent="0.2">
      <c r="B100" s="94"/>
      <c r="C100" s="23"/>
      <c r="D100" s="120"/>
      <c r="E100" s="120"/>
      <c r="F100" s="120"/>
      <c r="G100" s="120"/>
      <c r="H100" s="288"/>
      <c r="I100" s="36"/>
    </row>
    <row r="101" spans="2:9" x14ac:dyDescent="0.2">
      <c r="B101" s="94" t="s">
        <v>211</v>
      </c>
      <c r="C101" s="190">
        <f>-C36</f>
        <v>-5860520</v>
      </c>
      <c r="D101" s="207">
        <f>D90</f>
        <v>464030.39924203395</v>
      </c>
      <c r="E101" s="207">
        <f t="shared" ref="E101:G101" si="12">E90</f>
        <v>487167.46674203384</v>
      </c>
      <c r="F101" s="207">
        <f t="shared" si="12"/>
        <v>485103.01974203391</v>
      </c>
      <c r="G101" s="207">
        <f t="shared" si="12"/>
        <v>407133.74294453394</v>
      </c>
      <c r="H101" s="207">
        <f>H90+H99</f>
        <v>8741709.792816693</v>
      </c>
      <c r="I101" s="36"/>
    </row>
    <row r="102" spans="2:9" x14ac:dyDescent="0.2">
      <c r="B102" s="94"/>
      <c r="C102" s="190"/>
      <c r="D102" s="23"/>
      <c r="E102" s="23"/>
      <c r="F102" s="23"/>
      <c r="G102" s="23"/>
      <c r="H102" s="207"/>
      <c r="I102" s="36"/>
    </row>
    <row r="103" spans="2:9" ht="13.5" thickBot="1" x14ac:dyDescent="0.25">
      <c r="B103" s="290" t="s">
        <v>212</v>
      </c>
      <c r="C103" s="289">
        <f>IRR(C101:H101)</f>
        <v>0.14133160669913702</v>
      </c>
      <c r="D103" s="196"/>
      <c r="E103" s="196"/>
      <c r="F103" s="196"/>
      <c r="G103" s="196"/>
      <c r="H103" s="196"/>
      <c r="I103" s="78"/>
    </row>
    <row r="104" spans="2:9" ht="13.5" thickBot="1" x14ac:dyDescent="0.25"/>
    <row r="105" spans="2:9" ht="13.5" thickBot="1" x14ac:dyDescent="0.25">
      <c r="B105" s="208" t="s">
        <v>135</v>
      </c>
      <c r="C105" s="209"/>
      <c r="D105" s="209"/>
      <c r="E105" s="209"/>
      <c r="F105" s="209"/>
      <c r="G105" s="209"/>
      <c r="H105" s="210"/>
    </row>
    <row r="106" spans="2:9" ht="13.5" thickBot="1" x14ac:dyDescent="0.25">
      <c r="B106" s="20"/>
      <c r="C106" s="23"/>
      <c r="D106" s="23"/>
      <c r="E106" s="23"/>
      <c r="F106" s="23"/>
      <c r="G106" s="23"/>
      <c r="H106" s="36"/>
    </row>
    <row r="107" spans="2:9" ht="13.5" thickBot="1" x14ac:dyDescent="0.25">
      <c r="B107" s="126" t="s">
        <v>113</v>
      </c>
      <c r="C107" s="127"/>
      <c r="D107" s="127"/>
      <c r="E107" s="128"/>
      <c r="F107" s="129"/>
      <c r="G107" s="129"/>
      <c r="H107" s="130"/>
    </row>
    <row r="108" spans="2:9" x14ac:dyDescent="0.2">
      <c r="B108" s="131"/>
      <c r="C108" s="129"/>
      <c r="D108" s="129"/>
      <c r="E108" s="129"/>
      <c r="F108" s="129"/>
      <c r="G108" s="129"/>
      <c r="H108" s="130"/>
    </row>
    <row r="109" spans="2:9" x14ac:dyDescent="0.2">
      <c r="B109" s="132" t="s">
        <v>114</v>
      </c>
      <c r="C109" s="133"/>
      <c r="D109" s="134">
        <f>D90</f>
        <v>464030.39924203395</v>
      </c>
      <c r="E109" s="134">
        <f>E90</f>
        <v>487167.46674203384</v>
      </c>
      <c r="F109" s="134">
        <f>F90</f>
        <v>485103.01974203391</v>
      </c>
      <c r="G109" s="134">
        <f>G90</f>
        <v>407133.74294453394</v>
      </c>
      <c r="H109" s="135">
        <f>H90</f>
        <v>397557.2423351719</v>
      </c>
    </row>
    <row r="110" spans="2:9" x14ac:dyDescent="0.2">
      <c r="B110" s="136"/>
      <c r="C110" s="129"/>
      <c r="D110" s="129"/>
      <c r="E110" s="129"/>
      <c r="F110" s="129"/>
      <c r="G110" s="129"/>
      <c r="H110" s="130"/>
    </row>
    <row r="111" spans="2:9" x14ac:dyDescent="0.2">
      <c r="B111" s="137" t="s">
        <v>120</v>
      </c>
      <c r="C111" s="138"/>
      <c r="D111" s="139">
        <f>IF($C$62*$C$39&gt;D109,-D109,-$C$62*$C$39)</f>
        <v>-445399.52</v>
      </c>
      <c r="E111" s="139">
        <f>IF($C$62*$C$39&gt;E109,-E109,-$C$62*$C$39)</f>
        <v>-445399.52</v>
      </c>
      <c r="F111" s="139">
        <f>IF($C$62*$C$39&gt;F109,-F109,-$C$62*$C$39)</f>
        <v>-445399.52</v>
      </c>
      <c r="G111" s="139">
        <f>IF($C$62*$C$39&gt;G109,-G109,-$C$62*$C$39)</f>
        <v>-407133.74294453394</v>
      </c>
      <c r="H111" s="140">
        <f>IF($C$62*$C$39&gt;H109,-H109,-$C$62*$C$39)</f>
        <v>-397557.2423351719</v>
      </c>
    </row>
    <row r="112" spans="2:9" x14ac:dyDescent="0.2">
      <c r="B112" s="141" t="s">
        <v>34</v>
      </c>
      <c r="C112" s="142"/>
      <c r="D112" s="143">
        <f>D109+D111</f>
        <v>18630.87924203393</v>
      </c>
      <c r="E112" s="143">
        <f>E109+E111</f>
        <v>41767.946742033819</v>
      </c>
      <c r="F112" s="143">
        <f>F109+F111</f>
        <v>39703.499742033891</v>
      </c>
      <c r="G112" s="143">
        <f>G109+G111</f>
        <v>0</v>
      </c>
      <c r="H112" s="144">
        <f>H109+H111</f>
        <v>0</v>
      </c>
    </row>
    <row r="113" spans="2:8" x14ac:dyDescent="0.2">
      <c r="B113" s="145"/>
      <c r="C113" s="142"/>
      <c r="D113" s="142"/>
      <c r="E113" s="129"/>
      <c r="F113" s="142"/>
      <c r="G113" s="142"/>
      <c r="H113" s="146"/>
    </row>
    <row r="114" spans="2:8" x14ac:dyDescent="0.2">
      <c r="B114" s="147" t="s">
        <v>121</v>
      </c>
      <c r="C114" s="148"/>
      <c r="D114" s="149">
        <f>IF($C$62*$C$40&gt;D112,-D112,-$C$62*$C$40)</f>
        <v>-18630.87924203393</v>
      </c>
      <c r="E114" s="149">
        <f>IF($C$62*$C$40&gt;E112,-E112,-$C$62*$C$40)</f>
        <v>-23442.080000000002</v>
      </c>
      <c r="F114" s="149">
        <f>IF($C$62*$C$40&gt;F112,-F112,-$C$62*$C$40)</f>
        <v>-23442.080000000002</v>
      </c>
      <c r="G114" s="149">
        <f>IF($C$62*$C$40&gt;G112,-G112,-$C$62*$C$40)</f>
        <v>0</v>
      </c>
      <c r="H114" s="150">
        <f>IF($C$62*$C$40&gt;H112,-H112,-$C$62*$C$40)</f>
        <v>0</v>
      </c>
    </row>
    <row r="115" spans="2:8" x14ac:dyDescent="0.2">
      <c r="B115" s="141" t="s">
        <v>34</v>
      </c>
      <c r="C115" s="142"/>
      <c r="D115" s="143">
        <f>D112+D114</f>
        <v>0</v>
      </c>
      <c r="E115" s="143">
        <f>E112+E114</f>
        <v>18325.866742033817</v>
      </c>
      <c r="F115" s="143">
        <f>F112+F114</f>
        <v>16261.41974203389</v>
      </c>
      <c r="G115" s="143">
        <f>G112+G114</f>
        <v>0</v>
      </c>
      <c r="H115" s="144">
        <f>H112+H114</f>
        <v>0</v>
      </c>
    </row>
    <row r="116" spans="2:8" x14ac:dyDescent="0.2">
      <c r="B116" s="151"/>
      <c r="C116" s="129"/>
      <c r="D116" s="129"/>
      <c r="E116" s="129"/>
      <c r="F116" s="129"/>
      <c r="G116" s="129"/>
      <c r="H116" s="130"/>
    </row>
    <row r="117" spans="2:8" x14ac:dyDescent="0.2">
      <c r="B117" s="152" t="s">
        <v>123</v>
      </c>
      <c r="C117" s="153"/>
      <c r="D117" s="154">
        <f>-IF(D115&gt;0,$C$64*D115,0)</f>
        <v>0</v>
      </c>
      <c r="E117" s="154">
        <f t="shared" ref="E117:H117" si="13">-IF(E115&gt;0,$C$64*E115,0)</f>
        <v>-12828.106719423671</v>
      </c>
      <c r="F117" s="154">
        <f t="shared" si="13"/>
        <v>-11382.993819423722</v>
      </c>
      <c r="G117" s="154">
        <f t="shared" si="13"/>
        <v>0</v>
      </c>
      <c r="H117" s="155">
        <f t="shared" si="13"/>
        <v>0</v>
      </c>
    </row>
    <row r="118" spans="2:8" x14ac:dyDescent="0.2">
      <c r="B118" s="156" t="s">
        <v>124</v>
      </c>
      <c r="C118" s="157"/>
      <c r="D118" s="149">
        <f>-IF(D115&gt;0,$C$65*D115,0)</f>
        <v>0</v>
      </c>
      <c r="E118" s="149">
        <f t="shared" ref="E118:H118" si="14">-IF(E115&gt;0,$C$65*E115,0)</f>
        <v>-5497.7600226101449</v>
      </c>
      <c r="F118" s="149">
        <f t="shared" si="14"/>
        <v>-4878.4259226101667</v>
      </c>
      <c r="G118" s="149">
        <f t="shared" si="14"/>
        <v>0</v>
      </c>
      <c r="H118" s="150">
        <f t="shared" si="14"/>
        <v>0</v>
      </c>
    </row>
    <row r="119" spans="2:8" ht="13.5" thickBot="1" x14ac:dyDescent="0.25">
      <c r="B119" s="141" t="s">
        <v>34</v>
      </c>
      <c r="C119" s="129"/>
      <c r="D119" s="158">
        <f>D115+D117+D118</f>
        <v>0</v>
      </c>
      <c r="E119" s="158">
        <f>E115+E117+E118</f>
        <v>0</v>
      </c>
      <c r="F119" s="158">
        <f>F115+F117+F118</f>
        <v>0</v>
      </c>
      <c r="G119" s="158">
        <f>G115+G117+G118</f>
        <v>0</v>
      </c>
      <c r="H119" s="159">
        <f>H115+H117+H118</f>
        <v>0</v>
      </c>
    </row>
    <row r="120" spans="2:8" ht="14.25" thickTop="1" thickBot="1" x14ac:dyDescent="0.25">
      <c r="B120" s="160"/>
      <c r="C120" s="161"/>
      <c r="D120" s="161"/>
      <c r="E120" s="129"/>
      <c r="F120" s="129"/>
      <c r="G120" s="129"/>
      <c r="H120" s="130"/>
    </row>
    <row r="121" spans="2:8" ht="13.5" thickBot="1" x14ac:dyDescent="0.25">
      <c r="B121" s="126" t="s">
        <v>115</v>
      </c>
      <c r="C121" s="127"/>
      <c r="D121" s="127"/>
      <c r="E121" s="128"/>
      <c r="F121" s="129"/>
      <c r="G121" s="129"/>
      <c r="H121" s="130"/>
    </row>
    <row r="122" spans="2:8" x14ac:dyDescent="0.2">
      <c r="B122" s="131"/>
      <c r="C122" s="129"/>
      <c r="D122" s="129"/>
      <c r="E122" s="129"/>
      <c r="F122" s="129"/>
      <c r="G122" s="129"/>
      <c r="H122" s="130"/>
    </row>
    <row r="123" spans="2:8" x14ac:dyDescent="0.2">
      <c r="B123" s="132" t="s">
        <v>114</v>
      </c>
      <c r="C123" s="133"/>
      <c r="D123" s="134"/>
      <c r="E123" s="134"/>
      <c r="F123" s="134"/>
      <c r="G123" s="134"/>
      <c r="H123" s="135">
        <f>H99</f>
        <v>8344152.5504815206</v>
      </c>
    </row>
    <row r="124" spans="2:8" x14ac:dyDescent="0.2">
      <c r="B124" s="136"/>
      <c r="C124" s="129"/>
      <c r="D124" s="129"/>
      <c r="E124" s="129"/>
      <c r="F124" s="129"/>
      <c r="G124" s="129"/>
      <c r="H124" s="130"/>
    </row>
    <row r="125" spans="2:8" x14ac:dyDescent="0.2">
      <c r="B125" s="137" t="s">
        <v>125</v>
      </c>
      <c r="C125" s="142"/>
      <c r="D125" s="162"/>
      <c r="E125" s="162"/>
      <c r="F125" s="162"/>
      <c r="G125" s="162"/>
      <c r="H125" s="140">
        <f>-IF(H123&gt;C39,C39,H123)</f>
        <v>-5567494</v>
      </c>
    </row>
    <row r="126" spans="2:8" x14ac:dyDescent="0.2">
      <c r="B126" s="141" t="s">
        <v>34</v>
      </c>
      <c r="C126" s="142"/>
      <c r="D126" s="143">
        <f>D123-D125</f>
        <v>0</v>
      </c>
      <c r="E126" s="143">
        <f>E123-E125</f>
        <v>0</v>
      </c>
      <c r="F126" s="143">
        <f>F123-F125</f>
        <v>0</v>
      </c>
      <c r="G126" s="143">
        <f>G123-G125</f>
        <v>0</v>
      </c>
      <c r="H126" s="144">
        <f>SUM(H123:H125)</f>
        <v>2776658.5504815206</v>
      </c>
    </row>
    <row r="127" spans="2:8" x14ac:dyDescent="0.2">
      <c r="B127" s="145"/>
      <c r="C127" s="142"/>
      <c r="D127" s="142"/>
      <c r="E127" s="129"/>
      <c r="F127" s="142"/>
      <c r="G127" s="142"/>
      <c r="H127" s="146"/>
    </row>
    <row r="128" spans="2:8" x14ac:dyDescent="0.2">
      <c r="B128" s="147" t="s">
        <v>126</v>
      </c>
      <c r="C128" s="142"/>
      <c r="D128" s="162"/>
      <c r="E128" s="162"/>
      <c r="F128" s="162"/>
      <c r="G128" s="162"/>
      <c r="H128" s="150">
        <f>-IF(H126&gt;C40,C40,H126)</f>
        <v>-293026</v>
      </c>
    </row>
    <row r="129" spans="2:9" x14ac:dyDescent="0.2">
      <c r="B129" s="141" t="s">
        <v>34</v>
      </c>
      <c r="C129" s="142"/>
      <c r="D129" s="143">
        <f>D126-D128</f>
        <v>0</v>
      </c>
      <c r="E129" s="143">
        <f>E126-E128</f>
        <v>0</v>
      </c>
      <c r="F129" s="143">
        <f>F126-F128</f>
        <v>0</v>
      </c>
      <c r="G129" s="143">
        <f>G126-G128</f>
        <v>0</v>
      </c>
      <c r="H129" s="144">
        <f>SUM(H126:H128)</f>
        <v>2483632.5504815206</v>
      </c>
    </row>
    <row r="130" spans="2:9" x14ac:dyDescent="0.2">
      <c r="B130" s="151"/>
      <c r="C130" s="129"/>
      <c r="D130" s="129"/>
      <c r="E130" s="129"/>
      <c r="F130" s="129"/>
      <c r="G130" s="129"/>
      <c r="H130" s="130"/>
    </row>
    <row r="131" spans="2:9" x14ac:dyDescent="0.2">
      <c r="B131" s="152" t="s">
        <v>127</v>
      </c>
      <c r="C131" s="163"/>
      <c r="D131" s="143"/>
      <c r="E131" s="143"/>
      <c r="F131" s="143"/>
      <c r="G131" s="143"/>
      <c r="H131" s="155">
        <f>-MIN(H143,H129)</f>
        <v>-1473000</v>
      </c>
    </row>
    <row r="132" spans="2:9" x14ac:dyDescent="0.2">
      <c r="B132" s="156" t="s">
        <v>128</v>
      </c>
      <c r="C132" s="129"/>
      <c r="D132" s="164"/>
      <c r="E132" s="164"/>
      <c r="F132" s="164"/>
      <c r="G132" s="164"/>
      <c r="H132" s="150"/>
    </row>
    <row r="133" spans="2:9" x14ac:dyDescent="0.2">
      <c r="B133" s="141" t="s">
        <v>34</v>
      </c>
      <c r="C133" s="129"/>
      <c r="D133" s="134">
        <f>D129-D131-D132</f>
        <v>0</v>
      </c>
      <c r="E133" s="134">
        <f>E129-E131-E132</f>
        <v>0</v>
      </c>
      <c r="F133" s="134">
        <f>F129-F131-F132</f>
        <v>0</v>
      </c>
      <c r="G133" s="134">
        <f>G129-G131-G132</f>
        <v>0</v>
      </c>
      <c r="H133" s="135">
        <f>SUM(H129:H132)</f>
        <v>1010632.5504815206</v>
      </c>
    </row>
    <row r="134" spans="2:9" x14ac:dyDescent="0.2">
      <c r="B134" s="151"/>
      <c r="C134" s="129"/>
      <c r="D134" s="129"/>
      <c r="E134" s="129"/>
      <c r="F134" s="129"/>
      <c r="G134" s="129"/>
      <c r="H134" s="130"/>
    </row>
    <row r="135" spans="2:9" x14ac:dyDescent="0.2">
      <c r="B135" s="152" t="s">
        <v>123</v>
      </c>
      <c r="C135" s="129"/>
      <c r="D135" s="129"/>
      <c r="E135" s="129"/>
      <c r="F135" s="129"/>
      <c r="G135" s="129"/>
      <c r="H135" s="155">
        <f>-IF(H133&gt;0,$C$64*H133,0)</f>
        <v>-707442.78533706442</v>
      </c>
    </row>
    <row r="136" spans="2:9" x14ac:dyDescent="0.2">
      <c r="B136" s="156" t="s">
        <v>124</v>
      </c>
      <c r="C136" s="129"/>
      <c r="D136" s="165"/>
      <c r="E136" s="165"/>
      <c r="F136" s="165"/>
      <c r="G136" s="165"/>
      <c r="H136" s="150">
        <f>-IF(H133&gt;0,$C$65*H133,0)</f>
        <v>-303189.76514445618</v>
      </c>
    </row>
    <row r="137" spans="2:9" ht="13.5" thickBot="1" x14ac:dyDescent="0.25">
      <c r="B137" s="141" t="s">
        <v>34</v>
      </c>
      <c r="C137" s="129"/>
      <c r="D137" s="158">
        <f>D133+D135+D136</f>
        <v>0</v>
      </c>
      <c r="E137" s="158">
        <f>E133+E135+E136</f>
        <v>0</v>
      </c>
      <c r="F137" s="158">
        <f>F133+F135+F136</f>
        <v>0</v>
      </c>
      <c r="G137" s="158">
        <f>G133+G135+G136</f>
        <v>0</v>
      </c>
      <c r="H137" s="159">
        <f>H133+H135+H136</f>
        <v>0</v>
      </c>
    </row>
    <row r="138" spans="2:9" ht="14.25" thickTop="1" thickBot="1" x14ac:dyDescent="0.25">
      <c r="B138" s="166"/>
      <c r="C138" s="167"/>
      <c r="D138" s="167"/>
      <c r="E138" s="167"/>
      <c r="F138" s="167"/>
      <c r="G138" s="167"/>
      <c r="H138" s="168"/>
    </row>
    <row r="139" spans="2:9" ht="13.5" thickBot="1" x14ac:dyDescent="0.25">
      <c r="B139" s="129"/>
      <c r="C139" s="129"/>
      <c r="D139" s="129"/>
      <c r="E139" s="129"/>
      <c r="F139" s="129"/>
      <c r="G139" s="129"/>
      <c r="H139" s="129"/>
    </row>
    <row r="140" spans="2:9" ht="13.5" thickBot="1" x14ac:dyDescent="0.25">
      <c r="B140" s="126" t="s">
        <v>136</v>
      </c>
      <c r="C140" s="127"/>
      <c r="D140" s="127"/>
      <c r="E140" s="128"/>
      <c r="F140" s="169"/>
      <c r="G140" s="169"/>
      <c r="H140" s="170"/>
    </row>
    <row r="141" spans="2:9" x14ac:dyDescent="0.2">
      <c r="B141" s="151" t="s">
        <v>116</v>
      </c>
      <c r="C141" s="143">
        <f>-C39</f>
        <v>-5567494</v>
      </c>
      <c r="D141" s="134">
        <f>-(D111+D117)</f>
        <v>445399.52</v>
      </c>
      <c r="E141" s="134">
        <f>-(E111+E117)</f>
        <v>458227.62671942369</v>
      </c>
      <c r="F141" s="134">
        <f>-(F111+F117)</f>
        <v>456782.51381942374</v>
      </c>
      <c r="G141" s="134">
        <f>-(G111+G117)</f>
        <v>407133.74294453394</v>
      </c>
      <c r="H141" s="135">
        <f>-(H111+H117)</f>
        <v>397557.2423351719</v>
      </c>
    </row>
    <row r="142" spans="2:9" x14ac:dyDescent="0.2">
      <c r="B142" s="151" t="s">
        <v>125</v>
      </c>
      <c r="C142" s="143"/>
      <c r="D142" s="134"/>
      <c r="E142" s="134"/>
      <c r="F142" s="134"/>
      <c r="G142" s="134"/>
      <c r="H142" s="135">
        <f>-H125</f>
        <v>5567494</v>
      </c>
    </row>
    <row r="143" spans="2:9" x14ac:dyDescent="0.2">
      <c r="B143" s="151" t="s">
        <v>117</v>
      </c>
      <c r="C143" s="165"/>
      <c r="D143" s="165"/>
      <c r="E143" s="165"/>
      <c r="F143" s="165"/>
      <c r="G143" s="165"/>
      <c r="H143" s="171">
        <v>1473000</v>
      </c>
      <c r="I143" s="301" t="str">
        <f>IF(H143&gt;H129,"error","")</f>
        <v/>
      </c>
    </row>
    <row r="144" spans="2:9" x14ac:dyDescent="0.2">
      <c r="B144" s="151" t="s">
        <v>26</v>
      </c>
      <c r="C144" s="134">
        <f t="shared" ref="C144:H144" si="15">SUM(C141:C143)</f>
        <v>-5567494</v>
      </c>
      <c r="D144" s="134">
        <f t="shared" si="15"/>
        <v>445399.52</v>
      </c>
      <c r="E144" s="134">
        <f t="shared" si="15"/>
        <v>458227.62671942369</v>
      </c>
      <c r="F144" s="134">
        <f t="shared" si="15"/>
        <v>456782.51381942374</v>
      </c>
      <c r="G144" s="134">
        <f t="shared" si="15"/>
        <v>407133.74294453394</v>
      </c>
      <c r="H144" s="135">
        <f t="shared" si="15"/>
        <v>7438051.2423351724</v>
      </c>
    </row>
    <row r="145" spans="2:8" x14ac:dyDescent="0.2">
      <c r="B145" s="136" t="s">
        <v>137</v>
      </c>
      <c r="C145" s="302">
        <f>IRR(C144:H144)</f>
        <v>0.11999538241173879</v>
      </c>
      <c r="D145" s="133"/>
      <c r="E145" s="133"/>
      <c r="F145" s="133"/>
      <c r="G145" s="133"/>
      <c r="H145" s="172"/>
    </row>
    <row r="146" spans="2:8" ht="13.5" thickBot="1" x14ac:dyDescent="0.25">
      <c r="B146" s="173"/>
      <c r="C146" s="174"/>
      <c r="D146" s="174"/>
      <c r="E146" s="174"/>
      <c r="F146" s="174"/>
      <c r="G146" s="174"/>
      <c r="H146" s="175"/>
    </row>
    <row r="147" spans="2:8" x14ac:dyDescent="0.2">
      <c r="B147" s="133"/>
      <c r="C147" s="133"/>
      <c r="D147" s="133"/>
      <c r="E147" s="133"/>
      <c r="F147" s="133"/>
      <c r="G147" s="133"/>
      <c r="H147" s="133"/>
    </row>
    <row r="148" spans="2:8" ht="13.5" thickBot="1" x14ac:dyDescent="0.25">
      <c r="B148" s="133"/>
      <c r="C148" s="133"/>
      <c r="D148" s="133"/>
      <c r="E148" s="133"/>
      <c r="F148" s="133"/>
      <c r="G148" s="133"/>
      <c r="H148" s="176"/>
    </row>
    <row r="149" spans="2:8" ht="13.5" thickBot="1" x14ac:dyDescent="0.25">
      <c r="B149" s="126" t="s">
        <v>118</v>
      </c>
      <c r="C149" s="127"/>
      <c r="D149" s="127"/>
      <c r="E149" s="128"/>
      <c r="F149" s="177"/>
      <c r="G149" s="177"/>
      <c r="H149" s="178"/>
    </row>
    <row r="150" spans="2:8" x14ac:dyDescent="0.2">
      <c r="B150" s="131"/>
      <c r="C150" s="129"/>
      <c r="D150" s="129"/>
      <c r="E150" s="129"/>
      <c r="F150" s="133"/>
      <c r="G150" s="133"/>
      <c r="H150" s="179"/>
    </row>
    <row r="151" spans="2:8" x14ac:dyDescent="0.2">
      <c r="B151" s="131"/>
      <c r="C151" s="180">
        <v>0</v>
      </c>
      <c r="D151" s="181">
        <v>1</v>
      </c>
      <c r="E151" s="180">
        <v>2</v>
      </c>
      <c r="F151" s="180">
        <v>3</v>
      </c>
      <c r="G151" s="181">
        <v>4</v>
      </c>
      <c r="H151" s="182">
        <v>5</v>
      </c>
    </row>
    <row r="152" spans="2:8" x14ac:dyDescent="0.2">
      <c r="B152" s="262" t="s">
        <v>131</v>
      </c>
      <c r="C152" s="154">
        <f>-C39</f>
        <v>-5567494</v>
      </c>
      <c r="D152" s="183">
        <f>-(D111+D117)</f>
        <v>445399.52</v>
      </c>
      <c r="E152" s="183">
        <f>-(E111+E117)</f>
        <v>458227.62671942369</v>
      </c>
      <c r="F152" s="183">
        <f>-(F111+F117)</f>
        <v>456782.51381942374</v>
      </c>
      <c r="G152" s="183">
        <f>-(G111+G117)</f>
        <v>407133.74294453394</v>
      </c>
      <c r="H152" s="184">
        <f>-(H111+H117)</f>
        <v>397557.2423351719</v>
      </c>
    </row>
    <row r="153" spans="2:8" x14ac:dyDescent="0.2">
      <c r="B153" s="152"/>
      <c r="C153" s="139"/>
      <c r="D153" s="257"/>
      <c r="E153" s="257"/>
      <c r="F153" s="257"/>
      <c r="G153" s="257"/>
      <c r="H153" s="258">
        <f>-(H125+H131+H135)</f>
        <v>7747936.7853370644</v>
      </c>
    </row>
    <row r="154" spans="2:8" x14ac:dyDescent="0.2">
      <c r="B154" s="152"/>
      <c r="C154" s="154">
        <f>SUM(C152:C153)</f>
        <v>-5567494</v>
      </c>
      <c r="D154" s="154">
        <f t="shared" ref="D154:H154" si="16">SUM(D152:D153)</f>
        <v>445399.52</v>
      </c>
      <c r="E154" s="154">
        <f t="shared" si="16"/>
        <v>458227.62671942369</v>
      </c>
      <c r="F154" s="154">
        <f t="shared" si="16"/>
        <v>456782.51381942374</v>
      </c>
      <c r="G154" s="154">
        <f t="shared" si="16"/>
        <v>407133.74294453394</v>
      </c>
      <c r="H154" s="155">
        <f t="shared" si="16"/>
        <v>8145494.0276722368</v>
      </c>
    </row>
    <row r="155" spans="2:8" x14ac:dyDescent="0.2">
      <c r="B155" s="145" t="s">
        <v>119</v>
      </c>
      <c r="C155" s="185">
        <f>IRR(C154:H154)</f>
        <v>0.13791793465493263</v>
      </c>
      <c r="D155" s="176"/>
      <c r="E155" s="176"/>
      <c r="F155" s="176"/>
      <c r="G155" s="176"/>
      <c r="H155" s="179"/>
    </row>
    <row r="156" spans="2:8" x14ac:dyDescent="0.2">
      <c r="B156" s="151"/>
      <c r="C156" s="186"/>
      <c r="D156" s="176"/>
      <c r="E156" s="176"/>
      <c r="F156" s="176"/>
      <c r="G156" s="176"/>
      <c r="H156" s="179"/>
    </row>
    <row r="157" spans="2:8" x14ac:dyDescent="0.2">
      <c r="B157" s="263" t="s">
        <v>132</v>
      </c>
      <c r="C157" s="187">
        <f>-C40</f>
        <v>-293026</v>
      </c>
      <c r="D157" s="188">
        <f>-(D114+D118)</f>
        <v>18630.87924203393</v>
      </c>
      <c r="E157" s="188">
        <f>-(E114+E118)</f>
        <v>28939.840022610148</v>
      </c>
      <c r="F157" s="188">
        <f>-(F114+F118)</f>
        <v>28320.505922610169</v>
      </c>
      <c r="G157" s="188">
        <f>-(G114+G118)</f>
        <v>0</v>
      </c>
      <c r="H157" s="189">
        <f>-(H114+H118)</f>
        <v>0</v>
      </c>
    </row>
    <row r="158" spans="2:8" x14ac:dyDescent="0.2">
      <c r="B158" s="156"/>
      <c r="C158" s="149"/>
      <c r="D158" s="259"/>
      <c r="E158" s="259"/>
      <c r="F158" s="259"/>
      <c r="G158" s="259"/>
      <c r="H158" s="260">
        <f>-(H128+H136)</f>
        <v>596215.76514445618</v>
      </c>
    </row>
    <row r="159" spans="2:8" x14ac:dyDescent="0.2">
      <c r="B159" s="156"/>
      <c r="C159" s="187">
        <f>SUM(C157:C158)</f>
        <v>-293026</v>
      </c>
      <c r="D159" s="187">
        <f t="shared" ref="D159:H159" si="17">SUM(D157:D158)</f>
        <v>18630.87924203393</v>
      </c>
      <c r="E159" s="187">
        <f t="shared" si="17"/>
        <v>28939.840022610148</v>
      </c>
      <c r="F159" s="187">
        <f t="shared" si="17"/>
        <v>28320.505922610169</v>
      </c>
      <c r="G159" s="187">
        <f t="shared" si="17"/>
        <v>0</v>
      </c>
      <c r="H159" s="264">
        <f t="shared" si="17"/>
        <v>596215.76514445618</v>
      </c>
    </row>
    <row r="160" spans="2:8" ht="13.5" thickBot="1" x14ac:dyDescent="0.25">
      <c r="B160" s="261" t="s">
        <v>119</v>
      </c>
      <c r="C160" s="359">
        <f>IRR(C159:H159)</f>
        <v>0.19870704357286928</v>
      </c>
      <c r="D160" s="174"/>
      <c r="E160" s="174"/>
      <c r="F160" s="174"/>
      <c r="G160" s="174"/>
      <c r="H160" s="175"/>
    </row>
  </sheetData>
  <mergeCells count="7">
    <mergeCell ref="B59:E59"/>
    <mergeCell ref="B3:I3"/>
    <mergeCell ref="B4:I4"/>
    <mergeCell ref="B6:E6"/>
    <mergeCell ref="B14:E14"/>
    <mergeCell ref="B31:E31"/>
    <mergeCell ref="B45:E45"/>
  </mergeCells>
  <conditionalFormatting sqref="D85:I85">
    <cfRule type="cellIs" dxfId="2" priority="1" operator="lessThan">
      <formula>0</formula>
    </cfRule>
  </conditionalFormatting>
  <pageMargins left="0.25" right="0.25" top="0.75" bottom="0.75" header="0.3" footer="0.3"/>
  <pageSetup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63"/>
  <sheetViews>
    <sheetView workbookViewId="0"/>
  </sheetViews>
  <sheetFormatPr defaultRowHeight="12.75" x14ac:dyDescent="0.2"/>
  <cols>
    <col min="1" max="1" width="3.140625" customWidth="1"/>
    <col min="2" max="2" width="30.5703125" customWidth="1"/>
    <col min="3" max="9" width="14.28515625" customWidth="1"/>
    <col min="10" max="10" width="12.28515625" customWidth="1"/>
  </cols>
  <sheetData>
    <row r="2" spans="2:10" ht="13.5" thickBot="1" x14ac:dyDescent="0.25"/>
    <row r="3" spans="2:10" ht="18.75" thickBot="1" x14ac:dyDescent="0.3">
      <c r="B3" s="338" t="s">
        <v>75</v>
      </c>
      <c r="C3" s="339"/>
      <c r="D3" s="339"/>
      <c r="E3" s="339"/>
      <c r="F3" s="339"/>
      <c r="G3" s="339"/>
      <c r="H3" s="339"/>
      <c r="I3" s="340"/>
    </row>
    <row r="4" spans="2:10" ht="16.5" thickBot="1" x14ac:dyDescent="0.3">
      <c r="B4" s="341" t="s">
        <v>200</v>
      </c>
      <c r="C4" s="342"/>
      <c r="D4" s="342"/>
      <c r="E4" s="342"/>
      <c r="F4" s="342"/>
      <c r="G4" s="342"/>
      <c r="H4" s="342"/>
      <c r="I4" s="343"/>
    </row>
    <row r="5" spans="2:10" ht="13.5" thickBot="1" x14ac:dyDescent="0.25">
      <c r="B5" s="20"/>
      <c r="C5" s="51"/>
      <c r="D5" s="51"/>
      <c r="E5" s="51"/>
      <c r="F5" s="51"/>
      <c r="G5" s="51"/>
      <c r="H5" s="51"/>
      <c r="I5" s="51"/>
      <c r="J5" s="23"/>
    </row>
    <row r="6" spans="2:10" ht="13.5" thickBot="1" x14ac:dyDescent="0.25">
      <c r="B6" s="344" t="s">
        <v>77</v>
      </c>
      <c r="C6" s="345"/>
      <c r="D6" s="345"/>
      <c r="E6" s="346"/>
      <c r="F6" s="51"/>
      <c r="G6" s="51"/>
      <c r="H6" s="51"/>
      <c r="I6" s="51"/>
      <c r="J6" s="23"/>
    </row>
    <row r="7" spans="2:10" x14ac:dyDescent="0.2">
      <c r="B7" s="20" t="s">
        <v>78</v>
      </c>
      <c r="C7" s="291">
        <f>'Cash Flow (Loan A)'!C7</f>
        <v>19400000</v>
      </c>
      <c r="D7" s="51"/>
      <c r="E7" s="50"/>
      <c r="F7" s="51"/>
      <c r="G7" s="51"/>
      <c r="H7" s="51"/>
      <c r="I7" s="51"/>
      <c r="J7" s="23"/>
    </row>
    <row r="8" spans="2:10" x14ac:dyDescent="0.2">
      <c r="B8" s="20" t="s">
        <v>82</v>
      </c>
      <c r="C8" s="101">
        <v>0.01</v>
      </c>
      <c r="D8" s="81" t="s">
        <v>201</v>
      </c>
      <c r="E8" s="50"/>
      <c r="F8" s="51"/>
      <c r="G8" s="51"/>
      <c r="H8" s="51"/>
      <c r="I8" s="51"/>
      <c r="J8" s="23"/>
    </row>
    <row r="9" spans="2:10" x14ac:dyDescent="0.2">
      <c r="B9" s="20" t="s">
        <v>102</v>
      </c>
      <c r="C9" s="101">
        <v>0.01</v>
      </c>
      <c r="D9" s="51"/>
      <c r="E9" s="50"/>
      <c r="F9" s="51"/>
      <c r="G9" s="51"/>
      <c r="H9" s="51"/>
      <c r="I9" s="51"/>
      <c r="J9" s="23"/>
    </row>
    <row r="10" spans="2:10" x14ac:dyDescent="0.2">
      <c r="B10" s="20"/>
      <c r="C10" s="125"/>
      <c r="D10" s="51"/>
      <c r="E10" s="50"/>
      <c r="F10" s="51"/>
      <c r="G10" s="51"/>
      <c r="H10" s="51"/>
      <c r="I10" s="51"/>
      <c r="J10" s="23"/>
    </row>
    <row r="11" spans="2:10" x14ac:dyDescent="0.2">
      <c r="B11" s="20" t="s">
        <v>109</v>
      </c>
      <c r="C11" s="101">
        <v>7.4999999999999997E-2</v>
      </c>
      <c r="D11" s="51"/>
      <c r="E11" s="50"/>
      <c r="F11" s="51"/>
      <c r="G11" s="51"/>
      <c r="H11" s="51"/>
      <c r="I11" s="51"/>
      <c r="J11" s="23"/>
    </row>
    <row r="12" spans="2:10" x14ac:dyDescent="0.2">
      <c r="B12" s="20" t="s">
        <v>110</v>
      </c>
      <c r="C12" s="101">
        <v>0.04</v>
      </c>
      <c r="D12" s="51"/>
      <c r="E12" s="50"/>
      <c r="F12" s="51"/>
      <c r="G12" s="51"/>
      <c r="H12" s="51"/>
      <c r="I12" s="51"/>
      <c r="J12" s="23"/>
    </row>
    <row r="13" spans="2:10" ht="13.5" thickBot="1" x14ac:dyDescent="0.25">
      <c r="B13" s="211"/>
      <c r="C13" s="212"/>
      <c r="D13" s="213"/>
      <c r="E13" s="214"/>
      <c r="F13" s="48"/>
      <c r="G13" s="48"/>
      <c r="H13" s="48"/>
      <c r="I13" s="48"/>
      <c r="J13" s="23"/>
    </row>
    <row r="14" spans="2:10" ht="13.5" thickBot="1" x14ac:dyDescent="0.25">
      <c r="B14" s="344" t="s">
        <v>206</v>
      </c>
      <c r="C14" s="345"/>
      <c r="D14" s="345"/>
      <c r="E14" s="346"/>
      <c r="F14" s="7"/>
      <c r="G14" s="7"/>
      <c r="H14" s="7"/>
      <c r="I14" s="7"/>
      <c r="J14" s="23"/>
    </row>
    <row r="15" spans="2:10" x14ac:dyDescent="0.2">
      <c r="B15" s="45"/>
      <c r="C15" s="44"/>
      <c r="D15" s="97"/>
      <c r="E15" s="42"/>
      <c r="F15" s="37"/>
      <c r="G15" s="23"/>
      <c r="H15" s="23"/>
      <c r="I15" s="7"/>
      <c r="J15" s="23"/>
    </row>
    <row r="16" spans="2:10" x14ac:dyDescent="0.2">
      <c r="B16" s="45" t="s">
        <v>76</v>
      </c>
      <c r="C16" s="102">
        <v>0</v>
      </c>
      <c r="E16" s="42"/>
      <c r="F16" s="37"/>
      <c r="G16" s="23"/>
      <c r="H16" s="23"/>
      <c r="I16" s="7"/>
      <c r="J16" s="23"/>
    </row>
    <row r="17" spans="2:10" x14ac:dyDescent="0.2">
      <c r="B17" s="45" t="s">
        <v>96</v>
      </c>
      <c r="C17" s="103">
        <v>1.35</v>
      </c>
      <c r="E17" s="42"/>
      <c r="F17" s="37"/>
      <c r="G17" s="23"/>
      <c r="H17" s="23"/>
      <c r="I17" s="7"/>
      <c r="J17" s="23"/>
    </row>
    <row r="18" spans="2:10" x14ac:dyDescent="0.2">
      <c r="B18" s="45" t="s">
        <v>83</v>
      </c>
      <c r="C18" s="104">
        <v>0</v>
      </c>
      <c r="D18" s="98"/>
      <c r="E18" s="42"/>
      <c r="F18" s="37"/>
      <c r="G18" s="23"/>
      <c r="H18" s="23"/>
      <c r="I18" s="7"/>
      <c r="J18" s="23"/>
    </row>
    <row r="19" spans="2:10" x14ac:dyDescent="0.2">
      <c r="B19" s="45" t="s">
        <v>92</v>
      </c>
      <c r="C19" s="104">
        <v>0</v>
      </c>
      <c r="D19" s="98"/>
      <c r="E19" s="42"/>
      <c r="F19" s="37"/>
      <c r="G19" s="23"/>
      <c r="H19" s="23"/>
      <c r="I19" s="7"/>
      <c r="J19" s="23"/>
    </row>
    <row r="20" spans="2:10" x14ac:dyDescent="0.2">
      <c r="B20" s="45" t="s">
        <v>93</v>
      </c>
      <c r="C20" s="107">
        <v>30</v>
      </c>
      <c r="D20" s="98" t="s">
        <v>71</v>
      </c>
      <c r="E20" s="42"/>
      <c r="F20" s="37"/>
      <c r="G20" s="23"/>
      <c r="H20" s="23"/>
      <c r="I20" s="7"/>
      <c r="J20" s="23"/>
    </row>
    <row r="21" spans="2:10" x14ac:dyDescent="0.2">
      <c r="B21" s="45" t="s">
        <v>100</v>
      </c>
      <c r="C21" s="107">
        <v>10</v>
      </c>
      <c r="D21" s="98" t="s">
        <v>71</v>
      </c>
      <c r="E21" s="42"/>
      <c r="F21" s="37"/>
      <c r="G21" s="23"/>
      <c r="H21" s="23"/>
      <c r="I21" s="7"/>
      <c r="J21" s="23"/>
    </row>
    <row r="22" spans="2:10" x14ac:dyDescent="0.2">
      <c r="B22" s="45"/>
      <c r="C22" s="104"/>
      <c r="D22" s="98"/>
      <c r="E22" s="42"/>
      <c r="F22" s="37"/>
      <c r="G22" s="23"/>
      <c r="H22" s="23"/>
      <c r="I22" s="7"/>
      <c r="J22" s="23"/>
    </row>
    <row r="23" spans="2:10" x14ac:dyDescent="0.2">
      <c r="B23" s="115" t="s">
        <v>98</v>
      </c>
      <c r="C23" s="44"/>
      <c r="D23" s="98"/>
      <c r="E23" s="42"/>
      <c r="F23" s="37"/>
      <c r="G23" s="23"/>
      <c r="H23" s="23"/>
      <c r="I23" s="7"/>
      <c r="J23" s="23"/>
    </row>
    <row r="24" spans="2:10" x14ac:dyDescent="0.2">
      <c r="B24" s="45" t="s">
        <v>90</v>
      </c>
      <c r="C24" s="106">
        <f>NOI!D115</f>
        <v>1589371.25</v>
      </c>
      <c r="D24" s="98" t="s">
        <v>91</v>
      </c>
      <c r="E24" s="42"/>
      <c r="F24" s="37"/>
      <c r="G24" s="23"/>
      <c r="H24" s="23"/>
      <c r="I24" s="7"/>
      <c r="J24" s="23"/>
    </row>
    <row r="25" spans="2:10" x14ac:dyDescent="0.2">
      <c r="B25" s="45" t="s">
        <v>222</v>
      </c>
      <c r="C25" s="110">
        <f>C24/C17</f>
        <v>1177312.0370370368</v>
      </c>
      <c r="D25" s="98" t="s">
        <v>223</v>
      </c>
      <c r="E25" s="42"/>
      <c r="F25" s="37"/>
      <c r="G25" s="23"/>
      <c r="H25" s="23"/>
      <c r="I25" s="7"/>
      <c r="J25" s="23"/>
    </row>
    <row r="26" spans="2:10" x14ac:dyDescent="0.2">
      <c r="B26" s="45" t="s">
        <v>95</v>
      </c>
      <c r="C26" s="111">
        <f>-PV(C19/12,C20*12,C25/12)</f>
        <v>35319361.111111104</v>
      </c>
      <c r="D26" s="98" t="s">
        <v>225</v>
      </c>
      <c r="E26" s="42"/>
      <c r="F26" s="37"/>
      <c r="G26" s="23"/>
      <c r="H26" s="23"/>
      <c r="I26" s="7"/>
      <c r="J26" s="23"/>
    </row>
    <row r="27" spans="2:10" x14ac:dyDescent="0.2">
      <c r="B27" s="45" t="s">
        <v>94</v>
      </c>
      <c r="C27" s="108">
        <f>C7*C16</f>
        <v>0</v>
      </c>
      <c r="D27" s="98" t="s">
        <v>224</v>
      </c>
      <c r="E27" s="42"/>
      <c r="F27" s="37"/>
      <c r="G27" s="23"/>
      <c r="H27" s="23"/>
      <c r="I27" s="7"/>
      <c r="J27" s="23"/>
    </row>
    <row r="28" spans="2:10" x14ac:dyDescent="0.2">
      <c r="B28" s="45" t="s">
        <v>218</v>
      </c>
      <c r="C28" s="108">
        <f>MIN(C26:C27)</f>
        <v>0</v>
      </c>
      <c r="D28" s="98"/>
      <c r="E28" s="42"/>
      <c r="F28" s="37"/>
      <c r="G28" s="23"/>
      <c r="H28" s="23"/>
      <c r="I28" s="7"/>
      <c r="J28" s="23"/>
    </row>
    <row r="29" spans="2:10" x14ac:dyDescent="0.2">
      <c r="B29" s="45"/>
      <c r="C29" s="109"/>
      <c r="D29" s="98"/>
      <c r="E29" s="42"/>
      <c r="F29" s="37"/>
      <c r="G29" s="23"/>
      <c r="H29" s="23"/>
      <c r="I29" s="7"/>
      <c r="J29" s="23"/>
    </row>
    <row r="30" spans="2:10" ht="13.5" thickBot="1" x14ac:dyDescent="0.25">
      <c r="B30" s="45" t="s">
        <v>215</v>
      </c>
      <c r="C30" s="89">
        <f>-PMT(C19/12,C20*12,C28)*12</f>
        <v>0</v>
      </c>
      <c r="D30" s="98"/>
      <c r="E30" s="42"/>
      <c r="F30" s="37"/>
      <c r="G30" s="23"/>
      <c r="H30" s="23"/>
      <c r="I30" s="7"/>
      <c r="J30" s="23"/>
    </row>
    <row r="31" spans="2:10" ht="13.5" thickBot="1" x14ac:dyDescent="0.25">
      <c r="B31" s="344" t="s">
        <v>79</v>
      </c>
      <c r="C31" s="345"/>
      <c r="D31" s="345"/>
      <c r="E31" s="346"/>
      <c r="F31" s="7"/>
      <c r="G31" s="7"/>
      <c r="H31" s="7"/>
      <c r="I31" s="7"/>
      <c r="J31" s="23"/>
    </row>
    <row r="32" spans="2:10" x14ac:dyDescent="0.2">
      <c r="B32" s="286" t="s">
        <v>209</v>
      </c>
      <c r="C32" s="191"/>
      <c r="D32" s="192"/>
      <c r="E32" s="193"/>
      <c r="F32" s="96"/>
      <c r="G32" s="96"/>
      <c r="H32" s="86"/>
      <c r="I32" s="96"/>
    </row>
    <row r="33" spans="2:9" x14ac:dyDescent="0.2">
      <c r="B33" s="20" t="s">
        <v>86</v>
      </c>
      <c r="C33" s="105">
        <v>25000</v>
      </c>
      <c r="D33" s="23"/>
      <c r="E33" s="36"/>
      <c r="F33" s="96"/>
      <c r="G33" s="96"/>
      <c r="H33" s="86"/>
      <c r="I33" s="96"/>
    </row>
    <row r="34" spans="2:9" x14ac:dyDescent="0.2">
      <c r="B34" s="20" t="s">
        <v>216</v>
      </c>
      <c r="C34" s="112">
        <f>C7+(C7*C8)</f>
        <v>19594000</v>
      </c>
      <c r="D34" s="23"/>
      <c r="E34" s="36"/>
      <c r="F34" s="96"/>
      <c r="G34" s="96"/>
      <c r="H34" s="86"/>
      <c r="I34" s="96"/>
    </row>
    <row r="35" spans="2:9" x14ac:dyDescent="0.2">
      <c r="B35" s="20" t="s">
        <v>217</v>
      </c>
      <c r="C35" s="113">
        <f>-(1-C18)*C28</f>
        <v>0</v>
      </c>
      <c r="D35" s="23"/>
      <c r="E35" s="36"/>
      <c r="F35" s="96"/>
      <c r="G35" s="96"/>
      <c r="H35" s="86"/>
      <c r="I35" s="96"/>
    </row>
    <row r="36" spans="2:9" ht="13.5" thickBot="1" x14ac:dyDescent="0.25">
      <c r="B36" s="20" t="s">
        <v>261</v>
      </c>
      <c r="C36" s="336">
        <f>SUM(C33:C35)</f>
        <v>19619000</v>
      </c>
      <c r="D36" s="23"/>
      <c r="E36" s="36"/>
      <c r="F36" s="96"/>
      <c r="G36" s="96"/>
      <c r="H36" s="86"/>
      <c r="I36" s="96"/>
    </row>
    <row r="37" spans="2:9" ht="13.5" thickTop="1" x14ac:dyDescent="0.2">
      <c r="B37" s="20"/>
      <c r="C37" s="112"/>
      <c r="D37" s="23"/>
      <c r="E37" s="36"/>
      <c r="F37" s="96"/>
      <c r="G37" s="96"/>
      <c r="H37" s="86"/>
      <c r="I37" s="96"/>
    </row>
    <row r="38" spans="2:9" x14ac:dyDescent="0.2">
      <c r="B38" s="229" t="s">
        <v>208</v>
      </c>
      <c r="C38" s="287" t="s">
        <v>210</v>
      </c>
      <c r="D38" s="23"/>
      <c r="E38" s="36"/>
      <c r="F38" s="96"/>
      <c r="G38" s="96"/>
      <c r="H38" s="86"/>
      <c r="I38" s="96"/>
    </row>
    <row r="39" spans="2:9" x14ac:dyDescent="0.2">
      <c r="B39" s="20" t="s">
        <v>81</v>
      </c>
      <c r="C39" s="190">
        <f>$C$36*D39</f>
        <v>18638050</v>
      </c>
      <c r="D39" s="102">
        <v>0.95</v>
      </c>
      <c r="E39" s="36"/>
      <c r="F39" s="96"/>
      <c r="G39" s="96"/>
      <c r="H39" s="86"/>
      <c r="I39" s="96"/>
    </row>
    <row r="40" spans="2:9" x14ac:dyDescent="0.2">
      <c r="B40" s="20" t="s">
        <v>80</v>
      </c>
      <c r="C40" s="190">
        <f>$C$36*D40</f>
        <v>980950</v>
      </c>
      <c r="D40" s="102">
        <v>0.05</v>
      </c>
      <c r="E40" s="36"/>
      <c r="F40" s="96"/>
      <c r="G40" s="96"/>
      <c r="H40" s="86"/>
      <c r="I40" s="96"/>
    </row>
    <row r="41" spans="2:9" ht="13.5" thickBot="1" x14ac:dyDescent="0.25">
      <c r="B41" s="311" t="s">
        <v>262</v>
      </c>
      <c r="C41" s="337">
        <f>SUM(C39:C40)</f>
        <v>19619000</v>
      </c>
      <c r="D41" s="102"/>
      <c r="E41" s="36"/>
      <c r="F41" s="96"/>
      <c r="G41" s="96"/>
      <c r="H41" s="86"/>
      <c r="I41" s="96"/>
    </row>
    <row r="42" spans="2:9" ht="13.5" thickTop="1" x14ac:dyDescent="0.2">
      <c r="B42" s="20"/>
      <c r="C42" s="112"/>
      <c r="D42" s="23"/>
      <c r="E42" s="36"/>
      <c r="F42" s="96"/>
      <c r="G42" s="96"/>
      <c r="H42" s="86"/>
      <c r="I42" s="96"/>
    </row>
    <row r="43" spans="2:9" x14ac:dyDescent="0.2">
      <c r="B43" s="20" t="s">
        <v>139</v>
      </c>
      <c r="C43" s="102">
        <v>0.01</v>
      </c>
      <c r="D43" s="23" t="s">
        <v>140</v>
      </c>
      <c r="E43" s="36"/>
      <c r="F43" s="96"/>
      <c r="G43" s="96"/>
      <c r="H43" s="86"/>
      <c r="I43" s="96"/>
    </row>
    <row r="44" spans="2:9" ht="13.5" thickBot="1" x14ac:dyDescent="0.25">
      <c r="B44" s="300" t="s">
        <v>221</v>
      </c>
      <c r="C44" s="105">
        <v>25000</v>
      </c>
      <c r="D44" s="196"/>
      <c r="E44" s="78"/>
      <c r="F44" s="96"/>
      <c r="G44" s="96"/>
      <c r="H44" s="86"/>
      <c r="I44" s="96"/>
    </row>
    <row r="45" spans="2:9" ht="13.5" thickBot="1" x14ac:dyDescent="0.25">
      <c r="B45" s="344" t="s">
        <v>232</v>
      </c>
      <c r="C45" s="345"/>
      <c r="D45" s="345"/>
      <c r="E45" s="346"/>
      <c r="F45" s="96"/>
      <c r="G45" s="96"/>
      <c r="H45" s="86"/>
      <c r="I45" s="96"/>
    </row>
    <row r="46" spans="2:9" x14ac:dyDescent="0.2">
      <c r="B46" s="319" t="s">
        <v>233</v>
      </c>
      <c r="C46" s="320"/>
      <c r="D46" s="192"/>
      <c r="E46" s="193"/>
      <c r="F46" s="96"/>
      <c r="G46" s="96"/>
      <c r="H46" s="86"/>
      <c r="I46" s="96"/>
    </row>
    <row r="47" spans="2:9" x14ac:dyDescent="0.2">
      <c r="B47" s="321" t="s">
        <v>234</v>
      </c>
      <c r="C47" s="322">
        <f>C28</f>
        <v>0</v>
      </c>
      <c r="D47" s="23"/>
      <c r="E47" s="36"/>
      <c r="F47" s="96"/>
      <c r="G47" s="96"/>
      <c r="H47" s="86"/>
      <c r="I47" s="96"/>
    </row>
    <row r="48" spans="2:9" x14ac:dyDescent="0.2">
      <c r="B48" s="321" t="s">
        <v>235</v>
      </c>
      <c r="C48" s="322">
        <f>-C47*C18</f>
        <v>0</v>
      </c>
      <c r="D48" s="23"/>
      <c r="E48" s="36"/>
      <c r="F48" s="96"/>
      <c r="G48" s="96"/>
      <c r="H48" s="86"/>
      <c r="I48" s="96"/>
    </row>
    <row r="49" spans="2:9" x14ac:dyDescent="0.2">
      <c r="B49" s="321" t="s">
        <v>236</v>
      </c>
      <c r="C49" s="322">
        <f>C39</f>
        <v>18638050</v>
      </c>
      <c r="D49" s="23"/>
      <c r="E49" s="36"/>
      <c r="F49" s="96"/>
      <c r="G49" s="96"/>
      <c r="H49" s="86"/>
      <c r="I49" s="96"/>
    </row>
    <row r="50" spans="2:9" x14ac:dyDescent="0.2">
      <c r="B50" s="321" t="s">
        <v>237</v>
      </c>
      <c r="C50" s="323">
        <f>C40</f>
        <v>980950</v>
      </c>
      <c r="D50" s="23"/>
      <c r="E50" s="36"/>
      <c r="F50" s="96"/>
      <c r="G50" s="96"/>
      <c r="H50" s="86"/>
      <c r="I50" s="96"/>
    </row>
    <row r="51" spans="2:9" ht="13.5" thickBot="1" x14ac:dyDescent="0.25">
      <c r="B51" s="321" t="s">
        <v>238</v>
      </c>
      <c r="C51" s="324">
        <f>SUM(C47:C50)</f>
        <v>19619000</v>
      </c>
      <c r="D51" s="23"/>
      <c r="E51" s="36"/>
      <c r="F51" s="96"/>
      <c r="G51" s="96"/>
      <c r="H51" s="86"/>
      <c r="I51" s="96"/>
    </row>
    <row r="52" spans="2:9" ht="13.5" thickTop="1" x14ac:dyDescent="0.2">
      <c r="B52" s="311"/>
      <c r="C52" s="322"/>
      <c r="D52" s="23"/>
      <c r="E52" s="36"/>
      <c r="F52" s="96"/>
      <c r="G52" s="96"/>
      <c r="H52" s="86"/>
      <c r="I52" s="96"/>
    </row>
    <row r="53" spans="2:9" x14ac:dyDescent="0.2">
      <c r="B53" s="325" t="s">
        <v>239</v>
      </c>
      <c r="C53" s="322"/>
      <c r="D53" s="23"/>
      <c r="E53" s="36"/>
      <c r="F53" s="96"/>
      <c r="G53" s="96"/>
      <c r="H53" s="86"/>
      <c r="I53" s="96"/>
    </row>
    <row r="54" spans="2:9" x14ac:dyDescent="0.2">
      <c r="B54" s="321" t="s">
        <v>78</v>
      </c>
      <c r="C54" s="322">
        <f>C7</f>
        <v>19400000</v>
      </c>
      <c r="D54" s="23"/>
      <c r="E54" s="36"/>
      <c r="F54" s="96"/>
      <c r="G54" s="96"/>
      <c r="H54" s="86"/>
      <c r="I54" s="96"/>
    </row>
    <row r="55" spans="2:9" x14ac:dyDescent="0.2">
      <c r="B55" s="321" t="s">
        <v>240</v>
      </c>
      <c r="C55" s="322">
        <f>C7*C8</f>
        <v>194000</v>
      </c>
      <c r="D55" s="23"/>
      <c r="E55" s="36"/>
      <c r="F55" s="96"/>
      <c r="G55" s="96"/>
      <c r="H55" s="86"/>
      <c r="I55" s="96"/>
    </row>
    <row r="56" spans="2:9" x14ac:dyDescent="0.2">
      <c r="B56" s="321" t="s">
        <v>241</v>
      </c>
      <c r="C56" s="323">
        <f>C33</f>
        <v>25000</v>
      </c>
      <c r="D56" s="23"/>
      <c r="E56" s="36"/>
      <c r="F56" s="96"/>
      <c r="G56" s="96"/>
      <c r="H56" s="86"/>
      <c r="I56" s="96"/>
    </row>
    <row r="57" spans="2:9" ht="13.5" thickBot="1" x14ac:dyDescent="0.25">
      <c r="B57" s="321" t="s">
        <v>242</v>
      </c>
      <c r="C57" s="324">
        <f>SUM(C54:C56)</f>
        <v>19619000</v>
      </c>
      <c r="D57" s="23"/>
      <c r="E57" s="36"/>
      <c r="F57" s="96"/>
      <c r="G57" s="96"/>
      <c r="H57" s="86"/>
      <c r="I57" s="96"/>
    </row>
    <row r="58" spans="2:9" ht="14.25" thickTop="1" thickBot="1" x14ac:dyDescent="0.25">
      <c r="B58" s="300"/>
      <c r="C58" s="326"/>
      <c r="D58" s="196"/>
      <c r="E58" s="78"/>
      <c r="F58" s="96"/>
      <c r="G58" s="96"/>
      <c r="H58" s="86"/>
      <c r="I58" s="96"/>
    </row>
    <row r="59" spans="2:9" ht="13.5" thickBot="1" x14ac:dyDescent="0.25">
      <c r="B59" s="344" t="s">
        <v>84</v>
      </c>
      <c r="C59" s="345"/>
      <c r="D59" s="345"/>
      <c r="E59" s="346"/>
      <c r="F59" s="96"/>
      <c r="G59" s="96"/>
      <c r="H59" s="86"/>
      <c r="I59" s="96"/>
    </row>
    <row r="60" spans="2:9" x14ac:dyDescent="0.2">
      <c r="B60" s="20"/>
      <c r="C60" s="96"/>
      <c r="D60" s="23"/>
      <c r="E60" s="36"/>
      <c r="F60" s="96"/>
      <c r="G60" s="96"/>
      <c r="H60" s="86"/>
      <c r="I60" s="96"/>
    </row>
    <row r="61" spans="2:9" x14ac:dyDescent="0.2">
      <c r="B61" s="20" t="s">
        <v>87</v>
      </c>
      <c r="C61" s="105">
        <v>50000</v>
      </c>
      <c r="D61" s="23"/>
      <c r="E61" s="36"/>
      <c r="F61" s="96"/>
      <c r="G61" s="96"/>
      <c r="H61" s="86"/>
      <c r="I61" s="96"/>
    </row>
    <row r="62" spans="2:9" x14ac:dyDescent="0.2">
      <c r="B62" s="20" t="s">
        <v>85</v>
      </c>
      <c r="C62" s="102">
        <v>0.08</v>
      </c>
      <c r="D62" s="23" t="s">
        <v>122</v>
      </c>
      <c r="E62" s="36"/>
      <c r="F62" s="96"/>
      <c r="G62" s="96"/>
      <c r="H62" s="86"/>
      <c r="I62" s="96"/>
    </row>
    <row r="63" spans="2:9" x14ac:dyDescent="0.2">
      <c r="B63" s="20"/>
      <c r="C63" s="102"/>
      <c r="D63" s="23"/>
      <c r="E63" s="36"/>
      <c r="F63" s="96"/>
      <c r="G63" s="96"/>
      <c r="H63" s="86"/>
      <c r="I63" s="96"/>
    </row>
    <row r="64" spans="2:9" x14ac:dyDescent="0.2">
      <c r="B64" s="20" t="s">
        <v>88</v>
      </c>
      <c r="C64" s="102">
        <v>0.7</v>
      </c>
      <c r="D64" s="23"/>
      <c r="E64" s="36"/>
      <c r="F64" s="96"/>
      <c r="G64" s="96"/>
      <c r="H64" s="86"/>
      <c r="I64" s="96"/>
    </row>
    <row r="65" spans="1:9" x14ac:dyDescent="0.2">
      <c r="B65" s="20" t="s">
        <v>89</v>
      </c>
      <c r="C65" s="102">
        <v>0.3</v>
      </c>
      <c r="D65" s="23"/>
      <c r="E65" s="36"/>
      <c r="F65" s="96"/>
      <c r="G65" s="96"/>
      <c r="H65" s="86"/>
      <c r="I65" s="96"/>
    </row>
    <row r="66" spans="1:9" ht="13.5" thickBot="1" x14ac:dyDescent="0.25">
      <c r="B66" s="194"/>
      <c r="C66" s="195"/>
      <c r="D66" s="196"/>
      <c r="E66" s="78"/>
      <c r="F66" s="96"/>
      <c r="G66" s="96"/>
      <c r="H66" s="86"/>
      <c r="I66" s="96"/>
    </row>
    <row r="67" spans="1:9" x14ac:dyDescent="0.2">
      <c r="B67" s="23"/>
      <c r="C67" s="96"/>
      <c r="D67" s="23"/>
      <c r="E67" s="23"/>
      <c r="F67" s="96"/>
      <c r="G67" s="96"/>
      <c r="H67" s="86"/>
      <c r="I67" s="96"/>
    </row>
    <row r="68" spans="1:9" ht="13.5" thickBot="1" x14ac:dyDescent="0.25">
      <c r="A68" s="23"/>
      <c r="B68" s="117"/>
      <c r="C68" s="87"/>
      <c r="D68" s="86"/>
      <c r="E68" s="86"/>
      <c r="F68" s="86"/>
      <c r="G68" s="86"/>
      <c r="H68" s="86"/>
      <c r="I68" s="96"/>
    </row>
    <row r="69" spans="1:9" ht="13.5" thickBot="1" x14ac:dyDescent="0.25">
      <c r="A69" s="23"/>
      <c r="B69" s="215" t="s">
        <v>133</v>
      </c>
      <c r="C69" s="317"/>
      <c r="D69" s="317"/>
      <c r="E69" s="317"/>
      <c r="F69" s="317"/>
      <c r="G69" s="317"/>
      <c r="H69" s="216"/>
      <c r="I69" s="318"/>
    </row>
    <row r="70" spans="1:9" ht="13.5" thickBot="1" x14ac:dyDescent="0.25">
      <c r="B70" s="99" t="s">
        <v>10</v>
      </c>
      <c r="C70" s="99">
        <v>0</v>
      </c>
      <c r="D70" s="99">
        <v>1</v>
      </c>
      <c r="E70" s="99">
        <v>2</v>
      </c>
      <c r="F70" s="99">
        <v>3</v>
      </c>
      <c r="G70" s="99">
        <v>4</v>
      </c>
      <c r="H70" s="99">
        <v>5</v>
      </c>
      <c r="I70" s="116">
        <v>6</v>
      </c>
    </row>
    <row r="71" spans="1:9" x14ac:dyDescent="0.2">
      <c r="B71" s="88" t="s">
        <v>99</v>
      </c>
      <c r="C71" s="197">
        <f>C28</f>
        <v>0</v>
      </c>
      <c r="D71" s="114">
        <f>-PV($C$19/12,$C$20*12-12*D70,$C$30/12)</f>
        <v>0</v>
      </c>
      <c r="E71" s="114">
        <f t="shared" ref="E71:I71" si="0">-PV($C$19/12,$C$20*12-12*E70,$C$30/12)</f>
        <v>0</v>
      </c>
      <c r="F71" s="114">
        <f t="shared" si="0"/>
        <v>0</v>
      </c>
      <c r="G71" s="114">
        <f t="shared" si="0"/>
        <v>0</v>
      </c>
      <c r="H71" s="114">
        <f t="shared" si="0"/>
        <v>0</v>
      </c>
      <c r="I71" s="198">
        <f t="shared" si="0"/>
        <v>0</v>
      </c>
    </row>
    <row r="72" spans="1:9" x14ac:dyDescent="0.2">
      <c r="B72" s="88" t="s">
        <v>174</v>
      </c>
      <c r="C72" s="23"/>
      <c r="D72" s="89">
        <f>$C$30</f>
        <v>0</v>
      </c>
      <c r="E72" s="89">
        <f t="shared" ref="E72:I72" si="1">$C$30</f>
        <v>0</v>
      </c>
      <c r="F72" s="89">
        <f t="shared" si="1"/>
        <v>0</v>
      </c>
      <c r="G72" s="89">
        <f t="shared" si="1"/>
        <v>0</v>
      </c>
      <c r="H72" s="89">
        <f t="shared" si="1"/>
        <v>0</v>
      </c>
      <c r="I72" s="199">
        <f t="shared" si="1"/>
        <v>0</v>
      </c>
    </row>
    <row r="73" spans="1:9" x14ac:dyDescent="0.2">
      <c r="B73" s="88" t="s">
        <v>73</v>
      </c>
      <c r="C73" s="23"/>
      <c r="D73" s="89">
        <f>C71-D71</f>
        <v>0</v>
      </c>
      <c r="E73" s="89">
        <f t="shared" ref="E73:I73" si="2">D71-E71</f>
        <v>0</v>
      </c>
      <c r="F73" s="89">
        <f t="shared" si="2"/>
        <v>0</v>
      </c>
      <c r="G73" s="89">
        <f t="shared" si="2"/>
        <v>0</v>
      </c>
      <c r="H73" s="89">
        <f t="shared" si="2"/>
        <v>0</v>
      </c>
      <c r="I73" s="199">
        <f t="shared" si="2"/>
        <v>0</v>
      </c>
    </row>
    <row r="74" spans="1:9" ht="13.5" thickBot="1" x14ac:dyDescent="0.25">
      <c r="B74" s="91" t="s">
        <v>72</v>
      </c>
      <c r="C74" s="196"/>
      <c r="D74" s="93">
        <f>D72-D73</f>
        <v>0</v>
      </c>
      <c r="E74" s="93">
        <f t="shared" ref="E74:I74" si="3">E72-E73</f>
        <v>0</v>
      </c>
      <c r="F74" s="93">
        <f t="shared" si="3"/>
        <v>0</v>
      </c>
      <c r="G74" s="93">
        <f t="shared" si="3"/>
        <v>0</v>
      </c>
      <c r="H74" s="93">
        <f t="shared" si="3"/>
        <v>0</v>
      </c>
      <c r="I74" s="200">
        <f t="shared" si="3"/>
        <v>0</v>
      </c>
    </row>
    <row r="75" spans="1:9" x14ac:dyDescent="0.2">
      <c r="B75" s="292" t="s">
        <v>219</v>
      </c>
      <c r="C75" s="293">
        <f>C35</f>
        <v>0</v>
      </c>
      <c r="D75" s="293">
        <f>D72</f>
        <v>0</v>
      </c>
      <c r="E75" s="293">
        <f t="shared" ref="E75:G75" si="4">E72</f>
        <v>0</v>
      </c>
      <c r="F75" s="293">
        <f t="shared" si="4"/>
        <v>0</v>
      </c>
      <c r="G75" s="293">
        <f t="shared" si="4"/>
        <v>0</v>
      </c>
      <c r="H75" s="293">
        <f>H72+H71</f>
        <v>0</v>
      </c>
      <c r="I75" s="294"/>
    </row>
    <row r="76" spans="1:9" ht="13.5" thickBot="1" x14ac:dyDescent="0.25">
      <c r="A76" s="23"/>
      <c r="B76" s="295" t="s">
        <v>220</v>
      </c>
      <c r="C76" s="296" t="e">
        <f>IRR(C75:H75)</f>
        <v>#NUM!</v>
      </c>
      <c r="D76" s="297"/>
      <c r="E76" s="297"/>
      <c r="F76" s="297"/>
      <c r="G76" s="297"/>
      <c r="H76" s="298"/>
      <c r="I76" s="299"/>
    </row>
    <row r="77" spans="1:9" ht="13.5" thickBot="1" x14ac:dyDescent="0.25"/>
    <row r="78" spans="1:9" ht="13.5" thickBot="1" x14ac:dyDescent="0.25">
      <c r="B78" s="215" t="s">
        <v>134</v>
      </c>
      <c r="C78" s="216"/>
      <c r="D78" s="216"/>
      <c r="E78" s="216"/>
      <c r="F78" s="216"/>
      <c r="G78" s="216"/>
      <c r="H78" s="216"/>
      <c r="I78" s="217"/>
    </row>
    <row r="79" spans="1:9" ht="13.5" thickBot="1" x14ac:dyDescent="0.25">
      <c r="B79" s="116" t="s">
        <v>10</v>
      </c>
      <c r="C79" s="116">
        <v>0</v>
      </c>
      <c r="D79" s="116">
        <v>1</v>
      </c>
      <c r="E79" s="116">
        <v>2</v>
      </c>
      <c r="F79" s="116">
        <v>3</v>
      </c>
      <c r="G79" s="116">
        <v>4</v>
      </c>
      <c r="H79" s="116">
        <v>5</v>
      </c>
      <c r="I79" s="116">
        <v>6</v>
      </c>
    </row>
    <row r="80" spans="1:9" x14ac:dyDescent="0.2">
      <c r="B80" s="218" t="s">
        <v>1</v>
      </c>
      <c r="C80" s="192"/>
      <c r="D80" s="219">
        <f>NOI!D115</f>
        <v>1589371.25</v>
      </c>
      <c r="E80" s="219">
        <f>NOI!E115</f>
        <v>1587489.5</v>
      </c>
      <c r="F80" s="219">
        <f>NOI!F115</f>
        <v>1585404.2</v>
      </c>
      <c r="G80" s="219">
        <f>NOI!G115</f>
        <v>1506647.3547500002</v>
      </c>
      <c r="H80" s="219">
        <f>NOI!H115</f>
        <v>1496974.1218112505</v>
      </c>
      <c r="I80" s="220">
        <f>NOI!I115</f>
        <v>1669510.4593374315</v>
      </c>
    </row>
    <row r="81" spans="2:10" x14ac:dyDescent="0.2">
      <c r="B81" s="88"/>
      <c r="C81" s="23"/>
      <c r="D81" s="89"/>
      <c r="E81" s="89"/>
      <c r="F81" s="89"/>
      <c r="G81" s="89"/>
      <c r="H81" s="89"/>
      <c r="I81" s="199"/>
    </row>
    <row r="82" spans="2:10" x14ac:dyDescent="0.2">
      <c r="B82" s="88" t="s">
        <v>103</v>
      </c>
      <c r="C82" s="23"/>
      <c r="D82" s="118">
        <f>-(D80*$C$9)</f>
        <v>-15893.7125</v>
      </c>
      <c r="E82" s="118">
        <f t="shared" ref="E82:H82" si="5">-(E80*$C$9)</f>
        <v>-15874.895</v>
      </c>
      <c r="F82" s="118">
        <f t="shared" si="5"/>
        <v>-15854.041999999999</v>
      </c>
      <c r="G82" s="118">
        <f t="shared" si="5"/>
        <v>-15066.473547500002</v>
      </c>
      <c r="H82" s="118">
        <f t="shared" si="5"/>
        <v>-14969.741218112506</v>
      </c>
      <c r="I82" s="201"/>
    </row>
    <row r="83" spans="2:10" x14ac:dyDescent="0.2">
      <c r="B83" s="88" t="s">
        <v>101</v>
      </c>
      <c r="C83" s="23"/>
      <c r="D83" s="118">
        <f>-D72</f>
        <v>0</v>
      </c>
      <c r="E83" s="118">
        <f>-E72</f>
        <v>0</v>
      </c>
      <c r="F83" s="118">
        <f>-F72</f>
        <v>0</v>
      </c>
      <c r="G83" s="118">
        <f>-G72</f>
        <v>0</v>
      </c>
      <c r="H83" s="118">
        <f>-H72</f>
        <v>0</v>
      </c>
      <c r="I83" s="201"/>
      <c r="J83" s="230"/>
    </row>
    <row r="84" spans="2:10" x14ac:dyDescent="0.2">
      <c r="B84" s="88" t="s">
        <v>138</v>
      </c>
      <c r="C84" s="23"/>
      <c r="D84" s="119">
        <f>-MIN($C$43*$C$39,$C$44)</f>
        <v>-25000</v>
      </c>
      <c r="E84" s="119">
        <f t="shared" ref="E84:H84" si="6">-MIN($C$43*$C$39,$C$44)</f>
        <v>-25000</v>
      </c>
      <c r="F84" s="119">
        <f t="shared" si="6"/>
        <v>-25000</v>
      </c>
      <c r="G84" s="119">
        <f t="shared" si="6"/>
        <v>-25000</v>
      </c>
      <c r="H84" s="119">
        <f t="shared" si="6"/>
        <v>-25000</v>
      </c>
      <c r="I84" s="201"/>
    </row>
    <row r="85" spans="2:10" x14ac:dyDescent="0.2">
      <c r="B85" s="94" t="s">
        <v>74</v>
      </c>
      <c r="C85" s="23"/>
      <c r="D85" s="89">
        <f>SUM(D80:D84)</f>
        <v>1548477.5375000001</v>
      </c>
      <c r="E85" s="89">
        <f t="shared" ref="E85:H85" si="7">SUM(E80:E84)</f>
        <v>1546614.605</v>
      </c>
      <c r="F85" s="89">
        <f t="shared" si="7"/>
        <v>1544550.1580000001</v>
      </c>
      <c r="G85" s="89">
        <f t="shared" si="7"/>
        <v>1466580.8812025001</v>
      </c>
      <c r="H85" s="89">
        <f t="shared" si="7"/>
        <v>1457004.380593138</v>
      </c>
      <c r="I85" s="202"/>
    </row>
    <row r="86" spans="2:10" x14ac:dyDescent="0.2">
      <c r="B86" s="88"/>
      <c r="C86" s="23"/>
      <c r="D86" s="89"/>
      <c r="E86" s="89"/>
      <c r="F86" s="89"/>
      <c r="G86" s="89"/>
      <c r="H86" s="89"/>
      <c r="I86" s="202"/>
    </row>
    <row r="87" spans="2:10" x14ac:dyDescent="0.2">
      <c r="B87" s="283" t="s">
        <v>104</v>
      </c>
      <c r="C87" s="312">
        <f>C33</f>
        <v>25000</v>
      </c>
      <c r="D87" s="313">
        <f>$C$61</f>
        <v>50000</v>
      </c>
      <c r="E87" s="313">
        <f t="shared" ref="E87:H87" si="8">$C$61</f>
        <v>50000</v>
      </c>
      <c r="F87" s="313">
        <f t="shared" si="8"/>
        <v>50000</v>
      </c>
      <c r="G87" s="313">
        <f t="shared" si="8"/>
        <v>50000</v>
      </c>
      <c r="H87" s="313">
        <f t="shared" si="8"/>
        <v>50000</v>
      </c>
      <c r="I87" s="202"/>
    </row>
    <row r="88" spans="2:10" x14ac:dyDescent="0.2">
      <c r="B88" s="203" t="s">
        <v>105</v>
      </c>
      <c r="C88" s="23"/>
      <c r="D88" s="89">
        <f>D87-C87</f>
        <v>25000</v>
      </c>
      <c r="E88" s="89">
        <f t="shared" ref="E88:H88" si="9">E87-D87</f>
        <v>0</v>
      </c>
      <c r="F88" s="89">
        <f t="shared" si="9"/>
        <v>0</v>
      </c>
      <c r="G88" s="89">
        <f t="shared" si="9"/>
        <v>0</v>
      </c>
      <c r="H88" s="89">
        <f t="shared" si="9"/>
        <v>0</v>
      </c>
      <c r="I88" s="202"/>
    </row>
    <row r="89" spans="2:10" x14ac:dyDescent="0.2">
      <c r="B89" s="20"/>
      <c r="C89" s="23"/>
      <c r="D89" s="120"/>
      <c r="E89" s="120"/>
      <c r="F89" s="120"/>
      <c r="G89" s="120"/>
      <c r="H89" s="120"/>
      <c r="I89" s="204"/>
    </row>
    <row r="90" spans="2:10" x14ac:dyDescent="0.2">
      <c r="B90" s="94" t="s">
        <v>106</v>
      </c>
      <c r="C90" s="23"/>
      <c r="D90" s="89">
        <f>D85-D88</f>
        <v>1523477.5375000001</v>
      </c>
      <c r="E90" s="89">
        <f t="shared" ref="E90:H90" si="10">E85-E88</f>
        <v>1546614.605</v>
      </c>
      <c r="F90" s="89">
        <f t="shared" si="10"/>
        <v>1544550.1580000001</v>
      </c>
      <c r="G90" s="89">
        <f t="shared" si="10"/>
        <v>1466580.8812025001</v>
      </c>
      <c r="H90" s="89">
        <f t="shared" si="10"/>
        <v>1457004.380593138</v>
      </c>
      <c r="I90" s="202"/>
    </row>
    <row r="91" spans="2:10" x14ac:dyDescent="0.2">
      <c r="B91" s="88"/>
      <c r="C91" s="23"/>
      <c r="D91" s="89"/>
      <c r="E91" s="89"/>
      <c r="F91" s="89"/>
      <c r="G91" s="89"/>
      <c r="H91" s="89"/>
      <c r="I91" s="199"/>
    </row>
    <row r="92" spans="2:10" x14ac:dyDescent="0.2">
      <c r="B92" s="283" t="s">
        <v>205</v>
      </c>
      <c r="C92" s="284"/>
      <c r="D92" s="285" t="e">
        <f>D80/-D83</f>
        <v>#DIV/0!</v>
      </c>
      <c r="E92" s="285" t="e">
        <f t="shared" ref="E92:H92" si="11">E80/-E83</f>
        <v>#DIV/0!</v>
      </c>
      <c r="F92" s="285" t="e">
        <f t="shared" si="11"/>
        <v>#DIV/0!</v>
      </c>
      <c r="G92" s="285" t="e">
        <f t="shared" si="11"/>
        <v>#DIV/0!</v>
      </c>
      <c r="H92" s="285" t="e">
        <f t="shared" si="11"/>
        <v>#DIV/0!</v>
      </c>
      <c r="I92" s="199"/>
    </row>
    <row r="93" spans="2:10" x14ac:dyDescent="0.2">
      <c r="B93" s="88"/>
      <c r="C93" s="23"/>
      <c r="D93" s="89"/>
      <c r="E93" s="89"/>
      <c r="F93" s="89"/>
      <c r="G93" s="89"/>
      <c r="H93" s="89"/>
      <c r="I93" s="199"/>
    </row>
    <row r="94" spans="2:10" x14ac:dyDescent="0.2">
      <c r="B94" s="94" t="s">
        <v>107</v>
      </c>
      <c r="C94" s="23"/>
      <c r="D94" s="95"/>
      <c r="E94" s="95"/>
      <c r="F94" s="95"/>
      <c r="G94" s="95"/>
      <c r="H94" s="23"/>
      <c r="I94" s="205"/>
    </row>
    <row r="95" spans="2:10" x14ac:dyDescent="0.2">
      <c r="B95" s="92" t="s">
        <v>108</v>
      </c>
      <c r="C95" s="89"/>
      <c r="D95" s="89"/>
      <c r="E95" s="89"/>
      <c r="F95" s="89"/>
      <c r="G95" s="89"/>
      <c r="H95" s="89">
        <f>I80/C11</f>
        <v>22260139.457832422</v>
      </c>
      <c r="I95" s="206"/>
    </row>
    <row r="96" spans="2:10" x14ac:dyDescent="0.2">
      <c r="B96" s="20" t="s">
        <v>111</v>
      </c>
      <c r="C96" s="23"/>
      <c r="D96" s="23"/>
      <c r="E96" s="23"/>
      <c r="F96" s="23"/>
      <c r="G96" s="23"/>
      <c r="H96" s="64">
        <f>-H95*C12</f>
        <v>-890405.57831329689</v>
      </c>
      <c r="I96" s="36"/>
    </row>
    <row r="97" spans="2:9" x14ac:dyDescent="0.2">
      <c r="B97" s="20" t="s">
        <v>112</v>
      </c>
      <c r="C97" s="23"/>
      <c r="D97" s="23"/>
      <c r="E97" s="23"/>
      <c r="F97" s="23"/>
      <c r="G97" s="23"/>
      <c r="H97" s="190">
        <f>-H71</f>
        <v>0</v>
      </c>
      <c r="I97" s="36"/>
    </row>
    <row r="98" spans="2:9" x14ac:dyDescent="0.2">
      <c r="B98" s="20" t="s">
        <v>129</v>
      </c>
      <c r="C98" s="23"/>
      <c r="D98" s="23"/>
      <c r="E98" s="23"/>
      <c r="F98" s="23"/>
      <c r="G98" s="23"/>
      <c r="H98" s="121">
        <f>C61</f>
        <v>50000</v>
      </c>
      <c r="I98" s="36"/>
    </row>
    <row r="99" spans="2:9" x14ac:dyDescent="0.2">
      <c r="B99" s="94" t="s">
        <v>130</v>
      </c>
      <c r="C99" s="23"/>
      <c r="D99" s="23"/>
      <c r="E99" s="23"/>
      <c r="F99" s="23"/>
      <c r="G99" s="23"/>
      <c r="H99" s="207">
        <f>SUM(H95:H98)</f>
        <v>21419733.879519124</v>
      </c>
      <c r="I99" s="36"/>
    </row>
    <row r="100" spans="2:9" x14ac:dyDescent="0.2">
      <c r="B100" s="94"/>
      <c r="C100" s="23"/>
      <c r="D100" s="120"/>
      <c r="E100" s="120"/>
      <c r="F100" s="120"/>
      <c r="G100" s="120"/>
      <c r="H100" s="288"/>
      <c r="I100" s="36"/>
    </row>
    <row r="101" spans="2:9" x14ac:dyDescent="0.2">
      <c r="B101" s="94" t="s">
        <v>213</v>
      </c>
      <c r="C101" s="190">
        <f>-C36</f>
        <v>-19619000</v>
      </c>
      <c r="D101" s="207">
        <f>D90</f>
        <v>1523477.5375000001</v>
      </c>
      <c r="E101" s="207">
        <f t="shared" ref="E101:G101" si="12">E90</f>
        <v>1546614.605</v>
      </c>
      <c r="F101" s="207">
        <f t="shared" si="12"/>
        <v>1544550.1580000001</v>
      </c>
      <c r="G101" s="207">
        <f t="shared" si="12"/>
        <v>1466580.8812025001</v>
      </c>
      <c r="H101" s="207">
        <f>H90+H99</f>
        <v>22876738.260112263</v>
      </c>
      <c r="I101" s="36"/>
    </row>
    <row r="102" spans="2:9" x14ac:dyDescent="0.2">
      <c r="B102" s="94"/>
      <c r="C102" s="190"/>
      <c r="D102" s="207"/>
      <c r="E102" s="207"/>
      <c r="F102" s="207"/>
      <c r="G102" s="207"/>
      <c r="H102" s="207"/>
      <c r="I102" s="36"/>
    </row>
    <row r="103" spans="2:9" ht="13.5" thickBot="1" x14ac:dyDescent="0.25">
      <c r="B103" s="290" t="s">
        <v>214</v>
      </c>
      <c r="C103" s="289">
        <f>IRR(C101:H101)</f>
        <v>9.2298071325459308E-2</v>
      </c>
      <c r="D103" s="196"/>
      <c r="E103" s="196"/>
      <c r="F103" s="196"/>
      <c r="G103" s="196"/>
      <c r="H103" s="196"/>
      <c r="I103" s="78"/>
    </row>
    <row r="104" spans="2:9" ht="13.5" thickBot="1" x14ac:dyDescent="0.25"/>
    <row r="105" spans="2:9" ht="13.5" thickBot="1" x14ac:dyDescent="0.25">
      <c r="B105" s="208" t="s">
        <v>135</v>
      </c>
      <c r="C105" s="209"/>
      <c r="D105" s="209"/>
      <c r="E105" s="209"/>
      <c r="F105" s="209"/>
      <c r="G105" s="209"/>
      <c r="H105" s="210"/>
    </row>
    <row r="106" spans="2:9" ht="13.5" thickBot="1" x14ac:dyDescent="0.25">
      <c r="B106" s="20"/>
      <c r="C106" s="23"/>
      <c r="D106" s="23"/>
      <c r="E106" s="23"/>
      <c r="F106" s="23"/>
      <c r="G106" s="23"/>
      <c r="H106" s="36"/>
    </row>
    <row r="107" spans="2:9" ht="13.5" thickBot="1" x14ac:dyDescent="0.25">
      <c r="B107" s="126" t="s">
        <v>113</v>
      </c>
      <c r="C107" s="127"/>
      <c r="D107" s="127"/>
      <c r="E107" s="128"/>
      <c r="F107" s="129"/>
      <c r="G107" s="129"/>
      <c r="H107" s="130"/>
    </row>
    <row r="108" spans="2:9" x14ac:dyDescent="0.2">
      <c r="B108" s="131"/>
      <c r="C108" s="129"/>
      <c r="D108" s="129"/>
      <c r="E108" s="129"/>
      <c r="F108" s="129"/>
      <c r="G108" s="129"/>
      <c r="H108" s="130"/>
    </row>
    <row r="109" spans="2:9" x14ac:dyDescent="0.2">
      <c r="B109" s="132" t="s">
        <v>114</v>
      </c>
      <c r="C109" s="133"/>
      <c r="D109" s="134">
        <f>D90</f>
        <v>1523477.5375000001</v>
      </c>
      <c r="E109" s="134">
        <f t="shared" ref="E109:H109" si="13">E90</f>
        <v>1546614.605</v>
      </c>
      <c r="F109" s="134">
        <f t="shared" si="13"/>
        <v>1544550.1580000001</v>
      </c>
      <c r="G109" s="134">
        <f t="shared" si="13"/>
        <v>1466580.8812025001</v>
      </c>
      <c r="H109" s="135">
        <f t="shared" si="13"/>
        <v>1457004.380593138</v>
      </c>
    </row>
    <row r="110" spans="2:9" x14ac:dyDescent="0.2">
      <c r="B110" s="136"/>
      <c r="C110" s="129"/>
      <c r="D110" s="129"/>
      <c r="E110" s="129"/>
      <c r="F110" s="129"/>
      <c r="G110" s="129"/>
      <c r="H110" s="130"/>
    </row>
    <row r="111" spans="2:9" x14ac:dyDescent="0.2">
      <c r="B111" s="137" t="s">
        <v>120</v>
      </c>
      <c r="C111" s="138"/>
      <c r="D111" s="139">
        <f>IF($C$62*$C$39&gt;D109,-D109,-$C$62*$C$39)</f>
        <v>-1491044</v>
      </c>
      <c r="E111" s="139">
        <f t="shared" ref="E111:H111" si="14">IF($C$62*$C$39&gt;E109,-E109,-$C$62*$C$39)</f>
        <v>-1491044</v>
      </c>
      <c r="F111" s="139">
        <f t="shared" si="14"/>
        <v>-1491044</v>
      </c>
      <c r="G111" s="139">
        <f t="shared" si="14"/>
        <v>-1466580.8812025001</v>
      </c>
      <c r="H111" s="140">
        <f t="shared" si="14"/>
        <v>-1457004.380593138</v>
      </c>
    </row>
    <row r="112" spans="2:9" x14ac:dyDescent="0.2">
      <c r="B112" s="141" t="s">
        <v>34</v>
      </c>
      <c r="C112" s="142"/>
      <c r="D112" s="143">
        <f>D109+D111</f>
        <v>32433.537500000093</v>
      </c>
      <c r="E112" s="143">
        <f>E109+E111</f>
        <v>55570.604999999981</v>
      </c>
      <c r="F112" s="143">
        <f>F109+F111</f>
        <v>53506.158000000054</v>
      </c>
      <c r="G112" s="143">
        <f>G109+G111</f>
        <v>0</v>
      </c>
      <c r="H112" s="144">
        <f>H109+H111</f>
        <v>0</v>
      </c>
    </row>
    <row r="113" spans="2:8" x14ac:dyDescent="0.2">
      <c r="B113" s="145"/>
      <c r="C113" s="142"/>
      <c r="D113" s="142"/>
      <c r="E113" s="129"/>
      <c r="F113" s="142"/>
      <c r="G113" s="142"/>
      <c r="H113" s="146"/>
    </row>
    <row r="114" spans="2:8" x14ac:dyDescent="0.2">
      <c r="B114" s="147" t="s">
        <v>121</v>
      </c>
      <c r="C114" s="148"/>
      <c r="D114" s="149">
        <f>IF($C$62*$C$40&gt;D112,-D112,-$C$62*$C$40)</f>
        <v>-32433.537500000093</v>
      </c>
      <c r="E114" s="149">
        <f t="shared" ref="E114:H114" si="15">IF($C$62*$C$40&gt;E112,-E112,-$C$62*$C$40)</f>
        <v>-55570.604999999981</v>
      </c>
      <c r="F114" s="149">
        <f t="shared" si="15"/>
        <v>-53506.158000000054</v>
      </c>
      <c r="G114" s="149">
        <f t="shared" si="15"/>
        <v>0</v>
      </c>
      <c r="H114" s="150">
        <f t="shared" si="15"/>
        <v>0</v>
      </c>
    </row>
    <row r="115" spans="2:8" x14ac:dyDescent="0.2">
      <c r="B115" s="141" t="s">
        <v>34</v>
      </c>
      <c r="C115" s="142"/>
      <c r="D115" s="143">
        <f>D112+D114</f>
        <v>0</v>
      </c>
      <c r="E115" s="143">
        <f>E112+E114</f>
        <v>0</v>
      </c>
      <c r="F115" s="143">
        <f>F112+F114</f>
        <v>0</v>
      </c>
      <c r="G115" s="143">
        <f>G112+G114</f>
        <v>0</v>
      </c>
      <c r="H115" s="144">
        <f>H112+H114</f>
        <v>0</v>
      </c>
    </row>
    <row r="116" spans="2:8" x14ac:dyDescent="0.2">
      <c r="B116" s="151"/>
      <c r="C116" s="129"/>
      <c r="D116" s="129"/>
      <c r="E116" s="129"/>
      <c r="F116" s="129"/>
      <c r="G116" s="129"/>
      <c r="H116" s="130"/>
    </row>
    <row r="117" spans="2:8" x14ac:dyDescent="0.2">
      <c r="B117" s="152" t="s">
        <v>123</v>
      </c>
      <c r="C117" s="153"/>
      <c r="D117" s="154">
        <f>-IF(D115&gt;0,$C$64*D115,0)</f>
        <v>0</v>
      </c>
      <c r="E117" s="154">
        <f t="shared" ref="E117:H117" si="16">-IF(E115&gt;0,$C$64*E115,0)</f>
        <v>0</v>
      </c>
      <c r="F117" s="154">
        <f t="shared" si="16"/>
        <v>0</v>
      </c>
      <c r="G117" s="154">
        <f t="shared" si="16"/>
        <v>0</v>
      </c>
      <c r="H117" s="155">
        <f t="shared" si="16"/>
        <v>0</v>
      </c>
    </row>
    <row r="118" spans="2:8" x14ac:dyDescent="0.2">
      <c r="B118" s="156" t="s">
        <v>124</v>
      </c>
      <c r="C118" s="157"/>
      <c r="D118" s="149">
        <f>-IF(D115&gt;0,$C$65*D115,0)</f>
        <v>0</v>
      </c>
      <c r="E118" s="149">
        <f t="shared" ref="E118:H118" si="17">-IF(E115&gt;0,$C$65*E115,0)</f>
        <v>0</v>
      </c>
      <c r="F118" s="149">
        <f t="shared" si="17"/>
        <v>0</v>
      </c>
      <c r="G118" s="149">
        <f t="shared" si="17"/>
        <v>0</v>
      </c>
      <c r="H118" s="150">
        <f t="shared" si="17"/>
        <v>0</v>
      </c>
    </row>
    <row r="119" spans="2:8" ht="13.5" thickBot="1" x14ac:dyDescent="0.25">
      <c r="B119" s="141" t="s">
        <v>34</v>
      </c>
      <c r="C119" s="129"/>
      <c r="D119" s="158">
        <f>D115+D117+D118</f>
        <v>0</v>
      </c>
      <c r="E119" s="158">
        <f>E115+E117+E118</f>
        <v>0</v>
      </c>
      <c r="F119" s="158">
        <f>F115+F117+F118</f>
        <v>0</v>
      </c>
      <c r="G119" s="158">
        <f>G115+G117+G118</f>
        <v>0</v>
      </c>
      <c r="H119" s="159">
        <f>H115+H117+H118</f>
        <v>0</v>
      </c>
    </row>
    <row r="120" spans="2:8" ht="14.25" thickTop="1" thickBot="1" x14ac:dyDescent="0.25">
      <c r="B120" s="160"/>
      <c r="C120" s="161"/>
      <c r="D120" s="161"/>
      <c r="E120" s="129"/>
      <c r="F120" s="129"/>
      <c r="G120" s="129"/>
      <c r="H120" s="130"/>
    </row>
    <row r="121" spans="2:8" ht="13.5" thickBot="1" x14ac:dyDescent="0.25">
      <c r="B121" s="126" t="s">
        <v>115</v>
      </c>
      <c r="C121" s="127"/>
      <c r="D121" s="127"/>
      <c r="E121" s="128"/>
      <c r="F121" s="129"/>
      <c r="G121" s="129"/>
      <c r="H121" s="130"/>
    </row>
    <row r="122" spans="2:8" x14ac:dyDescent="0.2">
      <c r="B122" s="131"/>
      <c r="C122" s="129"/>
      <c r="D122" s="129"/>
      <c r="E122" s="129"/>
      <c r="F122" s="129"/>
      <c r="G122" s="129"/>
      <c r="H122" s="130"/>
    </row>
    <row r="123" spans="2:8" x14ac:dyDescent="0.2">
      <c r="B123" s="132" t="s">
        <v>114</v>
      </c>
      <c r="C123" s="133"/>
      <c r="D123" s="134"/>
      <c r="E123" s="134"/>
      <c r="F123" s="134"/>
      <c r="G123" s="134"/>
      <c r="H123" s="135">
        <f>H99</f>
        <v>21419733.879519124</v>
      </c>
    </row>
    <row r="124" spans="2:8" x14ac:dyDescent="0.2">
      <c r="B124" s="136"/>
      <c r="C124" s="129"/>
      <c r="D124" s="129"/>
      <c r="E124" s="129"/>
      <c r="F124" s="129"/>
      <c r="G124" s="129"/>
      <c r="H124" s="130"/>
    </row>
    <row r="125" spans="2:8" x14ac:dyDescent="0.2">
      <c r="B125" s="137" t="s">
        <v>125</v>
      </c>
      <c r="C125" s="142"/>
      <c r="D125" s="162"/>
      <c r="E125" s="162"/>
      <c r="F125" s="162"/>
      <c r="G125" s="162"/>
      <c r="H125" s="140">
        <f>-IF(H123&gt;C39,C39,H123)</f>
        <v>-18638050</v>
      </c>
    </row>
    <row r="126" spans="2:8" x14ac:dyDescent="0.2">
      <c r="B126" s="141" t="s">
        <v>34</v>
      </c>
      <c r="C126" s="142"/>
      <c r="D126" s="143">
        <f>D123-D125</f>
        <v>0</v>
      </c>
      <c r="E126" s="143">
        <f>E123-E125</f>
        <v>0</v>
      </c>
      <c r="F126" s="143">
        <f>F123-F125</f>
        <v>0</v>
      </c>
      <c r="G126" s="143">
        <f>G123-G125</f>
        <v>0</v>
      </c>
      <c r="H126" s="144">
        <f>SUM(H123:H125)</f>
        <v>2781683.8795191236</v>
      </c>
    </row>
    <row r="127" spans="2:8" x14ac:dyDescent="0.2">
      <c r="B127" s="145"/>
      <c r="C127" s="142"/>
      <c r="D127" s="142"/>
      <c r="E127" s="129"/>
      <c r="F127" s="142"/>
      <c r="G127" s="142"/>
      <c r="H127" s="146"/>
    </row>
    <row r="128" spans="2:8" x14ac:dyDescent="0.2">
      <c r="B128" s="147" t="s">
        <v>126</v>
      </c>
      <c r="C128" s="142"/>
      <c r="D128" s="162"/>
      <c r="E128" s="162"/>
      <c r="F128" s="162"/>
      <c r="G128" s="162"/>
      <c r="H128" s="150">
        <f>-IF(H126&gt;C40,C40,H126)</f>
        <v>-980950</v>
      </c>
    </row>
    <row r="129" spans="2:9" x14ac:dyDescent="0.2">
      <c r="B129" s="141" t="s">
        <v>34</v>
      </c>
      <c r="C129" s="142"/>
      <c r="D129" s="143">
        <f>D126-D128</f>
        <v>0</v>
      </c>
      <c r="E129" s="143">
        <f>E126-E128</f>
        <v>0</v>
      </c>
      <c r="F129" s="143">
        <f>F126-F128</f>
        <v>0</v>
      </c>
      <c r="G129" s="143">
        <f>G126-G128</f>
        <v>0</v>
      </c>
      <c r="H129" s="144">
        <f>SUM(H126:H128)</f>
        <v>1800733.8795191236</v>
      </c>
    </row>
    <row r="130" spans="2:9" x14ac:dyDescent="0.2">
      <c r="B130" s="151"/>
      <c r="C130" s="129"/>
      <c r="D130" s="129"/>
      <c r="E130" s="129"/>
      <c r="F130" s="129"/>
      <c r="G130" s="129"/>
      <c r="H130" s="130"/>
    </row>
    <row r="131" spans="2:9" x14ac:dyDescent="0.2">
      <c r="B131" s="152" t="s">
        <v>127</v>
      </c>
      <c r="C131" s="163"/>
      <c r="D131" s="143"/>
      <c r="E131" s="143"/>
      <c r="F131" s="143"/>
      <c r="G131" s="143"/>
      <c r="H131" s="155">
        <f>-MIN(H143,H129)</f>
        <v>-1800733.8795191236</v>
      </c>
    </row>
    <row r="132" spans="2:9" x14ac:dyDescent="0.2">
      <c r="B132" s="156" t="s">
        <v>128</v>
      </c>
      <c r="C132" s="129"/>
      <c r="D132" s="164"/>
      <c r="E132" s="164"/>
      <c r="F132" s="164"/>
      <c r="G132" s="164"/>
      <c r="H132" s="150"/>
    </row>
    <row r="133" spans="2:9" x14ac:dyDescent="0.2">
      <c r="B133" s="141" t="s">
        <v>34</v>
      </c>
      <c r="C133" s="129"/>
      <c r="D133" s="134">
        <f>D129-D131-D132</f>
        <v>0</v>
      </c>
      <c r="E133" s="134">
        <f>E129-E131-E132</f>
        <v>0</v>
      </c>
      <c r="F133" s="134">
        <f>F129-F131-F132</f>
        <v>0</v>
      </c>
      <c r="G133" s="134">
        <f>G129-G131-G132</f>
        <v>0</v>
      </c>
      <c r="H133" s="135">
        <f>SUM(H129:H132)</f>
        <v>0</v>
      </c>
    </row>
    <row r="134" spans="2:9" x14ac:dyDescent="0.2">
      <c r="B134" s="151"/>
      <c r="C134" s="129"/>
      <c r="D134" s="129"/>
      <c r="E134" s="129"/>
      <c r="F134" s="129"/>
      <c r="G134" s="129"/>
      <c r="H134" s="130"/>
    </row>
    <row r="135" spans="2:9" x14ac:dyDescent="0.2">
      <c r="B135" s="152" t="s">
        <v>123</v>
      </c>
      <c r="C135" s="129"/>
      <c r="D135" s="129"/>
      <c r="E135" s="129"/>
      <c r="F135" s="129"/>
      <c r="G135" s="129"/>
      <c r="H135" s="155">
        <f>-IF(H133&gt;0,$C$64*H133,0)</f>
        <v>0</v>
      </c>
    </row>
    <row r="136" spans="2:9" x14ac:dyDescent="0.2">
      <c r="B136" s="156" t="s">
        <v>124</v>
      </c>
      <c r="C136" s="129"/>
      <c r="D136" s="165"/>
      <c r="E136" s="165"/>
      <c r="F136" s="165"/>
      <c r="G136" s="165"/>
      <c r="H136" s="150">
        <f>-IF(H133&gt;0,$C$65*H133,0)</f>
        <v>0</v>
      </c>
    </row>
    <row r="137" spans="2:9" ht="13.5" thickBot="1" x14ac:dyDescent="0.25">
      <c r="B137" s="141" t="s">
        <v>34</v>
      </c>
      <c r="C137" s="129"/>
      <c r="D137" s="158">
        <f>D133+D135+D136</f>
        <v>0</v>
      </c>
      <c r="E137" s="158">
        <f>E133+E135+E136</f>
        <v>0</v>
      </c>
      <c r="F137" s="158">
        <f>F133+F135+F136</f>
        <v>0</v>
      </c>
      <c r="G137" s="158">
        <f>G133+G135+G136</f>
        <v>0</v>
      </c>
      <c r="H137" s="159">
        <f>H133+H135+H136</f>
        <v>0</v>
      </c>
    </row>
    <row r="138" spans="2:9" ht="14.25" thickTop="1" thickBot="1" x14ac:dyDescent="0.25">
      <c r="B138" s="166"/>
      <c r="C138" s="167"/>
      <c r="D138" s="167"/>
      <c r="E138" s="167"/>
      <c r="F138" s="167"/>
      <c r="G138" s="167"/>
      <c r="H138" s="168"/>
    </row>
    <row r="139" spans="2:9" ht="13.5" thickBot="1" x14ac:dyDescent="0.25">
      <c r="B139" s="129"/>
      <c r="C139" s="129"/>
      <c r="D139" s="129"/>
      <c r="E139" s="129"/>
      <c r="F139" s="129"/>
      <c r="G139" s="129"/>
      <c r="H139" s="129"/>
    </row>
    <row r="140" spans="2:9" ht="13.5" thickBot="1" x14ac:dyDescent="0.25">
      <c r="B140" s="126" t="s">
        <v>136</v>
      </c>
      <c r="C140" s="127"/>
      <c r="D140" s="127"/>
      <c r="E140" s="128"/>
      <c r="F140" s="169"/>
      <c r="G140" s="169"/>
      <c r="H140" s="170"/>
    </row>
    <row r="141" spans="2:9" x14ac:dyDescent="0.2">
      <c r="B141" s="151" t="s">
        <v>116</v>
      </c>
      <c r="C141" s="143">
        <f>-C39</f>
        <v>-18638050</v>
      </c>
      <c r="D141" s="134">
        <f>-(D111+D117)</f>
        <v>1491044</v>
      </c>
      <c r="E141" s="134">
        <f>-(E111+E117)</f>
        <v>1491044</v>
      </c>
      <c r="F141" s="134">
        <f>-(F111+F117)</f>
        <v>1491044</v>
      </c>
      <c r="G141" s="134">
        <f>-(G111+G117)</f>
        <v>1466580.8812025001</v>
      </c>
      <c r="H141" s="135">
        <f>-(H111+H117)</f>
        <v>1457004.380593138</v>
      </c>
    </row>
    <row r="142" spans="2:9" x14ac:dyDescent="0.2">
      <c r="B142" s="151" t="s">
        <v>125</v>
      </c>
      <c r="C142" s="143"/>
      <c r="D142" s="134"/>
      <c r="E142" s="134"/>
      <c r="F142" s="134"/>
      <c r="G142" s="134"/>
      <c r="H142" s="135">
        <f>-H125</f>
        <v>18638050</v>
      </c>
    </row>
    <row r="143" spans="2:9" x14ac:dyDescent="0.2">
      <c r="B143" s="151" t="s">
        <v>117</v>
      </c>
      <c r="C143" s="165"/>
      <c r="D143" s="165"/>
      <c r="E143" s="165"/>
      <c r="F143" s="165"/>
      <c r="G143" s="165"/>
      <c r="H143" s="171">
        <v>4798000</v>
      </c>
      <c r="I143" s="301" t="str">
        <f>IF(H143&gt;H129,"error","")</f>
        <v>error</v>
      </c>
    </row>
    <row r="144" spans="2:9" x14ac:dyDescent="0.2">
      <c r="B144" s="151" t="s">
        <v>26</v>
      </c>
      <c r="C144" s="134">
        <f t="shared" ref="C144:H144" si="18">SUM(C141:C143)</f>
        <v>-18638050</v>
      </c>
      <c r="D144" s="134">
        <f t="shared" si="18"/>
        <v>1491044</v>
      </c>
      <c r="E144" s="134">
        <f t="shared" si="18"/>
        <v>1491044</v>
      </c>
      <c r="F144" s="134">
        <f t="shared" si="18"/>
        <v>1491044</v>
      </c>
      <c r="G144" s="134">
        <f t="shared" si="18"/>
        <v>1466580.8812025001</v>
      </c>
      <c r="H144" s="135">
        <f t="shared" si="18"/>
        <v>24893054.38059314</v>
      </c>
    </row>
    <row r="145" spans="2:8" x14ac:dyDescent="0.2">
      <c r="B145" s="136" t="s">
        <v>137</v>
      </c>
      <c r="C145" s="302">
        <f>IRR(C144:H144)</f>
        <v>0.12000292722533534</v>
      </c>
      <c r="D145" s="133"/>
      <c r="E145" s="133"/>
      <c r="F145" s="133"/>
      <c r="G145" s="133"/>
      <c r="H145" s="172"/>
    </row>
    <row r="146" spans="2:8" ht="13.5" thickBot="1" x14ac:dyDescent="0.25">
      <c r="B146" s="173"/>
      <c r="C146" s="174"/>
      <c r="D146" s="174"/>
      <c r="E146" s="174"/>
      <c r="F146" s="174"/>
      <c r="G146" s="174"/>
      <c r="H146" s="175"/>
    </row>
    <row r="147" spans="2:8" x14ac:dyDescent="0.2">
      <c r="B147" s="133"/>
      <c r="C147" s="133"/>
      <c r="D147" s="133"/>
      <c r="E147" s="133"/>
      <c r="F147" s="133"/>
      <c r="G147" s="133"/>
      <c r="H147" s="133"/>
    </row>
    <row r="148" spans="2:8" ht="13.5" thickBot="1" x14ac:dyDescent="0.25">
      <c r="B148" s="133"/>
      <c r="C148" s="133"/>
      <c r="D148" s="133"/>
      <c r="E148" s="133"/>
      <c r="F148" s="133"/>
      <c r="G148" s="133"/>
      <c r="H148" s="176"/>
    </row>
    <row r="149" spans="2:8" ht="13.5" thickBot="1" x14ac:dyDescent="0.25">
      <c r="B149" s="126" t="s">
        <v>118</v>
      </c>
      <c r="C149" s="127"/>
      <c r="D149" s="127"/>
      <c r="E149" s="128"/>
      <c r="F149" s="177"/>
      <c r="G149" s="177"/>
      <c r="H149" s="178"/>
    </row>
    <row r="150" spans="2:8" x14ac:dyDescent="0.2">
      <c r="B150" s="131"/>
      <c r="C150" s="129"/>
      <c r="D150" s="129"/>
      <c r="E150" s="129"/>
      <c r="F150" s="133"/>
      <c r="G150" s="133"/>
      <c r="H150" s="179"/>
    </row>
    <row r="151" spans="2:8" x14ac:dyDescent="0.2">
      <c r="B151" s="131"/>
      <c r="C151" s="180">
        <v>0</v>
      </c>
      <c r="D151" s="181">
        <v>1</v>
      </c>
      <c r="E151" s="180">
        <v>2</v>
      </c>
      <c r="F151" s="180">
        <v>3</v>
      </c>
      <c r="G151" s="181">
        <v>4</v>
      </c>
      <c r="H151" s="182">
        <v>5</v>
      </c>
    </row>
    <row r="152" spans="2:8" x14ac:dyDescent="0.2">
      <c r="B152" s="262" t="s">
        <v>131</v>
      </c>
      <c r="C152" s="154">
        <f>-C39</f>
        <v>-18638050</v>
      </c>
      <c r="D152" s="183">
        <f>-(D111+D117)</f>
        <v>1491044</v>
      </c>
      <c r="E152" s="183">
        <f>-(E111+E117)</f>
        <v>1491044</v>
      </c>
      <c r="F152" s="183">
        <f>-(F111+F117)</f>
        <v>1491044</v>
      </c>
      <c r="G152" s="183">
        <f>-(G111+G117)</f>
        <v>1466580.8812025001</v>
      </c>
      <c r="H152" s="184">
        <f>-(H111+H117)</f>
        <v>1457004.380593138</v>
      </c>
    </row>
    <row r="153" spans="2:8" x14ac:dyDescent="0.2">
      <c r="B153" s="152"/>
      <c r="C153" s="139"/>
      <c r="D153" s="257"/>
      <c r="E153" s="257"/>
      <c r="F153" s="257"/>
      <c r="G153" s="257"/>
      <c r="H153" s="258">
        <f>-(H125+H131+H135)</f>
        <v>20438783.879519124</v>
      </c>
    </row>
    <row r="154" spans="2:8" x14ac:dyDescent="0.2">
      <c r="B154" s="152"/>
      <c r="C154" s="154">
        <f>SUM(C152:C153)</f>
        <v>-18638050</v>
      </c>
      <c r="D154" s="154">
        <f t="shared" ref="D154:H154" si="19">SUM(D152:D153)</f>
        <v>1491044</v>
      </c>
      <c r="E154" s="154">
        <f t="shared" si="19"/>
        <v>1491044</v>
      </c>
      <c r="F154" s="154">
        <f t="shared" si="19"/>
        <v>1491044</v>
      </c>
      <c r="G154" s="154">
        <f t="shared" si="19"/>
        <v>1466580.8812025001</v>
      </c>
      <c r="H154" s="155">
        <f t="shared" si="19"/>
        <v>21895788.260112263</v>
      </c>
    </row>
    <row r="155" spans="2:8" x14ac:dyDescent="0.2">
      <c r="B155" s="145" t="s">
        <v>119</v>
      </c>
      <c r="C155" s="185">
        <f>IRR(C154:H154)</f>
        <v>9.5430559523741909E-2</v>
      </c>
      <c r="D155" s="176"/>
      <c r="E155" s="176"/>
      <c r="F155" s="176"/>
      <c r="G155" s="176"/>
      <c r="H155" s="179"/>
    </row>
    <row r="156" spans="2:8" x14ac:dyDescent="0.2">
      <c r="B156" s="151"/>
      <c r="C156" s="186"/>
      <c r="D156" s="176"/>
      <c r="E156" s="176"/>
      <c r="F156" s="176"/>
      <c r="G156" s="176"/>
      <c r="H156" s="179"/>
    </row>
    <row r="157" spans="2:8" x14ac:dyDescent="0.2">
      <c r="B157" s="263" t="s">
        <v>132</v>
      </c>
      <c r="C157" s="187">
        <f>-C40</f>
        <v>-980950</v>
      </c>
      <c r="D157" s="188">
        <f>-(D114+D118)</f>
        <v>32433.537500000093</v>
      </c>
      <c r="E157" s="188">
        <f>-(E114+E118)</f>
        <v>55570.604999999981</v>
      </c>
      <c r="F157" s="188">
        <f>-(F114+F118)</f>
        <v>53506.158000000054</v>
      </c>
      <c r="G157" s="188">
        <f>-(G114+G118)</f>
        <v>0</v>
      </c>
      <c r="H157" s="189">
        <f>-(H114+H118)</f>
        <v>0</v>
      </c>
    </row>
    <row r="158" spans="2:8" x14ac:dyDescent="0.2">
      <c r="B158" s="156"/>
      <c r="C158" s="149"/>
      <c r="D158" s="259"/>
      <c r="E158" s="259"/>
      <c r="F158" s="259"/>
      <c r="G158" s="259"/>
      <c r="H158" s="260">
        <f>-(H128+H136)</f>
        <v>980950</v>
      </c>
    </row>
    <row r="159" spans="2:8" x14ac:dyDescent="0.2">
      <c r="B159" s="156"/>
      <c r="C159" s="187">
        <f>SUM(C157:C158)</f>
        <v>-980950</v>
      </c>
      <c r="D159" s="187">
        <f t="shared" ref="D159:H159" si="20">SUM(D157:D158)</f>
        <v>32433.537500000093</v>
      </c>
      <c r="E159" s="187">
        <f t="shared" si="20"/>
        <v>55570.604999999981</v>
      </c>
      <c r="F159" s="187">
        <f t="shared" si="20"/>
        <v>53506.158000000054</v>
      </c>
      <c r="G159" s="187">
        <f t="shared" si="20"/>
        <v>0</v>
      </c>
      <c r="H159" s="264">
        <f t="shared" si="20"/>
        <v>980950</v>
      </c>
    </row>
    <row r="160" spans="2:8" ht="13.5" thickBot="1" x14ac:dyDescent="0.25">
      <c r="B160" s="261" t="s">
        <v>119</v>
      </c>
      <c r="C160" s="359">
        <f>IRR(C159:H159)</f>
        <v>2.9558185215822874E-2</v>
      </c>
      <c r="D160" s="174"/>
      <c r="E160" s="174"/>
      <c r="F160" s="174"/>
      <c r="G160" s="174"/>
      <c r="H160" s="175"/>
    </row>
    <row r="162" spans="2:3" x14ac:dyDescent="0.2">
      <c r="B162" s="316" t="s">
        <v>230</v>
      </c>
    </row>
    <row r="163" spans="2:3" x14ac:dyDescent="0.2">
      <c r="B163" s="314" t="s">
        <v>231</v>
      </c>
      <c r="C163" s="315">
        <f>D80/C7</f>
        <v>8.192635309278351E-2</v>
      </c>
    </row>
  </sheetData>
  <mergeCells count="7">
    <mergeCell ref="B59:E59"/>
    <mergeCell ref="B3:I3"/>
    <mergeCell ref="B4:I4"/>
    <mergeCell ref="B6:E6"/>
    <mergeCell ref="B14:E14"/>
    <mergeCell ref="B31:E31"/>
    <mergeCell ref="B45:E45"/>
  </mergeCells>
  <conditionalFormatting sqref="D85:I85">
    <cfRule type="cellIs" dxfId="1" priority="1" operator="lessThan">
      <formula>0</formula>
    </cfRule>
  </conditionalFormatting>
  <pageMargins left="0.25" right="0.25" top="0.75" bottom="0.75" header="0.3" footer="0.3"/>
  <pageSetup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29"/>
  <sheetViews>
    <sheetView topLeftCell="A15" workbookViewId="0">
      <selection activeCell="H27" sqref="H27"/>
    </sheetView>
  </sheetViews>
  <sheetFormatPr defaultRowHeight="12.75" x14ac:dyDescent="0.2"/>
  <cols>
    <col min="1" max="1" width="4" customWidth="1"/>
    <col min="2" max="2" width="26.5703125" customWidth="1"/>
    <col min="3" max="8" width="14.28515625" customWidth="1"/>
    <col min="9" max="9" width="17.85546875" customWidth="1"/>
    <col min="10" max="10" width="15.85546875" customWidth="1"/>
  </cols>
  <sheetData>
    <row r="1" spans="2:9" ht="13.5" thickBot="1" x14ac:dyDescent="0.25"/>
    <row r="2" spans="2:9" ht="18.75" thickBot="1" x14ac:dyDescent="0.3">
      <c r="B2" s="338" t="s">
        <v>202</v>
      </c>
      <c r="C2" s="339"/>
      <c r="D2" s="339"/>
      <c r="E2" s="339"/>
      <c r="F2" s="339"/>
      <c r="G2" s="339"/>
      <c r="H2" s="339"/>
      <c r="I2" s="340"/>
    </row>
    <row r="3" spans="2:9" ht="16.5" thickBot="1" x14ac:dyDescent="0.3">
      <c r="B3" s="341" t="s">
        <v>203</v>
      </c>
      <c r="C3" s="342"/>
      <c r="D3" s="342"/>
      <c r="E3" s="342"/>
      <c r="F3" s="342"/>
      <c r="G3" s="342"/>
      <c r="H3" s="342"/>
      <c r="I3" s="343"/>
    </row>
    <row r="4" spans="2:9" ht="13.5" thickBot="1" x14ac:dyDescent="0.25"/>
    <row r="5" spans="2:9" ht="13.5" thickBot="1" x14ac:dyDescent="0.25">
      <c r="B5" s="344" t="s">
        <v>142</v>
      </c>
      <c r="C5" s="345"/>
      <c r="D5" s="345"/>
      <c r="E5" s="346"/>
    </row>
    <row r="6" spans="2:9" x14ac:dyDescent="0.2">
      <c r="B6" s="20" t="s">
        <v>78</v>
      </c>
      <c r="C6" s="124"/>
      <c r="D6" s="114">
        <f>'Cash Flow (Loan A)'!C7</f>
        <v>19400000</v>
      </c>
      <c r="E6" s="50"/>
    </row>
    <row r="7" spans="2:9" x14ac:dyDescent="0.2">
      <c r="B7" s="20" t="s">
        <v>175</v>
      </c>
      <c r="C7" s="248">
        <f>'Cash Flow (Loan A)'!C8</f>
        <v>0.01</v>
      </c>
      <c r="D7" s="247">
        <f>D6*C7</f>
        <v>194000</v>
      </c>
      <c r="E7" s="50"/>
    </row>
    <row r="8" spans="2:9" x14ac:dyDescent="0.2">
      <c r="B8" s="20" t="s">
        <v>176</v>
      </c>
      <c r="C8" s="124"/>
      <c r="D8" s="114">
        <f>SUM(D6:D7)</f>
        <v>19594000</v>
      </c>
      <c r="E8" s="50"/>
    </row>
    <row r="9" spans="2:9" x14ac:dyDescent="0.2">
      <c r="B9" s="20"/>
      <c r="C9" s="124"/>
      <c r="D9" s="114"/>
      <c r="E9" s="50"/>
    </row>
    <row r="10" spans="2:9" x14ac:dyDescent="0.2">
      <c r="B10" s="20" t="s">
        <v>143</v>
      </c>
      <c r="C10" s="101"/>
      <c r="D10" s="222">
        <v>0.8</v>
      </c>
      <c r="E10" s="50"/>
    </row>
    <row r="11" spans="2:9" x14ac:dyDescent="0.2">
      <c r="B11" s="20" t="s">
        <v>144</v>
      </c>
      <c r="C11" s="101"/>
      <c r="D11" s="100">
        <v>39</v>
      </c>
      <c r="E11" s="50" t="s">
        <v>71</v>
      </c>
    </row>
    <row r="12" spans="2:9" x14ac:dyDescent="0.2">
      <c r="B12" s="20" t="s">
        <v>149</v>
      </c>
      <c r="C12" s="101"/>
      <c r="D12" s="223">
        <f>D8*D10/D11</f>
        <v>401928.20512820513</v>
      </c>
      <c r="E12" s="50"/>
    </row>
    <row r="13" spans="2:9" x14ac:dyDescent="0.2">
      <c r="B13" s="20" t="s">
        <v>171</v>
      </c>
      <c r="C13" s="101"/>
      <c r="D13" s="223"/>
      <c r="E13" s="50"/>
    </row>
    <row r="14" spans="2:9" x14ac:dyDescent="0.2">
      <c r="B14" s="20"/>
      <c r="C14" s="125"/>
      <c r="D14" s="51"/>
      <c r="E14" s="50"/>
    </row>
    <row r="15" spans="2:9" x14ac:dyDescent="0.2">
      <c r="B15" s="20" t="s">
        <v>146</v>
      </c>
      <c r="C15" s="101"/>
      <c r="D15" s="114">
        <f>'Cash Flow (Loan A)'!C28</f>
        <v>15926301.810245905</v>
      </c>
      <c r="E15" s="50"/>
    </row>
    <row r="16" spans="2:9" x14ac:dyDescent="0.2">
      <c r="B16" s="20" t="s">
        <v>145</v>
      </c>
      <c r="C16" s="101"/>
      <c r="D16" s="221">
        <f>'Cash Flow (Loan A)'!C18</f>
        <v>2.5000000000000001E-2</v>
      </c>
      <c r="E16" s="50"/>
    </row>
    <row r="17" spans="2:9" x14ac:dyDescent="0.2">
      <c r="B17" s="20" t="s">
        <v>158</v>
      </c>
      <c r="C17" s="101"/>
      <c r="D17" s="224">
        <f>D15*D16</f>
        <v>398157.54525614763</v>
      </c>
      <c r="E17" s="50"/>
    </row>
    <row r="18" spans="2:9" x14ac:dyDescent="0.2">
      <c r="B18" s="20" t="s">
        <v>150</v>
      </c>
      <c r="C18" s="101"/>
      <c r="D18" s="224">
        <f>'Cash Flow (Loan A)'!C21</f>
        <v>10</v>
      </c>
      <c r="E18" s="50" t="s">
        <v>71</v>
      </c>
    </row>
    <row r="19" spans="2:9" x14ac:dyDescent="0.2">
      <c r="B19" s="20" t="s">
        <v>147</v>
      </c>
      <c r="C19" s="101"/>
      <c r="D19" s="224">
        <f>D17/D18</f>
        <v>39815.754525614764</v>
      </c>
      <c r="E19" s="50"/>
    </row>
    <row r="20" spans="2:9" ht="13.5" thickBot="1" x14ac:dyDescent="0.25">
      <c r="B20" s="194"/>
      <c r="C20" s="225"/>
      <c r="D20" s="226"/>
      <c r="E20" s="227"/>
    </row>
    <row r="21" spans="2:9" ht="13.5" thickBot="1" x14ac:dyDescent="0.25">
      <c r="B21" s="23"/>
      <c r="C21" s="100"/>
      <c r="D21" s="51"/>
      <c r="E21" s="51"/>
      <c r="I21" s="244" t="s">
        <v>190</v>
      </c>
    </row>
    <row r="22" spans="2:9" ht="13.5" thickBot="1" x14ac:dyDescent="0.25">
      <c r="B22" s="356" t="s">
        <v>160</v>
      </c>
      <c r="C22" s="357"/>
      <c r="D22" s="357"/>
      <c r="E22" s="358"/>
      <c r="I22" s="245" t="s">
        <v>168</v>
      </c>
    </row>
    <row r="23" spans="2:9" ht="13.5" thickBot="1" x14ac:dyDescent="0.25">
      <c r="B23" s="238" t="s">
        <v>10</v>
      </c>
      <c r="C23" s="238">
        <v>0</v>
      </c>
      <c r="D23" s="238">
        <v>1</v>
      </c>
      <c r="E23" s="238">
        <v>2</v>
      </c>
      <c r="F23" s="238">
        <v>3</v>
      </c>
      <c r="G23" s="238">
        <v>4</v>
      </c>
      <c r="H23" s="239">
        <v>5</v>
      </c>
      <c r="I23" s="246" t="s">
        <v>199</v>
      </c>
    </row>
    <row r="24" spans="2:9" x14ac:dyDescent="0.2">
      <c r="B24" s="20" t="s">
        <v>161</v>
      </c>
      <c r="C24" s="100"/>
      <c r="D24" s="51"/>
      <c r="E24" s="51"/>
      <c r="F24" s="23"/>
      <c r="G24" s="23"/>
      <c r="H24" s="23"/>
      <c r="I24" s="240"/>
    </row>
    <row r="25" spans="2:9" x14ac:dyDescent="0.2">
      <c r="B25" s="20" t="s">
        <v>167</v>
      </c>
      <c r="C25" s="224">
        <f>'Cash Flow (Loan A)'!C152</f>
        <v>-3886312.9482597299</v>
      </c>
      <c r="D25" s="51"/>
      <c r="E25" s="51"/>
      <c r="F25" s="23"/>
      <c r="G25" s="23"/>
      <c r="H25" s="23"/>
      <c r="I25" s="240"/>
    </row>
    <row r="26" spans="2:9" x14ac:dyDescent="0.2">
      <c r="B26" s="20" t="s">
        <v>164</v>
      </c>
      <c r="C26" s="100"/>
      <c r="D26" s="114">
        <f>'Cash Flow (Loan A)'!D141</f>
        <v>251980.53749999893</v>
      </c>
      <c r="E26" s="114">
        <f>'Cash Flow (Loan A)'!E141</f>
        <v>275117.60499999882</v>
      </c>
      <c r="F26" s="114">
        <f>'Cash Flow (Loan A)'!F141</f>
        <v>273053.15799999889</v>
      </c>
      <c r="G26" s="114">
        <f>'Cash Flow (Loan A)'!G141</f>
        <v>195083.88120249892</v>
      </c>
      <c r="H26" s="114">
        <f>'Cash Flow (Loan A)'!H141</f>
        <v>185507.38059313688</v>
      </c>
      <c r="I26" s="240"/>
    </row>
    <row r="27" spans="2:9" x14ac:dyDescent="0.2">
      <c r="B27" s="20" t="s">
        <v>181</v>
      </c>
      <c r="C27" s="100"/>
      <c r="D27" s="114"/>
      <c r="E27" s="114"/>
      <c r="F27" s="114"/>
      <c r="G27" s="114"/>
      <c r="H27" s="114">
        <f>'Cash Flow (Loan A)'!H153</f>
        <v>5952310.8797416026</v>
      </c>
      <c r="I27" s="240"/>
    </row>
    <row r="28" spans="2:9" x14ac:dyDescent="0.2">
      <c r="B28" s="234" t="s">
        <v>163</v>
      </c>
      <c r="C28" s="100"/>
      <c r="D28" s="223">
        <f>SUM($D$26:D27)</f>
        <v>251980.53749999893</v>
      </c>
      <c r="E28" s="223">
        <f>SUM($D$26:E27)</f>
        <v>527098.14249999775</v>
      </c>
      <c r="F28" s="223">
        <f>SUM($D$26:F27)</f>
        <v>800151.30049999664</v>
      </c>
      <c r="G28" s="223">
        <f>SUM($D$26:G27)</f>
        <v>995235.18170249555</v>
      </c>
      <c r="H28" s="223">
        <f>SUM($D$26:H27)</f>
        <v>7133053.442037235</v>
      </c>
      <c r="I28" s="241">
        <f>H28+C25</f>
        <v>3246740.4937775051</v>
      </c>
    </row>
    <row r="29" spans="2:9" x14ac:dyDescent="0.2">
      <c r="B29" s="20"/>
      <c r="C29" s="100"/>
      <c r="D29" s="51"/>
      <c r="E29" s="51"/>
      <c r="F29" s="86"/>
      <c r="G29" s="86"/>
      <c r="H29" s="86"/>
      <c r="I29" s="240"/>
    </row>
    <row r="30" spans="2:9" x14ac:dyDescent="0.2">
      <c r="B30" s="234" t="s">
        <v>162</v>
      </c>
      <c r="C30" s="100"/>
      <c r="D30" s="265"/>
      <c r="E30" s="86"/>
      <c r="F30" s="86"/>
      <c r="G30" s="86"/>
      <c r="H30" s="86"/>
      <c r="I30" s="240"/>
    </row>
    <row r="31" spans="2:9" x14ac:dyDescent="0.2">
      <c r="B31" s="234" t="s">
        <v>167</v>
      </c>
      <c r="C31" s="224">
        <f>'Cash Flow (Loan A)'!C157</f>
        <v>-204542.78675051211</v>
      </c>
      <c r="D31" s="86"/>
      <c r="E31" s="86"/>
      <c r="F31" s="86"/>
      <c r="G31" s="86"/>
      <c r="H31" s="86"/>
      <c r="I31" s="240"/>
    </row>
    <row r="32" spans="2:9" x14ac:dyDescent="0.2">
      <c r="B32" s="234" t="s">
        <v>164</v>
      </c>
      <c r="C32" s="100"/>
      <c r="D32" s="114">
        <f>'Cash Flow (Loan A)'!D157</f>
        <v>0</v>
      </c>
      <c r="E32" s="114">
        <f>'Cash Flow (Loan A)'!E157</f>
        <v>0</v>
      </c>
      <c r="F32" s="114">
        <f>'Cash Flow (Loan A)'!F157</f>
        <v>0</v>
      </c>
      <c r="G32" s="114">
        <f>'Cash Flow (Loan A)'!G157</f>
        <v>0</v>
      </c>
      <c r="H32" s="114">
        <f>'Cash Flow (Loan A)'!H157</f>
        <v>0</v>
      </c>
      <c r="I32" s="240"/>
    </row>
    <row r="33" spans="2:9" x14ac:dyDescent="0.2">
      <c r="B33" s="234" t="s">
        <v>181</v>
      </c>
      <c r="C33" s="100"/>
      <c r="D33" s="114"/>
      <c r="E33" s="114"/>
      <c r="F33" s="114"/>
      <c r="G33" s="114"/>
      <c r="H33" s="114">
        <f>'Cash Flow (Loan A)'!H158</f>
        <v>475741.9002427432</v>
      </c>
      <c r="I33" s="240"/>
    </row>
    <row r="34" spans="2:9" x14ac:dyDescent="0.2">
      <c r="B34" s="234" t="s">
        <v>163</v>
      </c>
      <c r="C34" s="100"/>
      <c r="D34" s="223">
        <f>SUM($D$32:D33)</f>
        <v>0</v>
      </c>
      <c r="E34" s="223">
        <f>SUM($D$32:E33)</f>
        <v>0</v>
      </c>
      <c r="F34" s="223">
        <f>SUM($D$32:F33)</f>
        <v>0</v>
      </c>
      <c r="G34" s="223">
        <f>SUM($D$32:G33)</f>
        <v>0</v>
      </c>
      <c r="H34" s="223">
        <f>SUM($D$32:H33)</f>
        <v>475741.9002427432</v>
      </c>
      <c r="I34" s="242">
        <f>H34+C31</f>
        <v>271199.11349223112</v>
      </c>
    </row>
    <row r="35" spans="2:9" x14ac:dyDescent="0.2">
      <c r="B35" s="234"/>
      <c r="C35" s="100"/>
      <c r="D35" s="256"/>
      <c r="E35" s="256"/>
      <c r="F35" s="256"/>
      <c r="G35" s="256"/>
      <c r="H35" s="256"/>
      <c r="I35" s="279">
        <f>SUM(I28:I34)</f>
        <v>3517939.607269736</v>
      </c>
    </row>
    <row r="36" spans="2:9" x14ac:dyDescent="0.2">
      <c r="B36" s="234" t="s">
        <v>173</v>
      </c>
      <c r="C36" s="100"/>
      <c r="D36" s="51"/>
      <c r="E36" s="51"/>
      <c r="F36" s="23"/>
      <c r="G36" s="23"/>
      <c r="H36" s="23"/>
      <c r="I36" s="240"/>
    </row>
    <row r="37" spans="2:9" x14ac:dyDescent="0.2">
      <c r="B37" s="234" t="s">
        <v>165</v>
      </c>
      <c r="C37" s="100"/>
      <c r="D37" s="228">
        <f>D26/(D26+D32)</f>
        <v>1</v>
      </c>
      <c r="E37" s="228">
        <f t="shared" ref="E37:H37" si="0">E26/(E26+E32)</f>
        <v>1</v>
      </c>
      <c r="F37" s="228">
        <f t="shared" si="0"/>
        <v>1</v>
      </c>
      <c r="G37" s="228">
        <f t="shared" si="0"/>
        <v>1</v>
      </c>
      <c r="H37" s="228">
        <f t="shared" si="0"/>
        <v>1</v>
      </c>
      <c r="I37" s="240"/>
    </row>
    <row r="38" spans="2:9" x14ac:dyDescent="0.2">
      <c r="B38" s="234" t="s">
        <v>166</v>
      </c>
      <c r="C38" s="100"/>
      <c r="D38" s="228">
        <f>D32/(D32+D26)</f>
        <v>0</v>
      </c>
      <c r="E38" s="228">
        <f t="shared" ref="E38:H38" si="1">E32/(E32+E26)</f>
        <v>0</v>
      </c>
      <c r="F38" s="228">
        <f t="shared" si="1"/>
        <v>0</v>
      </c>
      <c r="G38" s="228">
        <f t="shared" si="1"/>
        <v>0</v>
      </c>
      <c r="H38" s="228">
        <f t="shared" si="1"/>
        <v>0</v>
      </c>
      <c r="I38" s="240"/>
    </row>
    <row r="39" spans="2:9" ht="13.5" thickBot="1" x14ac:dyDescent="0.25">
      <c r="B39" s="235"/>
      <c r="C39" s="236"/>
      <c r="D39" s="237"/>
      <c r="E39" s="237"/>
      <c r="F39" s="237"/>
      <c r="G39" s="237"/>
      <c r="H39" s="237"/>
      <c r="I39" s="243"/>
    </row>
    <row r="40" spans="2:9" ht="13.5" thickBot="1" x14ac:dyDescent="0.25"/>
    <row r="41" spans="2:9" ht="13.5" thickBot="1" x14ac:dyDescent="0.25">
      <c r="B41" s="215" t="s">
        <v>141</v>
      </c>
      <c r="C41" s="216"/>
      <c r="D41" s="216"/>
      <c r="E41" s="216"/>
      <c r="F41" s="216"/>
      <c r="G41" s="216"/>
      <c r="H41" s="217"/>
    </row>
    <row r="42" spans="2:9" ht="13.5" thickBot="1" x14ac:dyDescent="0.25">
      <c r="B42" s="116" t="s">
        <v>10</v>
      </c>
      <c r="C42" s="116">
        <v>0</v>
      </c>
      <c r="D42" s="116">
        <v>1</v>
      </c>
      <c r="E42" s="116">
        <v>2</v>
      </c>
      <c r="F42" s="116">
        <v>3</v>
      </c>
      <c r="G42" s="116">
        <v>4</v>
      </c>
      <c r="H42" s="116">
        <v>5</v>
      </c>
    </row>
    <row r="43" spans="2:9" x14ac:dyDescent="0.2">
      <c r="B43" s="274" t="s">
        <v>74</v>
      </c>
      <c r="C43" s="192"/>
      <c r="D43" s="219">
        <f>'Cash Flow (Loan A)'!D85</f>
        <v>276980.53749999893</v>
      </c>
      <c r="E43" s="219">
        <f>'Cash Flow (Loan A)'!E85</f>
        <v>275117.60499999882</v>
      </c>
      <c r="F43" s="219">
        <f>'Cash Flow (Loan A)'!F85</f>
        <v>273053.15799999889</v>
      </c>
      <c r="G43" s="219">
        <f>'Cash Flow (Loan A)'!G85</f>
        <v>195083.88120249892</v>
      </c>
      <c r="H43" s="220">
        <f>'Cash Flow (Loan A)'!H85</f>
        <v>185507.38059313688</v>
      </c>
      <c r="I43" s="23"/>
    </row>
    <row r="44" spans="2:9" x14ac:dyDescent="0.2">
      <c r="B44" s="88"/>
      <c r="C44" s="23"/>
      <c r="D44" s="89"/>
      <c r="E44" s="89"/>
      <c r="F44" s="89"/>
      <c r="G44" s="89"/>
      <c r="H44" s="199"/>
      <c r="I44" s="23"/>
    </row>
    <row r="45" spans="2:9" x14ac:dyDescent="0.2">
      <c r="B45" s="231" t="s">
        <v>169</v>
      </c>
      <c r="C45" s="23"/>
      <c r="D45" s="89"/>
      <c r="E45" s="89"/>
      <c r="F45" s="89"/>
      <c r="G45" s="89"/>
      <c r="H45" s="199"/>
      <c r="I45" s="23"/>
    </row>
    <row r="46" spans="2:9" x14ac:dyDescent="0.2">
      <c r="B46" s="88" t="s">
        <v>103</v>
      </c>
      <c r="C46" s="23"/>
      <c r="D46" s="118">
        <f>-'Cash Flow (Loan A)'!D82</f>
        <v>15893.7125</v>
      </c>
      <c r="E46" s="118">
        <f>-'Cash Flow (Loan A)'!E82</f>
        <v>15874.895</v>
      </c>
      <c r="F46" s="118">
        <f>-'Cash Flow (Loan A)'!F82</f>
        <v>15854.041999999999</v>
      </c>
      <c r="G46" s="118">
        <f>-'Cash Flow (Loan A)'!G82</f>
        <v>15066.473547500002</v>
      </c>
      <c r="H46" s="251">
        <f>-'Cash Flow (Loan A)'!H82</f>
        <v>14969.741218112506</v>
      </c>
      <c r="I46" s="190"/>
    </row>
    <row r="47" spans="2:9" x14ac:dyDescent="0.2">
      <c r="B47" s="88" t="s">
        <v>151</v>
      </c>
      <c r="C47" s="23"/>
      <c r="D47" s="118">
        <f>'Cash Flow (Loan A)'!D73</f>
        <v>161780.93923165277</v>
      </c>
      <c r="E47" s="118">
        <f>'Cash Flow (Loan A)'!E73</f>
        <v>173476.09640972689</v>
      </c>
      <c r="F47" s="118">
        <f>'Cash Flow (Loan A)'!F73</f>
        <v>186016.69744580798</v>
      </c>
      <c r="G47" s="118">
        <f>'Cash Flow (Loan A)'!G73</f>
        <v>199463.85954477638</v>
      </c>
      <c r="H47" s="251">
        <f>'Cash Flow (Loan A)'!H73</f>
        <v>213883.11807916313</v>
      </c>
      <c r="I47" s="190"/>
    </row>
    <row r="48" spans="2:9" x14ac:dyDescent="0.2">
      <c r="B48" s="88"/>
      <c r="C48" s="23"/>
      <c r="D48" s="118"/>
      <c r="E48" s="118"/>
      <c r="F48" s="118"/>
      <c r="G48" s="118"/>
      <c r="H48" s="251"/>
      <c r="I48" s="23"/>
    </row>
    <row r="49" spans="1:10" x14ac:dyDescent="0.2">
      <c r="B49" s="231" t="s">
        <v>170</v>
      </c>
      <c r="C49" s="23"/>
      <c r="D49" s="118"/>
      <c r="E49" s="118"/>
      <c r="F49" s="118"/>
      <c r="G49" s="118"/>
      <c r="H49" s="251"/>
      <c r="I49" s="23"/>
    </row>
    <row r="50" spans="1:10" x14ac:dyDescent="0.2">
      <c r="B50" s="88" t="s">
        <v>148</v>
      </c>
      <c r="C50" s="23"/>
      <c r="D50" s="118">
        <f>-$D$12</f>
        <v>-401928.20512820513</v>
      </c>
      <c r="E50" s="118">
        <f t="shared" ref="E50:H50" si="2">-$D$12</f>
        <v>-401928.20512820513</v>
      </c>
      <c r="F50" s="118">
        <f t="shared" si="2"/>
        <v>-401928.20512820513</v>
      </c>
      <c r="G50" s="118">
        <f t="shared" si="2"/>
        <v>-401928.20512820513</v>
      </c>
      <c r="H50" s="251">
        <f t="shared" si="2"/>
        <v>-401928.20512820513</v>
      </c>
      <c r="I50" s="23"/>
    </row>
    <row r="51" spans="1:10" x14ac:dyDescent="0.2">
      <c r="B51" s="88" t="s">
        <v>172</v>
      </c>
      <c r="C51" s="23"/>
      <c r="D51" s="119">
        <f>-$D$19</f>
        <v>-39815.754525614764</v>
      </c>
      <c r="E51" s="119">
        <f t="shared" ref="E51:H51" si="3">-$D$19</f>
        <v>-39815.754525614764</v>
      </c>
      <c r="F51" s="119">
        <f t="shared" si="3"/>
        <v>-39815.754525614764</v>
      </c>
      <c r="G51" s="119">
        <f t="shared" si="3"/>
        <v>-39815.754525614764</v>
      </c>
      <c r="H51" s="252">
        <f t="shared" si="3"/>
        <v>-39815.754525614764</v>
      </c>
      <c r="I51" s="190"/>
    </row>
    <row r="52" spans="1:10" x14ac:dyDescent="0.2">
      <c r="B52" s="94" t="s">
        <v>152</v>
      </c>
      <c r="C52" s="23"/>
      <c r="D52" s="89">
        <f>SUM(D43:D51)</f>
        <v>12911.229577831829</v>
      </c>
      <c r="E52" s="89">
        <f t="shared" ref="E52:H52" si="4">SUM(E43:E51)</f>
        <v>22724.636755905834</v>
      </c>
      <c r="F52" s="89">
        <f t="shared" si="4"/>
        <v>33179.937791986995</v>
      </c>
      <c r="G52" s="89">
        <f t="shared" si="4"/>
        <v>-32129.745359044617</v>
      </c>
      <c r="H52" s="199">
        <f t="shared" si="4"/>
        <v>-27383.719763407345</v>
      </c>
      <c r="I52" s="23"/>
    </row>
    <row r="53" spans="1:10" x14ac:dyDescent="0.2">
      <c r="B53" s="88"/>
      <c r="C53" s="23"/>
      <c r="D53" s="89"/>
      <c r="E53" s="89"/>
      <c r="F53" s="89"/>
      <c r="G53" s="89"/>
      <c r="H53" s="199"/>
      <c r="I53" s="23"/>
    </row>
    <row r="54" spans="1:10" x14ac:dyDescent="0.2">
      <c r="B54" s="88"/>
      <c r="C54" s="23"/>
      <c r="D54" s="89"/>
      <c r="E54" s="89"/>
      <c r="F54" s="89"/>
      <c r="G54" s="89"/>
      <c r="H54" s="199"/>
      <c r="I54" s="23"/>
    </row>
    <row r="55" spans="1:10" x14ac:dyDescent="0.2">
      <c r="B55" s="94" t="s">
        <v>153</v>
      </c>
      <c r="C55" s="23"/>
      <c r="D55" s="89"/>
      <c r="E55" s="89"/>
      <c r="F55" s="89"/>
      <c r="G55" s="89"/>
      <c r="H55" s="199"/>
      <c r="I55" s="23"/>
    </row>
    <row r="56" spans="1:10" x14ac:dyDescent="0.2">
      <c r="B56" s="88" t="s">
        <v>154</v>
      </c>
      <c r="C56" s="23"/>
      <c r="D56" s="89"/>
      <c r="E56" s="89"/>
      <c r="F56" s="89"/>
      <c r="G56" s="89"/>
      <c r="H56" s="199">
        <f>'Cash Flow (Loan A)'!H95</f>
        <v>22260139.457832422</v>
      </c>
      <c r="I56" s="23"/>
    </row>
    <row r="57" spans="1:10" x14ac:dyDescent="0.2">
      <c r="B57" s="88" t="s">
        <v>156</v>
      </c>
      <c r="C57" s="23"/>
      <c r="D57" s="89"/>
      <c r="E57" s="89"/>
      <c r="F57" s="89"/>
      <c r="G57" s="89"/>
      <c r="H57" s="251">
        <f>'Cash Flow (Loan A)'!H96</f>
        <v>-890405.57831329689</v>
      </c>
      <c r="I57" s="23"/>
    </row>
    <row r="58" spans="1:10" x14ac:dyDescent="0.2">
      <c r="B58" s="88" t="s">
        <v>155</v>
      </c>
      <c r="C58" s="23"/>
      <c r="D58" s="89"/>
      <c r="E58" s="89"/>
      <c r="F58" s="89"/>
      <c r="G58" s="89"/>
      <c r="H58" s="251">
        <f>-(D8+SUM(D46:H46)+SUM(D50:H50))</f>
        <v>-17662017.838624589</v>
      </c>
      <c r="I58" s="23"/>
    </row>
    <row r="59" spans="1:10" x14ac:dyDescent="0.2">
      <c r="B59" s="88" t="s">
        <v>157</v>
      </c>
      <c r="C59" s="23"/>
      <c r="D59" s="89"/>
      <c r="E59" s="89"/>
      <c r="F59" s="89"/>
      <c r="G59" s="89"/>
      <c r="H59" s="252">
        <f>-(D17+SUM(D51:H51))</f>
        <v>-199078.77262807381</v>
      </c>
      <c r="I59" s="23"/>
      <c r="J59" s="232"/>
    </row>
    <row r="60" spans="1:10" x14ac:dyDescent="0.2">
      <c r="B60" s="94" t="s">
        <v>226</v>
      </c>
      <c r="C60" s="23"/>
      <c r="D60" s="89"/>
      <c r="E60" s="89"/>
      <c r="F60" s="89"/>
      <c r="G60" s="89"/>
      <c r="H60" s="205">
        <f>SUM(H56:H59)</f>
        <v>3508637.2682664609</v>
      </c>
      <c r="I60" s="207"/>
      <c r="J60" s="233"/>
    </row>
    <row r="61" spans="1:10" ht="13.5" thickBot="1" x14ac:dyDescent="0.25">
      <c r="B61" s="91"/>
      <c r="C61" s="196"/>
      <c r="D61" s="275"/>
      <c r="E61" s="275"/>
      <c r="F61" s="275"/>
      <c r="G61" s="275"/>
      <c r="H61" s="276"/>
      <c r="I61" s="23"/>
    </row>
    <row r="62" spans="1:10" ht="13.5" thickBot="1" x14ac:dyDescent="0.25">
      <c r="A62" s="23"/>
      <c r="B62" s="278"/>
      <c r="C62" s="23"/>
      <c r="D62" s="89"/>
      <c r="E62" s="89"/>
      <c r="F62" s="89"/>
      <c r="G62" s="89"/>
      <c r="H62" s="89"/>
      <c r="I62" s="23"/>
    </row>
    <row r="63" spans="1:10" ht="13.5" thickBot="1" x14ac:dyDescent="0.25">
      <c r="B63" s="215" t="s">
        <v>191</v>
      </c>
      <c r="C63" s="216"/>
      <c r="D63" s="216"/>
      <c r="E63" s="216"/>
      <c r="F63" s="216"/>
      <c r="G63" s="216"/>
      <c r="H63" s="217"/>
      <c r="I63" s="249" t="s">
        <v>177</v>
      </c>
    </row>
    <row r="64" spans="1:10" ht="13.5" thickBot="1" x14ac:dyDescent="0.25">
      <c r="B64" s="116" t="s">
        <v>10</v>
      </c>
      <c r="C64" s="116">
        <v>0</v>
      </c>
      <c r="D64" s="116">
        <v>1</v>
      </c>
      <c r="E64" s="116">
        <v>2</v>
      </c>
      <c r="F64" s="116">
        <v>3</v>
      </c>
      <c r="G64" s="116">
        <v>4</v>
      </c>
      <c r="H64" s="116">
        <v>5</v>
      </c>
      <c r="I64" s="250" t="s">
        <v>178</v>
      </c>
    </row>
    <row r="65" spans="2:9" x14ac:dyDescent="0.2">
      <c r="B65" s="277"/>
      <c r="C65" s="192"/>
      <c r="D65" s="219"/>
      <c r="E65" s="219"/>
      <c r="F65" s="219"/>
      <c r="G65" s="219"/>
      <c r="H65" s="220"/>
      <c r="I65" s="36"/>
    </row>
    <row r="66" spans="2:9" x14ac:dyDescent="0.2">
      <c r="B66" s="229" t="s">
        <v>159</v>
      </c>
      <c r="C66" s="23"/>
      <c r="D66" s="23"/>
      <c r="E66" s="23"/>
      <c r="F66" s="23"/>
      <c r="G66" s="23"/>
      <c r="H66" s="36"/>
      <c r="I66" s="36"/>
    </row>
    <row r="67" spans="2:9" x14ac:dyDescent="0.2">
      <c r="B67" s="94" t="s">
        <v>188</v>
      </c>
      <c r="C67" s="23"/>
      <c r="D67" s="89"/>
      <c r="E67" s="89"/>
      <c r="F67" s="89"/>
      <c r="G67" s="89"/>
      <c r="H67" s="199"/>
      <c r="I67" s="36"/>
    </row>
    <row r="68" spans="2:9" x14ac:dyDescent="0.2">
      <c r="B68" s="20" t="s">
        <v>194</v>
      </c>
      <c r="C68" s="23"/>
      <c r="D68" s="64">
        <f>D52*D37</f>
        <v>12911.229577831829</v>
      </c>
      <c r="E68" s="64">
        <f t="shared" ref="E68:H68" si="5">E52*E37</f>
        <v>22724.636755905834</v>
      </c>
      <c r="F68" s="64">
        <f t="shared" si="5"/>
        <v>33179.937791986995</v>
      </c>
      <c r="G68" s="64">
        <f t="shared" si="5"/>
        <v>-32129.745359044617</v>
      </c>
      <c r="H68" s="65">
        <f t="shared" si="5"/>
        <v>-27383.719763407345</v>
      </c>
      <c r="I68" s="36"/>
    </row>
    <row r="69" spans="2:9" x14ac:dyDescent="0.2">
      <c r="B69" s="20" t="s">
        <v>195</v>
      </c>
      <c r="C69" s="23"/>
      <c r="D69" s="64">
        <f>D52*D38</f>
        <v>0</v>
      </c>
      <c r="E69" s="64">
        <f t="shared" ref="E69:H69" si="6">E52*E38</f>
        <v>0</v>
      </c>
      <c r="F69" s="64">
        <f t="shared" si="6"/>
        <v>0</v>
      </c>
      <c r="G69" s="64">
        <f t="shared" si="6"/>
        <v>0</v>
      </c>
      <c r="H69" s="65">
        <f t="shared" si="6"/>
        <v>0</v>
      </c>
      <c r="I69" s="36"/>
    </row>
    <row r="70" spans="2:9" x14ac:dyDescent="0.2">
      <c r="B70" s="20"/>
      <c r="C70" s="23"/>
      <c r="D70" s="23"/>
      <c r="E70" s="23"/>
      <c r="F70" s="23"/>
      <c r="G70" s="23"/>
      <c r="H70" s="36"/>
      <c r="I70" s="65">
        <f>SUM(D68:H69)</f>
        <v>9302.3390032726893</v>
      </c>
    </row>
    <row r="71" spans="2:9" x14ac:dyDescent="0.2">
      <c r="B71" s="229" t="s">
        <v>189</v>
      </c>
      <c r="C71" s="23"/>
      <c r="D71" s="23"/>
      <c r="E71" s="23"/>
      <c r="F71" s="23"/>
      <c r="G71" s="23"/>
      <c r="H71" s="36"/>
      <c r="I71" s="36"/>
    </row>
    <row r="72" spans="2:9" x14ac:dyDescent="0.2">
      <c r="B72" s="20" t="s">
        <v>196</v>
      </c>
      <c r="C72" s="23"/>
      <c r="D72" s="23"/>
      <c r="E72" s="23"/>
      <c r="F72" s="23"/>
      <c r="G72" s="23"/>
      <c r="H72" s="65">
        <f>D86</f>
        <v>3237438.1547742323</v>
      </c>
      <c r="I72" s="36"/>
    </row>
    <row r="73" spans="2:9" x14ac:dyDescent="0.2">
      <c r="B73" s="20" t="s">
        <v>197</v>
      </c>
      <c r="C73" s="23"/>
      <c r="D73" s="23"/>
      <c r="E73" s="23"/>
      <c r="F73" s="23"/>
      <c r="G73" s="23"/>
      <c r="H73" s="65">
        <f>E86</f>
        <v>271199.11349223112</v>
      </c>
      <c r="I73" s="267"/>
    </row>
    <row r="74" spans="2:9" x14ac:dyDescent="0.2">
      <c r="B74" s="20"/>
      <c r="C74" s="23"/>
      <c r="D74" s="23"/>
      <c r="E74" s="23"/>
      <c r="F74" s="23"/>
      <c r="G74" s="23"/>
      <c r="H74" s="36" t="str">
        <f>IF(H72+H73&lt;&gt;H60,"Error","")</f>
        <v/>
      </c>
      <c r="I74" s="67">
        <f>SUM(D72:H73)</f>
        <v>3508637.2682664637</v>
      </c>
    </row>
    <row r="75" spans="2:9" x14ac:dyDescent="0.2">
      <c r="B75" s="20"/>
      <c r="C75" s="23"/>
      <c r="D75" s="23"/>
      <c r="E75" s="23"/>
      <c r="F75" s="23"/>
      <c r="G75" s="23"/>
      <c r="H75" s="36"/>
      <c r="I75" s="279">
        <f>SUM(I70:I74)</f>
        <v>3517939.6072697365</v>
      </c>
    </row>
    <row r="76" spans="2:9" x14ac:dyDescent="0.2">
      <c r="B76" s="20"/>
      <c r="C76" s="23"/>
      <c r="D76" s="23"/>
      <c r="E76" s="23"/>
      <c r="F76" s="23"/>
      <c r="G76" s="23"/>
      <c r="H76" s="36"/>
      <c r="I76" s="36" t="str">
        <f>+IF(I75&lt;&gt;I35,"Error","")</f>
        <v/>
      </c>
    </row>
    <row r="77" spans="2:9" x14ac:dyDescent="0.2">
      <c r="B77" s="311" t="s">
        <v>227</v>
      </c>
      <c r="C77" s="23"/>
      <c r="D77" s="23"/>
      <c r="E77" s="23"/>
      <c r="F77" s="23"/>
      <c r="G77" s="23"/>
      <c r="H77" s="36"/>
      <c r="I77" s="36"/>
    </row>
    <row r="78" spans="2:9" ht="13.5" thickBot="1" x14ac:dyDescent="0.25">
      <c r="B78" s="20"/>
      <c r="C78" s="23"/>
      <c r="D78" s="23"/>
      <c r="E78" s="23"/>
      <c r="F78" s="23"/>
      <c r="G78" s="23"/>
      <c r="H78" s="36"/>
      <c r="I78" s="36"/>
    </row>
    <row r="79" spans="2:9" ht="13.5" thickBot="1" x14ac:dyDescent="0.25">
      <c r="B79" s="229" t="s">
        <v>179</v>
      </c>
      <c r="C79" s="265"/>
      <c r="D79" s="272" t="s">
        <v>131</v>
      </c>
      <c r="E79" s="273" t="s">
        <v>132</v>
      </c>
      <c r="F79" s="23"/>
      <c r="G79" s="23"/>
      <c r="H79" s="36"/>
      <c r="I79" s="36"/>
    </row>
    <row r="80" spans="2:9" x14ac:dyDescent="0.2">
      <c r="B80" s="20"/>
      <c r="C80" s="23"/>
      <c r="D80" s="20"/>
      <c r="E80" s="36"/>
      <c r="F80" s="23"/>
      <c r="G80" s="23"/>
      <c r="H80" s="36"/>
      <c r="I80" s="36"/>
    </row>
    <row r="81" spans="2:9" x14ac:dyDescent="0.2">
      <c r="B81" s="20" t="s">
        <v>180</v>
      </c>
      <c r="C81" s="23"/>
      <c r="D81" s="303">
        <f>-$C$25</f>
        <v>3886312.9482597299</v>
      </c>
      <c r="E81" s="309">
        <f>-$C$31</f>
        <v>204542.78675051211</v>
      </c>
      <c r="F81" s="23"/>
      <c r="G81" s="23"/>
      <c r="H81" s="36"/>
      <c r="I81" s="36"/>
    </row>
    <row r="82" spans="2:9" x14ac:dyDescent="0.2">
      <c r="B82" s="20" t="s">
        <v>184</v>
      </c>
      <c r="C82" s="23"/>
      <c r="D82" s="305">
        <f>SUM(D68:H68)</f>
        <v>9302.3390032726893</v>
      </c>
      <c r="E82" s="307">
        <f>SUM(D69:H69)</f>
        <v>0</v>
      </c>
      <c r="F82" s="23"/>
      <c r="G82" s="23"/>
      <c r="H82" s="36"/>
      <c r="I82" s="36"/>
    </row>
    <row r="83" spans="2:9" x14ac:dyDescent="0.2">
      <c r="B83" s="20" t="s">
        <v>182</v>
      </c>
      <c r="C83" s="23"/>
      <c r="D83" s="303">
        <f>-SUM(D26:H26)</f>
        <v>-1180742.5622956324</v>
      </c>
      <c r="E83" s="309">
        <f>-SUM(D32:H32)</f>
        <v>0</v>
      </c>
      <c r="F83" s="23"/>
      <c r="G83" s="23"/>
      <c r="H83" s="36"/>
      <c r="I83" s="36"/>
    </row>
    <row r="84" spans="2:9" x14ac:dyDescent="0.2">
      <c r="B84" s="20" t="s">
        <v>183</v>
      </c>
      <c r="C84" s="23"/>
      <c r="D84" s="304">
        <f>-$H$27</f>
        <v>-5952310.8797416026</v>
      </c>
      <c r="E84" s="310">
        <f>-$H$33</f>
        <v>-475741.9002427432</v>
      </c>
      <c r="F84" s="23"/>
      <c r="G84" s="23"/>
      <c r="H84" s="36"/>
      <c r="I84" s="36"/>
    </row>
    <row r="85" spans="2:9" x14ac:dyDescent="0.2">
      <c r="B85" s="20" t="s">
        <v>185</v>
      </c>
      <c r="C85" s="23"/>
      <c r="D85" s="266">
        <f>SUM(D81:D84)</f>
        <v>-3237438.1547742323</v>
      </c>
      <c r="E85" s="267">
        <f>SUM(E81:E84)</f>
        <v>-271199.11349223112</v>
      </c>
      <c r="F85" s="23"/>
      <c r="G85" s="23"/>
      <c r="H85" s="36"/>
      <c r="I85" s="36"/>
    </row>
    <row r="86" spans="2:9" x14ac:dyDescent="0.2">
      <c r="B86" s="20" t="s">
        <v>186</v>
      </c>
      <c r="C86" s="23"/>
      <c r="D86" s="306">
        <f>-D85</f>
        <v>3237438.1547742323</v>
      </c>
      <c r="E86" s="308">
        <f>-E85</f>
        <v>271199.11349223112</v>
      </c>
      <c r="F86" s="86" t="s">
        <v>228</v>
      </c>
      <c r="G86" s="23"/>
      <c r="H86" s="36"/>
      <c r="I86" s="36"/>
    </row>
    <row r="87" spans="2:9" ht="13.5" thickBot="1" x14ac:dyDescent="0.25">
      <c r="B87" s="20" t="s">
        <v>187</v>
      </c>
      <c r="C87" s="23"/>
      <c r="D87" s="270">
        <f>D85+D86</f>
        <v>0</v>
      </c>
      <c r="E87" s="271">
        <f>E85+E86</f>
        <v>0</v>
      </c>
      <c r="F87" s="23"/>
      <c r="G87" s="23"/>
      <c r="H87" s="36"/>
      <c r="I87" s="36"/>
    </row>
    <row r="88" spans="2:9" ht="14.25" thickTop="1" thickBot="1" x14ac:dyDescent="0.25">
      <c r="B88" s="20"/>
      <c r="C88" s="23"/>
      <c r="D88" s="194"/>
      <c r="E88" s="78"/>
      <c r="F88" s="23"/>
      <c r="G88" s="23"/>
      <c r="H88" s="36"/>
      <c r="I88" s="36"/>
    </row>
    <row r="89" spans="2:9" ht="13.5" thickBot="1" x14ac:dyDescent="0.25">
      <c r="B89" s="194"/>
      <c r="C89" s="196"/>
      <c r="D89" s="196"/>
      <c r="E89" s="196"/>
      <c r="F89" s="196"/>
      <c r="G89" s="196"/>
      <c r="H89" s="78"/>
      <c r="I89" s="78"/>
    </row>
    <row r="90" spans="2:9" ht="13.5" thickBot="1" x14ac:dyDescent="0.25"/>
    <row r="91" spans="2:9" ht="13.5" thickBot="1" x14ac:dyDescent="0.25">
      <c r="B91" s="215" t="s">
        <v>192</v>
      </c>
      <c r="C91" s="216"/>
      <c r="D91" s="216"/>
      <c r="E91" s="216"/>
      <c r="F91" s="216"/>
      <c r="G91" s="216"/>
      <c r="H91" s="217"/>
      <c r="I91" s="249" t="s">
        <v>177</v>
      </c>
    </row>
    <row r="92" spans="2:9" ht="13.5" thickBot="1" x14ac:dyDescent="0.25">
      <c r="B92" s="116" t="s">
        <v>10</v>
      </c>
      <c r="C92" s="116">
        <v>0</v>
      </c>
      <c r="D92" s="116">
        <v>1</v>
      </c>
      <c r="E92" s="116">
        <v>2</v>
      </c>
      <c r="F92" s="116">
        <v>3</v>
      </c>
      <c r="G92" s="116">
        <v>4</v>
      </c>
      <c r="H92" s="116">
        <v>5</v>
      </c>
      <c r="I92" s="250" t="s">
        <v>178</v>
      </c>
    </row>
    <row r="93" spans="2:9" x14ac:dyDescent="0.2">
      <c r="B93" s="203"/>
      <c r="C93" s="23"/>
      <c r="D93" s="89"/>
      <c r="E93" s="89"/>
      <c r="F93" s="89"/>
      <c r="G93" s="89"/>
      <c r="H93" s="199"/>
      <c r="I93" s="253"/>
    </row>
    <row r="94" spans="2:9" x14ac:dyDescent="0.2">
      <c r="B94" s="229" t="s">
        <v>159</v>
      </c>
      <c r="C94" s="23"/>
      <c r="D94" s="23"/>
      <c r="E94" s="23"/>
      <c r="F94" s="23"/>
      <c r="G94" s="23"/>
      <c r="H94" s="36"/>
      <c r="I94" s="240"/>
    </row>
    <row r="95" spans="2:9" x14ac:dyDescent="0.2">
      <c r="B95" s="94" t="s">
        <v>198</v>
      </c>
      <c r="C95" s="23"/>
      <c r="D95" s="89"/>
      <c r="E95" s="89"/>
      <c r="F95" s="89"/>
      <c r="G95" s="89"/>
      <c r="H95" s="199"/>
      <c r="I95" s="240"/>
    </row>
    <row r="96" spans="2:9" x14ac:dyDescent="0.2">
      <c r="B96" s="132" t="s">
        <v>193</v>
      </c>
      <c r="C96" s="133"/>
      <c r="D96" s="134">
        <f>D52</f>
        <v>12911.229577831829</v>
      </c>
      <c r="E96" s="134">
        <f t="shared" ref="E96:H96" si="7">E52</f>
        <v>22724.636755905834</v>
      </c>
      <c r="F96" s="134">
        <f t="shared" si="7"/>
        <v>33179.937791986995</v>
      </c>
      <c r="G96" s="134">
        <f t="shared" si="7"/>
        <v>-32129.745359044617</v>
      </c>
      <c r="H96" s="135">
        <f t="shared" si="7"/>
        <v>-27383.719763407345</v>
      </c>
      <c r="I96" s="240"/>
    </row>
    <row r="97" spans="2:9" x14ac:dyDescent="0.2">
      <c r="B97" s="136"/>
      <c r="C97" s="129"/>
      <c r="D97" s="129"/>
      <c r="E97" s="129"/>
      <c r="F97" s="129"/>
      <c r="G97" s="129"/>
      <c r="H97" s="130"/>
      <c r="I97" s="240"/>
    </row>
    <row r="98" spans="2:9" x14ac:dyDescent="0.2">
      <c r="B98" s="137" t="s">
        <v>120</v>
      </c>
      <c r="C98" s="138"/>
      <c r="D98" s="139">
        <f>IF('Cash Flow (Loan A)'!$C$62*'Cash Flow (Loan A)'!$C$39&gt;D96,-D96,-'Cash Flow (Loan A)'!$C$62*'Cash Flow (Loan A)'!$C$39)</f>
        <v>-12911.229577831829</v>
      </c>
      <c r="E98" s="139">
        <f>IF('Cash Flow (Loan A)'!$C$62*'Cash Flow (Loan A)'!$C$39&gt;E96,-E96,-'Cash Flow (Loan A)'!$C$62*'Cash Flow (Loan A)'!$C$39)</f>
        <v>-22724.636755905834</v>
      </c>
      <c r="F98" s="139">
        <f>IF('Cash Flow (Loan A)'!$C$62*'Cash Flow (Loan A)'!$C$39&gt;F96,-F96,-'Cash Flow (Loan A)'!$C$62*'Cash Flow (Loan A)'!$C$39)</f>
        <v>-33179.937791986995</v>
      </c>
      <c r="G98" s="139">
        <f>IF('Cash Flow (Loan A)'!$C$62*'Cash Flow (Loan A)'!$C$39&gt;G96,-G96,-'Cash Flow (Loan A)'!$C$62*'Cash Flow (Loan A)'!$C$39)</f>
        <v>32129.745359044617</v>
      </c>
      <c r="H98" s="139">
        <f>IF('Cash Flow (Loan A)'!$C$62*'Cash Flow (Loan A)'!$C$39&gt;H96,-H96,-'Cash Flow (Loan A)'!$C$62*'Cash Flow (Loan A)'!$C$39)</f>
        <v>27383.719763407345</v>
      </c>
      <c r="I98" s="240"/>
    </row>
    <row r="99" spans="2:9" x14ac:dyDescent="0.2">
      <c r="B99" s="141" t="s">
        <v>34</v>
      </c>
      <c r="C99" s="142"/>
      <c r="D99" s="143">
        <f>D96+D98</f>
        <v>0</v>
      </c>
      <c r="E99" s="143">
        <f t="shared" ref="E99:H99" si="8">E96+E98</f>
        <v>0</v>
      </c>
      <c r="F99" s="143">
        <f t="shared" si="8"/>
        <v>0</v>
      </c>
      <c r="G99" s="143">
        <f t="shared" si="8"/>
        <v>0</v>
      </c>
      <c r="H99" s="144">
        <f t="shared" si="8"/>
        <v>0</v>
      </c>
      <c r="I99" s="240"/>
    </row>
    <row r="100" spans="2:9" x14ac:dyDescent="0.2">
      <c r="B100" s="145"/>
      <c r="C100" s="142"/>
      <c r="D100" s="142"/>
      <c r="E100" s="142"/>
      <c r="F100" s="142"/>
      <c r="G100" s="142"/>
      <c r="H100" s="146"/>
      <c r="I100" s="240"/>
    </row>
    <row r="101" spans="2:9" x14ac:dyDescent="0.2">
      <c r="B101" s="147" t="s">
        <v>121</v>
      </c>
      <c r="C101" s="148"/>
      <c r="D101" s="149">
        <f>IF('Cash Flow (Loan A)'!$C$62*'Cash Flow (Loan A)'!$C$40&gt;D99,D99,-'Cash Flow (Loan A)'!$C$62*'Cash Flow (Loan A)'!$C$40)</f>
        <v>0</v>
      </c>
      <c r="E101" s="149">
        <f>IF('Cash Flow (Loan A)'!$C$62*'Cash Flow (Loan A)'!$C$40&gt;E99,E99,-'Cash Flow (Loan A)'!$C$62*'Cash Flow (Loan A)'!$C$40)</f>
        <v>0</v>
      </c>
      <c r="F101" s="149">
        <f>IF('Cash Flow (Loan A)'!$C$62*'Cash Flow (Loan A)'!$C$40&gt;F99,F99,-'Cash Flow (Loan A)'!$C$62*'Cash Flow (Loan A)'!$C$40)</f>
        <v>0</v>
      </c>
      <c r="G101" s="149">
        <f>IF('Cash Flow (Loan A)'!$C$62*'Cash Flow (Loan A)'!$C$40&gt;G99,G99,-'Cash Flow (Loan A)'!$C$62*'Cash Flow (Loan A)'!$C$40)</f>
        <v>0</v>
      </c>
      <c r="H101" s="150">
        <f>IF('Cash Flow (Loan A)'!$C$62*'Cash Flow (Loan A)'!$C$40&gt;H99,H99,-'Cash Flow (Loan A)'!$C$62*'Cash Flow (Loan A)'!$C$40)</f>
        <v>0</v>
      </c>
      <c r="I101" s="240"/>
    </row>
    <row r="102" spans="2:9" x14ac:dyDescent="0.2">
      <c r="B102" s="141" t="s">
        <v>34</v>
      </c>
      <c r="C102" s="142"/>
      <c r="D102" s="143">
        <f>D99+D101</f>
        <v>0</v>
      </c>
      <c r="E102" s="143">
        <f t="shared" ref="E102:H102" si="9">E99+E101</f>
        <v>0</v>
      </c>
      <c r="F102" s="143">
        <f t="shared" si="9"/>
        <v>0</v>
      </c>
      <c r="G102" s="143">
        <f t="shared" si="9"/>
        <v>0</v>
      </c>
      <c r="H102" s="144">
        <f t="shared" si="9"/>
        <v>0</v>
      </c>
      <c r="I102" s="240"/>
    </row>
    <row r="103" spans="2:9" x14ac:dyDescent="0.2">
      <c r="B103" s="151"/>
      <c r="C103" s="129"/>
      <c r="D103" s="129"/>
      <c r="E103" s="129"/>
      <c r="F103" s="129"/>
      <c r="G103" s="129"/>
      <c r="H103" s="130"/>
      <c r="I103" s="240"/>
    </row>
    <row r="104" spans="2:9" x14ac:dyDescent="0.2">
      <c r="B104" s="152" t="s">
        <v>123</v>
      </c>
      <c r="C104" s="153"/>
      <c r="D104" s="154">
        <f>-IF(D102&gt;0,'Cash Flow (Loan A)'!$C$64*D102,0)</f>
        <v>0</v>
      </c>
      <c r="E104" s="154">
        <f>-IF(E102&gt;0,'Cash Flow (Loan A)'!$C$64*E102,0)</f>
        <v>0</v>
      </c>
      <c r="F104" s="154">
        <f>-IF(F102&gt;0,'Cash Flow (Loan A)'!$C$64*F102,0)</f>
        <v>0</v>
      </c>
      <c r="G104" s="154">
        <f>-IF(G102&gt;0,'Cash Flow (Loan A)'!$C$64*G102,0)</f>
        <v>0</v>
      </c>
      <c r="H104" s="155">
        <f>-IF(H102&gt;0,'Cash Flow (Loan A)'!$C$64*H102,0)</f>
        <v>0</v>
      </c>
      <c r="I104" s="240"/>
    </row>
    <row r="105" spans="2:9" x14ac:dyDescent="0.2">
      <c r="B105" s="156" t="s">
        <v>124</v>
      </c>
      <c r="C105" s="157"/>
      <c r="D105" s="149">
        <f>-IF(D102&gt;0,'Cash Flow (Loan A)'!$C$65*D102,0)</f>
        <v>0</v>
      </c>
      <c r="E105" s="149">
        <f>-IF(E102&gt;0,'Cash Flow (Loan A)'!$C$65*E102,0)</f>
        <v>0</v>
      </c>
      <c r="F105" s="149">
        <f>-IF(F102&gt;0,'Cash Flow (Loan A)'!$C$65*F102,0)</f>
        <v>0</v>
      </c>
      <c r="G105" s="149">
        <f>-IF(G102&gt;0,'Cash Flow (Loan A)'!$C$65*G102,0)</f>
        <v>0</v>
      </c>
      <c r="H105" s="150">
        <f>-IF(H102&gt;0,'Cash Flow (Loan A)'!$C$65*H102,0)</f>
        <v>0</v>
      </c>
      <c r="I105" s="240"/>
    </row>
    <row r="106" spans="2:9" ht="13.5" thickBot="1" x14ac:dyDescent="0.25">
      <c r="B106" s="141" t="s">
        <v>34</v>
      </c>
      <c r="C106" s="129"/>
      <c r="D106" s="158">
        <f>D102+D104+D105</f>
        <v>0</v>
      </c>
      <c r="E106" s="158">
        <f t="shared" ref="E106:H106" si="10">E102+E104+E105</f>
        <v>0</v>
      </c>
      <c r="F106" s="158">
        <f t="shared" si="10"/>
        <v>0</v>
      </c>
      <c r="G106" s="158">
        <f t="shared" si="10"/>
        <v>0</v>
      </c>
      <c r="H106" s="159">
        <f t="shared" si="10"/>
        <v>0</v>
      </c>
      <c r="I106" s="240"/>
    </row>
    <row r="107" spans="2:9" ht="13.5" thickTop="1" x14ac:dyDescent="0.2">
      <c r="B107" s="141"/>
      <c r="C107" s="129"/>
      <c r="D107" s="134"/>
      <c r="E107" s="134"/>
      <c r="F107" s="134"/>
      <c r="G107" s="134"/>
      <c r="H107" s="135"/>
      <c r="I107" s="240"/>
    </row>
    <row r="108" spans="2:9" x14ac:dyDescent="0.2">
      <c r="B108" s="20"/>
      <c r="C108" s="23"/>
      <c r="D108" s="64"/>
      <c r="E108" s="64"/>
      <c r="F108" s="64"/>
      <c r="G108" s="64"/>
      <c r="H108" s="65"/>
      <c r="I108" s="240"/>
    </row>
    <row r="109" spans="2:9" x14ac:dyDescent="0.2">
      <c r="B109" s="20" t="s">
        <v>194</v>
      </c>
      <c r="C109" s="23"/>
      <c r="D109" s="64">
        <f>-(D98+D104)</f>
        <v>12911.229577831829</v>
      </c>
      <c r="E109" s="64">
        <f t="shared" ref="E109:H109" si="11">-(E98+E104)</f>
        <v>22724.636755905834</v>
      </c>
      <c r="F109" s="64">
        <f t="shared" si="11"/>
        <v>33179.937791986995</v>
      </c>
      <c r="G109" s="64">
        <f t="shared" si="11"/>
        <v>-32129.745359044617</v>
      </c>
      <c r="H109" s="65">
        <f t="shared" si="11"/>
        <v>-27383.719763407345</v>
      </c>
      <c r="I109" s="240"/>
    </row>
    <row r="110" spans="2:9" x14ac:dyDescent="0.2">
      <c r="B110" s="20" t="s">
        <v>195</v>
      </c>
      <c r="C110" s="23"/>
      <c r="D110" s="64">
        <f>-(D101+D105)</f>
        <v>0</v>
      </c>
      <c r="E110" s="64">
        <f t="shared" ref="E110:H110" si="12">-(E101+E105)</f>
        <v>0</v>
      </c>
      <c r="F110" s="64">
        <f t="shared" si="12"/>
        <v>0</v>
      </c>
      <c r="G110" s="64">
        <f t="shared" si="12"/>
        <v>0</v>
      </c>
      <c r="H110" s="65">
        <f t="shared" si="12"/>
        <v>0</v>
      </c>
      <c r="I110" s="240"/>
    </row>
    <row r="111" spans="2:9" x14ac:dyDescent="0.2">
      <c r="B111" s="20"/>
      <c r="C111" s="23"/>
      <c r="D111" s="64"/>
      <c r="E111" s="64"/>
      <c r="F111" s="64"/>
      <c r="G111" s="64"/>
      <c r="H111" s="65"/>
      <c r="I111" s="254">
        <f>SUM(D109:H110)</f>
        <v>9302.3390032726893</v>
      </c>
    </row>
    <row r="112" spans="2:9" x14ac:dyDescent="0.2">
      <c r="B112" s="229" t="s">
        <v>189</v>
      </c>
      <c r="C112" s="23"/>
      <c r="D112" s="23"/>
      <c r="E112" s="23"/>
      <c r="F112" s="23"/>
      <c r="G112" s="23"/>
      <c r="H112" s="36"/>
      <c r="I112" s="241"/>
    </row>
    <row r="113" spans="2:9" x14ac:dyDescent="0.2">
      <c r="B113" s="20" t="s">
        <v>196</v>
      </c>
      <c r="C113" s="23"/>
      <c r="D113" s="23"/>
      <c r="E113" s="23"/>
      <c r="F113" s="23"/>
      <c r="G113" s="23"/>
      <c r="H113" s="65">
        <f>D126</f>
        <v>3237438.1547742323</v>
      </c>
      <c r="I113" s="240"/>
    </row>
    <row r="114" spans="2:9" x14ac:dyDescent="0.2">
      <c r="B114" s="20" t="s">
        <v>197</v>
      </c>
      <c r="C114" s="23"/>
      <c r="D114" s="23"/>
      <c r="E114" s="23"/>
      <c r="F114" s="23"/>
      <c r="G114" s="23"/>
      <c r="H114" s="65">
        <f>E126</f>
        <v>271199.11349223112</v>
      </c>
      <c r="I114" s="240"/>
    </row>
    <row r="115" spans="2:9" x14ac:dyDescent="0.2">
      <c r="B115" s="20"/>
      <c r="C115" s="23"/>
      <c r="D115" s="23"/>
      <c r="E115" s="23"/>
      <c r="F115" s="23"/>
      <c r="G115" s="23"/>
      <c r="H115" s="36" t="str">
        <f>IF(H113+H114&lt;&gt;H60,"Error","")</f>
        <v/>
      </c>
      <c r="I115" s="255">
        <f>SUM(D113:H114)</f>
        <v>3508637.2682664637</v>
      </c>
    </row>
    <row r="116" spans="2:9" x14ac:dyDescent="0.2">
      <c r="B116" s="20"/>
      <c r="C116" s="23"/>
      <c r="D116" s="23"/>
      <c r="E116" s="23"/>
      <c r="F116" s="23"/>
      <c r="G116" s="23"/>
      <c r="H116" s="36"/>
      <c r="I116" s="279">
        <f>SUM(I111:I115)</f>
        <v>3517939.6072697365</v>
      </c>
    </row>
    <row r="117" spans="2:9" x14ac:dyDescent="0.2">
      <c r="B117" s="20"/>
      <c r="C117" s="23"/>
      <c r="D117" s="23"/>
      <c r="E117" s="23"/>
      <c r="F117" s="23"/>
      <c r="G117" s="23"/>
      <c r="H117" s="36"/>
      <c r="I117" s="240" t="str">
        <f>+IF(I116&lt;&gt;I75,"Error","")</f>
        <v/>
      </c>
    </row>
    <row r="118" spans="2:9" ht="13.5" thickBot="1" x14ac:dyDescent="0.25">
      <c r="B118" s="20"/>
      <c r="C118" s="23"/>
      <c r="D118" s="23"/>
      <c r="E118" s="23"/>
      <c r="F118" s="23"/>
      <c r="G118" s="23"/>
      <c r="H118" s="36"/>
      <c r="I118" s="240"/>
    </row>
    <row r="119" spans="2:9" ht="13.5" thickBot="1" x14ac:dyDescent="0.25">
      <c r="B119" s="229" t="s">
        <v>179</v>
      </c>
      <c r="C119" s="265"/>
      <c r="D119" s="272" t="s">
        <v>131</v>
      </c>
      <c r="E119" s="273" t="s">
        <v>132</v>
      </c>
      <c r="F119" s="23"/>
      <c r="G119" s="23"/>
      <c r="H119" s="36"/>
      <c r="I119" s="240"/>
    </row>
    <row r="120" spans="2:9" x14ac:dyDescent="0.2">
      <c r="B120" s="20"/>
      <c r="C120" s="23"/>
      <c r="D120" s="20"/>
      <c r="E120" s="36"/>
      <c r="F120" s="23"/>
      <c r="G120" s="23"/>
      <c r="H120" s="36"/>
      <c r="I120" s="240"/>
    </row>
    <row r="121" spans="2:9" x14ac:dyDescent="0.2">
      <c r="B121" s="20" t="s">
        <v>180</v>
      </c>
      <c r="C121" s="23"/>
      <c r="D121" s="266">
        <f>-$C$25</f>
        <v>3886312.9482597299</v>
      </c>
      <c r="E121" s="267">
        <f>-$C$31</f>
        <v>204542.78675051211</v>
      </c>
      <c r="F121" s="23"/>
      <c r="G121" s="23"/>
      <c r="H121" s="36"/>
      <c r="I121" s="240"/>
    </row>
    <row r="122" spans="2:9" x14ac:dyDescent="0.2">
      <c r="B122" s="20" t="s">
        <v>184</v>
      </c>
      <c r="C122" s="23"/>
      <c r="D122" s="266">
        <f>SUM(D109:H109)</f>
        <v>9302.3390032726893</v>
      </c>
      <c r="E122" s="267">
        <f>SUM(D110:H110)</f>
        <v>0</v>
      </c>
      <c r="F122" s="23"/>
      <c r="G122" s="23"/>
      <c r="H122" s="36"/>
      <c r="I122" s="240"/>
    </row>
    <row r="123" spans="2:9" x14ac:dyDescent="0.2">
      <c r="B123" s="20" t="s">
        <v>182</v>
      </c>
      <c r="C123" s="23"/>
      <c r="D123" s="266">
        <f>-SUM(D26:H26)</f>
        <v>-1180742.5622956324</v>
      </c>
      <c r="E123" s="267">
        <f>-SUM(D32:H32)</f>
        <v>0</v>
      </c>
      <c r="F123" s="23"/>
      <c r="G123" s="23"/>
      <c r="H123" s="36"/>
      <c r="I123" s="240"/>
    </row>
    <row r="124" spans="2:9" x14ac:dyDescent="0.2">
      <c r="B124" s="20" t="s">
        <v>183</v>
      </c>
      <c r="C124" s="23"/>
      <c r="D124" s="268">
        <f>-$H$27</f>
        <v>-5952310.8797416026</v>
      </c>
      <c r="E124" s="269">
        <f>-$H$33</f>
        <v>-475741.9002427432</v>
      </c>
      <c r="F124" s="23"/>
      <c r="G124" s="23"/>
      <c r="H124" s="36"/>
      <c r="I124" s="240"/>
    </row>
    <row r="125" spans="2:9" x14ac:dyDescent="0.2">
      <c r="B125" s="20" t="s">
        <v>185</v>
      </c>
      <c r="C125" s="23"/>
      <c r="D125" s="266">
        <f>SUM(D121:D124)</f>
        <v>-3237438.1547742323</v>
      </c>
      <c r="E125" s="267">
        <f>SUM(E121:E124)</f>
        <v>-271199.11349223112</v>
      </c>
      <c r="F125" s="23"/>
      <c r="G125" s="23"/>
      <c r="H125" s="36"/>
      <c r="I125" s="240"/>
    </row>
    <row r="126" spans="2:9" x14ac:dyDescent="0.2">
      <c r="B126" s="20" t="s">
        <v>186</v>
      </c>
      <c r="C126" s="23"/>
      <c r="D126" s="268">
        <f>-D125</f>
        <v>3237438.1547742323</v>
      </c>
      <c r="E126" s="269">
        <f>-E125</f>
        <v>271199.11349223112</v>
      </c>
      <c r="F126" s="23"/>
      <c r="G126" s="23"/>
      <c r="H126" s="36"/>
      <c r="I126" s="240"/>
    </row>
    <row r="127" spans="2:9" ht="13.5" thickBot="1" x14ac:dyDescent="0.25">
      <c r="B127" s="20" t="s">
        <v>187</v>
      </c>
      <c r="C127" s="23"/>
      <c r="D127" s="270">
        <f>D125+D126</f>
        <v>0</v>
      </c>
      <c r="E127" s="271">
        <f>E125+E126</f>
        <v>0</v>
      </c>
      <c r="F127" s="23"/>
      <c r="G127" s="23"/>
      <c r="H127" s="36"/>
      <c r="I127" s="240"/>
    </row>
    <row r="128" spans="2:9" ht="14.25" thickTop="1" thickBot="1" x14ac:dyDescent="0.25">
      <c r="B128" s="20"/>
      <c r="C128" s="23"/>
      <c r="D128" s="194"/>
      <c r="E128" s="78"/>
      <c r="F128" s="23"/>
      <c r="G128" s="23"/>
      <c r="H128" s="36"/>
      <c r="I128" s="240"/>
    </row>
    <row r="129" spans="2:9" ht="13.5" thickBot="1" x14ac:dyDescent="0.25">
      <c r="B129" s="194"/>
      <c r="C129" s="196"/>
      <c r="D129" s="196"/>
      <c r="E129" s="196"/>
      <c r="F129" s="196"/>
      <c r="G129" s="196"/>
      <c r="H129" s="78"/>
      <c r="I129" s="243"/>
    </row>
  </sheetData>
  <mergeCells count="4">
    <mergeCell ref="B5:E5"/>
    <mergeCell ref="B22:E22"/>
    <mergeCell ref="B2:I2"/>
    <mergeCell ref="B3:I3"/>
  </mergeCells>
  <conditionalFormatting sqref="D52:H52">
    <cfRule type="cellIs" dxfId="0" priority="1" operator="lessThan">
      <formula>0</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NOI</vt:lpstr>
      <vt:lpstr>Cash Flow (Loan A)</vt:lpstr>
      <vt:lpstr>Cash Flow (Loan B)</vt:lpstr>
      <vt:lpstr>Cash Flow (No Loan)</vt:lpstr>
      <vt:lpstr>Tax Accounting (A) Advanced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dc:creator>
  <cp:lastModifiedBy>DeCourcy, George</cp:lastModifiedBy>
  <cp:lastPrinted>2014-04-23T16:02:54Z</cp:lastPrinted>
  <dcterms:created xsi:type="dcterms:W3CDTF">2011-06-22T16:34:06Z</dcterms:created>
  <dcterms:modified xsi:type="dcterms:W3CDTF">2019-11-26T21:35:28Z</dcterms:modified>
</cp:coreProperties>
</file>