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omments16.xml" ContentType="application/vnd.openxmlformats-officedocument.spreadsheetml.comments+xml"/>
  <Override PartName="/xl/drawings/drawing22.xml" ContentType="application/vnd.openxmlformats-officedocument.drawing+xml"/>
  <Override PartName="/xl/comments17.xml" ContentType="application/vnd.openxmlformats-officedocument.spreadsheetml.comments+xml"/>
  <Override PartName="/xl/drawings/drawing23.xml" ContentType="application/vnd.openxmlformats-officedocument.drawing+xml"/>
  <Override PartName="/xl/comments18.xml" ContentType="application/vnd.openxmlformats-officedocument.spreadsheetml.comments+xml"/>
  <Override PartName="/xl/drawings/drawing24.xml" ContentType="application/vnd.openxmlformats-officedocument.drawing+xml"/>
  <Override PartName="/xl/comments19.xml" ContentType="application/vnd.openxmlformats-officedocument.spreadsheetml.comments+xml"/>
  <Override PartName="/xl/drawings/drawing25.xml" ContentType="application/vnd.openxmlformats-officedocument.drawing+xml"/>
  <Override PartName="/xl/comments20.xml" ContentType="application/vnd.openxmlformats-officedocument.spreadsheetml.comments+xml"/>
  <Override PartName="/xl/drawings/drawing26.xml" ContentType="application/vnd.openxmlformats-officedocument.drawing+xml"/>
  <Override PartName="/xl/comments21.xml" ContentType="application/vnd.openxmlformats-officedocument.spreadsheetml.comments+xml"/>
  <Override PartName="/xl/drawings/drawing27.xml" ContentType="application/vnd.openxmlformats-officedocument.drawing+xml"/>
  <Override PartName="/xl/comments22.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drawings/drawing28.xml" ContentType="application/vnd.openxmlformats-officedocument.drawing+xml"/>
  <Override PartName="/xl/charts/chart16.xml" ContentType="application/vnd.openxmlformats-officedocument.drawingml.chart+xml"/>
  <Override PartName="/xl/drawings/drawing29.xml" ContentType="application/vnd.openxmlformats-officedocument.drawing+xml"/>
  <Override PartName="/xl/charts/chart17.xml" ContentType="application/vnd.openxmlformats-officedocument.drawingml.chart+xml"/>
  <Override PartName="/xl/drawings/drawing30.xml" ContentType="application/vnd.openxmlformats-officedocument.drawing+xml"/>
  <Override PartName="/xl/comments23.xml" ContentType="application/vnd.openxmlformats-officedocument.spreadsheetml.comments+xml"/>
  <Override PartName="/xl/drawings/drawing3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omments2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mc:AlternateContent xmlns:mc="http://schemas.openxmlformats.org/markup-compatibility/2006">
    <mc:Choice Requires="x15">
      <x15ac:absPath xmlns:x15ac="http://schemas.microsoft.com/office/spreadsheetml/2010/11/ac" url="https://twodegrees1-my.sharepoint.com/personal/rahul_kotian_slalom_com/Documents/Documents/Personal/UTD/Summer - 24/FIN-6322/Class -Excel/"/>
    </mc:Choice>
  </mc:AlternateContent>
  <xr:revisionPtr revIDLastSave="17" documentId="8_{9389C99D-00EF-4C6A-B35E-E0AE43CFCF14}" xr6:coauthVersionLast="47" xr6:coauthVersionMax="47" xr10:uidLastSave="{F3CD6A63-A946-4B75-89AD-4AFF538E16CD}"/>
  <bookViews>
    <workbookView minimized="1" xWindow="30450" yWindow="1650" windowWidth="21600" windowHeight="11175" activeTab="1" xr2:uid="{00000000-000D-0000-FFFF-FFFF00000000}"/>
  </bookViews>
  <sheets>
    <sheet name="Introduction" sheetId="53" r:id="rId1"/>
    <sheet name="Ch4 Eff Cost" sheetId="2" r:id="rId2"/>
    <sheet name="Ch4 Eff Cost-Pts-Payoff" sheetId="36" r:id="rId3"/>
    <sheet name="Ch4 CAM" sheetId="3" r:id="rId4"/>
    <sheet name="Ch4 GPM" sheetId="4" r:id="rId5"/>
    <sheet name="Ch5 ARM No Caps" sheetId="5" r:id="rId6"/>
    <sheet name="Ch5 ARM Int Cap" sheetId="52" r:id="rId7"/>
    <sheet name="Ch5 ARM Pmt Cap" sheetId="7" r:id="rId8"/>
    <sheet name="Ch5 PLAM" sheetId="48" r:id="rId9"/>
    <sheet name="Ch5 PLAM Graphs" sheetId="49" r:id="rId10"/>
    <sheet name="Ch5 SAM" sheetId="39" r:id="rId11"/>
    <sheet name="Ch6 Incremental Cost" sheetId="38" r:id="rId12"/>
    <sheet name="Ch6 Combined Cost 2 loans" sheetId="40" r:id="rId13"/>
    <sheet name="Ch7 Rent vs Own" sheetId="8" r:id="rId14"/>
    <sheet name="Ch9 Eff.Rents" sheetId="64" r:id="rId15"/>
    <sheet name="Ch10 H&amp;BU" sheetId="11" r:id="rId16"/>
    <sheet name="Ch10 Mort Eq Cap" sheetId="10" r:id="rId17"/>
    <sheet name="Ch 10 Oakwood 14e" sheetId="12" r:id="rId18"/>
    <sheet name="Ch 10 Oakwood 15,16,17e" sheetId="62" r:id="rId19"/>
    <sheet name="Ch11 Market Analysis" sheetId="55" r:id="rId20"/>
    <sheet name="Ch11 Lease 14e (Monument 1of3)" sheetId="13" r:id="rId21"/>
    <sheet name="Ch11 Unlev 14e Monument 2of3" sheetId="14" r:id="rId22"/>
    <sheet name="Ch11 14e Lev &amp; Tax 3of3" sheetId="15" r:id="rId23"/>
    <sheet name="Ch11 Lease (Monument) 15&amp;16e " sheetId="63" r:id="rId24"/>
    <sheet name="Ch11 Lease (Monument) 17e" sheetId="69" r:id="rId25"/>
    <sheet name="Ch12 Leverage" sheetId="50" r:id="rId26"/>
    <sheet name="Ch12 Participation (16e)" sheetId="16" r:id="rId27"/>
    <sheet name="Ch12 Participation (17e)" sheetId="68" r:id="rId28"/>
    <sheet name="Ch12 Sale Leaseback of Land" sheetId="17" r:id="rId29"/>
    <sheet name="Ch12 Accrual Loan" sheetId="19" r:id="rId30"/>
    <sheet name="Ch12 Convertible Mortgage" sheetId="18" r:id="rId31"/>
    <sheet name="Ch13 Risk IRR Partition" sheetId="20" r:id="rId32"/>
    <sheet name="Ch13 Risk Std.Dev." sheetId="61" r:id="rId33"/>
    <sheet name="Ch 13 Risk and Leverage" sheetId="21" r:id="rId34"/>
    <sheet name="Ch13 Retail" sheetId="22" r:id="rId35"/>
    <sheet name="Ch13 Industrial" sheetId="23" r:id="rId36"/>
    <sheet name="Ch14 Return if Held" sheetId="24" r:id="rId37"/>
    <sheet name="Ch14 MRR" sheetId="25" r:id="rId38"/>
    <sheet name="Ch14 Return with Refinancing" sheetId="51" r:id="rId39"/>
    <sheet name="Ch14 Renovation" sheetId="26" r:id="rId40"/>
    <sheet name="Ch14 Installment Sale" sheetId="56" r:id="rId41"/>
    <sheet name="Ch 14 Exchange" sheetId="57" r:id="rId42"/>
    <sheet name="Ch15 Lease_Own" sheetId="27" r:id="rId43"/>
    <sheet name="Ch15 Prob. 1" sheetId="59" r:id="rId44"/>
    <sheet name="Ch16 Const (16e)" sheetId="28" r:id="rId45"/>
    <sheet name="Ch16 Const (17e)" sheetId="70" r:id="rId46"/>
    <sheet name="Ch17 Land Dev" sheetId="29" r:id="rId47"/>
    <sheet name="Ch18 IRR Pref WF(g)" sheetId="60" r:id="rId48"/>
    <sheet name="Ch18 IRR Lookback" sheetId="43" r:id="rId49"/>
    <sheet name="Ch18 Partners (Tax) 16e" sheetId="30" r:id="rId50"/>
    <sheet name="Ch19 MPS" sheetId="31" r:id="rId51"/>
    <sheet name="Ch20 CMO" sheetId="32" r:id="rId52"/>
    <sheet name="Ch20 Floater" sheetId="33" r:id="rId53"/>
    <sheet name="CH20 IO_PO" sheetId="46" r:id="rId54"/>
    <sheet name="Ch20 CMBS" sheetId="44" r:id="rId55"/>
    <sheet name="Ch22_Frontier" sheetId="35" r:id="rId56"/>
    <sheet name="Ch23_Waterfall 3 Tier_ToDeal_g" sheetId="66" r:id="rId57"/>
    <sheet name="Ch23_Waterfall 3 Tier_ToMoney_g" sheetId="67" r:id="rId58"/>
  </sheets>
  <externalReferences>
    <externalReference r:id="rId59"/>
    <externalReference r:id="rId60"/>
    <externalReference r:id="rId61"/>
    <externalReference r:id="rId62"/>
  </externalReferences>
  <definedNames>
    <definedName name="__123Graph_A" hidden="1">'[1]REITs &amp; S&amp;P'!$E$11:$E$31</definedName>
    <definedName name="__123Graph_X" hidden="1">'[1]REITs &amp; S&amp;P'!$D$11:$D$31</definedName>
    <definedName name="_1__123Graph_ACHART_1" hidden="1">'[1]REITs &amp; S&amp;P'!$F$11:$F$31</definedName>
    <definedName name="_2__123Graph_ACHART_2" hidden="1">[2]A!$E$171:$E$177</definedName>
    <definedName name="_3__123Graph_BCHART_1" hidden="1">[3]A!$E$135:$E$141</definedName>
    <definedName name="_4__123Graph_XCHART_1" hidden="1">'[1]REITs &amp; S&amp;P'!$D$11:$D$31</definedName>
    <definedName name="_5__123Graph_XCHART_2" hidden="1">[2]A!$D$171:$D$177</definedName>
    <definedName name="_Table1_In1" hidden="1">[3]A!$F$60</definedName>
    <definedName name="_Table1_Out" hidden="1">[3]A!$C$134:$E$141</definedName>
    <definedName name="Class_A" localSheetId="14">'[4]Ch20 CMBS'!$K$11</definedName>
    <definedName name="Class_A">'Ch20 CMBS'!$K$14</definedName>
    <definedName name="Class_B" localSheetId="14">'[4]Ch20 CMBS'!$K$16</definedName>
    <definedName name="Class_B">'Ch20 CMBS'!$K$19</definedName>
    <definedName name="ClassA_Coupon" localSheetId="14">'[4]Ch20 CMBS'!$I$11</definedName>
    <definedName name="ClassA_Coupon">'Ch20 CMBS'!$I$14</definedName>
    <definedName name="ClassB_Coupon" localSheetId="14">'[4]Ch20 CMBS'!$I$16</definedName>
    <definedName name="ClassB_Coupon">'Ch20 CMBS'!$I$19</definedName>
    <definedName name="Default_property_Price" localSheetId="14">'[4]Ch20 CMBS'!$F$4</definedName>
    <definedName name="Default_property_Price">'Ch20 CMBS'!$F$7</definedName>
    <definedName name="Interest_rate" localSheetId="14">'[4]Ch20 CMBS'!$C$5</definedName>
    <definedName name="Interest_rate">'Ch20 CMBS'!$C$8</definedName>
    <definedName name="Maturity" localSheetId="14">'[4]Ch20 CMBS'!$C$6</definedName>
    <definedName name="Maturity">'Ch20 CMBS'!$C$9</definedName>
    <definedName name="Mortgages" localSheetId="14">'[4]Ch20 CMBS'!$C$4</definedName>
    <definedName name="Mortgages">'Ch20 CMBS'!$C$7</definedName>
    <definedName name="Residual" localSheetId="14">'[4]Ch20 CMBS'!$K$18</definedName>
    <definedName name="Residual">'Ch20 CMBS'!$K$21</definedName>
    <definedName name="solver_adj" localSheetId="40" hidden="1">'Ch14 Installment Sale'!#REF!</definedName>
    <definedName name="solver_adj" localSheetId="48" hidden="1">'Ch18 IRR Lookback'!$K$15</definedName>
    <definedName name="solver_adj" localSheetId="47" hidden="1">'Ch18 IRR Pref WF(g)'!$O$22</definedName>
    <definedName name="solver_adj" localSheetId="10" hidden="1">'Ch5 SAM'!$C$72</definedName>
    <definedName name="solver_cvg" localSheetId="40" hidden="1">0.0001</definedName>
    <definedName name="solver_cvg" localSheetId="48" hidden="1">0.0001</definedName>
    <definedName name="solver_cvg" localSheetId="47" hidden="1">0.0001</definedName>
    <definedName name="solver_cvg" localSheetId="10" hidden="1">0.0001</definedName>
    <definedName name="solver_drv" localSheetId="40" hidden="1">1</definedName>
    <definedName name="solver_drv" localSheetId="48" hidden="1">1</definedName>
    <definedName name="solver_drv" localSheetId="47" hidden="1">1</definedName>
    <definedName name="solver_drv" localSheetId="10" hidden="1">1</definedName>
    <definedName name="solver_eng" localSheetId="10" hidden="1">1</definedName>
    <definedName name="solver_est" localSheetId="40" hidden="1">1</definedName>
    <definedName name="solver_est" localSheetId="48" hidden="1">1</definedName>
    <definedName name="solver_est" localSheetId="47" hidden="1">1</definedName>
    <definedName name="solver_est" localSheetId="10" hidden="1">1</definedName>
    <definedName name="solver_ibd" localSheetId="10" hidden="1">2</definedName>
    <definedName name="solver_itr" localSheetId="40" hidden="1">100</definedName>
    <definedName name="solver_itr" localSheetId="48" hidden="1">100</definedName>
    <definedName name="solver_itr" localSheetId="47" hidden="1">100</definedName>
    <definedName name="solver_itr" localSheetId="10" hidden="1">100</definedName>
    <definedName name="solver_lin" localSheetId="40" hidden="1">2</definedName>
    <definedName name="solver_lin" localSheetId="48" hidden="1">2</definedName>
    <definedName name="solver_lin" localSheetId="47" hidden="1">2</definedName>
    <definedName name="solver_lin" localSheetId="10" hidden="1">2</definedName>
    <definedName name="solver_lva" localSheetId="10" hidden="1">2</definedName>
    <definedName name="solver_mip" localSheetId="10" hidden="1">1000</definedName>
    <definedName name="solver_neg" localSheetId="40" hidden="1">2</definedName>
    <definedName name="solver_neg" localSheetId="48" hidden="1">2</definedName>
    <definedName name="solver_neg" localSheetId="47" hidden="1">2</definedName>
    <definedName name="solver_neg" localSheetId="10" hidden="1">2</definedName>
    <definedName name="solver_nod" localSheetId="10" hidden="1">1000</definedName>
    <definedName name="solver_num" localSheetId="40" hidden="1">0</definedName>
    <definedName name="solver_num" localSheetId="48" hidden="1">0</definedName>
    <definedName name="solver_num" localSheetId="47" hidden="1">0</definedName>
    <definedName name="solver_num" localSheetId="10" hidden="1">0</definedName>
    <definedName name="solver_nwt" localSheetId="40" hidden="1">1</definedName>
    <definedName name="solver_nwt" localSheetId="48" hidden="1">1</definedName>
    <definedName name="solver_nwt" localSheetId="47" hidden="1">1</definedName>
    <definedName name="solver_nwt" localSheetId="10" hidden="1">1</definedName>
    <definedName name="solver_ofx" localSheetId="10" hidden="1">2</definedName>
    <definedName name="solver_opt" localSheetId="40" hidden="1">'Ch14 Installment Sale'!#REF!</definedName>
    <definedName name="solver_opt" localSheetId="48" hidden="1">'Ch18 IRR Lookback'!$O$17</definedName>
    <definedName name="solver_opt" localSheetId="47" hidden="1">'Ch18 IRR Pref WF(g)'!$P$23</definedName>
    <definedName name="solver_opt" localSheetId="10" hidden="1">'Ch5 SAM'!$C$87</definedName>
    <definedName name="solver_pre" localSheetId="40" hidden="1">0.000001</definedName>
    <definedName name="solver_pre" localSheetId="48" hidden="1">0.000001</definedName>
    <definedName name="solver_pre" localSheetId="47" hidden="1">0.000001</definedName>
    <definedName name="solver_pre" localSheetId="10" hidden="1">0.000001</definedName>
    <definedName name="solver_pro" localSheetId="10" hidden="1">2</definedName>
    <definedName name="solver_reo" localSheetId="10" hidden="1">2</definedName>
    <definedName name="solver_rep" localSheetId="10" hidden="1">2</definedName>
    <definedName name="solver_rlx" localSheetId="10" hidden="1">2</definedName>
    <definedName name="solver_scl" localSheetId="40" hidden="1">2</definedName>
    <definedName name="solver_scl" localSheetId="48" hidden="1">2</definedName>
    <definedName name="solver_scl" localSheetId="47" hidden="1">2</definedName>
    <definedName name="solver_scl" localSheetId="10" hidden="1">2</definedName>
    <definedName name="solver_sho" localSheetId="40" hidden="1">2</definedName>
    <definedName name="solver_sho" localSheetId="48" hidden="1">2</definedName>
    <definedName name="solver_sho" localSheetId="47" hidden="1">2</definedName>
    <definedName name="solver_sho" localSheetId="10" hidden="1">2</definedName>
    <definedName name="solver_std" localSheetId="10" hidden="1">0</definedName>
    <definedName name="solver_tim" localSheetId="40" hidden="1">100</definedName>
    <definedName name="solver_tim" localSheetId="48" hidden="1">100</definedName>
    <definedName name="solver_tim" localSheetId="47" hidden="1">100</definedName>
    <definedName name="solver_tim" localSheetId="10" hidden="1">100</definedName>
    <definedName name="solver_tol" localSheetId="40" hidden="1">0.05</definedName>
    <definedName name="solver_tol" localSheetId="48" hidden="1">0.05</definedName>
    <definedName name="solver_tol" localSheetId="47" hidden="1">0.05</definedName>
    <definedName name="solver_tol" localSheetId="10" hidden="1">0.0005</definedName>
    <definedName name="solver_typ" localSheetId="40" hidden="1">3</definedName>
    <definedName name="solver_typ" localSheetId="48" hidden="1">3</definedName>
    <definedName name="solver_typ" localSheetId="47" hidden="1">3</definedName>
    <definedName name="solver_typ" localSheetId="10" hidden="1">3</definedName>
    <definedName name="solver_val" localSheetId="40" hidden="1">344088</definedName>
    <definedName name="solver_val" localSheetId="48" hidden="1">0.12</definedName>
    <definedName name="solver_val" localSheetId="47" hidden="1">0.12</definedName>
    <definedName name="solver_val" localSheetId="10" hidden="1">0.12</definedName>
    <definedName name="solver_ver" localSheetId="10" hidden="1">2</definedName>
    <definedName name="Total_Asset" localSheetId="14">'[4]Ch20 CMBS'!$K$20</definedName>
    <definedName name="Total_Asset">'Ch20 CMBS'!$K$23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5" i="70" l="1"/>
  <c r="H125" i="70"/>
  <c r="G125" i="70"/>
  <c r="F125" i="70"/>
  <c r="E125" i="70"/>
  <c r="E108" i="70"/>
  <c r="F108" i="70" s="1"/>
  <c r="G108" i="70" s="1"/>
  <c r="H108" i="70" s="1"/>
  <c r="I108" i="70" s="1"/>
  <c r="E104" i="70"/>
  <c r="F104" i="70" s="1"/>
  <c r="G104" i="70" s="1"/>
  <c r="H104" i="70" s="1"/>
  <c r="I104" i="70" s="1"/>
  <c r="E103" i="70"/>
  <c r="F103" i="70" s="1"/>
  <c r="G103" i="70" s="1"/>
  <c r="H103" i="70" s="1"/>
  <c r="I103" i="70" s="1"/>
  <c r="E102" i="70"/>
  <c r="C65" i="70"/>
  <c r="C64" i="70"/>
  <c r="C63" i="70"/>
  <c r="C62" i="70"/>
  <c r="C61" i="70"/>
  <c r="C60" i="70"/>
  <c r="C59" i="70"/>
  <c r="C58" i="70"/>
  <c r="C57" i="70"/>
  <c r="C56" i="70"/>
  <c r="C55" i="70"/>
  <c r="C54" i="70"/>
  <c r="C42" i="70"/>
  <c r="D89" i="70" s="1"/>
  <c r="C41" i="70"/>
  <c r="D88" i="70" s="1"/>
  <c r="C37" i="70"/>
  <c r="C87" i="70" s="1"/>
  <c r="K20" i="20"/>
  <c r="J26" i="20" s="1"/>
  <c r="K12" i="20"/>
  <c r="K13" i="20"/>
  <c r="K14" i="20"/>
  <c r="K15" i="20"/>
  <c r="K11" i="20"/>
  <c r="L39" i="64"/>
  <c r="M39" i="64" s="1"/>
  <c r="L28" i="64"/>
  <c r="M28" i="64" s="1"/>
  <c r="N28" i="64" s="1"/>
  <c r="L17" i="64"/>
  <c r="L19" i="64" s="1"/>
  <c r="J33" i="52"/>
  <c r="J34" i="52" s="1"/>
  <c r="J35" i="52" s="1"/>
  <c r="J36" i="52" s="1"/>
  <c r="J37" i="52" s="1"/>
  <c r="J38" i="52" s="1"/>
  <c r="J39" i="52" s="1"/>
  <c r="J40" i="52" s="1"/>
  <c r="J41" i="52" s="1"/>
  <c r="J42" i="52" s="1"/>
  <c r="J43" i="52" s="1"/>
  <c r="J44" i="52" s="1"/>
  <c r="J45" i="52" s="1"/>
  <c r="J46" i="52" s="1"/>
  <c r="J47" i="52" s="1"/>
  <c r="J48" i="52" s="1"/>
  <c r="J49" i="52" s="1"/>
  <c r="J50" i="52" s="1"/>
  <c r="J51" i="52" s="1"/>
  <c r="J52" i="52" s="1"/>
  <c r="J53" i="52" s="1"/>
  <c r="J54" i="52" s="1"/>
  <c r="J55" i="52" s="1"/>
  <c r="J56" i="52" s="1"/>
  <c r="J57" i="52" s="1"/>
  <c r="J58" i="52" s="1"/>
  <c r="J59" i="52" s="1"/>
  <c r="J60" i="52" s="1"/>
  <c r="J61" i="52" s="1"/>
  <c r="J62" i="52" s="1"/>
  <c r="J63" i="52" s="1"/>
  <c r="J64" i="52" s="1"/>
  <c r="J65" i="52" s="1"/>
  <c r="J66" i="52" s="1"/>
  <c r="J67" i="52" s="1"/>
  <c r="J68" i="52" s="1"/>
  <c r="J69" i="52" s="1"/>
  <c r="J70" i="52" s="1"/>
  <c r="J71" i="52" s="1"/>
  <c r="J72" i="52" s="1"/>
  <c r="J73" i="52" s="1"/>
  <c r="J74" i="52" s="1"/>
  <c r="J75" i="52" s="1"/>
  <c r="J76" i="52" s="1"/>
  <c r="J77" i="52" s="1"/>
  <c r="J78" i="52" s="1"/>
  <c r="J79" i="52" s="1"/>
  <c r="J80" i="52" s="1"/>
  <c r="J81" i="52" s="1"/>
  <c r="J82" i="52" s="1"/>
  <c r="J83" i="52" s="1"/>
  <c r="J84" i="52" s="1"/>
  <c r="J85" i="52" s="1"/>
  <c r="J86" i="52" s="1"/>
  <c r="J87" i="52" s="1"/>
  <c r="J88" i="52" s="1"/>
  <c r="J89" i="52" s="1"/>
  <c r="J90" i="52" s="1"/>
  <c r="J91" i="52" s="1"/>
  <c r="J92" i="52" s="1"/>
  <c r="L24" i="52"/>
  <c r="L23" i="52"/>
  <c r="L22" i="52"/>
  <c r="L21" i="52"/>
  <c r="J21" i="52"/>
  <c r="J22" i="52" s="1"/>
  <c r="J23" i="52" s="1"/>
  <c r="J24" i="52" s="1"/>
  <c r="L20" i="52"/>
  <c r="M20" i="52" s="1"/>
  <c r="N20" i="52" s="1"/>
  <c r="P19" i="52"/>
  <c r="C49" i="36"/>
  <c r="C39" i="36"/>
  <c r="C51" i="36" s="1"/>
  <c r="C38" i="36"/>
  <c r="C50" i="36" s="1"/>
  <c r="C134" i="69"/>
  <c r="C137" i="69" s="1"/>
  <c r="F133" i="69"/>
  <c r="G133" i="69" s="1"/>
  <c r="H133" i="69" s="1"/>
  <c r="E133" i="69"/>
  <c r="D120" i="69"/>
  <c r="F112" i="69"/>
  <c r="E112" i="69"/>
  <c r="D112" i="69"/>
  <c r="E107" i="69"/>
  <c r="F107" i="69" s="1"/>
  <c r="G107" i="69" s="1"/>
  <c r="H107" i="69" s="1"/>
  <c r="I107" i="69" s="1"/>
  <c r="I79" i="69"/>
  <c r="I77" i="69"/>
  <c r="H77" i="69"/>
  <c r="G74" i="69"/>
  <c r="E72" i="69"/>
  <c r="F72" i="69" s="1"/>
  <c r="G72" i="69" s="1"/>
  <c r="H72" i="69" s="1"/>
  <c r="I72" i="69" s="1"/>
  <c r="I85" i="69" s="1"/>
  <c r="D61" i="69"/>
  <c r="E61" i="69" s="1"/>
  <c r="F61" i="69" s="1"/>
  <c r="G61" i="69" s="1"/>
  <c r="H61" i="69" s="1"/>
  <c r="I61" i="69" s="1"/>
  <c r="D60" i="69"/>
  <c r="E60" i="69" s="1"/>
  <c r="F60" i="69" s="1"/>
  <c r="G60" i="69" s="1"/>
  <c r="H60" i="69" s="1"/>
  <c r="I60" i="69" s="1"/>
  <c r="D59" i="69"/>
  <c r="E59" i="69" s="1"/>
  <c r="F59" i="69" s="1"/>
  <c r="G59" i="69" s="1"/>
  <c r="H59" i="69" s="1"/>
  <c r="I59" i="69" s="1"/>
  <c r="D58" i="69"/>
  <c r="E58" i="69" s="1"/>
  <c r="F58" i="69" s="1"/>
  <c r="G58" i="69" s="1"/>
  <c r="H58" i="69" s="1"/>
  <c r="I58" i="69" s="1"/>
  <c r="D57" i="69"/>
  <c r="E57" i="69" s="1"/>
  <c r="F57" i="69" s="1"/>
  <c r="E55" i="69"/>
  <c r="F55" i="69" s="1"/>
  <c r="G55" i="69" s="1"/>
  <c r="H55" i="69" s="1"/>
  <c r="I55" i="69" s="1"/>
  <c r="F49" i="69"/>
  <c r="D46" i="69"/>
  <c r="E44" i="69"/>
  <c r="E43" i="69"/>
  <c r="E42" i="69"/>
  <c r="E41" i="69"/>
  <c r="E40" i="69"/>
  <c r="E34" i="69"/>
  <c r="F34" i="69" s="1"/>
  <c r="G34" i="69" s="1"/>
  <c r="H34" i="69" s="1"/>
  <c r="I34" i="69" s="1"/>
  <c r="C30" i="69"/>
  <c r="E28" i="69"/>
  <c r="D79" i="69" s="1"/>
  <c r="E26" i="69"/>
  <c r="D77" i="69" s="1"/>
  <c r="E23" i="69"/>
  <c r="D74" i="69" s="1"/>
  <c r="C100" i="68"/>
  <c r="C96" i="68"/>
  <c r="C73" i="68"/>
  <c r="G55" i="68"/>
  <c r="F55" i="68"/>
  <c r="E55" i="68"/>
  <c r="D55" i="68"/>
  <c r="C55" i="68"/>
  <c r="C48" i="68"/>
  <c r="C54" i="68" s="1"/>
  <c r="D108" i="68" s="1"/>
  <c r="G46" i="68"/>
  <c r="F46" i="68"/>
  <c r="E46" i="68"/>
  <c r="D46" i="68"/>
  <c r="C46" i="68"/>
  <c r="C44" i="68"/>
  <c r="C51" i="68" s="1"/>
  <c r="D36" i="68"/>
  <c r="E36" i="68" s="1"/>
  <c r="E33" i="68"/>
  <c r="C30" i="68"/>
  <c r="C31" i="68" s="1"/>
  <c r="C29" i="68"/>
  <c r="C89" i="68" s="1"/>
  <c r="F12" i="68"/>
  <c r="D53" i="68" s="1"/>
  <c r="C66" i="67"/>
  <c r="C57" i="67"/>
  <c r="D44" i="67"/>
  <c r="E47" i="67" s="1"/>
  <c r="C40" i="67"/>
  <c r="D28" i="67"/>
  <c r="E31" i="67" s="1"/>
  <c r="J24" i="67"/>
  <c r="I24" i="67"/>
  <c r="H24" i="67"/>
  <c r="G24" i="67"/>
  <c r="F24" i="67"/>
  <c r="J21" i="67"/>
  <c r="J73" i="67" s="1"/>
  <c r="I21" i="67"/>
  <c r="I73" i="67" s="1"/>
  <c r="H21" i="67"/>
  <c r="H73" i="67" s="1"/>
  <c r="G21" i="67"/>
  <c r="G73" i="67" s="1"/>
  <c r="F21" i="67"/>
  <c r="F73" i="67" s="1"/>
  <c r="J20" i="67"/>
  <c r="J81" i="67" s="1"/>
  <c r="I20" i="67"/>
  <c r="I81" i="67" s="1"/>
  <c r="H20" i="67"/>
  <c r="H81" i="67" s="1"/>
  <c r="G20" i="67"/>
  <c r="F20" i="67"/>
  <c r="F81" i="67" s="1"/>
  <c r="E18" i="67"/>
  <c r="E24" i="67" s="1"/>
  <c r="D18" i="67"/>
  <c r="G12" i="67"/>
  <c r="H12" i="67" s="1"/>
  <c r="D12" i="67"/>
  <c r="G11" i="67"/>
  <c r="C56" i="67" s="1"/>
  <c r="D11" i="67"/>
  <c r="G10" i="67"/>
  <c r="C39" i="67" s="1"/>
  <c r="D6" i="67"/>
  <c r="E5" i="67"/>
  <c r="E4" i="67"/>
  <c r="G22" i="67" l="1"/>
  <c r="E46" i="69"/>
  <c r="C109" i="68"/>
  <c r="C119" i="68" s="1"/>
  <c r="L29" i="64"/>
  <c r="L30" i="64" s="1"/>
  <c r="E21" i="67"/>
  <c r="E73" i="67" s="1"/>
  <c r="C39" i="70"/>
  <c r="E106" i="70"/>
  <c r="E105" i="70"/>
  <c r="C66" i="70"/>
  <c r="C79" i="70"/>
  <c r="E54" i="70"/>
  <c r="C80" i="70"/>
  <c r="F102" i="70"/>
  <c r="G54" i="70"/>
  <c r="K16" i="20"/>
  <c r="J25" i="20" s="1"/>
  <c r="M41" i="64"/>
  <c r="N39" i="64"/>
  <c r="O28" i="64"/>
  <c r="N29" i="64"/>
  <c r="N30" i="64" s="1"/>
  <c r="M17" i="64"/>
  <c r="M29" i="64"/>
  <c r="M30" i="64" s="1"/>
  <c r="L41" i="64"/>
  <c r="P20" i="52"/>
  <c r="O20" i="52"/>
  <c r="M21" i="52"/>
  <c r="K32" i="52"/>
  <c r="C41" i="36"/>
  <c r="C52" i="36" s="1"/>
  <c r="C53" i="36" s="1"/>
  <c r="F62" i="69"/>
  <c r="G57" i="69"/>
  <c r="D81" i="69"/>
  <c r="E74" i="69"/>
  <c r="D84" i="69"/>
  <c r="E77" i="69"/>
  <c r="D85" i="69"/>
  <c r="E79" i="69"/>
  <c r="D86" i="69"/>
  <c r="E30" i="69"/>
  <c r="D49" i="69" s="1"/>
  <c r="D62" i="69"/>
  <c r="H84" i="69"/>
  <c r="E62" i="69"/>
  <c r="H74" i="69"/>
  <c r="C85" i="68"/>
  <c r="D44" i="68"/>
  <c r="E96" i="68" s="1"/>
  <c r="D96" i="68"/>
  <c r="E38" i="68"/>
  <c r="G37" i="68"/>
  <c r="F37" i="68"/>
  <c r="E37" i="68"/>
  <c r="C33" i="68"/>
  <c r="C37" i="68"/>
  <c r="D38" i="68"/>
  <c r="D51" i="68"/>
  <c r="C53" i="68"/>
  <c r="C74" i="68" s="1"/>
  <c r="D75" i="68" s="1"/>
  <c r="G53" i="68"/>
  <c r="F53" i="68"/>
  <c r="E53" i="68"/>
  <c r="F36" i="68"/>
  <c r="E62" i="68"/>
  <c r="D69" i="68"/>
  <c r="D37" i="68"/>
  <c r="C38" i="68"/>
  <c r="C110" i="68"/>
  <c r="H11" i="67"/>
  <c r="H22" i="67"/>
  <c r="C65" i="67"/>
  <c r="G46" i="67"/>
  <c r="G30" i="67"/>
  <c r="H30" i="67"/>
  <c r="H46" i="67"/>
  <c r="G81" i="67"/>
  <c r="I22" i="67"/>
  <c r="H10" i="67"/>
  <c r="E20" i="67"/>
  <c r="F22" i="67"/>
  <c r="J22" i="67"/>
  <c r="E39" i="68" l="1"/>
  <c r="E52" i="68" s="1"/>
  <c r="J27" i="20"/>
  <c r="K25" i="20"/>
  <c r="D88" i="69"/>
  <c r="D109" i="69" s="1"/>
  <c r="E107" i="70"/>
  <c r="E109" i="70" s="1"/>
  <c r="E116" i="70" s="1"/>
  <c r="F106" i="70"/>
  <c r="G102" i="70"/>
  <c r="F105" i="70"/>
  <c r="D55" i="70"/>
  <c r="L30" i="20"/>
  <c r="L31" i="20"/>
  <c r="N17" i="64"/>
  <c r="M19" i="64"/>
  <c r="O39" i="64"/>
  <c r="N41" i="64"/>
  <c r="O29" i="64"/>
  <c r="O30" i="64" s="1"/>
  <c r="P28" i="64"/>
  <c r="M22" i="52"/>
  <c r="N21" i="52"/>
  <c r="C43" i="36"/>
  <c r="E49" i="69"/>
  <c r="E51" i="69" s="1"/>
  <c r="D51" i="69"/>
  <c r="I74" i="69"/>
  <c r="I81" i="69" s="1"/>
  <c r="I84" i="69"/>
  <c r="I88" i="69" s="1"/>
  <c r="I109" i="69" s="1"/>
  <c r="F77" i="69"/>
  <c r="E85" i="69"/>
  <c r="E115" i="69"/>
  <c r="E63" i="69"/>
  <c r="E81" i="69"/>
  <c r="F74" i="69"/>
  <c r="E84" i="69"/>
  <c r="E88" i="69" s="1"/>
  <c r="E109" i="69" s="1"/>
  <c r="D115" i="69"/>
  <c r="D63" i="69"/>
  <c r="E86" i="69"/>
  <c r="F79" i="69"/>
  <c r="D108" i="69"/>
  <c r="H57" i="69"/>
  <c r="G62" i="69"/>
  <c r="F115" i="69"/>
  <c r="F63" i="69"/>
  <c r="D100" i="68"/>
  <c r="D48" i="68"/>
  <c r="D54" i="68" s="1"/>
  <c r="E108" i="68" s="1"/>
  <c r="E44" i="68"/>
  <c r="F100" i="68" s="1"/>
  <c r="E100" i="68"/>
  <c r="D39" i="68"/>
  <c r="D52" i="68" s="1"/>
  <c r="C39" i="68"/>
  <c r="C52" i="68" s="1"/>
  <c r="C56" i="68" s="1"/>
  <c r="C57" i="68" s="1"/>
  <c r="F38" i="68"/>
  <c r="G36" i="68"/>
  <c r="G38" i="68" s="1"/>
  <c r="E64" i="68" s="1"/>
  <c r="H107" i="68" s="1"/>
  <c r="F45" i="68"/>
  <c r="E45" i="68"/>
  <c r="D45" i="68"/>
  <c r="G45" i="68"/>
  <c r="C45" i="68"/>
  <c r="E63" i="68"/>
  <c r="D70" i="68" s="1"/>
  <c r="E40" i="68"/>
  <c r="F46" i="67"/>
  <c r="F30" i="67"/>
  <c r="J46" i="67"/>
  <c r="J30" i="67"/>
  <c r="E81" i="67"/>
  <c r="E22" i="67"/>
  <c r="I46" i="67"/>
  <c r="I30" i="67"/>
  <c r="C40" i="68" l="1"/>
  <c r="K26" i="20"/>
  <c r="K27" i="20"/>
  <c r="F107" i="70"/>
  <c r="F109" i="70" s="1"/>
  <c r="F116" i="70"/>
  <c r="G106" i="70"/>
  <c r="H102" i="70"/>
  <c r="G105" i="70"/>
  <c r="G55" i="70"/>
  <c r="E55" i="70"/>
  <c r="O17" i="64"/>
  <c r="N19" i="64"/>
  <c r="P30" i="64"/>
  <c r="K32" i="64" s="1"/>
  <c r="K33" i="64" s="1"/>
  <c r="P29" i="64"/>
  <c r="O41" i="64"/>
  <c r="K43" i="64" s="1"/>
  <c r="K44" i="64" s="1"/>
  <c r="P39" i="64"/>
  <c r="P41" i="64" s="1"/>
  <c r="M23" i="52"/>
  <c r="P21" i="52"/>
  <c r="O21" i="52"/>
  <c r="N22" i="52" s="1"/>
  <c r="G79" i="69"/>
  <c r="F86" i="69"/>
  <c r="F95" i="69"/>
  <c r="F91" i="69"/>
  <c r="F92" i="69"/>
  <c r="F96" i="69"/>
  <c r="F93" i="69"/>
  <c r="F94" i="69"/>
  <c r="D94" i="69"/>
  <c r="D95" i="69"/>
  <c r="D91" i="69"/>
  <c r="D92" i="69"/>
  <c r="D96" i="69"/>
  <c r="D93" i="69"/>
  <c r="F85" i="69"/>
  <c r="G77" i="69"/>
  <c r="I108" i="69"/>
  <c r="E95" i="69"/>
  <c r="E92" i="69"/>
  <c r="E96" i="69"/>
  <c r="E93" i="69"/>
  <c r="E94" i="69"/>
  <c r="E91" i="69"/>
  <c r="G63" i="69"/>
  <c r="G115" i="69"/>
  <c r="H62" i="69"/>
  <c r="I57" i="69"/>
  <c r="I62" i="69" s="1"/>
  <c r="F81" i="69"/>
  <c r="F84" i="69"/>
  <c r="E108" i="69"/>
  <c r="E66" i="68"/>
  <c r="D71" i="68" s="1"/>
  <c r="D77" i="68" s="1"/>
  <c r="F96" i="68"/>
  <c r="E47" i="68"/>
  <c r="F44" i="68"/>
  <c r="F51" i="68" s="1"/>
  <c r="E48" i="68"/>
  <c r="E54" i="68" s="1"/>
  <c r="F108" i="68" s="1"/>
  <c r="D56" i="68"/>
  <c r="D57" i="68" s="1"/>
  <c r="E51" i="68"/>
  <c r="D40" i="68"/>
  <c r="E65" i="68"/>
  <c r="F39" i="68"/>
  <c r="G39" i="68"/>
  <c r="G96" i="68"/>
  <c r="C137" i="68"/>
  <c r="C136" i="68"/>
  <c r="C143" i="68"/>
  <c r="C135" i="68"/>
  <c r="C142" i="68"/>
  <c r="C134" i="68"/>
  <c r="C141" i="68"/>
  <c r="C133" i="68"/>
  <c r="C140" i="68"/>
  <c r="C132" i="68"/>
  <c r="E106" i="68"/>
  <c r="E110" i="68" s="1"/>
  <c r="C139" i="68"/>
  <c r="C138" i="68"/>
  <c r="D47" i="68"/>
  <c r="D49" i="68" s="1"/>
  <c r="C153" i="68"/>
  <c r="C145" i="68"/>
  <c r="C152" i="68"/>
  <c r="C151" i="68"/>
  <c r="C150" i="68"/>
  <c r="C149" i="68"/>
  <c r="F106" i="68"/>
  <c r="F110" i="68" s="1"/>
  <c r="C148" i="68"/>
  <c r="C155" i="68"/>
  <c r="C147" i="68"/>
  <c r="C146" i="68"/>
  <c r="H106" i="68"/>
  <c r="G106" i="68"/>
  <c r="C129" i="68"/>
  <c r="C121" i="68"/>
  <c r="C128" i="68"/>
  <c r="C120" i="68"/>
  <c r="C47" i="68"/>
  <c r="C49" i="68" s="1"/>
  <c r="C127" i="68"/>
  <c r="C126" i="68"/>
  <c r="C125" i="68"/>
  <c r="C124" i="68"/>
  <c r="C131" i="68"/>
  <c r="C123" i="68"/>
  <c r="D106" i="68"/>
  <c r="D110" i="68" s="1"/>
  <c r="C130" i="68"/>
  <c r="C122" i="68"/>
  <c r="E46" i="67"/>
  <c r="E30" i="67"/>
  <c r="E97" i="69" l="1"/>
  <c r="E110" i="69" s="1"/>
  <c r="K31" i="64"/>
  <c r="E78" i="68"/>
  <c r="E79" i="68"/>
  <c r="F88" i="69"/>
  <c r="F109" i="69" s="1"/>
  <c r="F47" i="68"/>
  <c r="F49" i="68" s="1"/>
  <c r="F48" i="68"/>
  <c r="C162" i="68" s="1"/>
  <c r="D56" i="70"/>
  <c r="G107" i="70"/>
  <c r="G109" i="70" s="1"/>
  <c r="H106" i="70"/>
  <c r="I102" i="70"/>
  <c r="H105" i="70"/>
  <c r="K42" i="64"/>
  <c r="P17" i="64"/>
  <c r="P19" i="64" s="1"/>
  <c r="O19" i="64"/>
  <c r="K21" i="64" s="1"/>
  <c r="O22" i="52"/>
  <c r="N23" i="52" s="1"/>
  <c r="P22" i="52"/>
  <c r="M24" i="52"/>
  <c r="F108" i="69"/>
  <c r="E100" i="69"/>
  <c r="I63" i="69"/>
  <c r="I115" i="69"/>
  <c r="F97" i="69"/>
  <c r="F110" i="69" s="1"/>
  <c r="D97" i="69"/>
  <c r="G85" i="69"/>
  <c r="G81" i="69"/>
  <c r="H63" i="69"/>
  <c r="H115" i="69"/>
  <c r="E111" i="69"/>
  <c r="E113" i="69" s="1"/>
  <c r="G92" i="69"/>
  <c r="G96" i="69"/>
  <c r="G93" i="69"/>
  <c r="G94" i="69"/>
  <c r="G95" i="69"/>
  <c r="G91" i="69"/>
  <c r="G86" i="69"/>
  <c r="H79" i="69"/>
  <c r="G44" i="68"/>
  <c r="H100" i="68" s="1"/>
  <c r="C101" i="68" s="1"/>
  <c r="E56" i="68"/>
  <c r="E57" i="68" s="1"/>
  <c r="G100" i="68"/>
  <c r="C154" i="68"/>
  <c r="C144" i="68"/>
  <c r="E49" i="68"/>
  <c r="F85" i="68" s="1"/>
  <c r="E67" i="68"/>
  <c r="F52" i="68"/>
  <c r="F40" i="68"/>
  <c r="E85" i="68"/>
  <c r="D58" i="68"/>
  <c r="E89" i="68" s="1"/>
  <c r="D85" i="68"/>
  <c r="C58" i="68"/>
  <c r="D89" i="68" s="1"/>
  <c r="C164" i="68"/>
  <c r="G52" i="68"/>
  <c r="G40" i="68"/>
  <c r="E36" i="67"/>
  <c r="E32" i="67"/>
  <c r="E35" i="67" s="1"/>
  <c r="C163" i="68" l="1"/>
  <c r="C165" i="68"/>
  <c r="C158" i="68"/>
  <c r="C167" i="68"/>
  <c r="E81" i="68"/>
  <c r="F54" i="68"/>
  <c r="G108" i="68" s="1"/>
  <c r="G110" i="68" s="1"/>
  <c r="C159" i="68"/>
  <c r="G51" i="68"/>
  <c r="C161" i="68"/>
  <c r="C166" i="68"/>
  <c r="C157" i="68"/>
  <c r="G47" i="68"/>
  <c r="G49" i="68" s="1"/>
  <c r="H85" i="68" s="1"/>
  <c r="C86" i="68" s="1"/>
  <c r="C156" i="68"/>
  <c r="C160" i="68"/>
  <c r="G48" i="68"/>
  <c r="C169" i="68" s="1"/>
  <c r="H107" i="70"/>
  <c r="H109" i="70" s="1"/>
  <c r="H116" i="70" s="1"/>
  <c r="G56" i="70"/>
  <c r="E56" i="70"/>
  <c r="I106" i="70"/>
  <c r="I105" i="70"/>
  <c r="G116" i="70"/>
  <c r="K22" i="64"/>
  <c r="K20" i="64"/>
  <c r="O23" i="52"/>
  <c r="N24" i="52" s="1"/>
  <c r="P23" i="52"/>
  <c r="H86" i="69"/>
  <c r="H88" i="69" s="1"/>
  <c r="H109" i="69" s="1"/>
  <c r="H81" i="69"/>
  <c r="I94" i="69"/>
  <c r="I91" i="69"/>
  <c r="I92" i="69"/>
  <c r="I93" i="69"/>
  <c r="D110" i="69"/>
  <c r="D111" i="69" s="1"/>
  <c r="D113" i="69" s="1"/>
  <c r="D100" i="69"/>
  <c r="G97" i="69"/>
  <c r="G110" i="69" s="1"/>
  <c r="H92" i="69"/>
  <c r="H93" i="69"/>
  <c r="H94" i="69"/>
  <c r="H95" i="69"/>
  <c r="H91" i="69"/>
  <c r="H96" i="69"/>
  <c r="E102" i="69"/>
  <c r="E66" i="69"/>
  <c r="G108" i="69"/>
  <c r="F111" i="69"/>
  <c r="F113" i="69" s="1"/>
  <c r="G88" i="69"/>
  <c r="G109" i="69" s="1"/>
  <c r="F100" i="69"/>
  <c r="H96" i="68"/>
  <c r="C97" i="68" s="1"/>
  <c r="E58" i="68"/>
  <c r="F89" i="68" s="1"/>
  <c r="G85" i="68"/>
  <c r="C172" i="68"/>
  <c r="C175" i="68"/>
  <c r="E40" i="67"/>
  <c r="E42" i="67"/>
  <c r="E48" i="67"/>
  <c r="E39" i="67"/>
  <c r="E33" i="67"/>
  <c r="F29" i="67" s="1"/>
  <c r="C168" i="68" l="1"/>
  <c r="F56" i="68"/>
  <c r="F57" i="68" s="1"/>
  <c r="F58" i="68" s="1"/>
  <c r="G89" i="68" s="1"/>
  <c r="C171" i="68"/>
  <c r="G54" i="68"/>
  <c r="H108" i="68" s="1"/>
  <c r="H110" i="68" s="1"/>
  <c r="C112" i="68" s="1"/>
  <c r="C178" i="68"/>
  <c r="C176" i="68"/>
  <c r="C181" i="68" s="1"/>
  <c r="C113" i="68" s="1"/>
  <c r="C179" i="68"/>
  <c r="C177" i="68"/>
  <c r="C173" i="68"/>
  <c r="C174" i="68"/>
  <c r="C170" i="68"/>
  <c r="I107" i="70"/>
  <c r="I109" i="70" s="1"/>
  <c r="I116" i="70" s="1"/>
  <c r="D57" i="70"/>
  <c r="O24" i="52"/>
  <c r="H97" i="69"/>
  <c r="H110" i="69" s="1"/>
  <c r="G100" i="69"/>
  <c r="I97" i="69"/>
  <c r="F102" i="69"/>
  <c r="F66" i="69"/>
  <c r="G111" i="69"/>
  <c r="H108" i="69"/>
  <c r="D102" i="69"/>
  <c r="D66" i="69"/>
  <c r="E116" i="69"/>
  <c r="E117" i="69" s="1"/>
  <c r="E135" i="69" s="1"/>
  <c r="E137" i="69" s="1"/>
  <c r="E68" i="69"/>
  <c r="F31" i="67"/>
  <c r="F32" i="67" s="1"/>
  <c r="F36" i="67"/>
  <c r="E49" i="67"/>
  <c r="E53" i="67" s="1"/>
  <c r="H100" i="69" l="1"/>
  <c r="G56" i="68"/>
  <c r="G57" i="68" s="1"/>
  <c r="G58" i="68" s="1"/>
  <c r="H89" i="68" s="1"/>
  <c r="C90" i="68" s="1"/>
  <c r="C91" i="68" s="1"/>
  <c r="H111" i="69"/>
  <c r="G57" i="70"/>
  <c r="E57" i="70"/>
  <c r="P24" i="52"/>
  <c r="P26" i="52" s="1"/>
  <c r="F68" i="69"/>
  <c r="F116" i="69"/>
  <c r="F117" i="69" s="1"/>
  <c r="F135" i="69" s="1"/>
  <c r="F137" i="69" s="1"/>
  <c r="I110" i="69"/>
  <c r="I111" i="69" s="1"/>
  <c r="I100" i="69"/>
  <c r="D68" i="69"/>
  <c r="D116" i="69"/>
  <c r="D117" i="69" s="1"/>
  <c r="G101" i="69"/>
  <c r="G112" i="69" s="1"/>
  <c r="G113" i="69" s="1"/>
  <c r="G102" i="69"/>
  <c r="G66" i="69"/>
  <c r="H101" i="69"/>
  <c r="H112" i="69" s="1"/>
  <c r="H66" i="69"/>
  <c r="H102" i="69"/>
  <c r="E50" i="67"/>
  <c r="F45" i="67" s="1"/>
  <c r="F47" i="67" s="1"/>
  <c r="F39" i="67"/>
  <c r="F48" i="67"/>
  <c r="F35" i="67"/>
  <c r="F40" i="67"/>
  <c r="F42" i="67"/>
  <c r="E56" i="67"/>
  <c r="E57" i="67"/>
  <c r="E59" i="67"/>
  <c r="E62" i="67" s="1"/>
  <c r="F33" i="67"/>
  <c r="G29" i="67" s="1"/>
  <c r="E52" i="67"/>
  <c r="H113" i="69" l="1"/>
  <c r="D58" i="70"/>
  <c r="E58" i="70" s="1"/>
  <c r="H116" i="69"/>
  <c r="H117" i="69" s="1"/>
  <c r="H135" i="69" s="1"/>
  <c r="H68" i="69"/>
  <c r="D135" i="69"/>
  <c r="D137" i="69" s="1"/>
  <c r="D121" i="69"/>
  <c r="C130" i="69" s="1"/>
  <c r="I101" i="69"/>
  <c r="I112" i="69" s="1"/>
  <c r="I113" i="69" s="1"/>
  <c r="I66" i="69"/>
  <c r="G68" i="69"/>
  <c r="G116" i="69"/>
  <c r="G117" i="69" s="1"/>
  <c r="G135" i="69" s="1"/>
  <c r="G137" i="69" s="1"/>
  <c r="G31" i="67"/>
  <c r="G36" i="67"/>
  <c r="G32" i="67"/>
  <c r="E66" i="67"/>
  <c r="E83" i="67" s="1"/>
  <c r="E65" i="67"/>
  <c r="E82" i="67" s="1"/>
  <c r="F49" i="67"/>
  <c r="F52" i="67" s="1"/>
  <c r="D59" i="70" l="1"/>
  <c r="G59" i="70" s="1"/>
  <c r="G58" i="70"/>
  <c r="I102" i="69"/>
  <c r="I68" i="69"/>
  <c r="I116" i="69"/>
  <c r="I117" i="69" s="1"/>
  <c r="G33" i="67"/>
  <c r="H29" i="67" s="1"/>
  <c r="H31" i="67" s="1"/>
  <c r="H32" i="67" s="1"/>
  <c r="E84" i="67"/>
  <c r="G39" i="67"/>
  <c r="G48" i="67"/>
  <c r="G35" i="67"/>
  <c r="G40" i="67"/>
  <c r="G42" i="67"/>
  <c r="E74" i="67"/>
  <c r="E75" i="67" s="1"/>
  <c r="F53" i="67"/>
  <c r="F50" i="67"/>
  <c r="G45" i="67" s="1"/>
  <c r="E59" i="70" l="1"/>
  <c r="H136" i="69"/>
  <c r="H137" i="69" s="1"/>
  <c r="E123" i="69"/>
  <c r="H36" i="67"/>
  <c r="H40" i="67" s="1"/>
  <c r="H48" i="67"/>
  <c r="H39" i="67"/>
  <c r="H35" i="67"/>
  <c r="H33" i="67"/>
  <c r="I29" i="67" s="1"/>
  <c r="G47" i="67"/>
  <c r="G49" i="67" s="1"/>
  <c r="F57" i="67"/>
  <c r="F56" i="67"/>
  <c r="F59" i="67"/>
  <c r="F62" i="67" s="1"/>
  <c r="D60" i="70" l="1"/>
  <c r="C152" i="69"/>
  <c r="C148" i="69"/>
  <c r="C140" i="69"/>
  <c r="C144" i="69"/>
  <c r="C146" i="69" s="1"/>
  <c r="H42" i="67"/>
  <c r="G53" i="67"/>
  <c r="G52" i="67"/>
  <c r="G50" i="67"/>
  <c r="H45" i="67" s="1"/>
  <c r="I31" i="67"/>
  <c r="I36" i="67" s="1"/>
  <c r="F65" i="67"/>
  <c r="F82" i="67" s="1"/>
  <c r="F66" i="67"/>
  <c r="F83" i="67" s="1"/>
  <c r="G60" i="70" l="1"/>
  <c r="E60" i="70"/>
  <c r="F74" i="67"/>
  <c r="F75" i="67" s="1"/>
  <c r="I32" i="67"/>
  <c r="I35" i="67" s="1"/>
  <c r="I39" i="67"/>
  <c r="I33" i="67"/>
  <c r="J29" i="67" s="1"/>
  <c r="H47" i="67"/>
  <c r="H49" i="67" s="1"/>
  <c r="F84" i="67"/>
  <c r="I40" i="67"/>
  <c r="I42" i="67"/>
  <c r="G56" i="67"/>
  <c r="G57" i="67"/>
  <c r="G59" i="67"/>
  <c r="G62" i="67" s="1"/>
  <c r="I48" i="67" l="1"/>
  <c r="D61" i="70"/>
  <c r="G61" i="70" s="1"/>
  <c r="H53" i="67"/>
  <c r="H52" i="67"/>
  <c r="H50" i="67"/>
  <c r="I45" i="67" s="1"/>
  <c r="J31" i="67"/>
  <c r="G65" i="67"/>
  <c r="G82" i="67" s="1"/>
  <c r="G66" i="67"/>
  <c r="G83" i="67" s="1"/>
  <c r="E61" i="70" l="1"/>
  <c r="J32" i="67"/>
  <c r="J33" i="67" s="1"/>
  <c r="J36" i="67"/>
  <c r="J42" i="67" s="1"/>
  <c r="G84" i="67"/>
  <c r="I47" i="67"/>
  <c r="I49" i="67"/>
  <c r="J40" i="67"/>
  <c r="G74" i="67"/>
  <c r="G75" i="67" s="1"/>
  <c r="H56" i="67"/>
  <c r="H57" i="67"/>
  <c r="H59" i="67"/>
  <c r="H62" i="67" s="1"/>
  <c r="I50" i="67" l="1"/>
  <c r="J45" i="67" s="1"/>
  <c r="D62" i="70"/>
  <c r="G62" i="70" s="1"/>
  <c r="J35" i="67"/>
  <c r="D35" i="67" s="1"/>
  <c r="J48" i="67"/>
  <c r="J39" i="67"/>
  <c r="J47" i="67"/>
  <c r="H66" i="67"/>
  <c r="H83" i="67" s="1"/>
  <c r="H65" i="67"/>
  <c r="H82" i="67" s="1"/>
  <c r="I53" i="67"/>
  <c r="I52" i="67"/>
  <c r="E62" i="70" l="1"/>
  <c r="D63" i="70" s="1"/>
  <c r="G63" i="70" s="1"/>
  <c r="J49" i="67"/>
  <c r="J52" i="67" s="1"/>
  <c r="D52" i="67" s="1"/>
  <c r="H84" i="67"/>
  <c r="H74" i="67"/>
  <c r="H75" i="67" s="1"/>
  <c r="I56" i="67"/>
  <c r="I57" i="67"/>
  <c r="I59" i="67"/>
  <c r="I62" i="67" s="1"/>
  <c r="J53" i="67" l="1"/>
  <c r="E63" i="70"/>
  <c r="J50" i="67"/>
  <c r="J57" i="67"/>
  <c r="J56" i="67"/>
  <c r="J59" i="67"/>
  <c r="J62" i="67" s="1"/>
  <c r="I66" i="67"/>
  <c r="I83" i="67" s="1"/>
  <c r="I65" i="67"/>
  <c r="I82" i="67" s="1"/>
  <c r="D64" i="70" l="1"/>
  <c r="G64" i="70" s="1"/>
  <c r="I74" i="67"/>
  <c r="I75" i="67" s="1"/>
  <c r="I84" i="67"/>
  <c r="J65" i="67"/>
  <c r="J74" i="67" s="1"/>
  <c r="J75" i="67" s="1"/>
  <c r="J66" i="67"/>
  <c r="J83" i="67" s="1"/>
  <c r="J82" i="67"/>
  <c r="E64" i="70" l="1"/>
  <c r="C77" i="67"/>
  <c r="C78" i="67"/>
  <c r="J84" i="67"/>
  <c r="C86" i="67" s="1"/>
  <c r="C87" i="67" l="1"/>
  <c r="D65" i="70"/>
  <c r="C63" i="66"/>
  <c r="C62" i="66"/>
  <c r="C54" i="66"/>
  <c r="C53" i="66"/>
  <c r="D43" i="66"/>
  <c r="E46" i="66" s="1"/>
  <c r="C39" i="66"/>
  <c r="C38" i="66"/>
  <c r="D28" i="66"/>
  <c r="E31" i="66" s="1"/>
  <c r="J24" i="66"/>
  <c r="I24" i="66"/>
  <c r="H24" i="66"/>
  <c r="G24" i="66"/>
  <c r="F24" i="66"/>
  <c r="J21" i="66"/>
  <c r="J70" i="66" s="1"/>
  <c r="I21" i="66"/>
  <c r="I70" i="66" s="1"/>
  <c r="H21" i="66"/>
  <c r="H70" i="66" s="1"/>
  <c r="G21" i="66"/>
  <c r="G70" i="66" s="1"/>
  <c r="F21" i="66"/>
  <c r="F70" i="66" s="1"/>
  <c r="J20" i="66"/>
  <c r="J78" i="66" s="1"/>
  <c r="I20" i="66"/>
  <c r="I78" i="66" s="1"/>
  <c r="H20" i="66"/>
  <c r="H22" i="66" s="1"/>
  <c r="H30" i="66" s="1"/>
  <c r="G20" i="66"/>
  <c r="G22" i="66" s="1"/>
  <c r="F20" i="66"/>
  <c r="F78" i="66" s="1"/>
  <c r="E18" i="66"/>
  <c r="E20" i="66" s="1"/>
  <c r="E78" i="66" s="1"/>
  <c r="H12" i="66"/>
  <c r="D12" i="66"/>
  <c r="H11" i="66"/>
  <c r="D11" i="66"/>
  <c r="H10" i="66"/>
  <c r="D6" i="66"/>
  <c r="E5" i="66"/>
  <c r="E4" i="66"/>
  <c r="D66" i="70" l="1"/>
  <c r="E65" i="70"/>
  <c r="F65" i="70" s="1"/>
  <c r="E24" i="66"/>
  <c r="E21" i="66"/>
  <c r="E70" i="66" s="1"/>
  <c r="D18" i="66"/>
  <c r="I22" i="66"/>
  <c r="I45" i="66" s="1"/>
  <c r="G78" i="66"/>
  <c r="J22" i="66"/>
  <c r="J30" i="66" s="1"/>
  <c r="H78" i="66"/>
  <c r="G45" i="66"/>
  <c r="G30" i="66"/>
  <c r="F22" i="66"/>
  <c r="H45" i="66"/>
  <c r="E22" i="66" l="1"/>
  <c r="D96" i="70"/>
  <c r="F46" i="70"/>
  <c r="G53" i="70" s="1"/>
  <c r="D94" i="70"/>
  <c r="C45" i="70"/>
  <c r="C43" i="70" s="1"/>
  <c r="G65" i="70"/>
  <c r="I30" i="66"/>
  <c r="J45" i="66"/>
  <c r="E45" i="66"/>
  <c r="E30" i="66"/>
  <c r="F30" i="66"/>
  <c r="F45" i="66"/>
  <c r="G67" i="70" l="1"/>
  <c r="C93" i="70"/>
  <c r="D123" i="70" s="1"/>
  <c r="D126" i="70" s="1"/>
  <c r="D127" i="70" s="1"/>
  <c r="C81" i="70"/>
  <c r="C82" i="70" s="1"/>
  <c r="C44" i="70"/>
  <c r="C46" i="70" s="1"/>
  <c r="E32" i="66"/>
  <c r="E34" i="66" s="1"/>
  <c r="E47" i="66"/>
  <c r="F120" i="70" l="1"/>
  <c r="E120" i="70"/>
  <c r="E121" i="70"/>
  <c r="I120" i="70"/>
  <c r="H120" i="70"/>
  <c r="G120" i="70"/>
  <c r="F38" i="70"/>
  <c r="F47" i="70" s="1"/>
  <c r="C47" i="70"/>
  <c r="F37" i="70" s="1"/>
  <c r="E33" i="66"/>
  <c r="F29" i="66" s="1"/>
  <c r="E50" i="66"/>
  <c r="E56" i="66"/>
  <c r="E59" i="66" s="1"/>
  <c r="F31" i="66"/>
  <c r="F32" i="66" s="1"/>
  <c r="E49" i="66"/>
  <c r="E48" i="66"/>
  <c r="F44" i="66" s="1"/>
  <c r="E39" i="66"/>
  <c r="E35" i="66"/>
  <c r="E38" i="66" s="1"/>
  <c r="E41" i="66"/>
  <c r="F121" i="70" l="1"/>
  <c r="G121" i="70" s="1"/>
  <c r="D133" i="70"/>
  <c r="F39" i="70"/>
  <c r="C138" i="70"/>
  <c r="I72" i="70"/>
  <c r="H72" i="70"/>
  <c r="C92" i="70"/>
  <c r="G72" i="70"/>
  <c r="F72" i="70"/>
  <c r="E72" i="70"/>
  <c r="H20" i="70"/>
  <c r="F33" i="66"/>
  <c r="G29" i="66" s="1"/>
  <c r="F46" i="66"/>
  <c r="F47" i="66" s="1"/>
  <c r="G31" i="66"/>
  <c r="G32" i="66" s="1"/>
  <c r="F41" i="66"/>
  <c r="F35" i="66"/>
  <c r="F38" i="66" s="1"/>
  <c r="F39" i="66"/>
  <c r="F34" i="66"/>
  <c r="E63" i="66"/>
  <c r="E62" i="66"/>
  <c r="E53" i="66"/>
  <c r="E71" i="66" s="1"/>
  <c r="E72" i="66" s="1"/>
  <c r="E54" i="66"/>
  <c r="E80" i="66" s="1"/>
  <c r="D134" i="70" l="1"/>
  <c r="G110" i="70"/>
  <c r="G111" i="70" s="1"/>
  <c r="H121" i="70"/>
  <c r="I121" i="70" s="1"/>
  <c r="F110" i="70"/>
  <c r="F111" i="70" s="1"/>
  <c r="I124" i="70"/>
  <c r="H124" i="70"/>
  <c r="G124" i="70"/>
  <c r="F124" i="70"/>
  <c r="E124" i="70"/>
  <c r="C95" i="70"/>
  <c r="C97" i="70" s="1"/>
  <c r="C111" i="70" s="1"/>
  <c r="D90" i="70"/>
  <c r="D95" i="70" s="1"/>
  <c r="D97" i="70" s="1"/>
  <c r="D111" i="70" s="1"/>
  <c r="H110" i="70"/>
  <c r="H111" i="70" s="1"/>
  <c r="E110" i="70"/>
  <c r="E111" i="70" s="1"/>
  <c r="I73" i="70"/>
  <c r="D135" i="70" s="1"/>
  <c r="H73" i="70"/>
  <c r="G73" i="70"/>
  <c r="F73" i="70"/>
  <c r="E73" i="70"/>
  <c r="E74" i="70" s="1"/>
  <c r="D73" i="70"/>
  <c r="I110" i="70"/>
  <c r="I111" i="70" s="1"/>
  <c r="E79" i="66"/>
  <c r="E81" i="66" s="1"/>
  <c r="F50" i="66"/>
  <c r="F56" i="66"/>
  <c r="F59" i="66" s="1"/>
  <c r="F49" i="66"/>
  <c r="G35" i="66"/>
  <c r="G38" i="66" s="1"/>
  <c r="G39" i="66"/>
  <c r="G41" i="66"/>
  <c r="G34" i="66"/>
  <c r="G33" i="66"/>
  <c r="H29" i="66" s="1"/>
  <c r="F48" i="66"/>
  <c r="G44" i="66" s="1"/>
  <c r="E136" i="70" l="1"/>
  <c r="I149" i="70" s="1"/>
  <c r="I74" i="70"/>
  <c r="I75" i="70" s="1"/>
  <c r="H74" i="70"/>
  <c r="H75" i="70" s="1"/>
  <c r="C139" i="70"/>
  <c r="D140" i="70" s="1"/>
  <c r="D142" i="70" s="1"/>
  <c r="E143" i="70" s="1"/>
  <c r="G74" i="70"/>
  <c r="G118" i="70" s="1"/>
  <c r="G126" i="70" s="1"/>
  <c r="G127" i="70" s="1"/>
  <c r="G129" i="70" s="1"/>
  <c r="G150" i="70" s="1"/>
  <c r="E118" i="70"/>
  <c r="E126" i="70" s="1"/>
  <c r="E127" i="70" s="1"/>
  <c r="E129" i="70" s="1"/>
  <c r="E150" i="70" s="1"/>
  <c r="E75" i="70"/>
  <c r="E149" i="70"/>
  <c r="G149" i="70"/>
  <c r="H149" i="70"/>
  <c r="F149" i="70"/>
  <c r="D149" i="70"/>
  <c r="D129" i="70"/>
  <c r="D150" i="70" s="1"/>
  <c r="H133" i="70"/>
  <c r="C129" i="70"/>
  <c r="C150" i="70" s="1"/>
  <c r="C149" i="70"/>
  <c r="F74" i="70"/>
  <c r="F62" i="66"/>
  <c r="F63" i="66"/>
  <c r="G46" i="66"/>
  <c r="G47" i="66" s="1"/>
  <c r="F54" i="66"/>
  <c r="F80" i="66" s="1"/>
  <c r="F53" i="66"/>
  <c r="H31" i="66"/>
  <c r="H32" i="66" s="1"/>
  <c r="D120" i="63"/>
  <c r="E144" i="70" l="1"/>
  <c r="I118" i="70"/>
  <c r="I126" i="70" s="1"/>
  <c r="I127" i="70" s="1"/>
  <c r="I129" i="70" s="1"/>
  <c r="G75" i="70"/>
  <c r="C152" i="70"/>
  <c r="H118" i="70"/>
  <c r="H126" i="70" s="1"/>
  <c r="H127" i="70" s="1"/>
  <c r="H129" i="70" s="1"/>
  <c r="H150" i="70" s="1"/>
  <c r="F118" i="70"/>
  <c r="F126" i="70" s="1"/>
  <c r="F127" i="70" s="1"/>
  <c r="F129" i="70" s="1"/>
  <c r="F150" i="70" s="1"/>
  <c r="F75" i="70"/>
  <c r="G50" i="66"/>
  <c r="G56" i="66"/>
  <c r="G59" i="66" s="1"/>
  <c r="G49" i="66"/>
  <c r="H39" i="66"/>
  <c r="H35" i="66"/>
  <c r="H38" i="66" s="1"/>
  <c r="H41" i="66"/>
  <c r="H34" i="66"/>
  <c r="H33" i="66"/>
  <c r="I29" i="66" s="1"/>
  <c r="G48" i="66"/>
  <c r="H44" i="66" s="1"/>
  <c r="F79" i="66"/>
  <c r="F81" i="66" s="1"/>
  <c r="F71" i="66"/>
  <c r="F72" i="66" s="1"/>
  <c r="D62" i="64"/>
  <c r="E62" i="64" s="1"/>
  <c r="E61" i="64"/>
  <c r="D50" i="64"/>
  <c r="D39" i="64"/>
  <c r="D41" i="64" s="1"/>
  <c r="D28" i="64"/>
  <c r="D17" i="64"/>
  <c r="E39" i="64" l="1"/>
  <c r="I150" i="70"/>
  <c r="C153" i="70" s="1"/>
  <c r="I31" i="66"/>
  <c r="G62" i="66"/>
  <c r="G63" i="66"/>
  <c r="H46" i="66"/>
  <c r="G53" i="66"/>
  <c r="G54" i="66"/>
  <c r="D63" i="64"/>
  <c r="D64" i="64" s="1"/>
  <c r="D19" i="64"/>
  <c r="E17" i="64"/>
  <c r="E63" i="64"/>
  <c r="E64" i="64" s="1"/>
  <c r="F62" i="64"/>
  <c r="D51" i="64"/>
  <c r="D52" i="64" s="1"/>
  <c r="E50" i="64"/>
  <c r="E41" i="64"/>
  <c r="F39" i="64"/>
  <c r="E28" i="64"/>
  <c r="D29" i="64"/>
  <c r="D30" i="64" s="1"/>
  <c r="F61" i="64"/>
  <c r="H47" i="66" l="1"/>
  <c r="H48" i="66" s="1"/>
  <c r="I44" i="66" s="1"/>
  <c r="G80" i="66"/>
  <c r="H50" i="66"/>
  <c r="H56" i="66"/>
  <c r="H59" i="66" s="1"/>
  <c r="G79" i="66"/>
  <c r="G81" i="66" s="1"/>
  <c r="G71" i="66"/>
  <c r="G72" i="66" s="1"/>
  <c r="I32" i="66"/>
  <c r="I33" i="66" s="1"/>
  <c r="J29" i="66" s="1"/>
  <c r="E19" i="64"/>
  <c r="F17" i="64"/>
  <c r="F63" i="64"/>
  <c r="F64" i="64" s="1"/>
  <c r="G62" i="64"/>
  <c r="E29" i="64"/>
  <c r="E30" i="64" s="1"/>
  <c r="F28" i="64"/>
  <c r="F41" i="64"/>
  <c r="G39" i="64"/>
  <c r="E51" i="64"/>
  <c r="E52" i="64" s="1"/>
  <c r="F50" i="64"/>
  <c r="G61" i="64"/>
  <c r="I46" i="66" l="1"/>
  <c r="I47" i="66" s="1"/>
  <c r="H49" i="66"/>
  <c r="J31" i="66"/>
  <c r="I39" i="66"/>
  <c r="I41" i="66"/>
  <c r="I35" i="66"/>
  <c r="I38" i="66" s="1"/>
  <c r="I34" i="66"/>
  <c r="H63" i="66"/>
  <c r="H62" i="66"/>
  <c r="H53" i="66"/>
  <c r="H54" i="66"/>
  <c r="H61" i="64"/>
  <c r="F51" i="64"/>
  <c r="F52" i="64" s="1"/>
  <c r="G50" i="64"/>
  <c r="F19" i="64"/>
  <c r="G17" i="64"/>
  <c r="F29" i="64"/>
  <c r="F30" i="64" s="1"/>
  <c r="G28" i="64"/>
  <c r="G63" i="64"/>
  <c r="G64" i="64" s="1"/>
  <c r="H62" i="64"/>
  <c r="H63" i="64" s="1"/>
  <c r="G41" i="64"/>
  <c r="H39" i="64"/>
  <c r="H41" i="64" s="1"/>
  <c r="C42" i="64" l="1"/>
  <c r="I50" i="66"/>
  <c r="I56" i="66"/>
  <c r="I59" i="66" s="1"/>
  <c r="I63" i="66" s="1"/>
  <c r="I49" i="66"/>
  <c r="H80" i="66"/>
  <c r="J32" i="66"/>
  <c r="J33" i="66" s="1"/>
  <c r="I48" i="66"/>
  <c r="J44" i="66" s="1"/>
  <c r="J46" i="66" s="1"/>
  <c r="J47" i="66" s="1"/>
  <c r="H71" i="66"/>
  <c r="H72" i="66" s="1"/>
  <c r="H79" i="66"/>
  <c r="H81" i="66" s="1"/>
  <c r="I62" i="66"/>
  <c r="I53" i="66"/>
  <c r="I54" i="66"/>
  <c r="C43" i="64"/>
  <c r="C44" i="64" s="1"/>
  <c r="H64" i="64"/>
  <c r="C66" i="64" s="1"/>
  <c r="C67" i="64" s="1"/>
  <c r="G19" i="64"/>
  <c r="H17" i="64"/>
  <c r="H19" i="64" s="1"/>
  <c r="C21" i="64" s="1"/>
  <c r="C22" i="64" s="1"/>
  <c r="G29" i="64"/>
  <c r="G30" i="64" s="1"/>
  <c r="H28" i="64"/>
  <c r="G51" i="64"/>
  <c r="G52" i="64" s="1"/>
  <c r="H50" i="64"/>
  <c r="J39" i="66" l="1"/>
  <c r="J50" i="66"/>
  <c r="J48" i="66"/>
  <c r="I71" i="66"/>
  <c r="I72" i="66" s="1"/>
  <c r="J34" i="66"/>
  <c r="D34" i="66" s="1"/>
  <c r="J49" i="66"/>
  <c r="D49" i="66" s="1"/>
  <c r="C20" i="64"/>
  <c r="I80" i="66"/>
  <c r="I81" i="66" s="1"/>
  <c r="J35" i="66"/>
  <c r="J38" i="66" s="1"/>
  <c r="J56" i="66"/>
  <c r="J59" i="66" s="1"/>
  <c r="J62" i="66" s="1"/>
  <c r="I79" i="66"/>
  <c r="J41" i="66"/>
  <c r="J54" i="66"/>
  <c r="J53" i="66"/>
  <c r="C65" i="64"/>
  <c r="H51" i="64"/>
  <c r="H52" i="64" s="1"/>
  <c r="H29" i="64"/>
  <c r="H30" i="64" s="1"/>
  <c r="J80" i="66" l="1"/>
  <c r="J63" i="66"/>
  <c r="J71" i="66"/>
  <c r="J72" i="66" s="1"/>
  <c r="C74" i="66" s="1"/>
  <c r="J79" i="66"/>
  <c r="C31" i="64"/>
  <c r="C32" i="64"/>
  <c r="C33" i="64" s="1"/>
  <c r="C53" i="64"/>
  <c r="C54" i="64"/>
  <c r="C55" i="64" s="1"/>
  <c r="J81" i="66" l="1"/>
  <c r="C75" i="66"/>
  <c r="C83" i="66"/>
  <c r="C84" i="66"/>
  <c r="D44" i="14"/>
  <c r="D32" i="14"/>
  <c r="I34" i="14"/>
  <c r="D35" i="14"/>
  <c r="F31" i="14"/>
  <c r="G31" i="14" s="1"/>
  <c r="H31" i="14" s="1"/>
  <c r="I31" i="14" s="1"/>
  <c r="C134" i="63" l="1"/>
  <c r="C137" i="63" s="1"/>
  <c r="E133" i="63"/>
  <c r="F133" i="63" s="1"/>
  <c r="G133" i="63"/>
  <c r="H133" i="63" s="1"/>
  <c r="I79" i="63"/>
  <c r="H77" i="63"/>
  <c r="G74" i="63"/>
  <c r="H74" i="63" s="1"/>
  <c r="E34" i="63"/>
  <c r="F34" i="63" s="1"/>
  <c r="G34" i="63"/>
  <c r="H34" i="63" s="1"/>
  <c r="I34" i="63" s="1"/>
  <c r="F112" i="63"/>
  <c r="E112" i="63"/>
  <c r="D112" i="63"/>
  <c r="E107" i="63"/>
  <c r="F107" i="63" s="1"/>
  <c r="G107" i="63" s="1"/>
  <c r="H107" i="63" s="1"/>
  <c r="I107" i="63" s="1"/>
  <c r="E72" i="63"/>
  <c r="F72" i="63" s="1"/>
  <c r="G72" i="63" s="1"/>
  <c r="H72" i="63" s="1"/>
  <c r="I72" i="63" s="1"/>
  <c r="D61" i="63"/>
  <c r="E61" i="63" s="1"/>
  <c r="F61" i="63" s="1"/>
  <c r="G61" i="63" s="1"/>
  <c r="H61" i="63" s="1"/>
  <c r="I61" i="63" s="1"/>
  <c r="D60" i="63"/>
  <c r="E60" i="63" s="1"/>
  <c r="F60" i="63" s="1"/>
  <c r="G60" i="63" s="1"/>
  <c r="H60" i="63" s="1"/>
  <c r="I60" i="63" s="1"/>
  <c r="D59" i="63"/>
  <c r="E59" i="63" s="1"/>
  <c r="F59" i="63" s="1"/>
  <c r="G59" i="63" s="1"/>
  <c r="H59" i="63" s="1"/>
  <c r="I59" i="63" s="1"/>
  <c r="D58" i="63"/>
  <c r="E58" i="63" s="1"/>
  <c r="F58" i="63" s="1"/>
  <c r="G58" i="63" s="1"/>
  <c r="H58" i="63" s="1"/>
  <c r="I58" i="63" s="1"/>
  <c r="D57" i="63"/>
  <c r="E55" i="63"/>
  <c r="F55" i="63" s="1"/>
  <c r="G55" i="63" s="1"/>
  <c r="H55" i="63" s="1"/>
  <c r="I55" i="63" s="1"/>
  <c r="F49" i="63"/>
  <c r="D46" i="63"/>
  <c r="E44" i="63"/>
  <c r="E43" i="63"/>
  <c r="E42" i="63"/>
  <c r="E41" i="63"/>
  <c r="E40" i="63"/>
  <c r="C30" i="63"/>
  <c r="E28" i="63"/>
  <c r="E26" i="63"/>
  <c r="D77" i="63" s="1"/>
  <c r="E23" i="63"/>
  <c r="D74" i="63" s="1"/>
  <c r="I77" i="63"/>
  <c r="D49" i="62"/>
  <c r="D52" i="62" s="1"/>
  <c r="H80" i="62"/>
  <c r="D73" i="62"/>
  <c r="E64" i="62"/>
  <c r="D64" i="62"/>
  <c r="E63" i="62"/>
  <c r="D63" i="62"/>
  <c r="E61" i="62"/>
  <c r="D61" i="62"/>
  <c r="E60" i="62"/>
  <c r="D60" i="62"/>
  <c r="E59" i="62"/>
  <c r="D59" i="62"/>
  <c r="E58" i="62"/>
  <c r="D58" i="62"/>
  <c r="E57" i="62"/>
  <c r="D57" i="62"/>
  <c r="D50" i="62"/>
  <c r="E46" i="62"/>
  <c r="F63" i="62" s="1"/>
  <c r="D11" i="62"/>
  <c r="D53" i="62"/>
  <c r="C21" i="36"/>
  <c r="F17" i="5"/>
  <c r="E8" i="60"/>
  <c r="E7" i="60"/>
  <c r="C80" i="22"/>
  <c r="E52" i="13"/>
  <c r="F52" i="13" s="1"/>
  <c r="G52" i="13" s="1"/>
  <c r="H52" i="13" s="1"/>
  <c r="I52" i="13" s="1"/>
  <c r="L22" i="10"/>
  <c r="H12" i="32"/>
  <c r="E29" i="61"/>
  <c r="E28" i="61"/>
  <c r="E27" i="61"/>
  <c r="E9" i="61"/>
  <c r="E8" i="61"/>
  <c r="E7" i="61"/>
  <c r="E19" i="61"/>
  <c r="E18" i="61"/>
  <c r="E17" i="61"/>
  <c r="D48" i="12"/>
  <c r="D80" i="30"/>
  <c r="C135" i="15"/>
  <c r="M57" i="32"/>
  <c r="E56" i="32"/>
  <c r="E35" i="32"/>
  <c r="E76" i="32"/>
  <c r="F94" i="32" s="1"/>
  <c r="M56" i="32"/>
  <c r="E55" i="32"/>
  <c r="E34" i="32"/>
  <c r="E75" i="32"/>
  <c r="C9" i="30"/>
  <c r="C26" i="30" s="1"/>
  <c r="F26" i="30" s="1"/>
  <c r="C19" i="60"/>
  <c r="C22" i="60" s="1"/>
  <c r="D22" i="60"/>
  <c r="E22" i="60"/>
  <c r="F22" i="60"/>
  <c r="G22" i="60"/>
  <c r="H22" i="60"/>
  <c r="D27" i="60"/>
  <c r="D29" i="60" s="1"/>
  <c r="E27" i="60"/>
  <c r="E29" i="60" s="1"/>
  <c r="E30" i="60" s="1"/>
  <c r="F27" i="60"/>
  <c r="G27" i="60"/>
  <c r="G29" i="60" s="1"/>
  <c r="G30" i="60" s="1"/>
  <c r="H27" i="60"/>
  <c r="H41" i="60"/>
  <c r="H43" i="60" s="1"/>
  <c r="D44" i="60"/>
  <c r="D47" i="60" s="1"/>
  <c r="D49" i="60" s="1"/>
  <c r="E44" i="60"/>
  <c r="E47" i="60" s="1"/>
  <c r="E49" i="60" s="1"/>
  <c r="F44" i="60"/>
  <c r="F47" i="60" s="1"/>
  <c r="F49" i="60" s="1"/>
  <c r="G44" i="60"/>
  <c r="G47" i="60" s="1"/>
  <c r="C59" i="60"/>
  <c r="C62" i="60" s="1"/>
  <c r="C69" i="60"/>
  <c r="C72" i="60"/>
  <c r="C12" i="15"/>
  <c r="C41" i="15" s="1"/>
  <c r="C22" i="10"/>
  <c r="L112" i="30"/>
  <c r="L111" i="30"/>
  <c r="H32" i="23"/>
  <c r="G32" i="23"/>
  <c r="F32" i="23"/>
  <c r="E32" i="23"/>
  <c r="C123" i="15"/>
  <c r="C122" i="15"/>
  <c r="C121" i="15"/>
  <c r="C111" i="15"/>
  <c r="C113" i="15"/>
  <c r="C112" i="15"/>
  <c r="C82" i="15"/>
  <c r="C83" i="15" s="1"/>
  <c r="E27" i="11"/>
  <c r="G27" i="11"/>
  <c r="I27" i="11"/>
  <c r="E25" i="11"/>
  <c r="G25" i="11"/>
  <c r="I25" i="11"/>
  <c r="E24" i="11"/>
  <c r="G24" i="11"/>
  <c r="I24" i="11"/>
  <c r="C24" i="11"/>
  <c r="C27" i="11"/>
  <c r="C25" i="11"/>
  <c r="H137" i="32"/>
  <c r="D35" i="31"/>
  <c r="L99" i="30"/>
  <c r="O87" i="30"/>
  <c r="N96" i="30"/>
  <c r="N95" i="30"/>
  <c r="N93" i="30"/>
  <c r="N92" i="30"/>
  <c r="N71" i="30"/>
  <c r="N70" i="30"/>
  <c r="N74" i="30"/>
  <c r="C28" i="30"/>
  <c r="C54" i="28"/>
  <c r="G54" i="28" s="1"/>
  <c r="L122" i="29"/>
  <c r="L116" i="29"/>
  <c r="L121" i="29"/>
  <c r="G32" i="29"/>
  <c r="F122" i="28"/>
  <c r="G122" i="28"/>
  <c r="H122" i="28"/>
  <c r="I122" i="28"/>
  <c r="E122" i="28"/>
  <c r="D20" i="20"/>
  <c r="C26" i="20" s="1"/>
  <c r="D12" i="20"/>
  <c r="D13" i="20"/>
  <c r="D14" i="20"/>
  <c r="D15" i="20"/>
  <c r="D11" i="20"/>
  <c r="D16" i="20" s="1"/>
  <c r="C25" i="20" s="1"/>
  <c r="L24" i="10"/>
  <c r="K15" i="43"/>
  <c r="C74" i="59"/>
  <c r="D72" i="59"/>
  <c r="E72" i="59" s="1"/>
  <c r="F72" i="59" s="1"/>
  <c r="G72" i="59" s="1"/>
  <c r="H72" i="59" s="1"/>
  <c r="I72" i="59" s="1"/>
  <c r="J72" i="59" s="1"/>
  <c r="K72" i="59" s="1"/>
  <c r="L72" i="59" s="1"/>
  <c r="M72" i="59" s="1"/>
  <c r="N72" i="59" s="1"/>
  <c r="O72" i="59" s="1"/>
  <c r="P72" i="59" s="1"/>
  <c r="Q72" i="59" s="1"/>
  <c r="R72" i="59" s="1"/>
  <c r="J49" i="59"/>
  <c r="D49" i="59"/>
  <c r="E45" i="59"/>
  <c r="D37" i="59"/>
  <c r="E37" i="59" s="1"/>
  <c r="C33" i="59"/>
  <c r="D33" i="59" s="1"/>
  <c r="D30" i="59"/>
  <c r="C30" i="59"/>
  <c r="C31" i="59" s="1"/>
  <c r="C17" i="59"/>
  <c r="D36" i="59" s="1"/>
  <c r="B8" i="57"/>
  <c r="B10" i="57" s="1"/>
  <c r="B28" i="57" s="1"/>
  <c r="B31" i="57"/>
  <c r="B6" i="56"/>
  <c r="B10" i="56"/>
  <c r="C23" i="56"/>
  <c r="D23" i="56" s="1"/>
  <c r="E23" i="56" s="1"/>
  <c r="F23" i="56" s="1"/>
  <c r="G23" i="56" s="1"/>
  <c r="B24" i="56"/>
  <c r="B35" i="56" s="1"/>
  <c r="B36" i="56"/>
  <c r="B46" i="56"/>
  <c r="B49" i="56"/>
  <c r="B3" i="55"/>
  <c r="C3" i="55" s="1"/>
  <c r="D3" i="55" s="1"/>
  <c r="E3" i="55" s="1"/>
  <c r="F3" i="55" s="1"/>
  <c r="H3" i="55"/>
  <c r="I3" i="55" s="1"/>
  <c r="J3" i="55" s="1"/>
  <c r="K3" i="55" s="1"/>
  <c r="L3" i="55" s="1"/>
  <c r="M3" i="55" s="1"/>
  <c r="N3" i="55" s="1"/>
  <c r="O3" i="55" s="1"/>
  <c r="P3" i="55" s="1"/>
  <c r="AA4" i="55"/>
  <c r="AF4" i="55" s="1"/>
  <c r="AB4" i="55"/>
  <c r="AG4" i="55"/>
  <c r="D6" i="55"/>
  <c r="O6" i="55" s="1"/>
  <c r="AA6" i="55" s="1"/>
  <c r="AB6" i="55"/>
  <c r="E6" i="55"/>
  <c r="K6" i="55"/>
  <c r="AG6" i="55" s="1"/>
  <c r="AH6" i="55" s="1"/>
  <c r="AI6" i="55" s="1"/>
  <c r="AF6" i="55"/>
  <c r="S6" i="55"/>
  <c r="X6" i="55"/>
  <c r="AK6" i="55"/>
  <c r="AL6" i="55" s="1"/>
  <c r="A7" i="55"/>
  <c r="A8" i="55"/>
  <c r="A9" i="55" s="1"/>
  <c r="A10" i="55" s="1"/>
  <c r="A11" i="55" s="1"/>
  <c r="A12" i="55" s="1"/>
  <c r="A13" i="55" s="1"/>
  <c r="A14" i="55" s="1"/>
  <c r="A15" i="55" s="1"/>
  <c r="A16" i="55" s="1"/>
  <c r="A17" i="55" s="1"/>
  <c r="A18" i="55" s="1"/>
  <c r="A19" i="55" s="1"/>
  <c r="A20" i="55" s="1"/>
  <c r="A21" i="55" s="1"/>
  <c r="A22" i="55" s="1"/>
  <c r="A23" i="55" s="1"/>
  <c r="A24" i="55" s="1"/>
  <c r="A25" i="55" s="1"/>
  <c r="A29" i="55" s="1"/>
  <c r="A30" i="55" s="1"/>
  <c r="A31" i="55" s="1"/>
  <c r="A32" i="55" s="1"/>
  <c r="A33" i="55" s="1"/>
  <c r="A34" i="55" s="1"/>
  <c r="A35" i="55" s="1"/>
  <c r="A36" i="55" s="1"/>
  <c r="A37" i="55" s="1"/>
  <c r="A38" i="55" s="1"/>
  <c r="B7" i="55"/>
  <c r="B8" i="55" s="1"/>
  <c r="B9" i="55" s="1"/>
  <c r="E9" i="55" s="1"/>
  <c r="G7" i="55"/>
  <c r="S7" i="55" s="1"/>
  <c r="L7" i="55"/>
  <c r="L8" i="55" s="1"/>
  <c r="L9" i="55" s="1"/>
  <c r="L10" i="55" s="1"/>
  <c r="L11" i="55" s="1"/>
  <c r="L12" i="55" s="1"/>
  <c r="L13" i="55" s="1"/>
  <c r="L14" i="55" s="1"/>
  <c r="L15" i="55" s="1"/>
  <c r="L16" i="55" s="1"/>
  <c r="L17" i="55" s="1"/>
  <c r="L18" i="55" s="1"/>
  <c r="L19" i="55" s="1"/>
  <c r="L20" i="55" s="1"/>
  <c r="L21" i="55" s="1"/>
  <c r="L22" i="55" s="1"/>
  <c r="L23" i="55" s="1"/>
  <c r="L24" i="55" s="1"/>
  <c r="L25" i="55" s="1"/>
  <c r="M7" i="55"/>
  <c r="U7" i="55"/>
  <c r="U8" i="55" s="1"/>
  <c r="U9" i="55" s="1"/>
  <c r="W7" i="55"/>
  <c r="W8" i="55" s="1"/>
  <c r="AE7" i="55"/>
  <c r="AE8" i="55" s="1"/>
  <c r="AE9" i="55" s="1"/>
  <c r="AE10" i="55" s="1"/>
  <c r="AE11" i="55" s="1"/>
  <c r="AE12" i="55" s="1"/>
  <c r="AE13" i="55" s="1"/>
  <c r="AE14" i="55" s="1"/>
  <c r="AE15" i="55" s="1"/>
  <c r="AE16" i="55" s="1"/>
  <c r="AE17" i="55" s="1"/>
  <c r="AE18" i="55" s="1"/>
  <c r="AE19" i="55" s="1"/>
  <c r="AE20" i="55" s="1"/>
  <c r="AE21" i="55" s="1"/>
  <c r="AE22" i="55" s="1"/>
  <c r="AE23" i="55" s="1"/>
  <c r="AE24" i="55" s="1"/>
  <c r="AE25" i="55" s="1"/>
  <c r="AK7" i="55"/>
  <c r="AL7" i="55" s="1"/>
  <c r="AK8" i="55"/>
  <c r="AL8" i="55" s="1"/>
  <c r="AK9" i="55"/>
  <c r="AL9" i="55" s="1"/>
  <c r="AK10" i="55"/>
  <c r="AL10" i="55" s="1"/>
  <c r="AK11" i="55"/>
  <c r="AL11" i="55" s="1"/>
  <c r="AK12" i="55"/>
  <c r="AL12" i="55" s="1"/>
  <c r="AK13" i="55"/>
  <c r="AL13" i="55" s="1"/>
  <c r="AK14" i="55"/>
  <c r="AL14" i="55" s="1"/>
  <c r="AK15" i="55"/>
  <c r="AL15" i="55" s="1"/>
  <c r="AK16" i="55"/>
  <c r="AL16" i="55" s="1"/>
  <c r="AK17" i="55"/>
  <c r="AL17" i="55" s="1"/>
  <c r="AK18" i="55"/>
  <c r="AL18" i="55" s="1"/>
  <c r="AK19" i="55"/>
  <c r="AL19" i="55" s="1"/>
  <c r="AK20" i="55"/>
  <c r="AL20" i="55" s="1"/>
  <c r="AK21" i="55"/>
  <c r="AL21" i="55" s="1"/>
  <c r="AK22" i="55"/>
  <c r="AL22" i="55" s="1"/>
  <c r="AK23" i="55"/>
  <c r="AL23" i="55" s="1"/>
  <c r="AK24" i="55"/>
  <c r="AL24" i="55" s="1"/>
  <c r="AK25" i="55"/>
  <c r="AL25" i="55" s="1"/>
  <c r="I26" i="55"/>
  <c r="V26" i="55"/>
  <c r="R30" i="55"/>
  <c r="R31" i="55" s="1"/>
  <c r="R32" i="55" s="1"/>
  <c r="R33" i="55" s="1"/>
  <c r="R34" i="55" s="1"/>
  <c r="R35" i="55" s="1"/>
  <c r="R36" i="55" s="1"/>
  <c r="R37" i="55" s="1"/>
  <c r="R38" i="55" s="1"/>
  <c r="H19" i="52"/>
  <c r="C32" i="52" s="1"/>
  <c r="D20" i="52"/>
  <c r="E20" i="52" s="1"/>
  <c r="F20" i="52" s="1"/>
  <c r="B21" i="52"/>
  <c r="B22" i="52" s="1"/>
  <c r="B23" i="52" s="1"/>
  <c r="B24" i="52" s="1"/>
  <c r="D21" i="52"/>
  <c r="D22" i="52"/>
  <c r="D23" i="52"/>
  <c r="D24" i="52"/>
  <c r="B33" i="52"/>
  <c r="B34" i="52" s="1"/>
  <c r="B35" i="52" s="1"/>
  <c r="B36" i="52" s="1"/>
  <c r="B37" i="52" s="1"/>
  <c r="B38" i="52" s="1"/>
  <c r="B39" i="52" s="1"/>
  <c r="B40" i="52" s="1"/>
  <c r="B41" i="52" s="1"/>
  <c r="B42" i="52" s="1"/>
  <c r="B43" i="52" s="1"/>
  <c r="B44" i="52" s="1"/>
  <c r="B45" i="52" s="1"/>
  <c r="B46" i="52" s="1"/>
  <c r="B47" i="52" s="1"/>
  <c r="B48" i="52" s="1"/>
  <c r="B49" i="52" s="1"/>
  <c r="B50" i="52" s="1"/>
  <c r="B51" i="52" s="1"/>
  <c r="B52" i="52" s="1"/>
  <c r="B53" i="52" s="1"/>
  <c r="B54" i="52" s="1"/>
  <c r="B55" i="52" s="1"/>
  <c r="B56" i="52" s="1"/>
  <c r="B57" i="52" s="1"/>
  <c r="B58" i="52" s="1"/>
  <c r="B59" i="52" s="1"/>
  <c r="B60" i="52" s="1"/>
  <c r="B61" i="52" s="1"/>
  <c r="B62" i="52" s="1"/>
  <c r="B63" i="52" s="1"/>
  <c r="B64" i="52" s="1"/>
  <c r="B65" i="52" s="1"/>
  <c r="B66" i="52" s="1"/>
  <c r="B67" i="52" s="1"/>
  <c r="B68" i="52" s="1"/>
  <c r="B69" i="52" s="1"/>
  <c r="B70" i="52" s="1"/>
  <c r="B71" i="52" s="1"/>
  <c r="B72" i="52" s="1"/>
  <c r="B73" i="52" s="1"/>
  <c r="B74" i="52" s="1"/>
  <c r="B75" i="52" s="1"/>
  <c r="B76" i="52" s="1"/>
  <c r="B77" i="52" s="1"/>
  <c r="B78" i="52" s="1"/>
  <c r="B79" i="52" s="1"/>
  <c r="B80" i="52" s="1"/>
  <c r="B81" i="52" s="1"/>
  <c r="B82" i="52" s="1"/>
  <c r="B83" i="52" s="1"/>
  <c r="B84" i="52" s="1"/>
  <c r="B85" i="52" s="1"/>
  <c r="B86" i="52" s="1"/>
  <c r="B87" i="52" s="1"/>
  <c r="B88" i="52" s="1"/>
  <c r="B89" i="52" s="1"/>
  <c r="B90" i="52" s="1"/>
  <c r="B91" i="52" s="1"/>
  <c r="B92" i="52" s="1"/>
  <c r="K19" i="51"/>
  <c r="J25" i="51" s="1"/>
  <c r="D11" i="51"/>
  <c r="D12" i="51"/>
  <c r="K12" i="51"/>
  <c r="I49" i="51" s="1"/>
  <c r="J68" i="51" s="1"/>
  <c r="K13" i="51"/>
  <c r="D17" i="51"/>
  <c r="C26" i="51" s="1"/>
  <c r="C27" i="51" s="1"/>
  <c r="L28" i="51"/>
  <c r="D32" i="51"/>
  <c r="D40" i="51"/>
  <c r="E40" i="51" s="1"/>
  <c r="F40" i="51" s="1"/>
  <c r="G40" i="51" s="1"/>
  <c r="I40" i="51" s="1"/>
  <c r="J40" i="51" s="1"/>
  <c r="K40" i="51" s="1"/>
  <c r="L40" i="51" s="1"/>
  <c r="M40" i="51" s="1"/>
  <c r="D41" i="51"/>
  <c r="D42" i="51" s="1"/>
  <c r="D43" i="51" s="1"/>
  <c r="D47" i="51" s="1"/>
  <c r="C42" i="51"/>
  <c r="C43" i="51" s="1"/>
  <c r="C47" i="51" s="1"/>
  <c r="J49" i="51"/>
  <c r="L49" i="51"/>
  <c r="E59" i="51"/>
  <c r="L59" i="51"/>
  <c r="L60" i="51" s="1"/>
  <c r="K65" i="51" s="1"/>
  <c r="E60" i="51"/>
  <c r="D65" i="51" s="1"/>
  <c r="D64" i="51"/>
  <c r="C67" i="51"/>
  <c r="J67" i="51"/>
  <c r="K69" i="51" s="1"/>
  <c r="D76" i="51"/>
  <c r="E76" i="51" s="1"/>
  <c r="F76" i="51" s="1"/>
  <c r="G76" i="51" s="1"/>
  <c r="H76" i="51" s="1"/>
  <c r="J76" i="51" s="1"/>
  <c r="K76" i="51" s="1"/>
  <c r="L76" i="51" s="1"/>
  <c r="M76" i="51" s="1"/>
  <c r="N76" i="51" s="1"/>
  <c r="C29" i="50"/>
  <c r="C88" i="50" s="1"/>
  <c r="C30" i="50"/>
  <c r="C31" i="50" s="1"/>
  <c r="E33" i="50"/>
  <c r="D36" i="50"/>
  <c r="E36" i="50" s="1"/>
  <c r="C44" i="50"/>
  <c r="C51" i="50" s="1"/>
  <c r="C46" i="50"/>
  <c r="D46" i="50"/>
  <c r="E46" i="50"/>
  <c r="F46" i="50"/>
  <c r="G46" i="50"/>
  <c r="C53" i="50"/>
  <c r="C74" i="50" s="1"/>
  <c r="D53" i="50"/>
  <c r="E53" i="50"/>
  <c r="F53" i="50"/>
  <c r="G53" i="50"/>
  <c r="C55" i="50"/>
  <c r="D55" i="50"/>
  <c r="E55" i="50"/>
  <c r="F55" i="50"/>
  <c r="G55" i="50"/>
  <c r="E62" i="50"/>
  <c r="E63" i="50" s="1"/>
  <c r="D70" i="50" s="1"/>
  <c r="D69" i="50"/>
  <c r="C73" i="50"/>
  <c r="C95" i="50"/>
  <c r="C99" i="50"/>
  <c r="Q9" i="49"/>
  <c r="Q10" i="49" s="1"/>
  <c r="Q11" i="49" s="1"/>
  <c r="Q12" i="49" s="1"/>
  <c r="Q13" i="49" s="1"/>
  <c r="Q14" i="49" s="1"/>
  <c r="Q15" i="49" s="1"/>
  <c r="Q16" i="49" s="1"/>
  <c r="Q17" i="49" s="1"/>
  <c r="Q18" i="49" s="1"/>
  <c r="Q19" i="49" s="1"/>
  <c r="Q20" i="49" s="1"/>
  <c r="Q21" i="49" s="1"/>
  <c r="Q22" i="49" s="1"/>
  <c r="Q23" i="49" s="1"/>
  <c r="Q24" i="49" s="1"/>
  <c r="Q25" i="49" s="1"/>
  <c r="Q26" i="49" s="1"/>
  <c r="Q27" i="49" s="1"/>
  <c r="Q28" i="49" s="1"/>
  <c r="Q29" i="49" s="1"/>
  <c r="Q30" i="49" s="1"/>
  <c r="Q31" i="49" s="1"/>
  <c r="Q32" i="49" s="1"/>
  <c r="Q33" i="49" s="1"/>
  <c r="Q34" i="49" s="1"/>
  <c r="Q35" i="49" s="1"/>
  <c r="Q36" i="49" s="1"/>
  <c r="Q37" i="49" s="1"/>
  <c r="P38" i="49"/>
  <c r="O9" i="49"/>
  <c r="O10" i="49"/>
  <c r="O11" i="49" s="1"/>
  <c r="O12" i="49" s="1"/>
  <c r="O13" i="49" s="1"/>
  <c r="O14" i="49" s="1"/>
  <c r="O15" i="49" s="1"/>
  <c r="O16" i="49" s="1"/>
  <c r="O17" i="49" s="1"/>
  <c r="O18" i="49" s="1"/>
  <c r="O19" i="49" s="1"/>
  <c r="O20" i="49" s="1"/>
  <c r="O21" i="49" s="1"/>
  <c r="O22" i="49" s="1"/>
  <c r="O23" i="49" s="1"/>
  <c r="O24" i="49" s="1"/>
  <c r="O25" i="49" s="1"/>
  <c r="O26" i="49" s="1"/>
  <c r="O27" i="49" s="1"/>
  <c r="O28" i="49" s="1"/>
  <c r="O29" i="49" s="1"/>
  <c r="O30" i="49" s="1"/>
  <c r="O31" i="49" s="1"/>
  <c r="O32" i="49" s="1"/>
  <c r="O33" i="49" s="1"/>
  <c r="O34" i="49" s="1"/>
  <c r="O35" i="49" s="1"/>
  <c r="O36" i="49" s="1"/>
  <c r="O37" i="49" s="1"/>
  <c r="O38" i="49" s="1"/>
  <c r="C372" i="49"/>
  <c r="C373" i="49" s="1"/>
  <c r="C374" i="49" s="1"/>
  <c r="C375" i="49" s="1"/>
  <c r="C376" i="49" s="1"/>
  <c r="C377" i="49" s="1"/>
  <c r="C378" i="49" s="1"/>
  <c r="C379" i="49" s="1"/>
  <c r="C380" i="49" s="1"/>
  <c r="C381" i="49" s="1"/>
  <c r="C382" i="49" s="1"/>
  <c r="C360" i="49"/>
  <c r="C361" i="49" s="1"/>
  <c r="C362" i="49" s="1"/>
  <c r="C363" i="49" s="1"/>
  <c r="C364" i="49" s="1"/>
  <c r="C365" i="49" s="1"/>
  <c r="C366" i="49" s="1"/>
  <c r="C367" i="49" s="1"/>
  <c r="C368" i="49" s="1"/>
  <c r="C369" i="49" s="1"/>
  <c r="C370" i="49" s="1"/>
  <c r="B95" i="49"/>
  <c r="B107" i="49"/>
  <c r="B119" i="49" s="1"/>
  <c r="B131" i="49" s="1"/>
  <c r="B143" i="49" s="1"/>
  <c r="B155" i="49" s="1"/>
  <c r="B167" i="49" s="1"/>
  <c r="B179" i="49" s="1"/>
  <c r="B191" i="49" s="1"/>
  <c r="B203" i="49" s="1"/>
  <c r="B215" i="49" s="1"/>
  <c r="B227" i="49" s="1"/>
  <c r="B239" i="49" s="1"/>
  <c r="B251" i="49" s="1"/>
  <c r="B263" i="49" s="1"/>
  <c r="B275" i="49" s="1"/>
  <c r="B287" i="49" s="1"/>
  <c r="B299" i="49" s="1"/>
  <c r="B311" i="49" s="1"/>
  <c r="B323" i="49" s="1"/>
  <c r="B335" i="49" s="1"/>
  <c r="B347" i="49" s="1"/>
  <c r="B359" i="49" s="1"/>
  <c r="B371" i="49" s="1"/>
  <c r="B383" i="49" s="1"/>
  <c r="C348" i="49"/>
  <c r="C349" i="49" s="1"/>
  <c r="C350" i="49"/>
  <c r="C351" i="49" s="1"/>
  <c r="C352" i="49" s="1"/>
  <c r="C353" i="49" s="1"/>
  <c r="C354" i="49" s="1"/>
  <c r="C355" i="49" s="1"/>
  <c r="C356" i="49" s="1"/>
  <c r="C357" i="49" s="1"/>
  <c r="C358" i="49" s="1"/>
  <c r="C336" i="49"/>
  <c r="C337" i="49" s="1"/>
  <c r="C338" i="49" s="1"/>
  <c r="C339" i="49" s="1"/>
  <c r="C340" i="49" s="1"/>
  <c r="C341" i="49" s="1"/>
  <c r="C342" i="49" s="1"/>
  <c r="C343" i="49" s="1"/>
  <c r="C344" i="49" s="1"/>
  <c r="C345" i="49" s="1"/>
  <c r="C346" i="49" s="1"/>
  <c r="C324" i="49"/>
  <c r="C325" i="49" s="1"/>
  <c r="C326" i="49" s="1"/>
  <c r="C327" i="49" s="1"/>
  <c r="C328" i="49" s="1"/>
  <c r="C329" i="49" s="1"/>
  <c r="C330" i="49" s="1"/>
  <c r="C331" i="49" s="1"/>
  <c r="C332" i="49" s="1"/>
  <c r="C333" i="49" s="1"/>
  <c r="C334" i="49" s="1"/>
  <c r="C312" i="49"/>
  <c r="C313" i="49"/>
  <c r="C314" i="49" s="1"/>
  <c r="C315" i="49" s="1"/>
  <c r="C316" i="49" s="1"/>
  <c r="C317" i="49" s="1"/>
  <c r="C318" i="49" s="1"/>
  <c r="C319" i="49" s="1"/>
  <c r="C320" i="49" s="1"/>
  <c r="C321" i="49" s="1"/>
  <c r="C322" i="49" s="1"/>
  <c r="C300" i="49"/>
  <c r="C301" i="49" s="1"/>
  <c r="C302" i="49"/>
  <c r="C303" i="49" s="1"/>
  <c r="C304" i="49" s="1"/>
  <c r="C305" i="49" s="1"/>
  <c r="C306" i="49" s="1"/>
  <c r="C307" i="49" s="1"/>
  <c r="C308" i="49" s="1"/>
  <c r="C309" i="49" s="1"/>
  <c r="C310" i="49" s="1"/>
  <c r="C288" i="49"/>
  <c r="C289" i="49"/>
  <c r="C290" i="49" s="1"/>
  <c r="C291" i="49" s="1"/>
  <c r="C292" i="49" s="1"/>
  <c r="C293" i="49" s="1"/>
  <c r="C294" i="49" s="1"/>
  <c r="C295" i="49" s="1"/>
  <c r="C296" i="49" s="1"/>
  <c r="C297" i="49" s="1"/>
  <c r="C298" i="49" s="1"/>
  <c r="C276" i="49"/>
  <c r="C277" i="49" s="1"/>
  <c r="C278" i="49" s="1"/>
  <c r="C279" i="49" s="1"/>
  <c r="C280" i="49" s="1"/>
  <c r="C281" i="49" s="1"/>
  <c r="C282" i="49" s="1"/>
  <c r="C283" i="49" s="1"/>
  <c r="C284" i="49" s="1"/>
  <c r="C285" i="49" s="1"/>
  <c r="C286" i="49" s="1"/>
  <c r="C264" i="49"/>
  <c r="C265" i="49" s="1"/>
  <c r="C266" i="49" s="1"/>
  <c r="C267" i="49" s="1"/>
  <c r="C268" i="49" s="1"/>
  <c r="C269" i="49" s="1"/>
  <c r="C270" i="49" s="1"/>
  <c r="C271" i="49" s="1"/>
  <c r="C272" i="49" s="1"/>
  <c r="C273" i="49" s="1"/>
  <c r="C274" i="49" s="1"/>
  <c r="C252" i="49"/>
  <c r="C253" i="49" s="1"/>
  <c r="C254" i="49" s="1"/>
  <c r="C255" i="49" s="1"/>
  <c r="C256" i="49" s="1"/>
  <c r="C257" i="49" s="1"/>
  <c r="C258" i="49" s="1"/>
  <c r="C259" i="49" s="1"/>
  <c r="C260" i="49" s="1"/>
  <c r="C261" i="49" s="1"/>
  <c r="C262" i="49" s="1"/>
  <c r="C240" i="49"/>
  <c r="C241" i="49" s="1"/>
  <c r="C242" i="49" s="1"/>
  <c r="C243" i="49" s="1"/>
  <c r="C244" i="49" s="1"/>
  <c r="C245" i="49" s="1"/>
  <c r="C246" i="49" s="1"/>
  <c r="C247" i="49" s="1"/>
  <c r="C248" i="49" s="1"/>
  <c r="C249" i="49" s="1"/>
  <c r="C250" i="49" s="1"/>
  <c r="C228" i="49"/>
  <c r="C229" i="49" s="1"/>
  <c r="C230" i="49" s="1"/>
  <c r="C231" i="49" s="1"/>
  <c r="C232" i="49" s="1"/>
  <c r="C233" i="49" s="1"/>
  <c r="C234" i="49" s="1"/>
  <c r="C235" i="49"/>
  <c r="C236" i="49" s="1"/>
  <c r="C237" i="49" s="1"/>
  <c r="C238" i="49" s="1"/>
  <c r="C216" i="49"/>
  <c r="C217" i="49" s="1"/>
  <c r="C218" i="49" s="1"/>
  <c r="C219" i="49" s="1"/>
  <c r="C220" i="49" s="1"/>
  <c r="C221" i="49" s="1"/>
  <c r="C222" i="49" s="1"/>
  <c r="C223" i="49" s="1"/>
  <c r="C224" i="49" s="1"/>
  <c r="C225" i="49" s="1"/>
  <c r="C226" i="49" s="1"/>
  <c r="C204" i="49"/>
  <c r="C205" i="49" s="1"/>
  <c r="C206" i="49" s="1"/>
  <c r="C207" i="49" s="1"/>
  <c r="C208" i="49" s="1"/>
  <c r="C209" i="49" s="1"/>
  <c r="C210" i="49" s="1"/>
  <c r="C211" i="49" s="1"/>
  <c r="C212" i="49" s="1"/>
  <c r="C213" i="49" s="1"/>
  <c r="C214" i="49" s="1"/>
  <c r="C192" i="49"/>
  <c r="C193" i="49"/>
  <c r="C194" i="49" s="1"/>
  <c r="C195" i="49" s="1"/>
  <c r="C196" i="49" s="1"/>
  <c r="C197" i="49" s="1"/>
  <c r="C198" i="49" s="1"/>
  <c r="C199" i="49" s="1"/>
  <c r="C200" i="49" s="1"/>
  <c r="C201" i="49" s="1"/>
  <c r="C202" i="49" s="1"/>
  <c r="C180" i="49"/>
  <c r="C181" i="49" s="1"/>
  <c r="C182" i="49" s="1"/>
  <c r="C183" i="49"/>
  <c r="C184" i="49" s="1"/>
  <c r="C185" i="49" s="1"/>
  <c r="C186" i="49" s="1"/>
  <c r="C187" i="49" s="1"/>
  <c r="C188" i="49" s="1"/>
  <c r="C189" i="49" s="1"/>
  <c r="C190" i="49" s="1"/>
  <c r="C168" i="49"/>
  <c r="C169" i="49"/>
  <c r="C170" i="49" s="1"/>
  <c r="C171" i="49" s="1"/>
  <c r="C172" i="49" s="1"/>
  <c r="C173" i="49" s="1"/>
  <c r="C174" i="49" s="1"/>
  <c r="C175" i="49" s="1"/>
  <c r="C176" i="49" s="1"/>
  <c r="C177" i="49" s="1"/>
  <c r="C178" i="49" s="1"/>
  <c r="C156" i="49"/>
  <c r="C157" i="49" s="1"/>
  <c r="C158" i="49" s="1"/>
  <c r="C159" i="49" s="1"/>
  <c r="C160" i="49" s="1"/>
  <c r="C161" i="49" s="1"/>
  <c r="C162" i="49" s="1"/>
  <c r="C163" i="49" s="1"/>
  <c r="C164" i="49" s="1"/>
  <c r="C165" i="49" s="1"/>
  <c r="C166" i="49" s="1"/>
  <c r="C144" i="49"/>
  <c r="C145" i="49" s="1"/>
  <c r="C146" i="49" s="1"/>
  <c r="C147" i="49" s="1"/>
  <c r="C148" i="49" s="1"/>
  <c r="C149" i="49" s="1"/>
  <c r="C150" i="49" s="1"/>
  <c r="C151" i="49" s="1"/>
  <c r="C152" i="49" s="1"/>
  <c r="C153" i="49" s="1"/>
  <c r="C154" i="49" s="1"/>
  <c r="C132" i="49"/>
  <c r="C133" i="49" s="1"/>
  <c r="C134" i="49" s="1"/>
  <c r="C135" i="49" s="1"/>
  <c r="C136" i="49" s="1"/>
  <c r="C137" i="49" s="1"/>
  <c r="C138" i="49" s="1"/>
  <c r="C139" i="49" s="1"/>
  <c r="C140" i="49" s="1"/>
  <c r="C141" i="49" s="1"/>
  <c r="C142" i="49" s="1"/>
  <c r="C120" i="49"/>
  <c r="C121" i="49" s="1"/>
  <c r="C122" i="49" s="1"/>
  <c r="C123" i="49" s="1"/>
  <c r="C124" i="49" s="1"/>
  <c r="C125" i="49" s="1"/>
  <c r="C126" i="49" s="1"/>
  <c r="C127" i="49" s="1"/>
  <c r="C128" i="49" s="1"/>
  <c r="C129" i="49" s="1"/>
  <c r="C130" i="49" s="1"/>
  <c r="C108" i="49"/>
  <c r="C109" i="49"/>
  <c r="C110" i="49" s="1"/>
  <c r="C111" i="49" s="1"/>
  <c r="C112" i="49" s="1"/>
  <c r="C113" i="49" s="1"/>
  <c r="C114" i="49" s="1"/>
  <c r="C115" i="49" s="1"/>
  <c r="C116" i="49" s="1"/>
  <c r="C117" i="49" s="1"/>
  <c r="C118" i="49" s="1"/>
  <c r="C96" i="49"/>
  <c r="C97" i="49" s="1"/>
  <c r="C98" i="49" s="1"/>
  <c r="C99" i="49" s="1"/>
  <c r="C100" i="49" s="1"/>
  <c r="C101" i="49" s="1"/>
  <c r="C102" i="49" s="1"/>
  <c r="C103" i="49" s="1"/>
  <c r="C104" i="49" s="1"/>
  <c r="C105" i="49" s="1"/>
  <c r="C106" i="49" s="1"/>
  <c r="C84" i="49"/>
  <c r="C85" i="49" s="1"/>
  <c r="C86" i="49" s="1"/>
  <c r="C87" i="49" s="1"/>
  <c r="C88" i="49" s="1"/>
  <c r="C89" i="49" s="1"/>
  <c r="C90" i="49" s="1"/>
  <c r="C91" i="49" s="1"/>
  <c r="C92" i="49" s="1"/>
  <c r="C93" i="49" s="1"/>
  <c r="C94" i="49" s="1"/>
  <c r="F14" i="49"/>
  <c r="F15" i="49"/>
  <c r="F16" i="49" s="1"/>
  <c r="J22" i="49"/>
  <c r="D23" i="49"/>
  <c r="F23" i="49"/>
  <c r="F24" i="49" s="1"/>
  <c r="C24" i="49"/>
  <c r="C25" i="49" s="1"/>
  <c r="C26" i="49" s="1"/>
  <c r="C27" i="49" s="1"/>
  <c r="C28" i="49" s="1"/>
  <c r="C29" i="49" s="1"/>
  <c r="C30" i="49" s="1"/>
  <c r="C31" i="49" s="1"/>
  <c r="C32" i="49" s="1"/>
  <c r="C33" i="49" s="1"/>
  <c r="C34" i="49" s="1"/>
  <c r="C36" i="49"/>
  <c r="C37" i="49" s="1"/>
  <c r="C38" i="49" s="1"/>
  <c r="C39" i="49" s="1"/>
  <c r="C40" i="49" s="1"/>
  <c r="C41" i="49" s="1"/>
  <c r="C42" i="49" s="1"/>
  <c r="C43" i="49" s="1"/>
  <c r="C44" i="49" s="1"/>
  <c r="C45" i="49" s="1"/>
  <c r="C46" i="49" s="1"/>
  <c r="C48" i="49"/>
  <c r="C49" i="49" s="1"/>
  <c r="C50" i="49" s="1"/>
  <c r="C51" i="49" s="1"/>
  <c r="C52" i="49" s="1"/>
  <c r="C53" i="49" s="1"/>
  <c r="C54" i="49" s="1"/>
  <c r="C55" i="49" s="1"/>
  <c r="C56" i="49" s="1"/>
  <c r="C57" i="49" s="1"/>
  <c r="C58" i="49" s="1"/>
  <c r="C60" i="49"/>
  <c r="C61" i="49" s="1"/>
  <c r="C62" i="49" s="1"/>
  <c r="C63" i="49" s="1"/>
  <c r="C64" i="49" s="1"/>
  <c r="C65" i="49" s="1"/>
  <c r="C66" i="49" s="1"/>
  <c r="C67" i="49" s="1"/>
  <c r="C68" i="49" s="1"/>
  <c r="C69" i="49" s="1"/>
  <c r="C70" i="49" s="1"/>
  <c r="C72" i="49"/>
  <c r="C73" i="49" s="1"/>
  <c r="C74" i="49" s="1"/>
  <c r="C75" i="49" s="1"/>
  <c r="C76" i="49" s="1"/>
  <c r="C77" i="49" s="1"/>
  <c r="C78" i="49" s="1"/>
  <c r="C79" i="49" s="1"/>
  <c r="C80" i="49" s="1"/>
  <c r="C81" i="49" s="1"/>
  <c r="C82" i="49" s="1"/>
  <c r="F14" i="48"/>
  <c r="J22" i="48"/>
  <c r="D23" i="48"/>
  <c r="F23" i="48"/>
  <c r="C24" i="48"/>
  <c r="C25" i="48" s="1"/>
  <c r="C26" i="48" s="1"/>
  <c r="C27" i="48" s="1"/>
  <c r="C28" i="48" s="1"/>
  <c r="C29" i="48" s="1"/>
  <c r="C30" i="48" s="1"/>
  <c r="C31" i="48" s="1"/>
  <c r="C32" i="48" s="1"/>
  <c r="C33" i="48" s="1"/>
  <c r="C34" i="48" s="1"/>
  <c r="C36" i="48"/>
  <c r="C37" i="48" s="1"/>
  <c r="C38" i="48" s="1"/>
  <c r="C39" i="48" s="1"/>
  <c r="C40" i="48" s="1"/>
  <c r="C41" i="48" s="1"/>
  <c r="C42" i="48" s="1"/>
  <c r="C43" i="48" s="1"/>
  <c r="C44" i="48" s="1"/>
  <c r="C45" i="48" s="1"/>
  <c r="C46" i="48" s="1"/>
  <c r="C48" i="48"/>
  <c r="C49" i="48"/>
  <c r="C50" i="48"/>
  <c r="C51" i="48" s="1"/>
  <c r="C52" i="48" s="1"/>
  <c r="C53" i="48" s="1"/>
  <c r="C54" i="48" s="1"/>
  <c r="C55" i="48" s="1"/>
  <c r="C56" i="48" s="1"/>
  <c r="C57" i="48" s="1"/>
  <c r="C58" i="48" s="1"/>
  <c r="C60" i="48"/>
  <c r="C61" i="48" s="1"/>
  <c r="C62" i="48" s="1"/>
  <c r="C63" i="48" s="1"/>
  <c r="C64" i="48" s="1"/>
  <c r="C65" i="48" s="1"/>
  <c r="C66" i="48" s="1"/>
  <c r="C67" i="48" s="1"/>
  <c r="C68" i="48" s="1"/>
  <c r="C69" i="48" s="1"/>
  <c r="C70" i="48" s="1"/>
  <c r="C72" i="48"/>
  <c r="C73" i="48" s="1"/>
  <c r="C74" i="48" s="1"/>
  <c r="C75" i="48" s="1"/>
  <c r="C76" i="48" s="1"/>
  <c r="C77" i="48" s="1"/>
  <c r="C78" i="48" s="1"/>
  <c r="C79" i="48" s="1"/>
  <c r="C80" i="48" s="1"/>
  <c r="C81" i="48" s="1"/>
  <c r="C82" i="48" s="1"/>
  <c r="D137" i="46"/>
  <c r="D138" i="46" s="1"/>
  <c r="D139" i="46" s="1"/>
  <c r="D140" i="46" s="1"/>
  <c r="D141" i="46" s="1"/>
  <c r="D142" i="46" s="1"/>
  <c r="F57" i="46"/>
  <c r="C67" i="46" s="1"/>
  <c r="E67" i="46" s="1"/>
  <c r="E84" i="46" s="1"/>
  <c r="B68" i="46"/>
  <c r="B69" i="46" s="1"/>
  <c r="B70" i="46" s="1"/>
  <c r="B71" i="46" s="1"/>
  <c r="B72" i="46" s="1"/>
  <c r="B73" i="46" s="1"/>
  <c r="B74" i="46" s="1"/>
  <c r="B75" i="46" s="1"/>
  <c r="B76" i="46" s="1"/>
  <c r="D122" i="46"/>
  <c r="D123" i="46" s="1"/>
  <c r="D124" i="46" s="1"/>
  <c r="D125" i="46" s="1"/>
  <c r="D126" i="46" s="1"/>
  <c r="D127" i="46" s="1"/>
  <c r="D128" i="46" s="1"/>
  <c r="D129" i="46" s="1"/>
  <c r="D130" i="46" s="1"/>
  <c r="D109" i="46"/>
  <c r="D110" i="46" s="1"/>
  <c r="D111" i="46" s="1"/>
  <c r="D112" i="46" s="1"/>
  <c r="D113" i="46" s="1"/>
  <c r="D114" i="46" s="1"/>
  <c r="G100" i="46"/>
  <c r="D85" i="46"/>
  <c r="D86" i="46" s="1"/>
  <c r="D87" i="46" s="1"/>
  <c r="D88" i="46" s="1"/>
  <c r="D89" i="46" s="1"/>
  <c r="D90" i="46" s="1"/>
  <c r="D91" i="46" s="1"/>
  <c r="D92" i="46" s="1"/>
  <c r="D93" i="46" s="1"/>
  <c r="F59" i="46"/>
  <c r="F58" i="46"/>
  <c r="C17" i="46"/>
  <c r="E17" i="46" s="1"/>
  <c r="E34" i="46" s="1"/>
  <c r="B18" i="46"/>
  <c r="B19" i="46" s="1"/>
  <c r="B20" i="46" s="1"/>
  <c r="D35" i="46"/>
  <c r="D36" i="46" s="1"/>
  <c r="D37" i="46" s="1"/>
  <c r="D38" i="46"/>
  <c r="D39" i="46" s="1"/>
  <c r="D40" i="46" s="1"/>
  <c r="D41" i="46" s="1"/>
  <c r="D42" i="46" s="1"/>
  <c r="D43" i="46" s="1"/>
  <c r="D11" i="46"/>
  <c r="G53" i="40"/>
  <c r="G54" i="40"/>
  <c r="B55" i="40"/>
  <c r="G33" i="40"/>
  <c r="H33" i="40" s="1"/>
  <c r="F34" i="40"/>
  <c r="G34" i="40" s="1"/>
  <c r="B35" i="40"/>
  <c r="G28" i="40"/>
  <c r="H28" i="40" s="1"/>
  <c r="C30" i="40" s="1"/>
  <c r="F15" i="40"/>
  <c r="G15" i="40" s="1"/>
  <c r="G14" i="40"/>
  <c r="H14" i="40" s="1"/>
  <c r="G10" i="40"/>
  <c r="H10" i="40" s="1"/>
  <c r="B16" i="40"/>
  <c r="G48" i="40"/>
  <c r="H48" i="40" s="1"/>
  <c r="C50" i="40" s="1"/>
  <c r="F55" i="40"/>
  <c r="D53" i="40"/>
  <c r="D54" i="40"/>
  <c r="D48" i="40"/>
  <c r="F35" i="40"/>
  <c r="D33" i="40"/>
  <c r="D34" i="40"/>
  <c r="D28" i="40"/>
  <c r="F16" i="40"/>
  <c r="D14" i="40"/>
  <c r="D15" i="40"/>
  <c r="D16" i="40" s="1"/>
  <c r="G36" i="38"/>
  <c r="H36" i="38" s="1"/>
  <c r="F37" i="38"/>
  <c r="G37" i="38" s="1"/>
  <c r="D36" i="38"/>
  <c r="D37" i="38"/>
  <c r="F38" i="38"/>
  <c r="B38" i="38"/>
  <c r="G23" i="38"/>
  <c r="F24" i="38"/>
  <c r="G24" i="38"/>
  <c r="H24" i="38" s="1"/>
  <c r="D23" i="38"/>
  <c r="D24" i="38"/>
  <c r="F25" i="38"/>
  <c r="B25" i="38"/>
  <c r="C80" i="39"/>
  <c r="C83" i="39" s="1"/>
  <c r="C81" i="39"/>
  <c r="C73" i="39"/>
  <c r="C84" i="39" s="1"/>
  <c r="C59" i="39"/>
  <c r="C62" i="39" s="1"/>
  <c r="C60" i="39"/>
  <c r="C52" i="39"/>
  <c r="C63" i="39" s="1"/>
  <c r="C38" i="39"/>
  <c r="C41" i="39" s="1"/>
  <c r="C39" i="39"/>
  <c r="C31" i="39"/>
  <c r="C42" i="39" s="1"/>
  <c r="C18" i="39"/>
  <c r="C17" i="39"/>
  <c r="C20" i="39" s="1"/>
  <c r="C82" i="32"/>
  <c r="F125" i="32" s="1"/>
  <c r="C60" i="32"/>
  <c r="C11" i="36"/>
  <c r="C23" i="36" s="1"/>
  <c r="D14" i="44"/>
  <c r="D23" i="44"/>
  <c r="J32" i="44"/>
  <c r="K32" i="44"/>
  <c r="L32" i="44"/>
  <c r="C33" i="44"/>
  <c r="D33" i="44"/>
  <c r="J33" i="44" s="1"/>
  <c r="E33" i="44"/>
  <c r="K33" i="44" s="1"/>
  <c r="B34" i="44"/>
  <c r="D34" i="44" s="1"/>
  <c r="J57" i="44"/>
  <c r="K57" i="44"/>
  <c r="L57" i="44"/>
  <c r="C58" i="44"/>
  <c r="D58" i="44"/>
  <c r="J58" i="44" s="1"/>
  <c r="E58" i="44"/>
  <c r="K58" i="44" s="1"/>
  <c r="B59" i="44"/>
  <c r="C59" i="44" s="1"/>
  <c r="B75" i="44"/>
  <c r="G10" i="43"/>
  <c r="L10" i="43"/>
  <c r="B11" i="43"/>
  <c r="B12" i="43"/>
  <c r="B13" i="43" s="1"/>
  <c r="B14" i="43" s="1"/>
  <c r="B15" i="43" s="1"/>
  <c r="G11" i="43"/>
  <c r="H11" i="43"/>
  <c r="D23" i="43" s="1"/>
  <c r="I11" i="43"/>
  <c r="J11" i="43" s="1"/>
  <c r="L11" i="43" s="1"/>
  <c r="G12" i="43"/>
  <c r="H12" i="43"/>
  <c r="I12" i="43" s="1"/>
  <c r="G13" i="43"/>
  <c r="H13" i="43"/>
  <c r="I13" i="43" s="1"/>
  <c r="F25" i="43" s="1"/>
  <c r="G14" i="43"/>
  <c r="H14" i="43"/>
  <c r="I14" i="43" s="1"/>
  <c r="F26" i="43" s="1"/>
  <c r="G15" i="43"/>
  <c r="H15" i="43"/>
  <c r="D27" i="43" s="1"/>
  <c r="M15" i="43"/>
  <c r="N15" i="43" s="1"/>
  <c r="N22" i="43"/>
  <c r="C23" i="43"/>
  <c r="B24" i="43"/>
  <c r="B25" i="43" s="1"/>
  <c r="B26" i="43" s="1"/>
  <c r="B27" i="43" s="1"/>
  <c r="C24" i="43"/>
  <c r="J24" i="43"/>
  <c r="J25" i="43" s="1"/>
  <c r="J26" i="43" s="1"/>
  <c r="J27" i="43" s="1"/>
  <c r="C25" i="43"/>
  <c r="C26" i="43"/>
  <c r="C27" i="43"/>
  <c r="L27" i="43"/>
  <c r="M27" i="43" s="1"/>
  <c r="B35" i="43"/>
  <c r="B36" i="43" s="1"/>
  <c r="B37" i="43" s="1"/>
  <c r="B38" i="43" s="1"/>
  <c r="D10" i="40"/>
  <c r="G10" i="38"/>
  <c r="H10" i="38" s="1"/>
  <c r="F11" i="38"/>
  <c r="G11" i="38" s="1"/>
  <c r="D10" i="38"/>
  <c r="D11" i="38"/>
  <c r="F12" i="38"/>
  <c r="B12" i="38"/>
  <c r="C10" i="39"/>
  <c r="C21" i="39" s="1"/>
  <c r="C22" i="39" s="1"/>
  <c r="C24" i="39" s="1"/>
  <c r="C10" i="36"/>
  <c r="C22" i="36" s="1"/>
  <c r="E46" i="12"/>
  <c r="F64" i="12" s="1"/>
  <c r="D50" i="12"/>
  <c r="E50" i="12" s="1"/>
  <c r="F50" i="12" s="1"/>
  <c r="G50" i="12" s="1"/>
  <c r="H50" i="12" s="1"/>
  <c r="I50" i="12" s="1"/>
  <c r="H80" i="12"/>
  <c r="D49" i="12"/>
  <c r="D57" i="12"/>
  <c r="D58" i="12"/>
  <c r="D59" i="12"/>
  <c r="D60" i="12"/>
  <c r="D61" i="12"/>
  <c r="D63" i="12"/>
  <c r="D64" i="12"/>
  <c r="D73" i="12"/>
  <c r="E57" i="12"/>
  <c r="E58" i="12"/>
  <c r="E59" i="12"/>
  <c r="E60" i="12"/>
  <c r="E61" i="12"/>
  <c r="E63" i="12"/>
  <c r="E64" i="12"/>
  <c r="D11" i="12"/>
  <c r="E19" i="21"/>
  <c r="E68" i="21" s="1"/>
  <c r="E28" i="21"/>
  <c r="F28" i="21" s="1"/>
  <c r="D56" i="21"/>
  <c r="D77" i="21"/>
  <c r="E77" i="21" s="1"/>
  <c r="F77" i="21" s="1"/>
  <c r="G77" i="21" s="1"/>
  <c r="H77" i="21" s="1"/>
  <c r="I77" i="21" s="1"/>
  <c r="D65" i="21"/>
  <c r="E65" i="21" s="1"/>
  <c r="F65" i="21" s="1"/>
  <c r="G65" i="21" s="1"/>
  <c r="H65" i="21" s="1"/>
  <c r="I65" i="21" s="1"/>
  <c r="D53" i="21"/>
  <c r="E53" i="21" s="1"/>
  <c r="F53" i="21" s="1"/>
  <c r="G53" i="21" s="1"/>
  <c r="H53" i="21" s="1"/>
  <c r="C55" i="21"/>
  <c r="D57" i="21" s="1"/>
  <c r="D80" i="21"/>
  <c r="D68" i="21"/>
  <c r="D26" i="21"/>
  <c r="E26" i="21" s="1"/>
  <c r="F26" i="21" s="1"/>
  <c r="G26" i="21" s="1"/>
  <c r="H26" i="21" s="1"/>
  <c r="I26" i="21" s="1"/>
  <c r="D8" i="21"/>
  <c r="E8" i="21" s="1"/>
  <c r="F8" i="21" s="1"/>
  <c r="G8" i="21" s="1"/>
  <c r="H8" i="21" s="1"/>
  <c r="I8" i="21" s="1"/>
  <c r="D17" i="21"/>
  <c r="E17" i="21" s="1"/>
  <c r="F17" i="21" s="1"/>
  <c r="G17" i="21" s="1"/>
  <c r="H17" i="21" s="1"/>
  <c r="I17" i="21" s="1"/>
  <c r="E10" i="21"/>
  <c r="E12" i="21" s="1"/>
  <c r="D12" i="21"/>
  <c r="C12" i="21"/>
  <c r="D21" i="21"/>
  <c r="C21" i="21"/>
  <c r="D30" i="21"/>
  <c r="C30" i="21"/>
  <c r="D27" i="10"/>
  <c r="E27" i="10" s="1"/>
  <c r="F27" i="10" s="1"/>
  <c r="D43" i="10"/>
  <c r="D42" i="10"/>
  <c r="D35" i="10"/>
  <c r="E24" i="10"/>
  <c r="C23" i="15"/>
  <c r="D139" i="15" s="1"/>
  <c r="C24" i="15"/>
  <c r="D30" i="15"/>
  <c r="E30" i="15" s="1"/>
  <c r="D57" i="15"/>
  <c r="C63" i="15"/>
  <c r="D108" i="15"/>
  <c r="D107" i="15"/>
  <c r="E26" i="15"/>
  <c r="E23" i="13"/>
  <c r="D71" i="13" s="1"/>
  <c r="D81" i="13" s="1"/>
  <c r="E24" i="13"/>
  <c r="E25" i="13"/>
  <c r="E26" i="13"/>
  <c r="D74" i="13" s="1"/>
  <c r="E27" i="13"/>
  <c r="E30" i="13" s="1"/>
  <c r="E28" i="13"/>
  <c r="D76" i="13" s="1"/>
  <c r="D83" i="13" s="1"/>
  <c r="D54" i="13"/>
  <c r="D55" i="13"/>
  <c r="E55" i="13" s="1"/>
  <c r="F55" i="13" s="1"/>
  <c r="G55" i="13" s="1"/>
  <c r="H55" i="13" s="1"/>
  <c r="I55" i="13" s="1"/>
  <c r="D56" i="13"/>
  <c r="E56" i="13" s="1"/>
  <c r="D57" i="13"/>
  <c r="E57" i="13"/>
  <c r="F57" i="13" s="1"/>
  <c r="G57" i="13" s="1"/>
  <c r="H57" i="13" s="1"/>
  <c r="I57" i="13" s="1"/>
  <c r="D58" i="13"/>
  <c r="E58" i="13" s="1"/>
  <c r="F58" i="13" s="1"/>
  <c r="G58" i="13" s="1"/>
  <c r="H58" i="13" s="1"/>
  <c r="I58" i="13" s="1"/>
  <c r="C30" i="13"/>
  <c r="D109" i="13"/>
  <c r="F46" i="13"/>
  <c r="E69" i="13"/>
  <c r="F69" i="13" s="1"/>
  <c r="G69" i="13" s="1"/>
  <c r="G71" i="13" s="1"/>
  <c r="E109" i="13"/>
  <c r="F109" i="13"/>
  <c r="I20" i="14"/>
  <c r="F17" i="14"/>
  <c r="G17" i="14" s="1"/>
  <c r="H17" i="14" s="1"/>
  <c r="I17" i="14" s="1"/>
  <c r="E104" i="13"/>
  <c r="F104" i="13" s="1"/>
  <c r="G104" i="13" s="1"/>
  <c r="H104" i="13" s="1"/>
  <c r="I104" i="13" s="1"/>
  <c r="E37" i="13"/>
  <c r="E38" i="13"/>
  <c r="E39" i="13"/>
  <c r="E40" i="13"/>
  <c r="E41" i="13"/>
  <c r="D43" i="13"/>
  <c r="C21" i="19"/>
  <c r="C66" i="19"/>
  <c r="F13" i="19"/>
  <c r="C49" i="19" s="1"/>
  <c r="D32" i="19"/>
  <c r="E32" i="19" s="1"/>
  <c r="C26" i="19"/>
  <c r="C28" i="19" s="1"/>
  <c r="C40" i="19"/>
  <c r="D40" i="19" s="1"/>
  <c r="D47" i="19" s="1"/>
  <c r="C25" i="19"/>
  <c r="D49" i="19"/>
  <c r="C92" i="19"/>
  <c r="C88" i="19"/>
  <c r="E29" i="19"/>
  <c r="C28" i="18"/>
  <c r="C106" i="18" s="1"/>
  <c r="C22" i="18"/>
  <c r="C42" i="18"/>
  <c r="C46" i="18" s="1"/>
  <c r="C52" i="18" s="1"/>
  <c r="F10" i="18"/>
  <c r="F51" i="18" s="1"/>
  <c r="C71" i="18"/>
  <c r="C93" i="18"/>
  <c r="C97" i="18"/>
  <c r="D34" i="18"/>
  <c r="E34" i="18" s="1"/>
  <c r="F34" i="18" s="1"/>
  <c r="G34" i="18" s="1"/>
  <c r="E62" i="18"/>
  <c r="H104" i="18" s="1"/>
  <c r="C27" i="18"/>
  <c r="C44" i="18"/>
  <c r="D44" i="18"/>
  <c r="E44" i="18"/>
  <c r="F44" i="18"/>
  <c r="G44" i="18"/>
  <c r="C49" i="18"/>
  <c r="C53" i="18"/>
  <c r="D53" i="18"/>
  <c r="E53" i="18"/>
  <c r="F53" i="18"/>
  <c r="G53" i="18"/>
  <c r="E31" i="18"/>
  <c r="C24" i="16"/>
  <c r="E62" i="16"/>
  <c r="E63" i="16" s="1"/>
  <c r="C44" i="16"/>
  <c r="D44" i="16" s="1"/>
  <c r="C30" i="16"/>
  <c r="C31" i="16" s="1"/>
  <c r="D36" i="16"/>
  <c r="E36" i="16" s="1"/>
  <c r="F36" i="16" s="1"/>
  <c r="C99" i="16"/>
  <c r="F12" i="16"/>
  <c r="D69" i="16"/>
  <c r="C73" i="16"/>
  <c r="C95" i="16"/>
  <c r="C29" i="16"/>
  <c r="C84" i="16" s="1"/>
  <c r="C46" i="16"/>
  <c r="D46" i="16"/>
  <c r="E46" i="16"/>
  <c r="F46" i="16"/>
  <c r="G46" i="16"/>
  <c r="C51" i="16"/>
  <c r="C55" i="16"/>
  <c r="D55" i="16"/>
  <c r="E55" i="16"/>
  <c r="F55" i="16"/>
  <c r="G55" i="16"/>
  <c r="E33" i="16"/>
  <c r="D105" i="17"/>
  <c r="C133" i="17" s="1"/>
  <c r="F11" i="17"/>
  <c r="C23" i="17"/>
  <c r="C140" i="17"/>
  <c r="C148" i="17"/>
  <c r="C113" i="17"/>
  <c r="E105" i="17"/>
  <c r="F105" i="17"/>
  <c r="G105" i="17"/>
  <c r="C43" i="17"/>
  <c r="D43" i="17" s="1"/>
  <c r="D35" i="17"/>
  <c r="C98" i="17"/>
  <c r="C94" i="17"/>
  <c r="C45" i="17"/>
  <c r="D45" i="17"/>
  <c r="E45" i="17"/>
  <c r="F45" i="17"/>
  <c r="G45" i="17"/>
  <c r="C54" i="17"/>
  <c r="D54" i="17"/>
  <c r="E54" i="17"/>
  <c r="F54" i="17"/>
  <c r="G54" i="17"/>
  <c r="E32" i="17"/>
  <c r="D52" i="23"/>
  <c r="E66" i="23" s="1"/>
  <c r="C35" i="23"/>
  <c r="D35" i="23" s="1"/>
  <c r="G35" i="23" s="1"/>
  <c r="C36" i="23"/>
  <c r="D36" i="23" s="1"/>
  <c r="H36" i="23" s="1"/>
  <c r="C37" i="23"/>
  <c r="D37" i="23" s="1"/>
  <c r="C88" i="23"/>
  <c r="C54" i="23"/>
  <c r="C55" i="23"/>
  <c r="C56" i="23"/>
  <c r="C57" i="23"/>
  <c r="C58" i="23"/>
  <c r="C59" i="23"/>
  <c r="C61" i="23"/>
  <c r="C66" i="23"/>
  <c r="C67" i="23"/>
  <c r="C68" i="23"/>
  <c r="C74" i="23"/>
  <c r="C75" i="23"/>
  <c r="C78" i="23"/>
  <c r="C81" i="23"/>
  <c r="D66" i="23"/>
  <c r="D67" i="23"/>
  <c r="D68" i="23"/>
  <c r="I36" i="23"/>
  <c r="K36" i="23" s="1"/>
  <c r="J36" i="23"/>
  <c r="I35" i="23"/>
  <c r="J35" i="23"/>
  <c r="I37" i="23"/>
  <c r="J37" i="23"/>
  <c r="E37" i="23"/>
  <c r="E36" i="23"/>
  <c r="E35" i="23"/>
  <c r="C103" i="22"/>
  <c r="C56" i="22"/>
  <c r="C57" i="22"/>
  <c r="C79" i="22"/>
  <c r="C71" i="22" s="1"/>
  <c r="C81" i="22"/>
  <c r="C59" i="22"/>
  <c r="C60" i="22"/>
  <c r="C62" i="22"/>
  <c r="C63" i="22"/>
  <c r="C50" i="22"/>
  <c r="I20" i="22"/>
  <c r="C67" i="22"/>
  <c r="C70" i="22"/>
  <c r="C86" i="22"/>
  <c r="C90" i="22"/>
  <c r="D54" i="22"/>
  <c r="D90" i="22" s="1"/>
  <c r="D79" i="22"/>
  <c r="D80" i="22"/>
  <c r="D81" i="22"/>
  <c r="D102" i="22"/>
  <c r="E102" i="22" s="1"/>
  <c r="F102" i="22" s="1"/>
  <c r="G102" i="22" s="1"/>
  <c r="H102" i="22" s="1"/>
  <c r="E10" i="25"/>
  <c r="C65" i="25" s="1"/>
  <c r="D30" i="25"/>
  <c r="L68" i="25" s="1"/>
  <c r="D36" i="25"/>
  <c r="E36" i="25" s="1"/>
  <c r="F36" i="25" s="1"/>
  <c r="G36" i="25" s="1"/>
  <c r="H36" i="25" s="1"/>
  <c r="I36" i="25" s="1"/>
  <c r="J36" i="25" s="1"/>
  <c r="K36" i="25" s="1"/>
  <c r="L36" i="25" s="1"/>
  <c r="L73" i="25"/>
  <c r="D63" i="25"/>
  <c r="E63" i="25" s="1"/>
  <c r="E93" i="25" s="1"/>
  <c r="E94" i="25" s="1"/>
  <c r="L92" i="25"/>
  <c r="K92" i="25"/>
  <c r="H43" i="25"/>
  <c r="H44" i="25" s="1"/>
  <c r="F49" i="25" s="1"/>
  <c r="H45" i="25"/>
  <c r="H46" i="25" s="1"/>
  <c r="D56" i="25"/>
  <c r="F48" i="25"/>
  <c r="E50" i="25"/>
  <c r="E51" i="25"/>
  <c r="C73" i="25"/>
  <c r="D73" i="25"/>
  <c r="E73" i="25"/>
  <c r="F73" i="25"/>
  <c r="G73" i="25"/>
  <c r="H73" i="25"/>
  <c r="I73" i="25"/>
  <c r="J73" i="25"/>
  <c r="K73" i="25"/>
  <c r="B107" i="25"/>
  <c r="B108" i="25" s="1"/>
  <c r="B109" i="25" s="1"/>
  <c r="B110" i="25" s="1"/>
  <c r="B111" i="25" s="1"/>
  <c r="B112" i="25" s="1"/>
  <c r="B113" i="25" s="1"/>
  <c r="B114" i="25" s="1"/>
  <c r="B115" i="25" s="1"/>
  <c r="J92" i="25"/>
  <c r="I92" i="25"/>
  <c r="H92" i="25"/>
  <c r="G92" i="25"/>
  <c r="F92" i="25"/>
  <c r="E92" i="25"/>
  <c r="D92" i="25"/>
  <c r="C85" i="25"/>
  <c r="C87" i="25" s="1"/>
  <c r="C91" i="25" s="1"/>
  <c r="C92" i="25"/>
  <c r="C93" i="25"/>
  <c r="D105" i="25"/>
  <c r="E105" i="25"/>
  <c r="F105" i="25" s="1"/>
  <c r="G105" i="25" s="1"/>
  <c r="H105" i="25" s="1"/>
  <c r="I105" i="25" s="1"/>
  <c r="J105" i="25" s="1"/>
  <c r="K105" i="25" s="1"/>
  <c r="L105" i="25" s="1"/>
  <c r="M105" i="25" s="1"/>
  <c r="D33" i="25"/>
  <c r="C42" i="26"/>
  <c r="C43" i="26" s="1"/>
  <c r="C47" i="26" s="1"/>
  <c r="D17" i="26"/>
  <c r="C26" i="26" s="1"/>
  <c r="C27" i="26" s="1"/>
  <c r="C33" i="26" s="1"/>
  <c r="C44" i="26" s="1"/>
  <c r="D12" i="26"/>
  <c r="F49" i="26" s="1"/>
  <c r="D41" i="26"/>
  <c r="D32" i="26"/>
  <c r="E32" i="26" s="1"/>
  <c r="E59" i="26"/>
  <c r="C67" i="26"/>
  <c r="D11" i="26"/>
  <c r="S16" i="26"/>
  <c r="L19" i="26"/>
  <c r="P43" i="26"/>
  <c r="P47" i="26" s="1"/>
  <c r="L12" i="26"/>
  <c r="K49" i="26" s="1"/>
  <c r="Q49" i="26" s="1"/>
  <c r="K67" i="26"/>
  <c r="Q67" i="26" s="1"/>
  <c r="M59" i="26"/>
  <c r="M60" i="26"/>
  <c r="L65" i="26" s="1"/>
  <c r="T76" i="26"/>
  <c r="U76" i="26" s="1"/>
  <c r="V76" i="26" s="1"/>
  <c r="W76" i="26" s="1"/>
  <c r="D76" i="26"/>
  <c r="E76" i="26" s="1"/>
  <c r="F76" i="26" s="1"/>
  <c r="G76" i="26" s="1"/>
  <c r="H76" i="26" s="1"/>
  <c r="K76" i="26" s="1"/>
  <c r="L76" i="26" s="1"/>
  <c r="M76" i="26" s="1"/>
  <c r="N76" i="26" s="1"/>
  <c r="O76" i="26" s="1"/>
  <c r="T40" i="26"/>
  <c r="D40" i="26"/>
  <c r="E40" i="26" s="1"/>
  <c r="F40" i="26" s="1"/>
  <c r="G40" i="26" s="1"/>
  <c r="J40" i="26" s="1"/>
  <c r="K40" i="26" s="1"/>
  <c r="L40" i="26" s="1"/>
  <c r="M40" i="26" s="1"/>
  <c r="N40" i="26" s="1"/>
  <c r="T28" i="26"/>
  <c r="M28" i="26"/>
  <c r="L21" i="26"/>
  <c r="K27" i="26"/>
  <c r="L13" i="26"/>
  <c r="S16" i="24"/>
  <c r="R26" i="24" s="1"/>
  <c r="R27" i="24" s="1"/>
  <c r="K19" i="24"/>
  <c r="Q43" i="24"/>
  <c r="Q47" i="24" s="1"/>
  <c r="K12" i="24"/>
  <c r="D41" i="24"/>
  <c r="E41" i="24" s="1"/>
  <c r="E42" i="24" s="1"/>
  <c r="E43" i="24" s="1"/>
  <c r="E47" i="24" s="1"/>
  <c r="D17" i="24"/>
  <c r="C26" i="24" s="1"/>
  <c r="C27" i="24" s="1"/>
  <c r="D32" i="24"/>
  <c r="E32" i="24" s="1"/>
  <c r="F32" i="24" s="1"/>
  <c r="G32" i="24" s="1"/>
  <c r="J67" i="24"/>
  <c r="R67" i="24" s="1"/>
  <c r="L59" i="24"/>
  <c r="K64" i="24" s="1"/>
  <c r="E59" i="24"/>
  <c r="D64" i="24" s="1"/>
  <c r="C67" i="24"/>
  <c r="D12" i="24"/>
  <c r="D11" i="24"/>
  <c r="C42" i="24"/>
  <c r="C43" i="24" s="1"/>
  <c r="C47" i="24" s="1"/>
  <c r="D49" i="24"/>
  <c r="U76" i="24"/>
  <c r="V76" i="24" s="1"/>
  <c r="W76" i="24" s="1"/>
  <c r="X76" i="24" s="1"/>
  <c r="D76" i="24"/>
  <c r="E76" i="24" s="1"/>
  <c r="F76" i="24" s="1"/>
  <c r="G76" i="24" s="1"/>
  <c r="H76" i="24" s="1"/>
  <c r="K76" i="24" s="1"/>
  <c r="L76" i="24" s="1"/>
  <c r="M76" i="24" s="1"/>
  <c r="N76" i="24" s="1"/>
  <c r="O76" i="24" s="1"/>
  <c r="U40" i="24"/>
  <c r="D40" i="24"/>
  <c r="E40" i="24" s="1"/>
  <c r="F40" i="24" s="1"/>
  <c r="G40" i="24" s="1"/>
  <c r="J40" i="24" s="1"/>
  <c r="K40" i="24" s="1"/>
  <c r="L40" i="24" s="1"/>
  <c r="M40" i="24" s="1"/>
  <c r="N40" i="24" s="1"/>
  <c r="L28" i="24"/>
  <c r="K21" i="24"/>
  <c r="J26" i="24"/>
  <c r="K13" i="24"/>
  <c r="C72" i="27"/>
  <c r="J49" i="27"/>
  <c r="I52" i="27" s="1"/>
  <c r="F12" i="27"/>
  <c r="C17" i="27"/>
  <c r="C36" i="27" s="1"/>
  <c r="C30" i="27"/>
  <c r="C31" i="27" s="1"/>
  <c r="C33" i="27"/>
  <c r="D33" i="27" s="1"/>
  <c r="D37" i="27"/>
  <c r="E37" i="27" s="1"/>
  <c r="D30" i="27"/>
  <c r="D49" i="27"/>
  <c r="D71" i="27"/>
  <c r="E71" i="27" s="1"/>
  <c r="F71" i="27" s="1"/>
  <c r="G71" i="27" s="1"/>
  <c r="H71" i="27" s="1"/>
  <c r="I71" i="27" s="1"/>
  <c r="J71" i="27" s="1"/>
  <c r="K71" i="27" s="1"/>
  <c r="L71" i="27" s="1"/>
  <c r="M71" i="27" s="1"/>
  <c r="N71" i="27" s="1"/>
  <c r="O71" i="27" s="1"/>
  <c r="P71" i="27" s="1"/>
  <c r="Q71" i="27" s="1"/>
  <c r="R71" i="27" s="1"/>
  <c r="E45" i="27"/>
  <c r="F14" i="27"/>
  <c r="C55" i="28"/>
  <c r="C56" i="28"/>
  <c r="C57" i="28"/>
  <c r="C58" i="28"/>
  <c r="C59" i="28"/>
  <c r="C60" i="28"/>
  <c r="C61" i="28"/>
  <c r="C62" i="28"/>
  <c r="C63" i="28"/>
  <c r="C64" i="28"/>
  <c r="C65" i="28"/>
  <c r="C37" i="28"/>
  <c r="C41" i="28"/>
  <c r="D88" i="28" s="1"/>
  <c r="C42" i="28"/>
  <c r="E102" i="28"/>
  <c r="E106" i="28" s="1"/>
  <c r="E103" i="28"/>
  <c r="E104" i="28"/>
  <c r="E108" i="28"/>
  <c r="F103" i="28"/>
  <c r="F108" i="28"/>
  <c r="G108" i="28" s="1"/>
  <c r="H108" i="28" s="1"/>
  <c r="I108" i="28" s="1"/>
  <c r="H37" i="29"/>
  <c r="C110" i="29"/>
  <c r="C111" i="29"/>
  <c r="C119" i="29" s="1"/>
  <c r="C115" i="29"/>
  <c r="L115" i="29" s="1"/>
  <c r="B14" i="29"/>
  <c r="E14" i="29" s="1"/>
  <c r="E15" i="29"/>
  <c r="E16" i="29" s="1"/>
  <c r="D75" i="29"/>
  <c r="H75" i="29" s="1"/>
  <c r="C63" i="29"/>
  <c r="D65" i="29" s="1"/>
  <c r="H38" i="29"/>
  <c r="H39" i="29"/>
  <c r="H40" i="29"/>
  <c r="H41" i="29"/>
  <c r="H42" i="29"/>
  <c r="H43" i="29"/>
  <c r="H44" i="29"/>
  <c r="H45" i="29"/>
  <c r="H46" i="29"/>
  <c r="H47" i="29"/>
  <c r="G109" i="29" s="1"/>
  <c r="H48" i="29"/>
  <c r="H49" i="29"/>
  <c r="H50" i="29"/>
  <c r="H51" i="29"/>
  <c r="H52" i="29"/>
  <c r="H53" i="29"/>
  <c r="H54" i="29"/>
  <c r="H55" i="29"/>
  <c r="H56" i="29"/>
  <c r="H57" i="29"/>
  <c r="H58" i="29"/>
  <c r="H59" i="29"/>
  <c r="H60" i="29"/>
  <c r="H61" i="29"/>
  <c r="D110" i="29"/>
  <c r="D120" i="29"/>
  <c r="E110" i="29"/>
  <c r="E120" i="29"/>
  <c r="F110" i="29"/>
  <c r="G110" i="29"/>
  <c r="D68" i="29"/>
  <c r="J36" i="29"/>
  <c r="J42" i="29" s="1"/>
  <c r="J53" i="29"/>
  <c r="L53" i="29" s="1"/>
  <c r="K37" i="29"/>
  <c r="G37" i="29"/>
  <c r="G38" i="29" s="1"/>
  <c r="G39" i="29" s="1"/>
  <c r="G40" i="29" s="1"/>
  <c r="G41" i="29" s="1"/>
  <c r="G42" i="29" s="1"/>
  <c r="G43" i="29" s="1"/>
  <c r="G44" i="29" s="1"/>
  <c r="G45" i="29" s="1"/>
  <c r="G46" i="29" s="1"/>
  <c r="G47" i="29" s="1"/>
  <c r="G48" i="29" s="1"/>
  <c r="G49" i="29" s="1"/>
  <c r="G50" i="29" s="1"/>
  <c r="G51" i="29" s="1"/>
  <c r="G52" i="29" s="1"/>
  <c r="G53" i="29" s="1"/>
  <c r="G54" i="29" s="1"/>
  <c r="G55" i="29" s="1"/>
  <c r="G56" i="29" s="1"/>
  <c r="G57" i="29" s="1"/>
  <c r="G58" i="29" s="1"/>
  <c r="G59" i="29" s="1"/>
  <c r="G60" i="29" s="1"/>
  <c r="G61" i="29" s="1"/>
  <c r="G62" i="29" s="1"/>
  <c r="F62" i="29"/>
  <c r="E62" i="29"/>
  <c r="D62" i="29"/>
  <c r="C62" i="29"/>
  <c r="H27" i="29"/>
  <c r="H28" i="29" s="1"/>
  <c r="H29" i="29" s="1"/>
  <c r="H30" i="29" s="1"/>
  <c r="H32" i="29" s="1"/>
  <c r="F32" i="29"/>
  <c r="E32" i="29"/>
  <c r="H26" i="29"/>
  <c r="O8" i="29"/>
  <c r="O10" i="29"/>
  <c r="E8" i="29"/>
  <c r="E9" i="29"/>
  <c r="E10" i="29"/>
  <c r="O17" i="29"/>
  <c r="D11" i="29"/>
  <c r="G10" i="30"/>
  <c r="C47" i="30"/>
  <c r="C29" i="30"/>
  <c r="D33" i="30" s="1"/>
  <c r="D52" i="30" s="1"/>
  <c r="C63" i="30"/>
  <c r="C22" i="30"/>
  <c r="C64" i="30" s="1"/>
  <c r="C19" i="30"/>
  <c r="C41" i="30" s="1"/>
  <c r="D32" i="30"/>
  <c r="D34" i="30" s="1"/>
  <c r="D63" i="30"/>
  <c r="E63" i="30"/>
  <c r="F63" i="30"/>
  <c r="G63" i="30"/>
  <c r="G11" i="30"/>
  <c r="E73" i="30"/>
  <c r="D75" i="30"/>
  <c r="D40" i="30"/>
  <c r="E40" i="30" s="1"/>
  <c r="F40" i="30" s="1"/>
  <c r="G40" i="30" s="1"/>
  <c r="C21" i="31"/>
  <c r="F11" i="31"/>
  <c r="E176" i="32"/>
  <c r="E177" i="32" s="1"/>
  <c r="E178" i="32" s="1"/>
  <c r="E179" i="32" s="1"/>
  <c r="E180" i="32" s="1"/>
  <c r="E181" i="32" s="1"/>
  <c r="C19" i="32"/>
  <c r="K61" i="32"/>
  <c r="B20" i="32"/>
  <c r="B21" i="32" s="1"/>
  <c r="B22" i="32" s="1"/>
  <c r="B23" i="32" s="1"/>
  <c r="B24" i="32" s="1"/>
  <c r="B25" i="32" s="1"/>
  <c r="B26" i="32" s="1"/>
  <c r="B27" i="32" s="1"/>
  <c r="B28" i="32" s="1"/>
  <c r="C126" i="32"/>
  <c r="C127" i="32" s="1"/>
  <c r="C128" i="32" s="1"/>
  <c r="C129" i="32" s="1"/>
  <c r="C130" i="32" s="1"/>
  <c r="C131" i="32" s="1"/>
  <c r="C132" i="32" s="1"/>
  <c r="C133" i="32" s="1"/>
  <c r="C134" i="32" s="1"/>
  <c r="F123" i="32"/>
  <c r="E123" i="32"/>
  <c r="D123" i="32"/>
  <c r="B106" i="32"/>
  <c r="B107" i="32" s="1"/>
  <c r="B108" i="32" s="1"/>
  <c r="B109" i="32" s="1"/>
  <c r="B110" i="32" s="1"/>
  <c r="B111" i="32" s="1"/>
  <c r="B112" i="32" s="1"/>
  <c r="B113" i="32" s="1"/>
  <c r="B114" i="32" s="1"/>
  <c r="B61" i="32"/>
  <c r="B62" i="32" s="1"/>
  <c r="B63" i="32" s="1"/>
  <c r="B64" i="32" s="1"/>
  <c r="B65" i="32" s="1"/>
  <c r="B66" i="32" s="1"/>
  <c r="B67" i="32" s="1"/>
  <c r="B68" i="32" s="1"/>
  <c r="B69" i="32" s="1"/>
  <c r="J62" i="32"/>
  <c r="J63" i="32" s="1"/>
  <c r="J64" i="32" s="1"/>
  <c r="J65" i="32" s="1"/>
  <c r="J66" i="32" s="1"/>
  <c r="J67" i="32" s="1"/>
  <c r="J68" i="32" s="1"/>
  <c r="J69" i="32" s="1"/>
  <c r="J70" i="32" s="1"/>
  <c r="B41" i="32"/>
  <c r="B42" i="32" s="1"/>
  <c r="B43" i="32" s="1"/>
  <c r="B44" i="32" s="1"/>
  <c r="B45" i="32" s="1"/>
  <c r="B46" i="32" s="1"/>
  <c r="B47" i="32" s="1"/>
  <c r="B48" i="32" s="1"/>
  <c r="B49" i="32" s="1"/>
  <c r="G81" i="32"/>
  <c r="B83" i="32"/>
  <c r="B84" i="32" s="1"/>
  <c r="B85" i="32" s="1"/>
  <c r="B86" i="32" s="1"/>
  <c r="B87" i="32" s="1"/>
  <c r="B88" i="32" s="1"/>
  <c r="B89" i="32" s="1"/>
  <c r="B90" i="32" s="1"/>
  <c r="B91" i="32" s="1"/>
  <c r="D13" i="32"/>
  <c r="B23" i="33"/>
  <c r="B24" i="33" s="1"/>
  <c r="D8" i="33"/>
  <c r="C13" i="33"/>
  <c r="D14" i="33"/>
  <c r="C14" i="33" s="1"/>
  <c r="C15" i="33"/>
  <c r="B14" i="35"/>
  <c r="C13" i="35"/>
  <c r="H22" i="3"/>
  <c r="F22" i="3"/>
  <c r="D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J21" i="3"/>
  <c r="E13" i="3"/>
  <c r="E14" i="3" s="1"/>
  <c r="C71" i="3"/>
  <c r="C72" i="3" s="1"/>
  <c r="C73" i="3" s="1"/>
  <c r="C74" i="3" s="1"/>
  <c r="C75" i="3" s="1"/>
  <c r="C76" i="3" s="1"/>
  <c r="C77" i="3" s="1"/>
  <c r="C78" i="3" s="1"/>
  <c r="C79" i="3" s="1"/>
  <c r="C80" i="3" s="1"/>
  <c r="C81" i="3" s="1"/>
  <c r="C59" i="3"/>
  <c r="C60" i="3" s="1"/>
  <c r="C61" i="3" s="1"/>
  <c r="C62" i="3" s="1"/>
  <c r="C63" i="3" s="1"/>
  <c r="C64" i="3" s="1"/>
  <c r="C65" i="3" s="1"/>
  <c r="C66" i="3" s="1"/>
  <c r="C67" i="3" s="1"/>
  <c r="C68" i="3" s="1"/>
  <c r="C69" i="3" s="1"/>
  <c r="C47" i="3"/>
  <c r="C48" i="3" s="1"/>
  <c r="C49" i="3" s="1"/>
  <c r="C50" i="3" s="1"/>
  <c r="C51" i="3" s="1"/>
  <c r="C52" i="3" s="1"/>
  <c r="C53" i="3" s="1"/>
  <c r="C54" i="3" s="1"/>
  <c r="C55" i="3" s="1"/>
  <c r="C56" i="3" s="1"/>
  <c r="C57" i="3" s="1"/>
  <c r="C35" i="3"/>
  <c r="C36" i="3" s="1"/>
  <c r="C37" i="3"/>
  <c r="C38" i="3" s="1"/>
  <c r="C39" i="3" s="1"/>
  <c r="C40" i="3" s="1"/>
  <c r="C41" i="3" s="1"/>
  <c r="C42" i="3" s="1"/>
  <c r="C43" i="3" s="1"/>
  <c r="C44" i="3" s="1"/>
  <c r="C45" i="3" s="1"/>
  <c r="C23" i="3"/>
  <c r="C24" i="3" s="1"/>
  <c r="C25" i="3" s="1"/>
  <c r="C26" i="3" s="1"/>
  <c r="C27" i="3" s="1"/>
  <c r="C28" i="3" s="1"/>
  <c r="C29" i="3" s="1"/>
  <c r="C30" i="3" s="1"/>
  <c r="C31" i="3" s="1"/>
  <c r="C32" i="3" s="1"/>
  <c r="C33" i="3" s="1"/>
  <c r="F14" i="2"/>
  <c r="F15" i="2" s="1"/>
  <c r="F17" i="2" s="1"/>
  <c r="F24" i="2"/>
  <c r="D24" i="2"/>
  <c r="G24" i="2" s="1"/>
  <c r="F25" i="2"/>
  <c r="F26" i="2" s="1"/>
  <c r="J23" i="2"/>
  <c r="C73" i="2"/>
  <c r="C74" i="2" s="1"/>
  <c r="C75" i="2" s="1"/>
  <c r="C76" i="2" s="1"/>
  <c r="C77" i="2" s="1"/>
  <c r="C78" i="2" s="1"/>
  <c r="C79" i="2" s="1"/>
  <c r="C80" i="2" s="1"/>
  <c r="C81" i="2" s="1"/>
  <c r="C82" i="2" s="1"/>
  <c r="C83" i="2" s="1"/>
  <c r="C61" i="2"/>
  <c r="C62" i="2" s="1"/>
  <c r="C63" i="2" s="1"/>
  <c r="C64" i="2" s="1"/>
  <c r="C65" i="2" s="1"/>
  <c r="C66" i="2" s="1"/>
  <c r="C67" i="2" s="1"/>
  <c r="C68" i="2" s="1"/>
  <c r="C69" i="2" s="1"/>
  <c r="C70" i="2" s="1"/>
  <c r="C71" i="2" s="1"/>
  <c r="C49" i="2"/>
  <c r="C50" i="2" s="1"/>
  <c r="C51" i="2" s="1"/>
  <c r="C52" i="2" s="1"/>
  <c r="C53" i="2" s="1"/>
  <c r="C54" i="2" s="1"/>
  <c r="C55" i="2" s="1"/>
  <c r="C56" i="2" s="1"/>
  <c r="C57" i="2" s="1"/>
  <c r="C58" i="2" s="1"/>
  <c r="C59" i="2" s="1"/>
  <c r="C37" i="2"/>
  <c r="C38" i="2" s="1"/>
  <c r="C39" i="2" s="1"/>
  <c r="C40" i="2" s="1"/>
  <c r="C41" i="2" s="1"/>
  <c r="C42" i="2" s="1"/>
  <c r="C43" i="2" s="1"/>
  <c r="C44" i="2" s="1"/>
  <c r="C45" i="2" s="1"/>
  <c r="C46" i="2" s="1"/>
  <c r="C47" i="2" s="1"/>
  <c r="C25" i="2"/>
  <c r="C26" i="2" s="1"/>
  <c r="C27" i="2" s="1"/>
  <c r="C28" i="2" s="1"/>
  <c r="C29" i="2" s="1"/>
  <c r="C30" i="2" s="1"/>
  <c r="C31" i="2" s="1"/>
  <c r="C32" i="2" s="1"/>
  <c r="C33" i="2" s="1"/>
  <c r="C34" i="2" s="1"/>
  <c r="C35" i="2" s="1"/>
  <c r="D28" i="4"/>
  <c r="D25" i="4"/>
  <c r="D26" i="4"/>
  <c r="D27" i="4"/>
  <c r="D24" i="4"/>
  <c r="G41" i="4"/>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E23" i="4"/>
  <c r="G23" i="4" s="1"/>
  <c r="E24" i="4"/>
  <c r="F24" i="4"/>
  <c r="E25" i="4"/>
  <c r="F25" i="4"/>
  <c r="E26" i="4"/>
  <c r="F26" i="4"/>
  <c r="E27" i="4"/>
  <c r="F27" i="4"/>
  <c r="E28" i="4"/>
  <c r="F28" i="4"/>
  <c r="F40" i="4"/>
  <c r="D41" i="4" s="1"/>
  <c r="B78" i="4"/>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42" i="4"/>
  <c r="B43" i="4" s="1"/>
  <c r="B44" i="4" s="1"/>
  <c r="B45" i="4" s="1"/>
  <c r="B46" i="4" s="1"/>
  <c r="B47" i="4" s="1"/>
  <c r="B48" i="4" s="1"/>
  <c r="B49" i="4" s="1"/>
  <c r="B50" i="4" s="1"/>
  <c r="B51" i="4" s="1"/>
  <c r="B52" i="4" s="1"/>
  <c r="B53" i="4" s="1"/>
  <c r="B54" i="4"/>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C40" i="4"/>
  <c r="E31" i="4"/>
  <c r="D22" i="5"/>
  <c r="B19" i="5"/>
  <c r="B20" i="5" s="1"/>
  <c r="B21" i="5" s="1"/>
  <c r="B22" i="5" s="1"/>
  <c r="D21" i="5"/>
  <c r="D20" i="5"/>
  <c r="D19" i="5"/>
  <c r="D18" i="5"/>
  <c r="E18" i="5" s="1"/>
  <c r="F18" i="5" s="1"/>
  <c r="B31" i="5"/>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G17" i="5"/>
  <c r="C30" i="5" s="1"/>
  <c r="D18" i="7"/>
  <c r="E18" i="7" s="1"/>
  <c r="C40" i="7" s="1"/>
  <c r="D19" i="7"/>
  <c r="B19" i="7"/>
  <c r="B20" i="7" s="1"/>
  <c r="B21" i="7" s="1"/>
  <c r="B22" i="7" s="1"/>
  <c r="D20" i="7"/>
  <c r="D21" i="7"/>
  <c r="D22" i="7"/>
  <c r="B31" i="7"/>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H17" i="7"/>
  <c r="C30" i="7" s="1"/>
  <c r="E34" i="8"/>
  <c r="F34" i="8" s="1"/>
  <c r="D33" i="8"/>
  <c r="D10" i="8"/>
  <c r="E33" i="8" s="1"/>
  <c r="E40" i="8"/>
  <c r="F40" i="8" s="1"/>
  <c r="G40" i="8" s="1"/>
  <c r="H40" i="8" s="1"/>
  <c r="I40" i="8" s="1"/>
  <c r="E41" i="8"/>
  <c r="F41" i="8" s="1"/>
  <c r="G41" i="8" s="1"/>
  <c r="H41" i="8" s="1"/>
  <c r="I41" i="8" s="1"/>
  <c r="F25" i="8"/>
  <c r="D21" i="8"/>
  <c r="H7" i="8"/>
  <c r="D88" i="8" s="1"/>
  <c r="F66" i="8"/>
  <c r="G66" i="8" s="1"/>
  <c r="H66" i="8" s="1"/>
  <c r="F76" i="8"/>
  <c r="G76" i="8"/>
  <c r="H76" i="8"/>
  <c r="I76" i="8"/>
  <c r="E76" i="8"/>
  <c r="F32" i="8"/>
  <c r="G32" i="8" s="1"/>
  <c r="H32" i="8" s="1"/>
  <c r="I32" i="8" s="1"/>
  <c r="E85" i="8"/>
  <c r="F85" i="8" s="1"/>
  <c r="G85" i="8" s="1"/>
  <c r="H85" i="8" s="1"/>
  <c r="I85" i="8" s="1"/>
  <c r="F37" i="8"/>
  <c r="G37" i="8"/>
  <c r="H37" i="8" s="1"/>
  <c r="I37" i="8" s="1"/>
  <c r="F76" i="29"/>
  <c r="C76" i="29"/>
  <c r="D76" i="29" s="1"/>
  <c r="C32" i="27"/>
  <c r="D31" i="27"/>
  <c r="D32" i="27" s="1"/>
  <c r="G12" i="38"/>
  <c r="H11" i="38"/>
  <c r="J14" i="43"/>
  <c r="G26" i="43" s="1"/>
  <c r="J49" i="26"/>
  <c r="P49" i="26" s="1"/>
  <c r="Q68" i="26" s="1"/>
  <c r="L49" i="26"/>
  <c r="R49" i="26"/>
  <c r="D33" i="26"/>
  <c r="D44" i="26" s="1"/>
  <c r="J33" i="26"/>
  <c r="J44" i="26" s="1"/>
  <c r="G36" i="16"/>
  <c r="C67" i="19"/>
  <c r="D68" i="19" s="1"/>
  <c r="F27" i="2"/>
  <c r="F28" i="2" s="1"/>
  <c r="F29" i="2" s="1"/>
  <c r="F30" i="2" s="1"/>
  <c r="F31" i="2" s="1"/>
  <c r="F32" i="2" s="1"/>
  <c r="F33" i="2" s="1"/>
  <c r="F34" i="2" s="1"/>
  <c r="F35" i="2" s="1"/>
  <c r="F36" i="2" s="1"/>
  <c r="F37" i="2" s="1"/>
  <c r="F38" i="2" s="1"/>
  <c r="E30" i="27"/>
  <c r="E121" i="46"/>
  <c r="E87" i="26"/>
  <c r="G49" i="26"/>
  <c r="E41" i="26"/>
  <c r="E42" i="26" s="1"/>
  <c r="E43" i="26"/>
  <c r="C50" i="17"/>
  <c r="D94" i="17"/>
  <c r="C48" i="16"/>
  <c r="D93" i="18"/>
  <c r="G49" i="19"/>
  <c r="E80" i="21"/>
  <c r="D24" i="43"/>
  <c r="G25" i="38"/>
  <c r="H54" i="40"/>
  <c r="H23" i="38"/>
  <c r="D67" i="46"/>
  <c r="H67" i="46"/>
  <c r="F24" i="48"/>
  <c r="F25" i="48" s="1"/>
  <c r="F26" i="48" s="1"/>
  <c r="F27" i="48" s="1"/>
  <c r="F28" i="48" s="1"/>
  <c r="F29" i="48" s="1"/>
  <c r="F30" i="48" s="1"/>
  <c r="F31" i="48" s="1"/>
  <c r="F32" i="48" s="1"/>
  <c r="F33" i="48" s="1"/>
  <c r="F34" i="48" s="1"/>
  <c r="F35" i="48" s="1"/>
  <c r="F36" i="48" s="1"/>
  <c r="F37" i="48" s="1"/>
  <c r="F38" i="48" s="1"/>
  <c r="F39" i="48" s="1"/>
  <c r="E23" i="49"/>
  <c r="E24" i="49" s="1"/>
  <c r="H20" i="52"/>
  <c r="C34" i="52"/>
  <c r="C36" i="52"/>
  <c r="C38" i="52"/>
  <c r="C40" i="52"/>
  <c r="C42" i="52"/>
  <c r="C44" i="52"/>
  <c r="G20" i="52"/>
  <c r="C33" i="52"/>
  <c r="C35" i="52"/>
  <c r="C37" i="52"/>
  <c r="C39" i="52"/>
  <c r="C41" i="52"/>
  <c r="C43" i="52"/>
  <c r="E21" i="52"/>
  <c r="E22" i="52" s="1"/>
  <c r="E23" i="52" s="1"/>
  <c r="E24" i="52" s="1"/>
  <c r="J26" i="51"/>
  <c r="F41" i="26"/>
  <c r="B21" i="46"/>
  <c r="B22" i="46" s="1"/>
  <c r="E34" i="26"/>
  <c r="F32" i="26"/>
  <c r="K68" i="26"/>
  <c r="E33" i="59"/>
  <c r="D31" i="59"/>
  <c r="D32" i="59" s="1"/>
  <c r="D40" i="59" s="1"/>
  <c r="F20" i="59"/>
  <c r="C73" i="59" s="1"/>
  <c r="C75" i="59" s="1"/>
  <c r="C62" i="59"/>
  <c r="C65" i="59" s="1"/>
  <c r="E30" i="59"/>
  <c r="C32" i="59"/>
  <c r="C34" i="59" s="1"/>
  <c r="I52" i="59"/>
  <c r="C39" i="59"/>
  <c r="C52" i="59"/>
  <c r="D50" i="59"/>
  <c r="D51" i="59" s="1"/>
  <c r="J50" i="59"/>
  <c r="C38" i="59"/>
  <c r="G28" i="21"/>
  <c r="I53" i="21"/>
  <c r="E44" i="16"/>
  <c r="F95" i="16" s="1"/>
  <c r="D48" i="16"/>
  <c r="D54" i="16" s="1"/>
  <c r="E107" i="16" s="1"/>
  <c r="D51" i="16"/>
  <c r="E95" i="16"/>
  <c r="C88" i="16"/>
  <c r="D41" i="15"/>
  <c r="C76" i="23"/>
  <c r="K37" i="23"/>
  <c r="H35" i="23"/>
  <c r="I15" i="43"/>
  <c r="F27" i="43" s="1"/>
  <c r="C34" i="27"/>
  <c r="C33" i="30"/>
  <c r="C52" i="30" s="1"/>
  <c r="E33" i="30"/>
  <c r="E52" i="30" s="1"/>
  <c r="F33" i="30"/>
  <c r="F52" i="30" s="1"/>
  <c r="C34" i="30"/>
  <c r="C35" i="30" s="1"/>
  <c r="C62" i="30" s="1"/>
  <c r="F23" i="3"/>
  <c r="F24" i="3" s="1"/>
  <c r="F25" i="3" s="1"/>
  <c r="F26" i="3" s="1"/>
  <c r="F27" i="3" s="1"/>
  <c r="F28" i="3" s="1"/>
  <c r="F29" i="3" s="1"/>
  <c r="C25" i="29"/>
  <c r="C32" i="29"/>
  <c r="E61" i="17"/>
  <c r="C42" i="5"/>
  <c r="D130" i="15"/>
  <c r="C25" i="15"/>
  <c r="C50" i="15" s="1"/>
  <c r="C13" i="36"/>
  <c r="F18" i="7"/>
  <c r="G18" i="7" s="1"/>
  <c r="F104" i="28"/>
  <c r="G104" i="28" s="1"/>
  <c r="H104" i="28" s="1"/>
  <c r="I104" i="28" s="1"/>
  <c r="C85" i="22"/>
  <c r="C87" i="22" s="1"/>
  <c r="H69" i="13"/>
  <c r="H81" i="13" s="1"/>
  <c r="F56" i="13"/>
  <c r="G56" i="13" s="1"/>
  <c r="H56" i="13" s="1"/>
  <c r="I56" i="13" s="1"/>
  <c r="D51" i="12"/>
  <c r="D53" i="12" s="1"/>
  <c r="D52" i="12"/>
  <c r="R26" i="26"/>
  <c r="R27" i="26" s="1"/>
  <c r="Q34" i="26" s="1"/>
  <c r="C82" i="18"/>
  <c r="C86" i="18"/>
  <c r="C34" i="7"/>
  <c r="C42" i="7"/>
  <c r="C33" i="7"/>
  <c r="F42" i="8"/>
  <c r="G24" i="4"/>
  <c r="C81" i="19"/>
  <c r="C77" i="19"/>
  <c r="H71" i="13"/>
  <c r="I71" i="13" s="1"/>
  <c r="H15" i="40"/>
  <c r="H16" i="40" s="1"/>
  <c r="D37" i="31"/>
  <c r="D36" i="31"/>
  <c r="L64" i="26"/>
  <c r="N49" i="26"/>
  <c r="T49" i="26" s="1"/>
  <c r="C47" i="17"/>
  <c r="C53" i="17" s="1"/>
  <c r="C51" i="18"/>
  <c r="G51" i="18"/>
  <c r="D12" i="38"/>
  <c r="J13" i="43"/>
  <c r="G25" i="43" s="1"/>
  <c r="C43" i="39"/>
  <c r="C45" i="39" s="1"/>
  <c r="D61" i="46"/>
  <c r="D99" i="50"/>
  <c r="C48" i="50"/>
  <c r="C54" i="50" s="1"/>
  <c r="D107" i="50" s="1"/>
  <c r="K49" i="51"/>
  <c r="B10" i="55"/>
  <c r="B47" i="56"/>
  <c r="B48" i="56" s="1"/>
  <c r="B50" i="56" s="1"/>
  <c r="B21" i="57"/>
  <c r="G26" i="11"/>
  <c r="G29" i="11" s="1"/>
  <c r="F52" i="25"/>
  <c r="F54" i="25" s="1"/>
  <c r="H56" i="25" s="1"/>
  <c r="C84" i="50"/>
  <c r="C94" i="25"/>
  <c r="C108" i="16"/>
  <c r="D38" i="38"/>
  <c r="D35" i="40"/>
  <c r="H53" i="40"/>
  <c r="H55" i="40" s="1"/>
  <c r="M49" i="51"/>
  <c r="G8" i="55"/>
  <c r="G9" i="55" s="1"/>
  <c r="G10" i="55" s="1"/>
  <c r="S10" i="55" s="1"/>
  <c r="AC6" i="55"/>
  <c r="C36" i="59"/>
  <c r="E36" i="59" s="1"/>
  <c r="J60" i="29"/>
  <c r="J56" i="29"/>
  <c r="J52" i="29"/>
  <c r="J48" i="29"/>
  <c r="L48" i="29" s="1"/>
  <c r="J44" i="29"/>
  <c r="J40" i="29"/>
  <c r="L40" i="29" s="1"/>
  <c r="J45" i="29"/>
  <c r="J41" i="29"/>
  <c r="L41" i="29" s="1"/>
  <c r="J59" i="29"/>
  <c r="J55" i="29"/>
  <c r="J51" i="29"/>
  <c r="J47" i="29"/>
  <c r="L47" i="29" s="1"/>
  <c r="J43" i="29"/>
  <c r="D58" i="15"/>
  <c r="H82" i="15" s="1"/>
  <c r="F30" i="15"/>
  <c r="G30" i="15" s="1"/>
  <c r="G32" i="15" s="1"/>
  <c r="G41" i="15"/>
  <c r="E41" i="15"/>
  <c r="F41" i="15"/>
  <c r="D115" i="15"/>
  <c r="E26" i="11"/>
  <c r="E29" i="11" s="1"/>
  <c r="E125" i="32"/>
  <c r="G80" i="21"/>
  <c r="C53" i="59"/>
  <c r="C54" i="59" s="1"/>
  <c r="D55" i="59" s="1"/>
  <c r="E31" i="27"/>
  <c r="D90" i="8"/>
  <c r="E39" i="8"/>
  <c r="E47" i="8" s="1"/>
  <c r="G25" i="8"/>
  <c r="D89" i="8"/>
  <c r="D20" i="8"/>
  <c r="I26" i="8" s="1"/>
  <c r="D22" i="8"/>
  <c r="D86" i="8"/>
  <c r="D87" i="8"/>
  <c r="J34" i="26"/>
  <c r="M33" i="26"/>
  <c r="N34" i="26"/>
  <c r="M61" i="26" s="1"/>
  <c r="G33" i="26"/>
  <c r="K33" i="26"/>
  <c r="K44" i="26" s="1"/>
  <c r="D34" i="26"/>
  <c r="E35" i="26" s="1"/>
  <c r="E48" i="26" s="1"/>
  <c r="M34" i="26"/>
  <c r="N33" i="26"/>
  <c r="L34" i="26"/>
  <c r="E76" i="13"/>
  <c r="E41" i="30"/>
  <c r="E65" i="30" s="1"/>
  <c r="K42" i="29"/>
  <c r="D42" i="26"/>
  <c r="D43" i="26" s="1"/>
  <c r="K68" i="25"/>
  <c r="I68" i="25"/>
  <c r="G68" i="25"/>
  <c r="E68" i="25"/>
  <c r="C68" i="25"/>
  <c r="D67" i="22"/>
  <c r="D59" i="22"/>
  <c r="C58" i="22"/>
  <c r="D31" i="25"/>
  <c r="C115" i="17"/>
  <c r="F41" i="30"/>
  <c r="F65" i="30"/>
  <c r="J68" i="25"/>
  <c r="H68" i="25"/>
  <c r="F68" i="25"/>
  <c r="D68" i="25"/>
  <c r="C125" i="17"/>
  <c r="F36" i="50"/>
  <c r="G36" i="50" s="1"/>
  <c r="E41" i="51"/>
  <c r="E66" i="50"/>
  <c r="D71" i="50" s="1"/>
  <c r="U10" i="55"/>
  <c r="U11" i="55" s="1"/>
  <c r="U12" i="55" s="1"/>
  <c r="U13" i="55" s="1"/>
  <c r="U14" i="55" s="1"/>
  <c r="U15" i="55" s="1"/>
  <c r="U16" i="55" s="1"/>
  <c r="U17" i="55" s="1"/>
  <c r="D8" i="55"/>
  <c r="AB8" i="55" s="1"/>
  <c r="D7" i="55"/>
  <c r="P6" i="55"/>
  <c r="D9" i="55"/>
  <c r="E8" i="55"/>
  <c r="X7" i="55"/>
  <c r="N6" i="55"/>
  <c r="B14" i="57"/>
  <c r="B22" i="57" s="1"/>
  <c r="B23" i="57" s="1"/>
  <c r="B25" i="57" s="1"/>
  <c r="B30" i="57" s="1"/>
  <c r="H21" i="31"/>
  <c r="G22" i="31"/>
  <c r="E22" i="31"/>
  <c r="D22" i="31"/>
  <c r="G41" i="30"/>
  <c r="G33" i="30"/>
  <c r="G52" i="30" s="1"/>
  <c r="D41" i="30"/>
  <c r="D65" i="30" s="1"/>
  <c r="E32" i="30"/>
  <c r="E34" i="30" s="1"/>
  <c r="C42" i="30"/>
  <c r="C65" i="30"/>
  <c r="D64" i="30"/>
  <c r="D47" i="30"/>
  <c r="J15" i="43"/>
  <c r="K27" i="43" s="1"/>
  <c r="G31" i="15"/>
  <c r="C26" i="15"/>
  <c r="D59" i="15" s="1"/>
  <c r="F50" i="15"/>
  <c r="H74" i="13"/>
  <c r="I74" i="13" s="1"/>
  <c r="I78" i="13" s="1"/>
  <c r="I105" i="13" s="1"/>
  <c r="I69" i="13"/>
  <c r="I76" i="13" s="1"/>
  <c r="I83" i="13" s="1"/>
  <c r="C118" i="16"/>
  <c r="C109" i="16"/>
  <c r="D50" i="15"/>
  <c r="E62" i="17"/>
  <c r="K43" i="29"/>
  <c r="K47" i="29"/>
  <c r="K48" i="29"/>
  <c r="L55" i="29"/>
  <c r="K55" i="29"/>
  <c r="K40" i="29"/>
  <c r="L56" i="29"/>
  <c r="K56" i="29"/>
  <c r="Q6" i="55"/>
  <c r="T6" i="55"/>
  <c r="G44" i="26"/>
  <c r="G42" i="8"/>
  <c r="H25" i="8"/>
  <c r="H42" i="8" s="1"/>
  <c r="G27" i="43"/>
  <c r="Q34" i="24"/>
  <c r="M44" i="26"/>
  <c r="F22" i="31"/>
  <c r="D48" i="30"/>
  <c r="D49" i="30" s="1"/>
  <c r="D50" i="30" s="1"/>
  <c r="E47" i="30"/>
  <c r="E48" i="30" s="1"/>
  <c r="I25" i="8"/>
  <c r="I42" i="8" s="1"/>
  <c r="F47" i="30"/>
  <c r="B60" i="44"/>
  <c r="E60" i="44" s="1"/>
  <c r="K60" i="44" s="1"/>
  <c r="E20" i="61"/>
  <c r="F17" i="61" s="1"/>
  <c r="G17" i="61" s="1"/>
  <c r="E30" i="61"/>
  <c r="F27" i="61" s="1"/>
  <c r="G27" i="61" s="1"/>
  <c r="F18" i="61"/>
  <c r="G18" i="61" s="1"/>
  <c r="C38" i="61"/>
  <c r="F28" i="61"/>
  <c r="G28" i="61" s="1"/>
  <c r="F37" i="16" l="1"/>
  <c r="G37" i="16"/>
  <c r="C37" i="16"/>
  <c r="F45" i="16" s="1"/>
  <c r="D37" i="16"/>
  <c r="F38" i="16"/>
  <c r="C38" i="16"/>
  <c r="D38" i="16"/>
  <c r="E38" i="16"/>
  <c r="F39" i="16" s="1"/>
  <c r="F40" i="16" s="1"/>
  <c r="E37" i="16"/>
  <c r="C33" i="16"/>
  <c r="H37" i="38"/>
  <c r="H38" i="38" s="1"/>
  <c r="G38" i="38"/>
  <c r="J24" i="49"/>
  <c r="E25" i="49"/>
  <c r="D50" i="17"/>
  <c r="D47" i="17"/>
  <c r="D53" i="17" s="1"/>
  <c r="E43" i="17"/>
  <c r="E94" i="17"/>
  <c r="G33" i="51"/>
  <c r="G44" i="51" s="1"/>
  <c r="C28" i="51"/>
  <c r="E61" i="51" s="1"/>
  <c r="E62" i="51" s="1"/>
  <c r="E33" i="51"/>
  <c r="E44" i="51" s="1"/>
  <c r="C33" i="51"/>
  <c r="C44" i="51" s="1"/>
  <c r="C45" i="51" s="1"/>
  <c r="C34" i="51"/>
  <c r="C35" i="51" s="1"/>
  <c r="C48" i="51" s="1"/>
  <c r="D33" i="51"/>
  <c r="D44" i="51" s="1"/>
  <c r="D45" i="51" s="1"/>
  <c r="F33" i="51"/>
  <c r="F44" i="51" s="1"/>
  <c r="I66" i="8"/>
  <c r="I67" i="8" s="1"/>
  <c r="H67" i="8"/>
  <c r="I82" i="13"/>
  <c r="L15" i="43"/>
  <c r="O15" i="43" s="1"/>
  <c r="P15" i="43" s="1"/>
  <c r="D32" i="15"/>
  <c r="E33" i="15" s="1"/>
  <c r="E40" i="15" s="1"/>
  <c r="G50" i="15"/>
  <c r="C121" i="17"/>
  <c r="D63" i="22"/>
  <c r="E31" i="15"/>
  <c r="E50" i="15"/>
  <c r="L45" i="29"/>
  <c r="E32" i="15"/>
  <c r="D42" i="24"/>
  <c r="D43" i="24" s="1"/>
  <c r="C36" i="7"/>
  <c r="D26" i="43"/>
  <c r="G38" i="16"/>
  <c r="E64" i="16" s="1"/>
  <c r="H12" i="38"/>
  <c r="E60" i="24"/>
  <c r="D65" i="24" s="1"/>
  <c r="F34" i="24"/>
  <c r="C45" i="26"/>
  <c r="D93" i="25"/>
  <c r="D74" i="22"/>
  <c r="C141" i="17"/>
  <c r="H7" i="55"/>
  <c r="K7" i="55" s="1"/>
  <c r="N27" i="43"/>
  <c r="K38" i="52"/>
  <c r="K37" i="52"/>
  <c r="K43" i="52"/>
  <c r="K44" i="52"/>
  <c r="K36" i="52"/>
  <c r="K41" i="52"/>
  <c r="K33" i="52"/>
  <c r="K39" i="52"/>
  <c r="K40" i="52"/>
  <c r="K35" i="52"/>
  <c r="K42" i="52"/>
  <c r="K34" i="52"/>
  <c r="E64" i="30"/>
  <c r="E54" i="22"/>
  <c r="E66" i="22" s="1"/>
  <c r="C119" i="17"/>
  <c r="D85" i="22"/>
  <c r="E105" i="28"/>
  <c r="E107" i="28" s="1"/>
  <c r="C32" i="15"/>
  <c r="C33" i="15" s="1"/>
  <c r="C40" i="15" s="1"/>
  <c r="E48" i="12"/>
  <c r="F41" i="24"/>
  <c r="L60" i="24"/>
  <c r="K65" i="24" s="1"/>
  <c r="C25" i="26"/>
  <c r="C78" i="26" s="1"/>
  <c r="D70" i="22"/>
  <c r="C165" i="17"/>
  <c r="C132" i="17"/>
  <c r="C64" i="39"/>
  <c r="C66" i="39" s="1"/>
  <c r="D25" i="38"/>
  <c r="D56" i="59"/>
  <c r="E64" i="59" s="1"/>
  <c r="E65" i="59" s="1"/>
  <c r="D36" i="27"/>
  <c r="C18" i="33"/>
  <c r="F102" i="28"/>
  <c r="G102" i="28" s="1"/>
  <c r="D62" i="22"/>
  <c r="C164" i="17"/>
  <c r="C124" i="17"/>
  <c r="S9" i="55"/>
  <c r="F32" i="15"/>
  <c r="D31" i="15"/>
  <c r="D34" i="15" s="1"/>
  <c r="G64" i="30"/>
  <c r="E81" i="22"/>
  <c r="M62" i="26"/>
  <c r="C61" i="22"/>
  <c r="C32" i="5"/>
  <c r="L69" i="26"/>
  <c r="F59" i="12"/>
  <c r="G28" i="4"/>
  <c r="Q43" i="26"/>
  <c r="D66" i="22"/>
  <c r="K35" i="23"/>
  <c r="C60" i="23"/>
  <c r="C62" i="23" s="1"/>
  <c r="C157" i="17"/>
  <c r="C122" i="17"/>
  <c r="F38" i="50"/>
  <c r="L61" i="32"/>
  <c r="E10" i="61"/>
  <c r="F8" i="61" s="1"/>
  <c r="G8" i="61" s="1"/>
  <c r="K26" i="43"/>
  <c r="N26" i="43" s="1"/>
  <c r="G11" i="55"/>
  <c r="F64" i="30"/>
  <c r="D33" i="15"/>
  <c r="D40" i="15" s="1"/>
  <c r="B16" i="57"/>
  <c r="B29" i="57" s="1"/>
  <c r="B32" i="57" s="1"/>
  <c r="K41" i="29"/>
  <c r="S8" i="55"/>
  <c r="C31" i="15"/>
  <c r="C116" i="17"/>
  <c r="E31" i="59"/>
  <c r="F31" i="15"/>
  <c r="C90" i="25"/>
  <c r="C96" i="25" s="1"/>
  <c r="C98" i="25" s="1"/>
  <c r="C36" i="5"/>
  <c r="F23" i="43"/>
  <c r="F61" i="12"/>
  <c r="R69" i="26"/>
  <c r="C156" i="17"/>
  <c r="D95" i="16"/>
  <c r="Q33" i="26"/>
  <c r="Q44" i="26" s="1"/>
  <c r="C123" i="17"/>
  <c r="F57" i="12"/>
  <c r="E49" i="30"/>
  <c r="E50" i="30" s="1"/>
  <c r="E51" i="30" s="1"/>
  <c r="E53" i="30" s="1"/>
  <c r="F32" i="30"/>
  <c r="G32" i="30" s="1"/>
  <c r="G34" i="30" s="1"/>
  <c r="N73" i="30" s="1"/>
  <c r="N75" i="30" s="1"/>
  <c r="N88" i="30" s="1"/>
  <c r="L60" i="29"/>
  <c r="C35" i="7"/>
  <c r="K53" i="29"/>
  <c r="L14" i="43"/>
  <c r="O14" i="43" s="1"/>
  <c r="C37" i="43" s="1"/>
  <c r="F63" i="12"/>
  <c r="E58" i="8"/>
  <c r="E61" i="8" s="1"/>
  <c r="C149" i="17"/>
  <c r="N97" i="30"/>
  <c r="C26" i="11"/>
  <c r="C29" i="11" s="1"/>
  <c r="E61" i="30"/>
  <c r="E66" i="16"/>
  <c r="D71" i="16" s="1"/>
  <c r="D70" i="16"/>
  <c r="C107" i="18"/>
  <c r="C114" i="18"/>
  <c r="K59" i="21"/>
  <c r="D69" i="21"/>
  <c r="D72" i="21" s="1"/>
  <c r="H59" i="21"/>
  <c r="H71" i="21" s="1"/>
  <c r="H83" i="21" s="1"/>
  <c r="E57" i="21"/>
  <c r="F57" i="21" s="1"/>
  <c r="G57" i="21" s="1"/>
  <c r="H57" i="21" s="1"/>
  <c r="H34" i="40"/>
  <c r="G35" i="40"/>
  <c r="C27" i="20"/>
  <c r="AG7" i="55"/>
  <c r="H8" i="55"/>
  <c r="K8" i="55" s="1"/>
  <c r="G37" i="23"/>
  <c r="H37" i="23"/>
  <c r="G27" i="10"/>
  <c r="H27" i="10" s="1"/>
  <c r="I85" i="63"/>
  <c r="I84" i="63"/>
  <c r="W9" i="55"/>
  <c r="X8" i="55"/>
  <c r="C168" i="30"/>
  <c r="C171" i="30" s="1"/>
  <c r="C178" i="30" s="1"/>
  <c r="C121" i="30"/>
  <c r="C123" i="30" s="1"/>
  <c r="C96" i="30"/>
  <c r="C101" i="30" s="1"/>
  <c r="C102" i="30" s="1"/>
  <c r="F27" i="30"/>
  <c r="C36" i="51"/>
  <c r="C65" i="23"/>
  <c r="C69" i="23" s="1"/>
  <c r="C72" i="23" s="1"/>
  <c r="C79" i="23" s="1"/>
  <c r="C82" i="23" s="1"/>
  <c r="J12" i="43"/>
  <c r="F24" i="43"/>
  <c r="O11" i="43"/>
  <c r="D42" i="30"/>
  <c r="E42" i="30" s="1"/>
  <c r="F42" i="30" s="1"/>
  <c r="G42" i="30" s="1"/>
  <c r="G65" i="30" s="1"/>
  <c r="E40" i="19"/>
  <c r="E71" i="13"/>
  <c r="H58" i="25"/>
  <c r="C115" i="25" s="1"/>
  <c r="D25" i="43"/>
  <c r="D89" i="22"/>
  <c r="D91" i="22" s="1"/>
  <c r="J27" i="51"/>
  <c r="E109" i="29"/>
  <c r="E123" i="29" s="1"/>
  <c r="C79" i="28"/>
  <c r="I26" i="11"/>
  <c r="I29" i="11" s="1"/>
  <c r="H25" i="38"/>
  <c r="D27" i="38" s="1"/>
  <c r="G23" i="43"/>
  <c r="E92" i="19"/>
  <c r="E13" i="33"/>
  <c r="C66" i="22"/>
  <c r="J54" i="29"/>
  <c r="M49" i="26"/>
  <c r="S49" i="26" s="1"/>
  <c r="D85" i="25"/>
  <c r="D90" i="25" s="1"/>
  <c r="D88" i="19"/>
  <c r="O8" i="55"/>
  <c r="K23" i="43"/>
  <c r="N23" i="43" s="1"/>
  <c r="D60" i="15"/>
  <c r="H91" i="15" s="1"/>
  <c r="D123" i="15" s="1"/>
  <c r="E88" i="19"/>
  <c r="F105" i="28"/>
  <c r="C74" i="22"/>
  <c r="C45" i="16"/>
  <c r="D45" i="16"/>
  <c r="C67" i="21"/>
  <c r="D15" i="33"/>
  <c r="L120" i="29"/>
  <c r="R43" i="24"/>
  <c r="K64" i="51"/>
  <c r="K71" i="51" s="1"/>
  <c r="L72" i="51" s="1"/>
  <c r="E7" i="55"/>
  <c r="D82" i="32"/>
  <c r="L43" i="29"/>
  <c r="G45" i="16"/>
  <c r="H105" i="16" s="1"/>
  <c r="C17" i="33"/>
  <c r="E14" i="33" s="1"/>
  <c r="F14" i="33" s="1"/>
  <c r="E11" i="29"/>
  <c r="F9" i="29" s="1"/>
  <c r="J49" i="29"/>
  <c r="E33" i="27"/>
  <c r="E21" i="21"/>
  <c r="C60" i="21"/>
  <c r="G16" i="40"/>
  <c r="C18" i="40" s="1"/>
  <c r="C108" i="50"/>
  <c r="L13" i="43"/>
  <c r="O13" i="43" s="1"/>
  <c r="D69" i="22"/>
  <c r="F21" i="52"/>
  <c r="C68" i="22"/>
  <c r="E45" i="16"/>
  <c r="F105" i="16" s="1"/>
  <c r="D34" i="27"/>
  <c r="E34" i="27" s="1"/>
  <c r="G26" i="4"/>
  <c r="G22" i="3"/>
  <c r="E22" i="3" s="1"/>
  <c r="J22" i="3" s="1"/>
  <c r="L42" i="29"/>
  <c r="E54" i="28"/>
  <c r="D42" i="18"/>
  <c r="C47" i="19"/>
  <c r="H30" i="10"/>
  <c r="D55" i="40"/>
  <c r="F19" i="61"/>
  <c r="G19" i="61" s="1"/>
  <c r="G22" i="61" s="1"/>
  <c r="G23" i="61" s="1"/>
  <c r="D38" i="61" s="1"/>
  <c r="G34" i="24"/>
  <c r="K25" i="43"/>
  <c r="N25" i="43" s="1"/>
  <c r="F10" i="21"/>
  <c r="D92" i="19"/>
  <c r="G25" i="4"/>
  <c r="F30" i="10"/>
  <c r="F33" i="10" s="1"/>
  <c r="D51" i="30"/>
  <c r="K60" i="29"/>
  <c r="F19" i="21"/>
  <c r="D97" i="18"/>
  <c r="C72" i="18"/>
  <c r="D73" i="18" s="1"/>
  <c r="G34" i="8"/>
  <c r="F58" i="8"/>
  <c r="F61" i="8" s="1"/>
  <c r="D89" i="28"/>
  <c r="C80" i="28"/>
  <c r="C66" i="28"/>
  <c r="F17" i="27"/>
  <c r="F20" i="27" s="1"/>
  <c r="F13" i="27"/>
  <c r="C39" i="27" s="1"/>
  <c r="C44" i="27" s="1"/>
  <c r="E44" i="27" s="1"/>
  <c r="F33" i="24"/>
  <c r="F44" i="24" s="1"/>
  <c r="M34" i="24"/>
  <c r="M33" i="24"/>
  <c r="M44" i="24" s="1"/>
  <c r="C28" i="24"/>
  <c r="E61" i="24" s="1"/>
  <c r="E62" i="24" s="1"/>
  <c r="D33" i="24"/>
  <c r="D44" i="24" s="1"/>
  <c r="D45" i="24" s="1"/>
  <c r="M49" i="24"/>
  <c r="T49" i="24" s="1"/>
  <c r="J49" i="24"/>
  <c r="L49" i="24"/>
  <c r="S49" i="24" s="1"/>
  <c r="U34" i="24"/>
  <c r="T61" i="24" s="1"/>
  <c r="Q35" i="24"/>
  <c r="Q48" i="24" s="1"/>
  <c r="T33" i="24"/>
  <c r="E60" i="26"/>
  <c r="D65" i="26" s="1"/>
  <c r="D64" i="26"/>
  <c r="D77" i="26"/>
  <c r="C53" i="26"/>
  <c r="D64" i="22"/>
  <c r="D71" i="22"/>
  <c r="D61" i="22"/>
  <c r="D68" i="22"/>
  <c r="D58" i="22"/>
  <c r="C72" i="21"/>
  <c r="C79" i="21"/>
  <c r="C84" i="21" s="1"/>
  <c r="E32" i="60"/>
  <c r="E33" i="60"/>
  <c r="E35" i="60" s="1"/>
  <c r="H26" i="8"/>
  <c r="K45" i="29"/>
  <c r="AB9" i="55"/>
  <c r="O9" i="55"/>
  <c r="G41" i="24"/>
  <c r="F42" i="24"/>
  <c r="F43" i="24" s="1"/>
  <c r="F47" i="24" s="1"/>
  <c r="C39" i="61"/>
  <c r="F29" i="61"/>
  <c r="G29" i="61" s="1"/>
  <c r="G32" i="61" s="1"/>
  <c r="G33" i="61" s="1"/>
  <c r="D39" i="61" s="1"/>
  <c r="C38" i="43"/>
  <c r="H27" i="8"/>
  <c r="H69" i="8" s="1"/>
  <c r="E27" i="8"/>
  <c r="E69" i="8" s="1"/>
  <c r="C36" i="30"/>
  <c r="C64" i="15"/>
  <c r="C68" i="15" s="1"/>
  <c r="E48" i="16"/>
  <c r="F44" i="16"/>
  <c r="E51" i="16"/>
  <c r="L51" i="29"/>
  <c r="K51" i="29"/>
  <c r="L52" i="29"/>
  <c r="K52" i="29"/>
  <c r="S34" i="26"/>
  <c r="P34" i="26"/>
  <c r="Q35" i="26" s="1"/>
  <c r="Q48" i="26" s="1"/>
  <c r="P35" i="26"/>
  <c r="P48" i="26" s="1"/>
  <c r="P50" i="26" s="1"/>
  <c r="P51" i="26" s="1"/>
  <c r="P54" i="26" s="1"/>
  <c r="T33" i="26"/>
  <c r="T34" i="26"/>
  <c r="S61" i="26" s="1"/>
  <c r="P33" i="26"/>
  <c r="S33" i="26"/>
  <c r="S44" i="26" s="1"/>
  <c r="R34" i="26"/>
  <c r="R35" i="26" s="1"/>
  <c r="R48" i="26" s="1"/>
  <c r="R28" i="26"/>
  <c r="G32" i="60"/>
  <c r="G33" i="60" s="1"/>
  <c r="G35" i="60" s="1"/>
  <c r="D47" i="26"/>
  <c r="D45" i="26"/>
  <c r="I27" i="8"/>
  <c r="I69" i="8" s="1"/>
  <c r="Q36" i="26"/>
  <c r="D53" i="30"/>
  <c r="D55" i="30" s="1"/>
  <c r="D61" i="30"/>
  <c r="R33" i="26"/>
  <c r="N35" i="26"/>
  <c r="N48" i="26" s="1"/>
  <c r="M35" i="26"/>
  <c r="F33" i="8"/>
  <c r="F39" i="8"/>
  <c r="C24" i="36"/>
  <c r="C15" i="36"/>
  <c r="I22" i="3"/>
  <c r="D23" i="3" s="1"/>
  <c r="L116" i="30"/>
  <c r="O88" i="30"/>
  <c r="D81" i="30"/>
  <c r="L100" i="30"/>
  <c r="D76" i="30"/>
  <c r="E77" i="30" s="1"/>
  <c r="I81" i="13"/>
  <c r="I85" i="13" s="1"/>
  <c r="D46" i="13"/>
  <c r="D54" i="12"/>
  <c r="E109" i="28"/>
  <c r="E113" i="28" s="1"/>
  <c r="G32" i="26"/>
  <c r="G34" i="26" s="1"/>
  <c r="J35" i="26" s="1"/>
  <c r="F34" i="26"/>
  <c r="C32" i="7"/>
  <c r="C39" i="7"/>
  <c r="E19" i="5"/>
  <c r="C54" i="5" s="1"/>
  <c r="I34" i="51"/>
  <c r="I33" i="51"/>
  <c r="I44" i="51" s="1"/>
  <c r="J34" i="51"/>
  <c r="M34" i="51"/>
  <c r="L61" i="51" s="1"/>
  <c r="L62" i="51" s="1"/>
  <c r="M33" i="51"/>
  <c r="J28" i="51"/>
  <c r="L33" i="51"/>
  <c r="L44" i="51" s="1"/>
  <c r="C31" i="7"/>
  <c r="E51" i="18"/>
  <c r="D51" i="18"/>
  <c r="E97" i="18" s="1"/>
  <c r="C29" i="18"/>
  <c r="C30" i="18"/>
  <c r="F15" i="48"/>
  <c r="F16" i="48" s="1"/>
  <c r="E23" i="48"/>
  <c r="G33" i="15"/>
  <c r="C52" i="27"/>
  <c r="D49" i="26"/>
  <c r="C49" i="26"/>
  <c r="C68" i="26" s="1"/>
  <c r="D69" i="26" s="1"/>
  <c r="E49" i="26"/>
  <c r="D94" i="25"/>
  <c r="E56" i="21"/>
  <c r="D60" i="21"/>
  <c r="D56" i="22"/>
  <c r="D86" i="22"/>
  <c r="D87" i="22" s="1"/>
  <c r="D57" i="22"/>
  <c r="D60" i="22"/>
  <c r="E79" i="22"/>
  <c r="C117" i="17"/>
  <c r="C118" i="17"/>
  <c r="C126" i="17"/>
  <c r="C130" i="17"/>
  <c r="C134" i="17"/>
  <c r="C138" i="17"/>
  <c r="C142" i="17"/>
  <c r="C146" i="17"/>
  <c r="C150" i="17"/>
  <c r="C154" i="17"/>
  <c r="C158" i="17"/>
  <c r="C162" i="17"/>
  <c r="C166" i="17"/>
  <c r="C170" i="17"/>
  <c r="C120" i="17"/>
  <c r="C127" i="17"/>
  <c r="C131" i="17"/>
  <c r="C135" i="17"/>
  <c r="C139" i="17"/>
  <c r="C143" i="17"/>
  <c r="C147" i="17"/>
  <c r="C151" i="17"/>
  <c r="C155" i="17"/>
  <c r="C159" i="17"/>
  <c r="C163" i="17"/>
  <c r="C167" i="17"/>
  <c r="C171" i="17"/>
  <c r="E33" i="26"/>
  <c r="E44" i="26" s="1"/>
  <c r="E45" i="26" s="1"/>
  <c r="J58" i="29"/>
  <c r="C89" i="22"/>
  <c r="C91" i="22" s="1"/>
  <c r="C69" i="22"/>
  <c r="C169" i="17"/>
  <c r="C161" i="17"/>
  <c r="C153" i="17"/>
  <c r="C145" i="17"/>
  <c r="C137" i="17"/>
  <c r="C129" i="17"/>
  <c r="C114" i="17"/>
  <c r="D63" i="19"/>
  <c r="E56" i="19"/>
  <c r="E30" i="21"/>
  <c r="G23" i="48"/>
  <c r="L33" i="26"/>
  <c r="L44" i="26" s="1"/>
  <c r="E42" i="8"/>
  <c r="E43" i="8" s="1"/>
  <c r="E53" i="8" s="1"/>
  <c r="C25" i="24"/>
  <c r="C78" i="24" s="1"/>
  <c r="E80" i="22"/>
  <c r="C168" i="17"/>
  <c r="C160" i="17"/>
  <c r="C152" i="17"/>
  <c r="C144" i="17"/>
  <c r="C136" i="17"/>
  <c r="C128" i="17"/>
  <c r="E60" i="18"/>
  <c r="H105" i="18"/>
  <c r="D67" i="18"/>
  <c r="E43" i="13"/>
  <c r="D60" i="32"/>
  <c r="F71" i="32"/>
  <c r="G36" i="23"/>
  <c r="G55" i="40"/>
  <c r="C57" i="40" s="1"/>
  <c r="D113" i="15"/>
  <c r="D60" i="44"/>
  <c r="J60" i="44" s="1"/>
  <c r="C60" i="44"/>
  <c r="E59" i="44"/>
  <c r="K59" i="44" s="1"/>
  <c r="B61" i="44"/>
  <c r="C61" i="44" s="1"/>
  <c r="D59" i="44"/>
  <c r="J59" i="44" s="1"/>
  <c r="B35" i="44"/>
  <c r="B36" i="44" s="1"/>
  <c r="C36" i="44" s="1"/>
  <c r="E34" i="44"/>
  <c r="K34" i="44" s="1"/>
  <c r="F58" i="44"/>
  <c r="L58" i="44" s="1"/>
  <c r="C34" i="44"/>
  <c r="F33" i="44"/>
  <c r="L33" i="44" s="1"/>
  <c r="J34" i="44"/>
  <c r="E74" i="63"/>
  <c r="D84" i="63"/>
  <c r="AL26" i="55"/>
  <c r="AK26" i="55"/>
  <c r="I106" i="13"/>
  <c r="U18" i="55"/>
  <c r="F41" i="51"/>
  <c r="E42" i="51"/>
  <c r="E43" i="51" s="1"/>
  <c r="F40" i="48"/>
  <c r="N100" i="30"/>
  <c r="M116" i="30" s="1"/>
  <c r="N99" i="30"/>
  <c r="E26" i="49"/>
  <c r="J25" i="49"/>
  <c r="C66" i="25"/>
  <c r="C67" i="25" s="1"/>
  <c r="D65" i="25"/>
  <c r="E32" i="51"/>
  <c r="D34" i="51"/>
  <c r="F39" i="2"/>
  <c r="E19" i="7"/>
  <c r="G123" i="29"/>
  <c r="C33" i="50"/>
  <c r="D37" i="50"/>
  <c r="C37" i="50"/>
  <c r="C38" i="50"/>
  <c r="C39" i="50" s="1"/>
  <c r="C52" i="50" s="1"/>
  <c r="C56" i="50" s="1"/>
  <c r="C57" i="50" s="1"/>
  <c r="G37" i="50"/>
  <c r="D38" i="50"/>
  <c r="F37" i="50"/>
  <c r="E38" i="50"/>
  <c r="F39" i="50" s="1"/>
  <c r="F52" i="50" s="1"/>
  <c r="G38" i="50"/>
  <c r="E64" i="50" s="1"/>
  <c r="E37" i="50"/>
  <c r="G12" i="55"/>
  <c r="S11" i="55"/>
  <c r="G47" i="30"/>
  <c r="F48" i="30"/>
  <c r="F49" i="30" s="1"/>
  <c r="D69" i="17"/>
  <c r="E65" i="17"/>
  <c r="D70" i="17" s="1"/>
  <c r="F30" i="3"/>
  <c r="I37" i="29"/>
  <c r="I38" i="29" s="1"/>
  <c r="I39" i="29" s="1"/>
  <c r="I40" i="29" s="1"/>
  <c r="I41" i="29" s="1"/>
  <c r="I42" i="29" s="1"/>
  <c r="I43" i="29" s="1"/>
  <c r="I44" i="29" s="1"/>
  <c r="I45" i="29" s="1"/>
  <c r="I46" i="29" s="1"/>
  <c r="I47" i="29" s="1"/>
  <c r="I48" i="29" s="1"/>
  <c r="I49" i="29" s="1"/>
  <c r="I50" i="29" s="1"/>
  <c r="I51" i="29" s="1"/>
  <c r="I52" i="29" s="1"/>
  <c r="I53" i="29" s="1"/>
  <c r="I54" i="29" s="1"/>
  <c r="I55" i="29" s="1"/>
  <c r="I56" i="29" s="1"/>
  <c r="I57" i="29" s="1"/>
  <c r="I58" i="29" s="1"/>
  <c r="I59" i="29" s="1"/>
  <c r="I60" i="29" s="1"/>
  <c r="I61" i="29" s="1"/>
  <c r="L37" i="29"/>
  <c r="H62" i="29"/>
  <c r="H63" i="29"/>
  <c r="D66" i="29" s="1"/>
  <c r="D67" i="29" s="1"/>
  <c r="D69" i="29" s="1"/>
  <c r="C109" i="29"/>
  <c r="C112" i="29" s="1"/>
  <c r="E35" i="17"/>
  <c r="N104" i="30"/>
  <c r="C65" i="15"/>
  <c r="C67" i="15" s="1"/>
  <c r="F12" i="21"/>
  <c r="G10" i="21"/>
  <c r="F13" i="33"/>
  <c r="E38" i="59"/>
  <c r="C40" i="59"/>
  <c r="E65" i="16"/>
  <c r="E67" i="16" s="1"/>
  <c r="H106" i="16"/>
  <c r="C22" i="31"/>
  <c r="H22" i="31"/>
  <c r="AB7" i="55"/>
  <c r="O7" i="55"/>
  <c r="D41" i="59"/>
  <c r="D42" i="59" s="1"/>
  <c r="D46" i="59" s="1"/>
  <c r="D47" i="24"/>
  <c r="B23" i="46"/>
  <c r="E36" i="27"/>
  <c r="D40" i="27"/>
  <c r="R33" i="24"/>
  <c r="Q33" i="24"/>
  <c r="R28" i="24"/>
  <c r="S33" i="24"/>
  <c r="U33" i="24"/>
  <c r="T34" i="24"/>
  <c r="U35" i="24" s="1"/>
  <c r="U48" i="24" s="1"/>
  <c r="R34" i="24"/>
  <c r="S34" i="24"/>
  <c r="E47" i="26"/>
  <c r="E50" i="26" s="1"/>
  <c r="E51" i="26" s="1"/>
  <c r="E54" i="26" s="1"/>
  <c r="C14" i="35"/>
  <c r="D14" i="35" s="1"/>
  <c r="E14" i="35" s="1"/>
  <c r="B15" i="35"/>
  <c r="B25" i="33"/>
  <c r="L117" i="30"/>
  <c r="I26" i="30"/>
  <c r="T44" i="24"/>
  <c r="E83" i="13"/>
  <c r="F76" i="13"/>
  <c r="I74" i="8"/>
  <c r="I68" i="8"/>
  <c r="D27" i="20"/>
  <c r="D25" i="20"/>
  <c r="D26" i="20"/>
  <c r="E31" i="20"/>
  <c r="L59" i="29"/>
  <c r="K59" i="29"/>
  <c r="L44" i="29"/>
  <c r="K44" i="29"/>
  <c r="D10" i="55"/>
  <c r="E10" i="55"/>
  <c r="B11" i="55"/>
  <c r="L71" i="26"/>
  <c r="M72" i="26" s="1"/>
  <c r="M73" i="26" s="1"/>
  <c r="C43" i="5"/>
  <c r="D34" i="59"/>
  <c r="E34" i="59" s="1"/>
  <c r="E32" i="59"/>
  <c r="E19" i="32"/>
  <c r="D19" i="32"/>
  <c r="F19" i="32" s="1"/>
  <c r="G19" i="32" s="1"/>
  <c r="C20" i="32" s="1"/>
  <c r="H19" i="32"/>
  <c r="G35" i="24"/>
  <c r="G48" i="24" s="1"/>
  <c r="C34" i="15"/>
  <c r="E35" i="30"/>
  <c r="D35" i="30"/>
  <c r="F37" i="25"/>
  <c r="L37" i="25"/>
  <c r="L86" i="25" s="1"/>
  <c r="G37" i="25"/>
  <c r="C37" i="25"/>
  <c r="K37" i="25"/>
  <c r="I37" i="25"/>
  <c r="E37" i="25"/>
  <c r="H37" i="25"/>
  <c r="D37" i="25"/>
  <c r="J37" i="25"/>
  <c r="J86" i="25" s="1"/>
  <c r="N36" i="26"/>
  <c r="N44" i="26"/>
  <c r="D14" i="38"/>
  <c r="C34" i="5"/>
  <c r="C31" i="5"/>
  <c r="G18" i="5"/>
  <c r="C38" i="5"/>
  <c r="C39" i="5"/>
  <c r="C35" i="5"/>
  <c r="C40" i="5"/>
  <c r="C41" i="5"/>
  <c r="C37" i="5"/>
  <c r="G103" i="28"/>
  <c r="G105" i="28" s="1"/>
  <c r="F106" i="28"/>
  <c r="F32" i="19"/>
  <c r="E54" i="13"/>
  <c r="D59" i="13"/>
  <c r="D82" i="13"/>
  <c r="D85" i="13" s="1"/>
  <c r="D106" i="13" s="1"/>
  <c r="D78" i="13"/>
  <c r="E74" i="13"/>
  <c r="E58" i="22"/>
  <c r="F27" i="8"/>
  <c r="G26" i="8"/>
  <c r="F26" i="8"/>
  <c r="E28" i="8"/>
  <c r="E48" i="8" s="1"/>
  <c r="E49" i="8" s="1"/>
  <c r="E50" i="8" s="1"/>
  <c r="E54" i="8" s="1"/>
  <c r="E26" i="8"/>
  <c r="G27" i="8"/>
  <c r="C109" i="25"/>
  <c r="C113" i="25"/>
  <c r="C54" i="52"/>
  <c r="C47" i="52"/>
  <c r="C49" i="52"/>
  <c r="C53" i="52"/>
  <c r="C55" i="52"/>
  <c r="C51" i="52"/>
  <c r="C45" i="52"/>
  <c r="D39" i="16"/>
  <c r="C39" i="16"/>
  <c r="F42" i="26"/>
  <c r="F43" i="26" s="1"/>
  <c r="G41" i="26"/>
  <c r="C54" i="16"/>
  <c r="D107" i="16" s="1"/>
  <c r="C129" i="16"/>
  <c r="C33" i="5"/>
  <c r="K26" i="26"/>
  <c r="K25" i="26"/>
  <c r="R25" i="26"/>
  <c r="R79" i="26" s="1"/>
  <c r="E30" i="20"/>
  <c r="G105" i="16"/>
  <c r="F47" i="16"/>
  <c r="C141" i="16"/>
  <c r="C135" i="16"/>
  <c r="C136" i="16"/>
  <c r="D47" i="16"/>
  <c r="D49" i="16" s="1"/>
  <c r="C134" i="16"/>
  <c r="C139" i="16"/>
  <c r="C140" i="16"/>
  <c r="J51" i="59"/>
  <c r="R8" i="49"/>
  <c r="J23" i="49"/>
  <c r="F67" i="46"/>
  <c r="D40" i="38"/>
  <c r="E32" i="27"/>
  <c r="F13" i="35"/>
  <c r="G13" i="35" s="1"/>
  <c r="D13" i="35"/>
  <c r="E13" i="35" s="1"/>
  <c r="E74" i="30"/>
  <c r="E78" i="30" s="1"/>
  <c r="F63" i="25"/>
  <c r="E85" i="25"/>
  <c r="D50" i="22"/>
  <c r="D65" i="22" s="1"/>
  <c r="C65" i="22"/>
  <c r="D57" i="23"/>
  <c r="D75" i="23"/>
  <c r="E67" i="23"/>
  <c r="D54" i="23"/>
  <c r="D58" i="23"/>
  <c r="E68" i="23"/>
  <c r="D55" i="23"/>
  <c r="D81" i="23"/>
  <c r="E52" i="23"/>
  <c r="D59" i="23"/>
  <c r="D56" i="23"/>
  <c r="D61" i="23"/>
  <c r="D74" i="23"/>
  <c r="C99" i="15"/>
  <c r="C100" i="15" s="1"/>
  <c r="C91" i="15"/>
  <c r="F80" i="21"/>
  <c r="F30" i="21"/>
  <c r="P14" i="43"/>
  <c r="G17" i="43"/>
  <c r="F25" i="49"/>
  <c r="G30" i="21"/>
  <c r="H28" i="21"/>
  <c r="G39" i="16"/>
  <c r="E39" i="59"/>
  <c r="C44" i="59"/>
  <c r="E44" i="59" s="1"/>
  <c r="I53" i="59"/>
  <c r="I54" i="59" s="1"/>
  <c r="J55" i="59" s="1"/>
  <c r="J56" i="59" s="1"/>
  <c r="F35" i="26"/>
  <c r="F48" i="26" s="1"/>
  <c r="F67" i="8"/>
  <c r="G67" i="8"/>
  <c r="E67" i="8"/>
  <c r="G27" i="4"/>
  <c r="D109" i="29"/>
  <c r="H102" i="28"/>
  <c r="E49" i="24"/>
  <c r="F49" i="24"/>
  <c r="C49" i="24"/>
  <c r="C68" i="24" s="1"/>
  <c r="D69" i="24" s="1"/>
  <c r="D71" i="24" s="1"/>
  <c r="E72" i="24" s="1"/>
  <c r="E73" i="24" s="1"/>
  <c r="G49" i="24"/>
  <c r="N33" i="24"/>
  <c r="C34" i="24"/>
  <c r="E33" i="24"/>
  <c r="J34" i="24"/>
  <c r="J35" i="24" s="1"/>
  <c r="J48" i="24" s="1"/>
  <c r="N34" i="24"/>
  <c r="L61" i="24" s="1"/>
  <c r="D34" i="24"/>
  <c r="L33" i="24"/>
  <c r="G33" i="24"/>
  <c r="L34" i="24"/>
  <c r="M35" i="24" s="1"/>
  <c r="K34" i="24"/>
  <c r="J33" i="24"/>
  <c r="C33" i="24"/>
  <c r="K33" i="24"/>
  <c r="E34" i="24"/>
  <c r="F35" i="24" s="1"/>
  <c r="K49" i="24"/>
  <c r="R49" i="24" s="1"/>
  <c r="N49" i="24"/>
  <c r="U49" i="24" s="1"/>
  <c r="C29" i="17"/>
  <c r="E52" i="17"/>
  <c r="F98" i="17" s="1"/>
  <c r="F52" i="17"/>
  <c r="C28" i="17"/>
  <c r="C105" i="17"/>
  <c r="G52" i="17"/>
  <c r="D52" i="17"/>
  <c r="E98" i="17" s="1"/>
  <c r="C52" i="17"/>
  <c r="D68" i="17"/>
  <c r="C72" i="17"/>
  <c r="G53" i="16"/>
  <c r="C53" i="16"/>
  <c r="E53" i="16"/>
  <c r="F99" i="16" s="1"/>
  <c r="F53" i="16"/>
  <c r="G99" i="16" s="1"/>
  <c r="D53" i="16"/>
  <c r="E99" i="16" s="1"/>
  <c r="C41" i="7"/>
  <c r="H18" i="7"/>
  <c r="C37" i="7"/>
  <c r="C38" i="7"/>
  <c r="C48" i="30"/>
  <c r="C49" i="30" s="1"/>
  <c r="K109" i="29"/>
  <c r="H109" i="29"/>
  <c r="C87" i="28"/>
  <c r="C39" i="28"/>
  <c r="F46" i="12"/>
  <c r="E73" i="12"/>
  <c r="E49" i="12"/>
  <c r="E52" i="12" s="1"/>
  <c r="F58" i="12"/>
  <c r="F60" i="12"/>
  <c r="P10" i="43"/>
  <c r="O10" i="43"/>
  <c r="C34" i="26"/>
  <c r="C28" i="26"/>
  <c r="E61" i="26" s="1"/>
  <c r="E62" i="26" s="1"/>
  <c r="K34" i="26"/>
  <c r="L35" i="26" s="1"/>
  <c r="F33" i="26"/>
  <c r="H35" i="40"/>
  <c r="C37" i="40" s="1"/>
  <c r="F29" i="60"/>
  <c r="C23" i="60"/>
  <c r="E104" i="32"/>
  <c r="C40" i="32"/>
  <c r="F51" i="32"/>
  <c r="J39" i="29"/>
  <c r="J50" i="29"/>
  <c r="J61" i="29"/>
  <c r="J38" i="29"/>
  <c r="J46" i="29"/>
  <c r="J57" i="29"/>
  <c r="J109" i="29"/>
  <c r="I109" i="29"/>
  <c r="F109" i="29"/>
  <c r="K28" i="26"/>
  <c r="C64" i="22"/>
  <c r="F31" i="10"/>
  <c r="F54" i="10" s="1"/>
  <c r="C25" i="36"/>
  <c r="C49" i="51"/>
  <c r="C68" i="51" s="1"/>
  <c r="D69" i="51" s="1"/>
  <c r="D71" i="51" s="1"/>
  <c r="E72" i="51" s="1"/>
  <c r="I77" i="51" s="1"/>
  <c r="F49" i="51"/>
  <c r="C25" i="51"/>
  <c r="G49" i="51"/>
  <c r="E49" i="51"/>
  <c r="D49" i="51"/>
  <c r="E50" i="62"/>
  <c r="F50" i="62" s="1"/>
  <c r="G50" i="62" s="1"/>
  <c r="H50" i="62" s="1"/>
  <c r="I50" i="62" s="1"/>
  <c r="D51" i="62"/>
  <c r="D54" i="62" s="1"/>
  <c r="F16" i="2"/>
  <c r="E24" i="2"/>
  <c r="J25" i="24"/>
  <c r="R25" i="24"/>
  <c r="S79" i="24" s="1"/>
  <c r="J27" i="24"/>
  <c r="J28" i="24" s="1"/>
  <c r="G23" i="49"/>
  <c r="H23" i="49" s="1"/>
  <c r="I23" i="49" s="1"/>
  <c r="D24" i="49" s="1"/>
  <c r="P8" i="49"/>
  <c r="C85" i="39"/>
  <c r="C87" i="39" s="1"/>
  <c r="H17" i="46"/>
  <c r="D17" i="46"/>
  <c r="F17" i="46" s="1"/>
  <c r="C27" i="19"/>
  <c r="E34" i="19" s="1"/>
  <c r="C100" i="19"/>
  <c r="E49" i="19"/>
  <c r="F92" i="19" s="1"/>
  <c r="F49" i="19"/>
  <c r="D30" i="10"/>
  <c r="E30" i="10"/>
  <c r="E33" i="10" s="1"/>
  <c r="G30" i="10"/>
  <c r="B16" i="56"/>
  <c r="B18" i="56" s="1"/>
  <c r="C24" i="56" s="1"/>
  <c r="B30" i="56"/>
  <c r="D75" i="50"/>
  <c r="D77" i="50" s="1"/>
  <c r="E78" i="50" s="1"/>
  <c r="D44" i="50"/>
  <c r="D95" i="50"/>
  <c r="I88" i="63"/>
  <c r="I109" i="63" s="1"/>
  <c r="I74" i="63"/>
  <c r="I81" i="63" s="1"/>
  <c r="D85" i="63"/>
  <c r="E77" i="63"/>
  <c r="G49" i="60"/>
  <c r="G51" i="60" s="1"/>
  <c r="G55" i="60" s="1"/>
  <c r="H60" i="60"/>
  <c r="H44" i="60"/>
  <c r="E73" i="62"/>
  <c r="F61" i="62"/>
  <c r="F57" i="62"/>
  <c r="F58" i="62"/>
  <c r="F59" i="62"/>
  <c r="F46" i="62"/>
  <c r="F64" i="62"/>
  <c r="E49" i="62"/>
  <c r="F60" i="62"/>
  <c r="D79" i="63"/>
  <c r="D81" i="63" s="1"/>
  <c r="E30" i="63"/>
  <c r="D49" i="63" s="1"/>
  <c r="E49" i="63" s="1"/>
  <c r="E57" i="63"/>
  <c r="D62" i="63"/>
  <c r="B13" i="56"/>
  <c r="F51" i="60"/>
  <c r="F55" i="60" s="1"/>
  <c r="E51" i="60"/>
  <c r="E55" i="60" s="1"/>
  <c r="E46" i="63"/>
  <c r="H84" i="63"/>
  <c r="D51" i="60"/>
  <c r="D55" i="60" s="1"/>
  <c r="H29" i="60"/>
  <c r="H30" i="60" s="1"/>
  <c r="D30" i="60"/>
  <c r="E56" i="30" l="1"/>
  <c r="E55" i="30"/>
  <c r="E77" i="51"/>
  <c r="D53" i="51"/>
  <c r="C72" i="22"/>
  <c r="E61" i="22"/>
  <c r="L62" i="24"/>
  <c r="E36" i="60"/>
  <c r="E72" i="60" s="1"/>
  <c r="E51" i="12"/>
  <c r="C106" i="25"/>
  <c r="N87" i="30"/>
  <c r="E39" i="16"/>
  <c r="C77" i="26"/>
  <c r="F7" i="61"/>
  <c r="G7" i="61" s="1"/>
  <c r="G12" i="61" s="1"/>
  <c r="G13" i="61" s="1"/>
  <c r="D37" i="61" s="1"/>
  <c r="D77" i="51"/>
  <c r="C53" i="51"/>
  <c r="E92" i="26"/>
  <c r="C53" i="27"/>
  <c r="C54" i="27" s="1"/>
  <c r="D55" i="27" s="1"/>
  <c r="C112" i="25"/>
  <c r="E64" i="22"/>
  <c r="E59" i="22"/>
  <c r="E69" i="21"/>
  <c r="F52" i="16"/>
  <c r="C37" i="61"/>
  <c r="F33" i="15"/>
  <c r="Q15" i="43"/>
  <c r="D38" i="43"/>
  <c r="I53" i="27"/>
  <c r="I54" i="27" s="1"/>
  <c r="J55" i="27" s="1"/>
  <c r="C114" i="25"/>
  <c r="E85" i="22"/>
  <c r="E90" i="22"/>
  <c r="D81" i="21"/>
  <c r="F9" i="61"/>
  <c r="G9" i="61" s="1"/>
  <c r="C69" i="15"/>
  <c r="E67" i="22"/>
  <c r="E50" i="22"/>
  <c r="E65" i="22" s="1"/>
  <c r="E57" i="22"/>
  <c r="F81" i="22"/>
  <c r="E70" i="22"/>
  <c r="F80" i="22"/>
  <c r="E74" i="22"/>
  <c r="E86" i="22"/>
  <c r="E62" i="22"/>
  <c r="F54" i="22"/>
  <c r="E39" i="27"/>
  <c r="E63" i="22"/>
  <c r="F79" i="22"/>
  <c r="K54" i="52"/>
  <c r="K46" i="52"/>
  <c r="K53" i="52"/>
  <c r="K52" i="52"/>
  <c r="K49" i="52"/>
  <c r="K55" i="52"/>
  <c r="K47" i="52"/>
  <c r="K56" i="52"/>
  <c r="K48" i="52"/>
  <c r="K45" i="52"/>
  <c r="K51" i="52"/>
  <c r="K50" i="52"/>
  <c r="Q45" i="26"/>
  <c r="Q53" i="26" s="1"/>
  <c r="H74" i="8"/>
  <c r="H68" i="8"/>
  <c r="Q47" i="26"/>
  <c r="R43" i="26"/>
  <c r="D72" i="22"/>
  <c r="C110" i="25"/>
  <c r="E69" i="22"/>
  <c r="E89" i="22"/>
  <c r="F107" i="28"/>
  <c r="F109" i="28" s="1"/>
  <c r="F34" i="30"/>
  <c r="G35" i="30" s="1"/>
  <c r="E34" i="15"/>
  <c r="E55" i="8"/>
  <c r="E62" i="8" s="1"/>
  <c r="E63" i="8" s="1"/>
  <c r="E56" i="22"/>
  <c r="E60" i="22"/>
  <c r="Q50" i="26"/>
  <c r="Q51" i="26" s="1"/>
  <c r="Q54" i="26" s="1"/>
  <c r="E47" i="17"/>
  <c r="E53" i="17" s="1"/>
  <c r="F43" i="17"/>
  <c r="F94" i="17"/>
  <c r="E50" i="17"/>
  <c r="C36" i="43"/>
  <c r="P13" i="43"/>
  <c r="C123" i="16"/>
  <c r="C127" i="16"/>
  <c r="D105" i="16"/>
  <c r="D109" i="16" s="1"/>
  <c r="C47" i="16"/>
  <c r="C49" i="16" s="1"/>
  <c r="D84" i="16" s="1"/>
  <c r="C121" i="16"/>
  <c r="E29" i="8"/>
  <c r="E15" i="3"/>
  <c r="O16" i="29"/>
  <c r="O19" i="29" s="1"/>
  <c r="F21" i="21"/>
  <c r="F68" i="21"/>
  <c r="G19" i="21"/>
  <c r="C109" i="50"/>
  <c r="C116" i="50"/>
  <c r="L54" i="29"/>
  <c r="K54" i="29"/>
  <c r="C108" i="25"/>
  <c r="C111" i="25"/>
  <c r="C107" i="25"/>
  <c r="G62" i="30"/>
  <c r="G36" i="30"/>
  <c r="C120" i="16"/>
  <c r="F8" i="29"/>
  <c r="G24" i="43"/>
  <c r="L12" i="43"/>
  <c r="K24" i="43"/>
  <c r="N24" i="43" s="1"/>
  <c r="N29" i="43" s="1"/>
  <c r="C119" i="16"/>
  <c r="F45" i="24"/>
  <c r="F53" i="24" s="1"/>
  <c r="D22" i="33"/>
  <c r="F22" i="33" s="1"/>
  <c r="F10" i="29"/>
  <c r="C122" i="16"/>
  <c r="S43" i="24"/>
  <c r="R47" i="24"/>
  <c r="E81" i="13"/>
  <c r="F71" i="13"/>
  <c r="D87" i="25"/>
  <c r="D91" i="25" s="1"/>
  <c r="D96" i="25" s="1"/>
  <c r="D98" i="25" s="1"/>
  <c r="C126" i="16"/>
  <c r="E47" i="19"/>
  <c r="F40" i="19"/>
  <c r="G92" i="19" s="1"/>
  <c r="F88" i="19"/>
  <c r="H31" i="10"/>
  <c r="H33" i="10"/>
  <c r="I27" i="10"/>
  <c r="H37" i="10" s="1"/>
  <c r="C124" i="16"/>
  <c r="N89" i="30"/>
  <c r="E42" i="18"/>
  <c r="E93" i="18"/>
  <c r="D49" i="18"/>
  <c r="D46" i="18"/>
  <c r="D52" i="18" s="1"/>
  <c r="E47" i="16"/>
  <c r="F35" i="30"/>
  <c r="C128" i="16"/>
  <c r="C50" i="5"/>
  <c r="D55" i="28"/>
  <c r="G55" i="28" s="1"/>
  <c r="H21" i="52"/>
  <c r="C46" i="52"/>
  <c r="G21" i="52"/>
  <c r="F22" i="52" s="1"/>
  <c r="C52" i="52"/>
  <c r="C50" i="52"/>
  <c r="C56" i="52"/>
  <c r="C48" i="52"/>
  <c r="AA8" i="55"/>
  <c r="M9" i="55"/>
  <c r="N9" i="55" s="1"/>
  <c r="P8" i="55"/>
  <c r="G29" i="4"/>
  <c r="C31" i="4" s="1"/>
  <c r="C125" i="16"/>
  <c r="C47" i="5"/>
  <c r="T35" i="24"/>
  <c r="T48" i="24" s="1"/>
  <c r="C130" i="16"/>
  <c r="L49" i="29"/>
  <c r="K49" i="29"/>
  <c r="C137" i="16"/>
  <c r="C138" i="16"/>
  <c r="C142" i="16"/>
  <c r="C131" i="16"/>
  <c r="C132" i="16"/>
  <c r="C133" i="16"/>
  <c r="E105" i="16"/>
  <c r="E109" i="16" s="1"/>
  <c r="J33" i="51"/>
  <c r="J44" i="51" s="1"/>
  <c r="K34" i="51"/>
  <c r="K33" i="51"/>
  <c r="K44" i="51" s="1"/>
  <c r="L34" i="51"/>
  <c r="C34" i="43"/>
  <c r="P11" i="43"/>
  <c r="W10" i="55"/>
  <c r="X9" i="55"/>
  <c r="H9" i="55"/>
  <c r="K9" i="55" s="1"/>
  <c r="P9" i="55" s="1"/>
  <c r="AG8" i="55"/>
  <c r="E39" i="61"/>
  <c r="F39" i="61"/>
  <c r="E61" i="18"/>
  <c r="D68" i="18" s="1"/>
  <c r="C35" i="18"/>
  <c r="D35" i="18"/>
  <c r="E35" i="18"/>
  <c r="C36" i="18"/>
  <c r="F35" i="18"/>
  <c r="D36" i="18"/>
  <c r="G35" i="18"/>
  <c r="C31" i="18"/>
  <c r="E46" i="13"/>
  <c r="E48" i="13" s="1"/>
  <c r="D48" i="13"/>
  <c r="F47" i="8"/>
  <c r="F43" i="8"/>
  <c r="F53" i="8" s="1"/>
  <c r="M10" i="55"/>
  <c r="AA9" i="55"/>
  <c r="Q49" i="24"/>
  <c r="R68" i="24" s="1"/>
  <c r="S69" i="24" s="1"/>
  <c r="J68" i="24"/>
  <c r="K69" i="24" s="1"/>
  <c r="K71" i="24" s="1"/>
  <c r="L72" i="24" s="1"/>
  <c r="C52" i="5"/>
  <c r="G19" i="5"/>
  <c r="C45" i="5"/>
  <c r="F14" i="35"/>
  <c r="G14" i="35" s="1"/>
  <c r="E36" i="26"/>
  <c r="C77" i="24"/>
  <c r="I28" i="8"/>
  <c r="I48" i="8" s="1"/>
  <c r="E36" i="18"/>
  <c r="E71" i="22"/>
  <c r="E68" i="22"/>
  <c r="E24" i="48"/>
  <c r="H23" i="48"/>
  <c r="I23" i="48" s="1"/>
  <c r="D24" i="48" s="1"/>
  <c r="G24" i="48" s="1"/>
  <c r="J23" i="48"/>
  <c r="G33" i="8"/>
  <c r="G39" i="8"/>
  <c r="R44" i="26"/>
  <c r="R36" i="26"/>
  <c r="E77" i="26"/>
  <c r="D53" i="26"/>
  <c r="P44" i="26"/>
  <c r="P45" i="26" s="1"/>
  <c r="P53" i="26" s="1"/>
  <c r="P55" i="26" s="1"/>
  <c r="S77" i="26" s="1"/>
  <c r="P36" i="26"/>
  <c r="G95" i="16"/>
  <c r="G44" i="16"/>
  <c r="F51" i="16"/>
  <c r="F48" i="16"/>
  <c r="F49" i="16" s="1"/>
  <c r="G84" i="16" s="1"/>
  <c r="G42" i="24"/>
  <c r="G43" i="24" s="1"/>
  <c r="G47" i="24" s="1"/>
  <c r="G50" i="24" s="1"/>
  <c r="G51" i="24" s="1"/>
  <c r="G54" i="24" s="1"/>
  <c r="J41" i="24"/>
  <c r="D50" i="27"/>
  <c r="D51" i="27" s="1"/>
  <c r="J50" i="27"/>
  <c r="J51" i="27" s="1"/>
  <c r="C38" i="27"/>
  <c r="J36" i="26"/>
  <c r="J48" i="26"/>
  <c r="G36" i="60"/>
  <c r="G72" i="60" s="1"/>
  <c r="C53" i="5"/>
  <c r="D56" i="30"/>
  <c r="E112" i="30" s="1"/>
  <c r="E114" i="30" s="1"/>
  <c r="D39" i="50"/>
  <c r="D52" i="50" s="1"/>
  <c r="F34" i="44"/>
  <c r="L34" i="44" s="1"/>
  <c r="M44" i="51"/>
  <c r="I35" i="51"/>
  <c r="J35" i="51"/>
  <c r="M36" i="26"/>
  <c r="M48" i="26"/>
  <c r="T35" i="26"/>
  <c r="T48" i="26" s="1"/>
  <c r="E54" i="16"/>
  <c r="F107" i="16" s="1"/>
  <c r="F109" i="16" s="1"/>
  <c r="C146" i="16"/>
  <c r="C151" i="16"/>
  <c r="C152" i="16"/>
  <c r="C145" i="16"/>
  <c r="C150" i="16"/>
  <c r="C143" i="16"/>
  <c r="C149" i="16"/>
  <c r="C154" i="16"/>
  <c r="C144" i="16"/>
  <c r="C148" i="16"/>
  <c r="C153" i="16"/>
  <c r="C147" i="16"/>
  <c r="F36" i="18"/>
  <c r="E49" i="16"/>
  <c r="F84" i="16" s="1"/>
  <c r="D71" i="26"/>
  <c r="E72" i="26" s="1"/>
  <c r="E73" i="26" s="1"/>
  <c r="G58" i="8"/>
  <c r="G61" i="8" s="1"/>
  <c r="H34" i="8"/>
  <c r="G40" i="15"/>
  <c r="G34" i="15"/>
  <c r="C48" i="5"/>
  <c r="C49" i="5"/>
  <c r="C51" i="5"/>
  <c r="G23" i="3"/>
  <c r="E23" i="3" s="1"/>
  <c r="J23" i="3" s="1"/>
  <c r="I23" i="3"/>
  <c r="D24" i="3" s="1"/>
  <c r="L35" i="24"/>
  <c r="L48" i="24" s="1"/>
  <c r="E35" i="24"/>
  <c r="E48" i="24" s="1"/>
  <c r="E50" i="24" s="1"/>
  <c r="E51" i="24" s="1"/>
  <c r="E54" i="24" s="1"/>
  <c r="G35" i="26"/>
  <c r="E75" i="30"/>
  <c r="K72" i="25"/>
  <c r="C46" i="5"/>
  <c r="F19" i="5"/>
  <c r="E20" i="5" s="1"/>
  <c r="C60" i="5" s="1"/>
  <c r="C44" i="5"/>
  <c r="E39" i="50"/>
  <c r="E52" i="50" s="1"/>
  <c r="E36" i="44"/>
  <c r="K36" i="44" s="1"/>
  <c r="E57" i="19"/>
  <c r="D64" i="19" s="1"/>
  <c r="D70" i="19" s="1"/>
  <c r="E71" i="19" s="1"/>
  <c r="L58" i="29"/>
  <c r="K58" i="29"/>
  <c r="F56" i="21"/>
  <c r="E60" i="21"/>
  <c r="L73" i="51"/>
  <c r="D62" i="12"/>
  <c r="D65" i="12" s="1"/>
  <c r="D69" i="12" s="1"/>
  <c r="S35" i="26"/>
  <c r="T44" i="26"/>
  <c r="M35" i="51"/>
  <c r="M48" i="51" s="1"/>
  <c r="G36" i="18"/>
  <c r="D35" i="44"/>
  <c r="J35" i="44" s="1"/>
  <c r="D36" i="44"/>
  <c r="J36" i="44" s="1"/>
  <c r="E61" i="44"/>
  <c r="K61" i="44" s="1"/>
  <c r="F60" i="44"/>
  <c r="L60" i="44" s="1"/>
  <c r="B37" i="44"/>
  <c r="C37" i="44" s="1"/>
  <c r="C35" i="44"/>
  <c r="E35" i="44"/>
  <c r="K35" i="44" s="1"/>
  <c r="F59" i="44"/>
  <c r="L59" i="44" s="1"/>
  <c r="B62" i="44"/>
  <c r="D61" i="44"/>
  <c r="J61" i="44" s="1"/>
  <c r="F74" i="63"/>
  <c r="F84" i="63" s="1"/>
  <c r="E84" i="63"/>
  <c r="F47" i="26"/>
  <c r="F50" i="26" s="1"/>
  <c r="F51" i="26" s="1"/>
  <c r="F54" i="26" s="1"/>
  <c r="C50" i="30"/>
  <c r="C51" i="30" s="1"/>
  <c r="E20" i="32"/>
  <c r="D20" i="32"/>
  <c r="H20" i="32"/>
  <c r="E47" i="51"/>
  <c r="E45" i="51"/>
  <c r="D108" i="63"/>
  <c r="G24" i="49"/>
  <c r="H24" i="49" s="1"/>
  <c r="I24" i="49" s="1"/>
  <c r="D25" i="49" s="1"/>
  <c r="J78" i="24"/>
  <c r="J77" i="24"/>
  <c r="C75" i="22"/>
  <c r="C76" i="22" s="1"/>
  <c r="F113" i="28"/>
  <c r="H32" i="60"/>
  <c r="H33" i="60" s="1"/>
  <c r="D115" i="63"/>
  <c r="D63" i="63"/>
  <c r="I108" i="63"/>
  <c r="G17" i="46"/>
  <c r="C18" i="46" s="1"/>
  <c r="F34" i="46"/>
  <c r="I123" i="29"/>
  <c r="L50" i="29"/>
  <c r="K50" i="29"/>
  <c r="D125" i="32"/>
  <c r="G125" i="32" s="1"/>
  <c r="H125" i="32"/>
  <c r="F137" i="32" s="1"/>
  <c r="Q10" i="43"/>
  <c r="D33" i="43"/>
  <c r="C30" i="17"/>
  <c r="E37" i="17" s="1"/>
  <c r="C31" i="17"/>
  <c r="D35" i="24"/>
  <c r="G52" i="16"/>
  <c r="G40" i="16"/>
  <c r="Q14" i="43"/>
  <c r="D37" i="43"/>
  <c r="E90" i="25"/>
  <c r="E87" i="25"/>
  <c r="E91" i="25" s="1"/>
  <c r="E84" i="16"/>
  <c r="E53" i="12"/>
  <c r="E54" i="12" s="1"/>
  <c r="H86" i="25"/>
  <c r="I72" i="25"/>
  <c r="F86" i="25"/>
  <c r="G72" i="25"/>
  <c r="C61" i="5"/>
  <c r="C184" i="30"/>
  <c r="C187" i="30" s="1"/>
  <c r="C194" i="30" s="1"/>
  <c r="C87" i="30"/>
  <c r="C92" i="30" s="1"/>
  <c r="C93" i="30" s="1"/>
  <c r="C112" i="30"/>
  <c r="C114" i="30" s="1"/>
  <c r="S44" i="24"/>
  <c r="D41" i="27"/>
  <c r="D42" i="27" s="1"/>
  <c r="D46" i="27" s="1"/>
  <c r="B24" i="46"/>
  <c r="D53" i="24"/>
  <c r="E77" i="24"/>
  <c r="E89" i="8"/>
  <c r="E90" i="8"/>
  <c r="E87" i="8"/>
  <c r="E88" i="8"/>
  <c r="D84" i="21"/>
  <c r="E81" i="21"/>
  <c r="C41" i="59"/>
  <c r="E41" i="59" s="1"/>
  <c r="E40" i="59"/>
  <c r="C22" i="33"/>
  <c r="E22" i="33" s="1"/>
  <c r="G22" i="33" s="1"/>
  <c r="C23" i="33"/>
  <c r="E23" i="33" s="1"/>
  <c r="E73" i="51"/>
  <c r="G48" i="30"/>
  <c r="G49" i="30" s="1"/>
  <c r="C71" i="25"/>
  <c r="C69" i="25"/>
  <c r="C77" i="25" s="1"/>
  <c r="F31" i="4"/>
  <c r="N105" i="30"/>
  <c r="N107" i="30" s="1"/>
  <c r="M111" i="30"/>
  <c r="E62" i="63"/>
  <c r="F57" i="63"/>
  <c r="E95" i="50"/>
  <c r="E99" i="50"/>
  <c r="D48" i="50"/>
  <c r="D54" i="50" s="1"/>
  <c r="E107" i="50" s="1"/>
  <c r="D51" i="50"/>
  <c r="E44" i="50"/>
  <c r="G31" i="10"/>
  <c r="G54" i="10" s="1"/>
  <c r="G33" i="10"/>
  <c r="D62" i="62"/>
  <c r="D65" i="62" s="1"/>
  <c r="D69" i="62" s="1"/>
  <c r="F123" i="29"/>
  <c r="L46" i="29"/>
  <c r="K46" i="29"/>
  <c r="L39" i="29"/>
  <c r="K39" i="29"/>
  <c r="C35" i="26"/>
  <c r="D35" i="26"/>
  <c r="G58" i="12"/>
  <c r="F48" i="12"/>
  <c r="G63" i="12"/>
  <c r="G46" i="12"/>
  <c r="G64" i="12"/>
  <c r="G59" i="12"/>
  <c r="G60" i="12"/>
  <c r="F73" i="12"/>
  <c r="G57" i="12"/>
  <c r="F49" i="12"/>
  <c r="G61" i="12"/>
  <c r="C74" i="16"/>
  <c r="D75" i="16" s="1"/>
  <c r="D77" i="16" s="1"/>
  <c r="E78" i="16" s="1"/>
  <c r="H99" i="16" s="1"/>
  <c r="D99" i="16"/>
  <c r="C73" i="17"/>
  <c r="D74" i="17" s="1"/>
  <c r="D76" i="17" s="1"/>
  <c r="E77" i="17" s="1"/>
  <c r="D98" i="17"/>
  <c r="C83" i="17"/>
  <c r="C87" i="17"/>
  <c r="C35" i="24"/>
  <c r="C48" i="24" s="1"/>
  <c r="C50" i="24" s="1"/>
  <c r="C51" i="24" s="1"/>
  <c r="C54" i="24" s="1"/>
  <c r="M48" i="24"/>
  <c r="M36" i="24"/>
  <c r="N44" i="24"/>
  <c r="I102" i="28"/>
  <c r="G36" i="26"/>
  <c r="G48" i="26"/>
  <c r="I28" i="21"/>
  <c r="H80" i="21"/>
  <c r="D76" i="23"/>
  <c r="E58" i="23"/>
  <c r="F67" i="23"/>
  <c r="F68" i="23"/>
  <c r="E61" i="23"/>
  <c r="F66" i="23"/>
  <c r="F52" i="23"/>
  <c r="E59" i="23"/>
  <c r="E81" i="23"/>
  <c r="E74" i="23"/>
  <c r="E57" i="23"/>
  <c r="E56" i="23"/>
  <c r="E75" i="23"/>
  <c r="E54" i="23"/>
  <c r="E55" i="23"/>
  <c r="F85" i="25"/>
  <c r="F93" i="25"/>
  <c r="F94" i="25" s="1"/>
  <c r="G63" i="25"/>
  <c r="G67" i="46"/>
  <c r="C68" i="46" s="1"/>
  <c r="F84" i="46"/>
  <c r="C40" i="16"/>
  <c r="C52" i="16"/>
  <c r="C56" i="16" s="1"/>
  <c r="C57" i="16" s="1"/>
  <c r="C58" i="16" s="1"/>
  <c r="D88" i="16" s="1"/>
  <c r="H28" i="8"/>
  <c r="G69" i="8"/>
  <c r="D60" i="13"/>
  <c r="D112" i="13"/>
  <c r="H103" i="28"/>
  <c r="I103" i="28" s="1"/>
  <c r="G106" i="28"/>
  <c r="G107" i="28" s="1"/>
  <c r="G109" i="28" s="1"/>
  <c r="N35" i="24"/>
  <c r="N48" i="24" s="1"/>
  <c r="F72" i="25"/>
  <c r="E86" i="25"/>
  <c r="D72" i="25"/>
  <c r="C86" i="25"/>
  <c r="C88" i="25" s="1"/>
  <c r="C100" i="25" s="1"/>
  <c r="C72" i="25"/>
  <c r="O10" i="55"/>
  <c r="AB10" i="55"/>
  <c r="F83" i="13"/>
  <c r="G76" i="13"/>
  <c r="T36" i="24"/>
  <c r="F15" i="35"/>
  <c r="G15" i="35" s="1"/>
  <c r="B16" i="35"/>
  <c r="C15" i="35"/>
  <c r="D15" i="35" s="1"/>
  <c r="E15" i="35" s="1"/>
  <c r="S35" i="24"/>
  <c r="S48" i="24" s="1"/>
  <c r="R35" i="24"/>
  <c r="R48" i="24" s="1"/>
  <c r="R50" i="24" s="1"/>
  <c r="R51" i="24" s="1"/>
  <c r="R54" i="24" s="1"/>
  <c r="H10" i="21"/>
  <c r="G12" i="21"/>
  <c r="C72" i="15"/>
  <c r="F68" i="15"/>
  <c r="F50" i="30"/>
  <c r="F51" i="30" s="1"/>
  <c r="G39" i="50"/>
  <c r="G52" i="50" s="1"/>
  <c r="C48" i="7"/>
  <c r="C53" i="7"/>
  <c r="C52" i="7"/>
  <c r="C51" i="7"/>
  <c r="C54" i="7"/>
  <c r="C50" i="7"/>
  <c r="F19" i="7"/>
  <c r="G19" i="7" s="1"/>
  <c r="E20" i="7" s="1"/>
  <c r="C46" i="7"/>
  <c r="C45" i="7"/>
  <c r="C47" i="7"/>
  <c r="C49" i="7"/>
  <c r="H19" i="7"/>
  <c r="C43" i="7"/>
  <c r="C44" i="7"/>
  <c r="E65" i="25"/>
  <c r="D66" i="25"/>
  <c r="D67" i="25"/>
  <c r="F42" i="51"/>
  <c r="F43" i="51" s="1"/>
  <c r="G41" i="51"/>
  <c r="D86" i="63"/>
  <c r="D88" i="63" s="1"/>
  <c r="D109" i="63" s="1"/>
  <c r="E79" i="63"/>
  <c r="G63" i="62"/>
  <c r="G46" i="62"/>
  <c r="G60" i="62"/>
  <c r="G59" i="62"/>
  <c r="G64" i="62"/>
  <c r="G61" i="62"/>
  <c r="F73" i="62"/>
  <c r="G58" i="62"/>
  <c r="F49" i="62"/>
  <c r="G57" i="62"/>
  <c r="E85" i="63"/>
  <c r="E81" i="63"/>
  <c r="F77" i="63"/>
  <c r="C35" i="56"/>
  <c r="D24" i="56"/>
  <c r="D26" i="56" s="1"/>
  <c r="D28" i="56" s="1"/>
  <c r="D37" i="56" s="1"/>
  <c r="I78" i="51"/>
  <c r="L57" i="29"/>
  <c r="K57" i="29"/>
  <c r="C112" i="17"/>
  <c r="C172" i="17"/>
  <c r="H105" i="17"/>
  <c r="K44" i="24"/>
  <c r="F68" i="8"/>
  <c r="F75" i="8" s="1"/>
  <c r="F74" i="8"/>
  <c r="E53" i="62"/>
  <c r="E52" i="62"/>
  <c r="E51" i="62"/>
  <c r="H46" i="60"/>
  <c r="H47" i="60" s="1"/>
  <c r="E51" i="63"/>
  <c r="D51" i="63"/>
  <c r="C101" i="19"/>
  <c r="C108" i="19"/>
  <c r="C77" i="51"/>
  <c r="C78" i="51"/>
  <c r="J123" i="29"/>
  <c r="K38" i="29"/>
  <c r="L38" i="29"/>
  <c r="D40" i="32"/>
  <c r="F44" i="26"/>
  <c r="F45" i="26" s="1"/>
  <c r="F36" i="26"/>
  <c r="K123" i="29"/>
  <c r="C44" i="24"/>
  <c r="C45" i="24" s="1"/>
  <c r="G44" i="24"/>
  <c r="G36" i="24"/>
  <c r="K35" i="24"/>
  <c r="K48" i="24" s="1"/>
  <c r="D123" i="29"/>
  <c r="E68" i="8"/>
  <c r="E75" i="8" s="1"/>
  <c r="E74" i="8"/>
  <c r="E77" i="8" s="1"/>
  <c r="E70" i="8"/>
  <c r="E37" i="60"/>
  <c r="E59" i="60"/>
  <c r="E62" i="60" s="1"/>
  <c r="E69" i="60"/>
  <c r="F26" i="49"/>
  <c r="D60" i="23"/>
  <c r="D62" i="23" s="1"/>
  <c r="D40" i="16"/>
  <c r="D52" i="16"/>
  <c r="D56" i="16" s="1"/>
  <c r="D57" i="16" s="1"/>
  <c r="D58" i="16" s="1"/>
  <c r="E88" i="16" s="1"/>
  <c r="F69" i="8"/>
  <c r="G28" i="8"/>
  <c r="G48" i="8" s="1"/>
  <c r="F61" i="22"/>
  <c r="F58" i="22"/>
  <c r="F71" i="22"/>
  <c r="F64" i="22"/>
  <c r="F68" i="22"/>
  <c r="E82" i="13"/>
  <c r="E85" i="13" s="1"/>
  <c r="E106" i="13" s="1"/>
  <c r="F74" i="13"/>
  <c r="E78" i="13"/>
  <c r="F54" i="13"/>
  <c r="E59" i="13"/>
  <c r="I86" i="25"/>
  <c r="J72" i="25"/>
  <c r="G86" i="25"/>
  <c r="H72" i="25"/>
  <c r="D62" i="30"/>
  <c r="D66" i="30" s="1"/>
  <c r="D36" i="30"/>
  <c r="E40" i="32"/>
  <c r="F40" i="32" s="1"/>
  <c r="C41" i="32" s="1"/>
  <c r="C24" i="33"/>
  <c r="E24" i="33" s="1"/>
  <c r="E53" i="26"/>
  <c r="E55" i="26" s="1"/>
  <c r="F78" i="26" s="1"/>
  <c r="F77" i="26"/>
  <c r="Q44" i="24"/>
  <c r="Q45" i="24" s="1"/>
  <c r="Q53" i="24" s="1"/>
  <c r="Q36" i="24"/>
  <c r="M74" i="59"/>
  <c r="L74" i="59"/>
  <c r="R74" i="59"/>
  <c r="Q74" i="59"/>
  <c r="P74" i="59"/>
  <c r="O74" i="59"/>
  <c r="N74" i="59"/>
  <c r="D74" i="59"/>
  <c r="K74" i="59"/>
  <c r="I74" i="59"/>
  <c r="G74" i="59"/>
  <c r="H74" i="59"/>
  <c r="J74" i="59"/>
  <c r="F74" i="59"/>
  <c r="E74" i="59"/>
  <c r="N7" i="55"/>
  <c r="AA7" i="55"/>
  <c r="P7" i="55"/>
  <c r="M8" i="55"/>
  <c r="N8" i="55" s="1"/>
  <c r="E23" i="31"/>
  <c r="G23" i="31"/>
  <c r="D23" i="31"/>
  <c r="F11" i="29"/>
  <c r="C71" i="15"/>
  <c r="F69" i="15"/>
  <c r="F35" i="17"/>
  <c r="J15" i="29"/>
  <c r="I15" i="29"/>
  <c r="K15" i="29"/>
  <c r="S12" i="55"/>
  <c r="G13" i="55"/>
  <c r="H106" i="50"/>
  <c r="E65" i="50"/>
  <c r="E67" i="50" s="1"/>
  <c r="E80" i="50" s="1"/>
  <c r="F91" i="30"/>
  <c r="F184" i="30"/>
  <c r="F112" i="30"/>
  <c r="F114" i="30" s="1"/>
  <c r="D35" i="51"/>
  <c r="F41" i="48"/>
  <c r="E38" i="61"/>
  <c r="F38" i="61"/>
  <c r="U19" i="55"/>
  <c r="D37" i="44"/>
  <c r="J37" i="44" s="1"/>
  <c r="E37" i="44"/>
  <c r="K37" i="44" s="1"/>
  <c r="D32" i="60"/>
  <c r="D33" i="60" s="1"/>
  <c r="C26" i="56"/>
  <c r="C28" i="56" s="1"/>
  <c r="C37" i="56" s="1"/>
  <c r="B26" i="56"/>
  <c r="G69" i="60"/>
  <c r="G59" i="60"/>
  <c r="G62" i="60" s="1"/>
  <c r="C30" i="56"/>
  <c r="C31" i="56"/>
  <c r="M24" i="10"/>
  <c r="C23" i="10"/>
  <c r="C24" i="10"/>
  <c r="H38" i="10" s="1"/>
  <c r="H39" i="10" s="1"/>
  <c r="D31" i="10"/>
  <c r="D33" i="10"/>
  <c r="D33" i="19"/>
  <c r="C33" i="19"/>
  <c r="C29" i="19"/>
  <c r="C34" i="19"/>
  <c r="F33" i="19"/>
  <c r="E33" i="19"/>
  <c r="G33" i="19"/>
  <c r="D34" i="19"/>
  <c r="E35" i="19" s="1"/>
  <c r="E48" i="19" s="1"/>
  <c r="E50" i="19" s="1"/>
  <c r="E51" i="19" s="1"/>
  <c r="E31" i="10"/>
  <c r="E54" i="10" s="1"/>
  <c r="H24" i="2"/>
  <c r="I24" i="2" s="1"/>
  <c r="D25" i="2" s="1"/>
  <c r="E25" i="2"/>
  <c r="J24" i="2"/>
  <c r="L61" i="29"/>
  <c r="K61" i="29"/>
  <c r="F30" i="60"/>
  <c r="L48" i="26"/>
  <c r="L36" i="26"/>
  <c r="C33" i="43"/>
  <c r="H123" i="29"/>
  <c r="F36" i="24"/>
  <c r="F48" i="24"/>
  <c r="F50" i="24" s="1"/>
  <c r="F51" i="24" s="1"/>
  <c r="F54" i="24" s="1"/>
  <c r="J44" i="24"/>
  <c r="J36" i="24"/>
  <c r="L44" i="24"/>
  <c r="L36" i="24"/>
  <c r="E44" i="24"/>
  <c r="E45" i="24" s="1"/>
  <c r="E36" i="24"/>
  <c r="G68" i="8"/>
  <c r="G75" i="8" s="1"/>
  <c r="G70" i="8"/>
  <c r="G74" i="8"/>
  <c r="D125" i="15"/>
  <c r="C92" i="15"/>
  <c r="D75" i="22"/>
  <c r="D76" i="22" s="1"/>
  <c r="E81" i="30"/>
  <c r="E80" i="30"/>
  <c r="J41" i="26"/>
  <c r="G42" i="26"/>
  <c r="G43" i="26" s="1"/>
  <c r="E91" i="22"/>
  <c r="D105" i="13"/>
  <c r="G32" i="19"/>
  <c r="G34" i="19" s="1"/>
  <c r="E58" i="19" s="1"/>
  <c r="F34" i="19"/>
  <c r="F35" i="19" s="1"/>
  <c r="F48" i="19" s="1"/>
  <c r="K35" i="26"/>
  <c r="E72" i="25"/>
  <c r="D86" i="25"/>
  <c r="D88" i="25" s="1"/>
  <c r="K86" i="25"/>
  <c r="L72" i="25"/>
  <c r="E36" i="30"/>
  <c r="E62" i="30"/>
  <c r="E66" i="30" s="1"/>
  <c r="C105" i="32"/>
  <c r="E11" i="55"/>
  <c r="D11" i="55"/>
  <c r="B12" i="55"/>
  <c r="I70" i="8"/>
  <c r="I75" i="8"/>
  <c r="I77" i="8" s="1"/>
  <c r="B26" i="33"/>
  <c r="D25" i="33"/>
  <c r="F25" i="33" s="1"/>
  <c r="C25" i="33"/>
  <c r="E25" i="33" s="1"/>
  <c r="U44" i="24"/>
  <c r="U36" i="24"/>
  <c r="R44" i="24"/>
  <c r="R45" i="24" s="1"/>
  <c r="R53" i="24" s="1"/>
  <c r="E168" i="30"/>
  <c r="E100" i="30"/>
  <c r="E121" i="30"/>
  <c r="E123" i="30" s="1"/>
  <c r="E72" i="21"/>
  <c r="F69" i="21"/>
  <c r="D24" i="33"/>
  <c r="F24" i="33" s="1"/>
  <c r="D23" i="33"/>
  <c r="F23" i="33" s="1"/>
  <c r="F28" i="8"/>
  <c r="F48" i="8" s="1"/>
  <c r="F49" i="8" s="1"/>
  <c r="F50" i="8" s="1"/>
  <c r="F54" i="8" s="1"/>
  <c r="F55" i="8" s="1"/>
  <c r="F62" i="8" s="1"/>
  <c r="F63" i="8" s="1"/>
  <c r="F31" i="3"/>
  <c r="C50" i="51"/>
  <c r="C51" i="51" s="1"/>
  <c r="C54" i="51" s="1"/>
  <c r="C55" i="51" s="1"/>
  <c r="D78" i="51" s="1"/>
  <c r="I29" i="8"/>
  <c r="E40" i="50"/>
  <c r="F40" i="50"/>
  <c r="C40" i="50"/>
  <c r="E45" i="50"/>
  <c r="F105" i="50" s="1"/>
  <c r="D45" i="50"/>
  <c r="E105" i="50" s="1"/>
  <c r="G45" i="50"/>
  <c r="H105" i="50" s="1"/>
  <c r="F45" i="50"/>
  <c r="G105" i="50" s="1"/>
  <c r="C45" i="50"/>
  <c r="F40" i="2"/>
  <c r="F121" i="30"/>
  <c r="F123" i="30" s="1"/>
  <c r="F100" i="30"/>
  <c r="F168" i="30"/>
  <c r="F32" i="51"/>
  <c r="E34" i="51"/>
  <c r="E35" i="51" s="1"/>
  <c r="J26" i="49"/>
  <c r="E27" i="49"/>
  <c r="E37" i="61" l="1"/>
  <c r="F37" i="61"/>
  <c r="D40" i="50"/>
  <c r="F20" i="5"/>
  <c r="E21" i="5" s="1"/>
  <c r="G94" i="17"/>
  <c r="F50" i="17"/>
  <c r="F47" i="17"/>
  <c r="F53" i="17" s="1"/>
  <c r="G43" i="17"/>
  <c r="C62" i="5"/>
  <c r="G20" i="5"/>
  <c r="Q55" i="26"/>
  <c r="T77" i="26" s="1"/>
  <c r="F66" i="22"/>
  <c r="F89" i="22"/>
  <c r="G81" i="22"/>
  <c r="G79" i="22"/>
  <c r="F70" i="22"/>
  <c r="F62" i="22"/>
  <c r="F59" i="22"/>
  <c r="F57" i="22"/>
  <c r="G80" i="22"/>
  <c r="F74" i="22"/>
  <c r="F67" i="22"/>
  <c r="F56" i="22"/>
  <c r="F60" i="22"/>
  <c r="F50" i="22"/>
  <c r="F65" i="22" s="1"/>
  <c r="G54" i="22"/>
  <c r="F85" i="22"/>
  <c r="F87" i="22" s="1"/>
  <c r="F86" i="22"/>
  <c r="F63" i="22"/>
  <c r="F69" i="22"/>
  <c r="F90" i="22"/>
  <c r="F91" i="22" s="1"/>
  <c r="C65" i="5"/>
  <c r="G98" i="17"/>
  <c r="E52" i="16"/>
  <c r="E40" i="16"/>
  <c r="L35" i="51"/>
  <c r="L48" i="51" s="1"/>
  <c r="C59" i="52"/>
  <c r="K62" i="52"/>
  <c r="K61" i="52"/>
  <c r="K67" i="52"/>
  <c r="K59" i="52"/>
  <c r="K68" i="52"/>
  <c r="K60" i="52"/>
  <c r="K65" i="52"/>
  <c r="K57" i="52"/>
  <c r="K63" i="52"/>
  <c r="K64" i="52"/>
  <c r="K66" i="52"/>
  <c r="K58" i="52"/>
  <c r="E72" i="22"/>
  <c r="R47" i="26"/>
  <c r="R50" i="26" s="1"/>
  <c r="R51" i="26" s="1"/>
  <c r="R54" i="26" s="1"/>
  <c r="S43" i="26"/>
  <c r="F34" i="15"/>
  <c r="F40" i="15"/>
  <c r="H98" i="17"/>
  <c r="E76" i="23"/>
  <c r="C56" i="5"/>
  <c r="C58" i="5"/>
  <c r="R45" i="26"/>
  <c r="R53" i="26" s="1"/>
  <c r="R55" i="26" s="1"/>
  <c r="U77" i="26" s="1"/>
  <c r="L73" i="24"/>
  <c r="E63" i="18"/>
  <c r="H75" i="8"/>
  <c r="H77" i="8" s="1"/>
  <c r="H78" i="8" s="1"/>
  <c r="H79" i="8" s="1"/>
  <c r="H80" i="8" s="1"/>
  <c r="H70" i="8"/>
  <c r="E87" i="22"/>
  <c r="F36" i="44"/>
  <c r="L36" i="44" s="1"/>
  <c r="T8" i="55"/>
  <c r="Y8" i="55"/>
  <c r="Q8" i="55"/>
  <c r="E49" i="18"/>
  <c r="F93" i="18"/>
  <c r="F42" i="18"/>
  <c r="E46" i="18"/>
  <c r="E52" i="18" s="1"/>
  <c r="G81" i="13"/>
  <c r="F81" i="13"/>
  <c r="G25" i="33"/>
  <c r="E80" i="16"/>
  <c r="C64" i="5"/>
  <c r="L36" i="51"/>
  <c r="Q50" i="24"/>
  <c r="Q51" i="24" s="1"/>
  <c r="Q54" i="24" s="1"/>
  <c r="Q55" i="24" s="1"/>
  <c r="T77" i="24" s="1"/>
  <c r="C62" i="52"/>
  <c r="W11" i="55"/>
  <c r="X10" i="55"/>
  <c r="G22" i="52"/>
  <c r="F23" i="52" s="1"/>
  <c r="G21" i="21"/>
  <c r="H19" i="21"/>
  <c r="G68" i="21"/>
  <c r="H22" i="52"/>
  <c r="D35" i="19"/>
  <c r="D48" i="19" s="1"/>
  <c r="D50" i="19" s="1"/>
  <c r="D51" i="19" s="1"/>
  <c r="E56" i="16"/>
  <c r="E57" i="16" s="1"/>
  <c r="E58" i="16" s="1"/>
  <c r="F88" i="16" s="1"/>
  <c r="C57" i="5"/>
  <c r="C66" i="5"/>
  <c r="D67" i="12"/>
  <c r="D72" i="12" s="1"/>
  <c r="D74" i="12" s="1"/>
  <c r="J56" i="27"/>
  <c r="C73" i="27" s="1"/>
  <c r="C74" i="27" s="1"/>
  <c r="C61" i="27" s="1"/>
  <c r="C64" i="27" s="1"/>
  <c r="Q11" i="43"/>
  <c r="D34" i="43"/>
  <c r="AF8" i="55"/>
  <c r="AH8" i="55" s="1"/>
  <c r="AI8" i="55" s="1"/>
  <c r="AC8" i="55"/>
  <c r="E55" i="28"/>
  <c r="O12" i="43"/>
  <c r="L17" i="43"/>
  <c r="Q13" i="43"/>
  <c r="D36" i="43"/>
  <c r="C68" i="52"/>
  <c r="C58" i="52"/>
  <c r="C63" i="52"/>
  <c r="C65" i="52"/>
  <c r="C61" i="52"/>
  <c r="C67" i="52"/>
  <c r="G37" i="18"/>
  <c r="G50" i="18" s="1"/>
  <c r="C66" i="52"/>
  <c r="F97" i="18"/>
  <c r="F36" i="30"/>
  <c r="F62" i="30"/>
  <c r="K35" i="51"/>
  <c r="S47" i="24"/>
  <c r="S50" i="24" s="1"/>
  <c r="S51" i="24" s="1"/>
  <c r="S54" i="24" s="1"/>
  <c r="S55" i="24" s="1"/>
  <c r="V77" i="24" s="1"/>
  <c r="T43" i="24"/>
  <c r="AG9" i="55"/>
  <c r="H10" i="55"/>
  <c r="K10" i="55" s="1"/>
  <c r="E184" i="30"/>
  <c r="E60" i="23"/>
  <c r="E62" i="23" s="1"/>
  <c r="E65" i="23" s="1"/>
  <c r="E69" i="23" s="1"/>
  <c r="E72" i="23" s="1"/>
  <c r="E79" i="23" s="1"/>
  <c r="E82" i="23" s="1"/>
  <c r="B38" i="44"/>
  <c r="D38" i="44" s="1"/>
  <c r="J38" i="44" s="1"/>
  <c r="E91" i="30"/>
  <c r="S45" i="24"/>
  <c r="S53" i="24" s="1"/>
  <c r="C55" i="5"/>
  <c r="C59" i="5"/>
  <c r="C60" i="52"/>
  <c r="F47" i="19"/>
  <c r="F50" i="19" s="1"/>
  <c r="F51" i="19" s="1"/>
  <c r="G88" i="19"/>
  <c r="G40" i="19"/>
  <c r="G47" i="19" s="1"/>
  <c r="G77" i="24"/>
  <c r="C63" i="5"/>
  <c r="C64" i="52"/>
  <c r="F37" i="18"/>
  <c r="F50" i="18" s="1"/>
  <c r="D37" i="18"/>
  <c r="D50" i="18" s="1"/>
  <c r="D54" i="18" s="1"/>
  <c r="D55" i="18" s="1"/>
  <c r="D100" i="25"/>
  <c r="C57" i="52"/>
  <c r="F20" i="32"/>
  <c r="J78" i="26"/>
  <c r="J77" i="26"/>
  <c r="E91" i="26"/>
  <c r="D47" i="50"/>
  <c r="E96" i="25"/>
  <c r="E98" i="25" s="1"/>
  <c r="T36" i="26"/>
  <c r="M36" i="51"/>
  <c r="G48" i="16"/>
  <c r="G51" i="16"/>
  <c r="H95" i="16"/>
  <c r="C96" i="16" s="1"/>
  <c r="G47" i="16"/>
  <c r="G43" i="8"/>
  <c r="G53" i="8" s="1"/>
  <c r="G47" i="8"/>
  <c r="J24" i="48"/>
  <c r="E25" i="48"/>
  <c r="H24" i="48"/>
  <c r="I24" i="48" s="1"/>
  <c r="D25" i="48" s="1"/>
  <c r="D56" i="27"/>
  <c r="E63" i="27" s="1"/>
  <c r="E64" i="27" s="1"/>
  <c r="C37" i="18"/>
  <c r="C50" i="18" s="1"/>
  <c r="C54" i="18" s="1"/>
  <c r="C55" i="18" s="1"/>
  <c r="E38" i="27"/>
  <c r="C40" i="27"/>
  <c r="K41" i="24"/>
  <c r="J42" i="24"/>
  <c r="J43" i="24" s="1"/>
  <c r="J47" i="24" s="1"/>
  <c r="J50" i="24" s="1"/>
  <c r="J51" i="24" s="1"/>
  <c r="J54" i="24" s="1"/>
  <c r="AC9" i="55"/>
  <c r="AF9" i="55"/>
  <c r="G38" i="18"/>
  <c r="E88" i="25"/>
  <c r="E100" i="25" s="1"/>
  <c r="D73" i="15"/>
  <c r="D74" i="15" s="1"/>
  <c r="H99" i="15" s="1"/>
  <c r="D137" i="15" s="1"/>
  <c r="F23" i="31"/>
  <c r="H23" i="31" s="1"/>
  <c r="G24" i="33"/>
  <c r="G49" i="8"/>
  <c r="G50" i="8" s="1"/>
  <c r="G54" i="8" s="1"/>
  <c r="G45" i="24"/>
  <c r="H77" i="24" s="1"/>
  <c r="L62" i="29"/>
  <c r="H105" i="28"/>
  <c r="I24" i="3"/>
  <c r="D25" i="3" s="1"/>
  <c r="G24" i="3"/>
  <c r="E24" i="3" s="1"/>
  <c r="J24" i="3" s="1"/>
  <c r="I34" i="8"/>
  <c r="I58" i="8" s="1"/>
  <c r="I61" i="8" s="1"/>
  <c r="H58" i="8"/>
  <c r="H61" i="8" s="1"/>
  <c r="H39" i="8"/>
  <c r="H33" i="8"/>
  <c r="C80" i="52"/>
  <c r="C69" i="52"/>
  <c r="C75" i="52"/>
  <c r="H23" i="52"/>
  <c r="C76" i="52"/>
  <c r="C72" i="52"/>
  <c r="C70" i="52"/>
  <c r="C71" i="52"/>
  <c r="C77" i="52"/>
  <c r="G23" i="52"/>
  <c r="F24" i="52" s="1"/>
  <c r="C79" i="52"/>
  <c r="C78" i="52"/>
  <c r="C73" i="52"/>
  <c r="C74" i="52"/>
  <c r="Y9" i="55"/>
  <c r="T9" i="55"/>
  <c r="Q9" i="55"/>
  <c r="E37" i="18"/>
  <c r="E50" i="18" s="1"/>
  <c r="E54" i="18" s="1"/>
  <c r="E55" i="18" s="1"/>
  <c r="E64" i="18"/>
  <c r="D69" i="18" s="1"/>
  <c r="D75" i="18" s="1"/>
  <c r="E76" i="18" s="1"/>
  <c r="G56" i="21"/>
  <c r="F60" i="21"/>
  <c r="I48" i="51"/>
  <c r="I36" i="51"/>
  <c r="G43" i="18"/>
  <c r="H103" i="18" s="1"/>
  <c r="H107" i="18" s="1"/>
  <c r="E43" i="18"/>
  <c r="C43" i="18"/>
  <c r="F43" i="18"/>
  <c r="D43" i="18"/>
  <c r="G37" i="60"/>
  <c r="K62" i="29"/>
  <c r="R55" i="24"/>
  <c r="U77" i="24" s="1"/>
  <c r="G77" i="8"/>
  <c r="G78" i="8" s="1"/>
  <c r="G79" i="8" s="1"/>
  <c r="G80" i="8" s="1"/>
  <c r="G81" i="8" s="1"/>
  <c r="J45" i="24"/>
  <c r="J53" i="24" s="1"/>
  <c r="J55" i="24" s="1"/>
  <c r="L123" i="29"/>
  <c r="C36" i="24"/>
  <c r="H106" i="28"/>
  <c r="S36" i="26"/>
  <c r="S48" i="26"/>
  <c r="H88" i="19"/>
  <c r="J48" i="51"/>
  <c r="J36" i="51"/>
  <c r="F54" i="16"/>
  <c r="G107" i="16" s="1"/>
  <c r="G109" i="16" s="1"/>
  <c r="C166" i="16"/>
  <c r="C159" i="16"/>
  <c r="C161" i="16"/>
  <c r="C156" i="16"/>
  <c r="C165" i="16"/>
  <c r="C160" i="16"/>
  <c r="C164" i="16"/>
  <c r="C158" i="16"/>
  <c r="C157" i="16"/>
  <c r="C163" i="16"/>
  <c r="C162" i="16"/>
  <c r="C155" i="16"/>
  <c r="F38" i="18"/>
  <c r="D38" i="18"/>
  <c r="B63" i="44"/>
  <c r="F62" i="44"/>
  <c r="L62" i="44" s="1"/>
  <c r="C62" i="44"/>
  <c r="D62" i="44"/>
  <c r="J62" i="44" s="1"/>
  <c r="F35" i="44"/>
  <c r="L35" i="44" s="1"/>
  <c r="F37" i="44"/>
  <c r="L37" i="44" s="1"/>
  <c r="F61" i="44"/>
  <c r="L61" i="44" s="1"/>
  <c r="I78" i="8"/>
  <c r="I79" i="8" s="1"/>
  <c r="I80" i="8" s="1"/>
  <c r="I81" i="8" s="1"/>
  <c r="G77" i="26"/>
  <c r="F53" i="26"/>
  <c r="F55" i="26" s="1"/>
  <c r="G78" i="26" s="1"/>
  <c r="N73" i="27"/>
  <c r="Q73" i="27"/>
  <c r="P73" i="27"/>
  <c r="R73" i="27"/>
  <c r="E73" i="27"/>
  <c r="D73" i="27"/>
  <c r="G73" i="27"/>
  <c r="I73" i="27"/>
  <c r="K73" i="27"/>
  <c r="F73" i="27"/>
  <c r="H73" i="27"/>
  <c r="M73" i="27"/>
  <c r="L73" i="27"/>
  <c r="J73" i="27"/>
  <c r="O73" i="27"/>
  <c r="E62" i="12"/>
  <c r="E65" i="12" s="1"/>
  <c r="E69" i="12" s="1"/>
  <c r="F53" i="30"/>
  <c r="F61" i="30"/>
  <c r="F66" i="30" s="1"/>
  <c r="E36" i="51"/>
  <c r="E48" i="51"/>
  <c r="E50" i="51" s="1"/>
  <c r="E51" i="51" s="1"/>
  <c r="E54" i="51" s="1"/>
  <c r="C78" i="22"/>
  <c r="C82" i="22" s="1"/>
  <c r="C83" i="22" s="1"/>
  <c r="C93" i="22" s="1"/>
  <c r="D103" i="22" s="1"/>
  <c r="G47" i="26"/>
  <c r="G50" i="26" s="1"/>
  <c r="G51" i="26" s="1"/>
  <c r="G54" i="26" s="1"/>
  <c r="G45" i="26"/>
  <c r="H49" i="60"/>
  <c r="H51" i="60" s="1"/>
  <c r="AB11" i="55"/>
  <c r="O11" i="55"/>
  <c r="F32" i="60"/>
  <c r="F33" i="60" s="1"/>
  <c r="H54" i="10"/>
  <c r="E43" i="10"/>
  <c r="D36" i="60"/>
  <c r="D72" i="60" s="1"/>
  <c r="D35" i="60"/>
  <c r="U20" i="55"/>
  <c r="F42" i="48"/>
  <c r="S13" i="55"/>
  <c r="G14" i="55"/>
  <c r="AF7" i="55"/>
  <c r="AH7" i="55" s="1"/>
  <c r="AI7" i="55" s="1"/>
  <c r="AC7" i="55"/>
  <c r="D69" i="30"/>
  <c r="D68" i="30"/>
  <c r="G54" i="13"/>
  <c r="F59" i="13"/>
  <c r="F27" i="49"/>
  <c r="F52" i="62"/>
  <c r="F53" i="62"/>
  <c r="F51" i="62"/>
  <c r="F47" i="51"/>
  <c r="F45" i="51"/>
  <c r="H63" i="25"/>
  <c r="G93" i="25"/>
  <c r="G94" i="25" s="1"/>
  <c r="G85" i="25"/>
  <c r="C100" i="16"/>
  <c r="E115" i="63"/>
  <c r="E63" i="63"/>
  <c r="D18" i="46"/>
  <c r="H18" i="46"/>
  <c r="E18" i="46"/>
  <c r="E35" i="46" s="1"/>
  <c r="G32" i="51"/>
  <c r="G34" i="51" s="1"/>
  <c r="F34" i="51"/>
  <c r="R36" i="24"/>
  <c r="D36" i="19"/>
  <c r="D77" i="24"/>
  <c r="C53" i="24"/>
  <c r="C55" i="24" s="1"/>
  <c r="D78" i="24" s="1"/>
  <c r="G113" i="28"/>
  <c r="E86" i="63"/>
  <c r="E88" i="63" s="1"/>
  <c r="F79" i="63"/>
  <c r="F81" i="63" s="1"/>
  <c r="C77" i="5"/>
  <c r="C73" i="5"/>
  <c r="C72" i="5"/>
  <c r="C71" i="5"/>
  <c r="C69" i="5"/>
  <c r="C78" i="5"/>
  <c r="C75" i="5"/>
  <c r="F21" i="5"/>
  <c r="E22" i="5" s="1"/>
  <c r="G21" i="5"/>
  <c r="C76" i="5"/>
  <c r="C70" i="5"/>
  <c r="C74" i="5"/>
  <c r="C67" i="5"/>
  <c r="C68" i="5"/>
  <c r="H35" i="60"/>
  <c r="H36" i="60"/>
  <c r="C106" i="32"/>
  <c r="E109" i="50"/>
  <c r="H99" i="19"/>
  <c r="E59" i="19"/>
  <c r="E61" i="19" s="1"/>
  <c r="E73" i="19" s="1"/>
  <c r="J42" i="26"/>
  <c r="J43" i="26" s="1"/>
  <c r="K41" i="26"/>
  <c r="G25" i="2"/>
  <c r="H25" i="2" s="1"/>
  <c r="I25" i="2" s="1"/>
  <c r="D26" i="2" s="1"/>
  <c r="E36" i="19"/>
  <c r="G35" i="19"/>
  <c r="G48" i="19" s="1"/>
  <c r="G50" i="19" s="1"/>
  <c r="G51" i="19" s="1"/>
  <c r="D48" i="51"/>
  <c r="D50" i="51" s="1"/>
  <c r="D51" i="51" s="1"/>
  <c r="D54" i="51" s="1"/>
  <c r="D55" i="51" s="1"/>
  <c r="E78" i="51" s="1"/>
  <c r="D36" i="51"/>
  <c r="G35" i="17"/>
  <c r="G37" i="17" s="1"/>
  <c r="E63" i="17" s="1"/>
  <c r="E64" i="17" s="1"/>
  <c r="E66" i="17" s="1"/>
  <c r="E79" i="17" s="1"/>
  <c r="F37" i="17"/>
  <c r="G38" i="17" s="1"/>
  <c r="G51" i="17" s="1"/>
  <c r="C23" i="31"/>
  <c r="E60" i="32"/>
  <c r="M61" i="32" s="1"/>
  <c r="N61" i="32" s="1"/>
  <c r="K62" i="32" s="1"/>
  <c r="F82" i="13"/>
  <c r="F85" i="13" s="1"/>
  <c r="F106" i="13" s="1"/>
  <c r="G74" i="13"/>
  <c r="F78" i="13"/>
  <c r="G40" i="32"/>
  <c r="F70" i="8"/>
  <c r="K36" i="24"/>
  <c r="C174" i="17"/>
  <c r="C107" i="17" s="1"/>
  <c r="I41" i="51"/>
  <c r="G42" i="51"/>
  <c r="G43" i="51" s="1"/>
  <c r="D71" i="25"/>
  <c r="D74" i="25" s="1"/>
  <c r="D75" i="25" s="1"/>
  <c r="D78" i="25" s="1"/>
  <c r="D69" i="25"/>
  <c r="D77" i="25" s="1"/>
  <c r="C62" i="7"/>
  <c r="C59" i="7"/>
  <c r="F20" i="7"/>
  <c r="G20" i="7" s="1"/>
  <c r="E21" i="7" s="1"/>
  <c r="C60" i="7"/>
  <c r="C57" i="7"/>
  <c r="C55" i="7"/>
  <c r="C58" i="7"/>
  <c r="C61" i="7"/>
  <c r="C64" i="7"/>
  <c r="C63" i="7"/>
  <c r="C56" i="7"/>
  <c r="C66" i="7"/>
  <c r="C65" i="7"/>
  <c r="H20" i="7"/>
  <c r="M117" i="30"/>
  <c r="N118" i="30" s="1"/>
  <c r="M112" i="30"/>
  <c r="AA10" i="55"/>
  <c r="N10" i="55"/>
  <c r="M11" i="55"/>
  <c r="P10" i="55"/>
  <c r="F121" i="46"/>
  <c r="F87" i="25"/>
  <c r="F91" i="25" s="1"/>
  <c r="F90" i="25"/>
  <c r="I105" i="28"/>
  <c r="I106" i="28"/>
  <c r="C99" i="17"/>
  <c r="H64" i="12"/>
  <c r="H59" i="12"/>
  <c r="G49" i="12"/>
  <c r="H46" i="12"/>
  <c r="H61" i="12"/>
  <c r="G48" i="12"/>
  <c r="H58" i="12"/>
  <c r="H63" i="12"/>
  <c r="H57" i="12"/>
  <c r="G73" i="12"/>
  <c r="H60" i="12"/>
  <c r="D36" i="26"/>
  <c r="D48" i="26"/>
  <c r="D50" i="26" s="1"/>
  <c r="D51" i="26" s="1"/>
  <c r="D54" i="26" s="1"/>
  <c r="D55" i="26" s="1"/>
  <c r="E78" i="26" s="1"/>
  <c r="E47" i="50"/>
  <c r="F44" i="50"/>
  <c r="E48" i="50"/>
  <c r="E54" i="50" s="1"/>
  <c r="F107" i="50" s="1"/>
  <c r="F109" i="50" s="1"/>
  <c r="F95" i="50"/>
  <c r="E51" i="50"/>
  <c r="F99" i="50"/>
  <c r="C74" i="25"/>
  <c r="C75" i="25" s="1"/>
  <c r="C78" i="25" s="1"/>
  <c r="C79" i="25" s="1"/>
  <c r="G50" i="30"/>
  <c r="G51" i="30" s="1"/>
  <c r="C42" i="59"/>
  <c r="S36" i="24"/>
  <c r="D48" i="24"/>
  <c r="D50" i="24" s="1"/>
  <c r="D51" i="24" s="1"/>
  <c r="D54" i="24" s="1"/>
  <c r="D36" i="24"/>
  <c r="G20" i="32"/>
  <c r="C21" i="32" s="1"/>
  <c r="F88" i="8"/>
  <c r="F89" i="8"/>
  <c r="F90" i="8"/>
  <c r="E68" i="30"/>
  <c r="E69" i="30"/>
  <c r="K48" i="26"/>
  <c r="K36" i="26"/>
  <c r="H90" i="30"/>
  <c r="H191" i="30"/>
  <c r="H192" i="30" s="1"/>
  <c r="E41" i="19"/>
  <c r="D41" i="19"/>
  <c r="G41" i="19"/>
  <c r="C41" i="19"/>
  <c r="F41" i="19"/>
  <c r="D31" i="56"/>
  <c r="D33" i="56" s="1"/>
  <c r="D36" i="56" s="1"/>
  <c r="D30" i="56"/>
  <c r="G77" i="63"/>
  <c r="F85" i="63"/>
  <c r="E66" i="25"/>
  <c r="E67" i="25" s="1"/>
  <c r="F65" i="25"/>
  <c r="C16" i="35"/>
  <c r="D16" i="35" s="1"/>
  <c r="E16" i="35" s="1"/>
  <c r="B17" i="35"/>
  <c r="F55" i="24"/>
  <c r="G78" i="24" s="1"/>
  <c r="D88" i="13"/>
  <c r="D91" i="13"/>
  <c r="D93" i="13"/>
  <c r="E68" i="46"/>
  <c r="D68" i="46"/>
  <c r="H68" i="46"/>
  <c r="F51" i="12"/>
  <c r="F52" i="12"/>
  <c r="E75" i="22"/>
  <c r="E76" i="22" s="1"/>
  <c r="C36" i="17"/>
  <c r="G36" i="17"/>
  <c r="D36" i="17"/>
  <c r="E36" i="17"/>
  <c r="C32" i="17"/>
  <c r="C37" i="17"/>
  <c r="C38" i="17" s="1"/>
  <c r="C51" i="17" s="1"/>
  <c r="C55" i="17" s="1"/>
  <c r="C56" i="17" s="1"/>
  <c r="F36" i="17"/>
  <c r="D37" i="17"/>
  <c r="E38" i="17" s="1"/>
  <c r="E51" i="17" s="1"/>
  <c r="E55" i="17" s="1"/>
  <c r="E56" i="17" s="1"/>
  <c r="D41" i="32"/>
  <c r="D126" i="32"/>
  <c r="E53" i="51"/>
  <c r="F77" i="51"/>
  <c r="C53" i="30"/>
  <c r="C61" i="30"/>
  <c r="C66" i="30" s="1"/>
  <c r="J27" i="49"/>
  <c r="E28" i="49"/>
  <c r="F32" i="3"/>
  <c r="D78" i="22"/>
  <c r="D82" i="22" s="1"/>
  <c r="D83" i="22" s="1"/>
  <c r="D93" i="22" s="1"/>
  <c r="E103" i="22" s="1"/>
  <c r="E53" i="24"/>
  <c r="E55" i="24" s="1"/>
  <c r="F78" i="24" s="1"/>
  <c r="F77" i="24"/>
  <c r="J25" i="2"/>
  <c r="E26" i="2"/>
  <c r="C35" i="19"/>
  <c r="C48" i="19" s="1"/>
  <c r="C50" i="19" s="1"/>
  <c r="C51" i="19" s="1"/>
  <c r="E48" i="10"/>
  <c r="B28" i="56"/>
  <c r="C80" i="59"/>
  <c r="E105" i="13"/>
  <c r="D65" i="23"/>
  <c r="D69" i="23" s="1"/>
  <c r="D72" i="23" s="1"/>
  <c r="D79" i="23" s="1"/>
  <c r="D82" i="23" s="1"/>
  <c r="E78" i="8"/>
  <c r="E79" i="8" s="1"/>
  <c r="E80" i="8" s="1"/>
  <c r="E81" i="8" s="1"/>
  <c r="E86" i="8" s="1"/>
  <c r="J86" i="8" s="1"/>
  <c r="E108" i="63"/>
  <c r="G29" i="8"/>
  <c r="I80" i="21"/>
  <c r="H82" i="21" s="1"/>
  <c r="H29" i="21"/>
  <c r="H30" i="21" s="1"/>
  <c r="C32" i="21" s="1"/>
  <c r="C40" i="21" s="1"/>
  <c r="D67" i="62"/>
  <c r="D72" i="62" s="1"/>
  <c r="D74" i="62" s="1"/>
  <c r="D49" i="50"/>
  <c r="N113" i="30"/>
  <c r="F81" i="21"/>
  <c r="E84" i="21"/>
  <c r="D55" i="24"/>
  <c r="E78" i="24" s="1"/>
  <c r="F29" i="8"/>
  <c r="B27" i="33"/>
  <c r="C26" i="33"/>
  <c r="E26" i="33" s="1"/>
  <c r="D26" i="33"/>
  <c r="F26" i="33" s="1"/>
  <c r="F41" i="2"/>
  <c r="D105" i="50"/>
  <c r="D109" i="50" s="1"/>
  <c r="C47" i="50"/>
  <c r="C49" i="50" s="1"/>
  <c r="G69" i="21"/>
  <c r="F72" i="21"/>
  <c r="D12" i="55"/>
  <c r="E12" i="55"/>
  <c r="B13" i="55"/>
  <c r="H99" i="30"/>
  <c r="H175" i="30"/>
  <c r="H176" i="30" s="1"/>
  <c r="F36" i="19"/>
  <c r="D54" i="10"/>
  <c r="E42" i="10"/>
  <c r="C33" i="56"/>
  <c r="C38" i="44"/>
  <c r="E76" i="29"/>
  <c r="Y7" i="55"/>
  <c r="Q7" i="55"/>
  <c r="T7" i="55"/>
  <c r="E60" i="13"/>
  <c r="E112" i="13"/>
  <c r="F72" i="22"/>
  <c r="G25" i="49"/>
  <c r="H25" i="49" s="1"/>
  <c r="I25" i="49" s="1"/>
  <c r="D26" i="49" s="1"/>
  <c r="G26" i="49" s="1"/>
  <c r="H26" i="49" s="1"/>
  <c r="G53" i="24"/>
  <c r="G55" i="24" s="1"/>
  <c r="H78" i="24" s="1"/>
  <c r="E54" i="62"/>
  <c r="F77" i="8"/>
  <c r="D35" i="56"/>
  <c r="E24" i="56"/>
  <c r="H63" i="62"/>
  <c r="H46" i="62"/>
  <c r="H58" i="62"/>
  <c r="G73" i="62"/>
  <c r="H59" i="62"/>
  <c r="H61" i="62"/>
  <c r="G49" i="62"/>
  <c r="H57" i="62"/>
  <c r="H64" i="62"/>
  <c r="H60" i="62"/>
  <c r="G40" i="50"/>
  <c r="F70" i="15"/>
  <c r="I10" i="21"/>
  <c r="H11" i="21" s="1"/>
  <c r="H12" i="21" s="1"/>
  <c r="C14" i="21" s="1"/>
  <c r="C38" i="21" s="1"/>
  <c r="H76" i="13"/>
  <c r="G83" i="13"/>
  <c r="H48" i="8"/>
  <c r="H29" i="8"/>
  <c r="F59" i="23"/>
  <c r="G52" i="23"/>
  <c r="F61" i="23"/>
  <c r="F81" i="23"/>
  <c r="F56" i="23"/>
  <c r="F55" i="23"/>
  <c r="F57" i="23"/>
  <c r="F54" i="23"/>
  <c r="F75" i="23"/>
  <c r="F74" i="23"/>
  <c r="F58" i="23"/>
  <c r="G68" i="23"/>
  <c r="G67" i="23"/>
  <c r="G66" i="23"/>
  <c r="N36" i="24"/>
  <c r="C48" i="26"/>
  <c r="C50" i="26" s="1"/>
  <c r="C51" i="26" s="1"/>
  <c r="C54" i="26" s="1"/>
  <c r="C55" i="26" s="1"/>
  <c r="C36" i="26"/>
  <c r="D56" i="50"/>
  <c r="D57" i="50" s="1"/>
  <c r="G57" i="63"/>
  <c r="F62" i="63"/>
  <c r="C46" i="4"/>
  <c r="C51" i="4"/>
  <c r="C45" i="4"/>
  <c r="C50" i="4"/>
  <c r="C44" i="4"/>
  <c r="C49" i="4"/>
  <c r="C47" i="4"/>
  <c r="C48" i="4"/>
  <c r="C41" i="4"/>
  <c r="C42" i="4"/>
  <c r="C43" i="4"/>
  <c r="C52" i="4"/>
  <c r="G23" i="33"/>
  <c r="B25" i="46"/>
  <c r="D93" i="63"/>
  <c r="D96" i="63"/>
  <c r="D91" i="63"/>
  <c r="D92" i="63"/>
  <c r="D95" i="63"/>
  <c r="D94" i="63"/>
  <c r="H81" i="8" l="1"/>
  <c r="G50" i="17"/>
  <c r="G47" i="17"/>
  <c r="G53" i="17" s="1"/>
  <c r="H94" i="17"/>
  <c r="C95" i="17" s="1"/>
  <c r="E38" i="18"/>
  <c r="G55" i="17"/>
  <c r="G56" i="17" s="1"/>
  <c r="AH9" i="55"/>
  <c r="AI9" i="55" s="1"/>
  <c r="S47" i="26"/>
  <c r="S50" i="26" s="1"/>
  <c r="S51" i="26" s="1"/>
  <c r="S54" i="26" s="1"/>
  <c r="S55" i="26" s="1"/>
  <c r="V77" i="26" s="1"/>
  <c r="S45" i="26"/>
  <c r="S53" i="26" s="1"/>
  <c r="T43" i="26"/>
  <c r="F18" i="46"/>
  <c r="F35" i="46" s="1"/>
  <c r="K86" i="52"/>
  <c r="K85" i="52"/>
  <c r="K91" i="52"/>
  <c r="K84" i="52"/>
  <c r="K89" i="52"/>
  <c r="K81" i="52"/>
  <c r="K87" i="52"/>
  <c r="K88" i="52"/>
  <c r="K83" i="52"/>
  <c r="K90" i="52"/>
  <c r="K82" i="52"/>
  <c r="K92" i="52"/>
  <c r="K78" i="52"/>
  <c r="K70" i="52"/>
  <c r="K77" i="52"/>
  <c r="K69" i="52"/>
  <c r="K76" i="52"/>
  <c r="K73" i="52"/>
  <c r="K79" i="52"/>
  <c r="K71" i="52"/>
  <c r="K75" i="52"/>
  <c r="K80" i="52"/>
  <c r="K72" i="52"/>
  <c r="K74" i="52"/>
  <c r="F38" i="17"/>
  <c r="F51" i="17" s="1"/>
  <c r="F55" i="17" s="1"/>
  <c r="F56" i="17" s="1"/>
  <c r="G85" i="22"/>
  <c r="G64" i="22"/>
  <c r="G67" i="22"/>
  <c r="G66" i="22"/>
  <c r="H54" i="22"/>
  <c r="G71" i="22"/>
  <c r="G50" i="22"/>
  <c r="G65" i="22" s="1"/>
  <c r="G59" i="22"/>
  <c r="G60" i="22"/>
  <c r="G86" i="22"/>
  <c r="G87" i="22" s="1"/>
  <c r="G90" i="22"/>
  <c r="G62" i="22"/>
  <c r="G57" i="22"/>
  <c r="G89" i="22"/>
  <c r="H81" i="22"/>
  <c r="G58" i="22"/>
  <c r="H79" i="22"/>
  <c r="G74" i="22"/>
  <c r="G63" i="22"/>
  <c r="G56" i="22"/>
  <c r="G69" i="22"/>
  <c r="G61" i="22"/>
  <c r="H80" i="22"/>
  <c r="G70" i="22"/>
  <c r="G68" i="22"/>
  <c r="F88" i="25"/>
  <c r="G35" i="51"/>
  <c r="G36" i="51" s="1"/>
  <c r="C89" i="19"/>
  <c r="I19" i="21"/>
  <c r="H68" i="21"/>
  <c r="H92" i="19"/>
  <c r="C93" i="19" s="1"/>
  <c r="G97" i="18"/>
  <c r="F49" i="18"/>
  <c r="F54" i="18" s="1"/>
  <c r="F55" i="18" s="1"/>
  <c r="G42" i="18"/>
  <c r="H97" i="18" s="1"/>
  <c r="F46" i="18"/>
  <c r="F52" i="18" s="1"/>
  <c r="G93" i="18"/>
  <c r="K48" i="51"/>
  <c r="K36" i="51"/>
  <c r="K77" i="24"/>
  <c r="D38" i="17"/>
  <c r="D51" i="17" s="1"/>
  <c r="D55" i="17" s="1"/>
  <c r="D56" i="17" s="1"/>
  <c r="P12" i="43"/>
  <c r="C35" i="43"/>
  <c r="C40" i="43" s="1"/>
  <c r="O17" i="43"/>
  <c r="G55" i="8"/>
  <c r="G62" i="8" s="1"/>
  <c r="G63" i="8" s="1"/>
  <c r="G88" i="8" s="1"/>
  <c r="J88" i="8" s="1"/>
  <c r="B39" i="44"/>
  <c r="F38" i="44"/>
  <c r="L38" i="44" s="1"/>
  <c r="E44" i="10"/>
  <c r="E47" i="10" s="1"/>
  <c r="E49" i="10" s="1"/>
  <c r="D23" i="10" s="1"/>
  <c r="AG10" i="55"/>
  <c r="H11" i="55"/>
  <c r="K11" i="55" s="1"/>
  <c r="D56" i="28"/>
  <c r="G56" i="28" s="1"/>
  <c r="E38" i="44"/>
  <c r="K38" i="44" s="1"/>
  <c r="X11" i="55"/>
  <c r="W12" i="55"/>
  <c r="F16" i="35"/>
  <c r="G16" i="35" s="1"/>
  <c r="D37" i="60"/>
  <c r="G49" i="16"/>
  <c r="H84" i="16" s="1"/>
  <c r="C85" i="16" s="1"/>
  <c r="U43" i="24"/>
  <c r="T47" i="24"/>
  <c r="T50" i="24" s="1"/>
  <c r="T51" i="24" s="1"/>
  <c r="T54" i="24" s="1"/>
  <c r="T45" i="24"/>
  <c r="T53" i="24" s="1"/>
  <c r="E26" i="48"/>
  <c r="J25" i="48"/>
  <c r="C45" i="18"/>
  <c r="C47" i="18" s="1"/>
  <c r="D103" i="18"/>
  <c r="D107" i="18" s="1"/>
  <c r="F56" i="16"/>
  <c r="F57" i="16" s="1"/>
  <c r="F58" i="16" s="1"/>
  <c r="G88" i="16" s="1"/>
  <c r="E40" i="27"/>
  <c r="C41" i="27"/>
  <c r="E41" i="27" s="1"/>
  <c r="D45" i="18"/>
  <c r="D47" i="18" s="1"/>
  <c r="E103" i="18"/>
  <c r="E107" i="18" s="1"/>
  <c r="C38" i="18"/>
  <c r="C83" i="52"/>
  <c r="C82" i="52"/>
  <c r="G24" i="52"/>
  <c r="C89" i="52"/>
  <c r="C81" i="52"/>
  <c r="C91" i="52"/>
  <c r="C88" i="52"/>
  <c r="C86" i="52"/>
  <c r="C85" i="52"/>
  <c r="C84" i="52"/>
  <c r="C90" i="52"/>
  <c r="C87" i="52"/>
  <c r="G25" i="3"/>
  <c r="E25" i="3" s="1"/>
  <c r="J25" i="3" s="1"/>
  <c r="I25" i="3"/>
  <c r="D26" i="3" s="1"/>
  <c r="I39" i="8"/>
  <c r="I33" i="8"/>
  <c r="L41" i="24"/>
  <c r="K42" i="24"/>
  <c r="K43" i="24" s="1"/>
  <c r="E65" i="18"/>
  <c r="E78" i="18" s="1"/>
  <c r="E45" i="18"/>
  <c r="E47" i="18" s="1"/>
  <c r="F82" i="18" s="1"/>
  <c r="F103" i="18"/>
  <c r="F107" i="18" s="1"/>
  <c r="H43" i="8"/>
  <c r="H53" i="8" s="1"/>
  <c r="H47" i="8"/>
  <c r="H49" i="8" s="1"/>
  <c r="H50" i="8" s="1"/>
  <c r="H54" i="8" s="1"/>
  <c r="H55" i="8" s="1"/>
  <c r="H62" i="8" s="1"/>
  <c r="H63" i="8" s="1"/>
  <c r="D38" i="56"/>
  <c r="E55" i="51"/>
  <c r="F78" i="51" s="1"/>
  <c r="G36" i="19"/>
  <c r="F35" i="51"/>
  <c r="F36" i="51" s="1"/>
  <c r="D79" i="25"/>
  <c r="E111" i="25" s="1"/>
  <c r="F45" i="18"/>
  <c r="G103" i="18"/>
  <c r="G107" i="18" s="1"/>
  <c r="G60" i="21"/>
  <c r="H56" i="21"/>
  <c r="I56" i="21" s="1"/>
  <c r="H58" i="21" s="1"/>
  <c r="H60" i="21" s="1"/>
  <c r="H107" i="28"/>
  <c r="H109" i="28" s="1"/>
  <c r="H113" i="28" s="1"/>
  <c r="G25" i="48"/>
  <c r="H25" i="48" s="1"/>
  <c r="I25" i="48" s="1"/>
  <c r="D26" i="48" s="1"/>
  <c r="C170" i="16"/>
  <c r="G54" i="16"/>
  <c r="C175" i="16"/>
  <c r="C169" i="16"/>
  <c r="C177" i="16"/>
  <c r="C171" i="16"/>
  <c r="C174" i="16"/>
  <c r="C176" i="16"/>
  <c r="C172" i="16"/>
  <c r="C168" i="16"/>
  <c r="C167" i="16"/>
  <c r="C173" i="16"/>
  <c r="C178" i="16"/>
  <c r="E62" i="44"/>
  <c r="K62" i="44" s="1"/>
  <c r="B64" i="44"/>
  <c r="D63" i="44"/>
  <c r="J63" i="44" s="1"/>
  <c r="C63" i="44"/>
  <c r="F63" i="44"/>
  <c r="L63" i="44" s="1"/>
  <c r="E63" i="44"/>
  <c r="K63" i="44" s="1"/>
  <c r="G53" i="30"/>
  <c r="G61" i="30"/>
  <c r="G66" i="30" s="1"/>
  <c r="D111" i="25"/>
  <c r="D109" i="25"/>
  <c r="D114" i="25"/>
  <c r="D106" i="25"/>
  <c r="N106" i="25" s="1"/>
  <c r="O106" i="25" s="1"/>
  <c r="D113" i="25"/>
  <c r="D108" i="25"/>
  <c r="D115" i="25"/>
  <c r="D112" i="25"/>
  <c r="D110" i="25"/>
  <c r="D107" i="25"/>
  <c r="E109" i="63"/>
  <c r="L62" i="32"/>
  <c r="H53" i="60"/>
  <c r="H54" i="60"/>
  <c r="H72" i="60" s="1"/>
  <c r="G26" i="2"/>
  <c r="E41" i="4"/>
  <c r="F41" i="4" s="1"/>
  <c r="H83" i="13"/>
  <c r="H78" i="13"/>
  <c r="E35" i="56"/>
  <c r="F24" i="56"/>
  <c r="E26" i="56"/>
  <c r="I76" i="29"/>
  <c r="H76" i="29"/>
  <c r="G76" i="29"/>
  <c r="C132" i="50"/>
  <c r="C159" i="50"/>
  <c r="C139" i="50"/>
  <c r="C133" i="50"/>
  <c r="C122" i="50"/>
  <c r="C145" i="50"/>
  <c r="C127" i="50"/>
  <c r="C144" i="50"/>
  <c r="C123" i="50"/>
  <c r="C152" i="50"/>
  <c r="C118" i="50"/>
  <c r="C126" i="50"/>
  <c r="C149" i="50"/>
  <c r="C141" i="50"/>
  <c r="C143" i="50"/>
  <c r="C119" i="50"/>
  <c r="C140" i="50"/>
  <c r="C137" i="50"/>
  <c r="C136" i="50"/>
  <c r="C151" i="50"/>
  <c r="C125" i="50"/>
  <c r="C121" i="50"/>
  <c r="C135" i="50"/>
  <c r="C134" i="50"/>
  <c r="C117" i="50"/>
  <c r="C124" i="50"/>
  <c r="C120" i="50"/>
  <c r="C131" i="50"/>
  <c r="C150" i="50"/>
  <c r="C128" i="50"/>
  <c r="C142" i="50"/>
  <c r="C146" i="50"/>
  <c r="C138" i="50"/>
  <c r="C147" i="50"/>
  <c r="C129" i="50"/>
  <c r="C148" i="50"/>
  <c r="C130" i="50"/>
  <c r="G98" i="19"/>
  <c r="G101" i="19" s="1"/>
  <c r="F45" i="19"/>
  <c r="F98" i="19"/>
  <c r="F101" i="19" s="1"/>
  <c r="E45" i="19"/>
  <c r="F88" i="30"/>
  <c r="F185" i="30"/>
  <c r="F186" i="30" s="1"/>
  <c r="F187" i="30" s="1"/>
  <c r="F194" i="30" s="1"/>
  <c r="F89" i="30"/>
  <c r="D21" i="32"/>
  <c r="H21" i="32"/>
  <c r="E21" i="32"/>
  <c r="J41" i="51"/>
  <c r="I42" i="51"/>
  <c r="I43" i="51"/>
  <c r="F105" i="13"/>
  <c r="J45" i="26"/>
  <c r="J47" i="26"/>
  <c r="J50" i="26" s="1"/>
  <c r="J51" i="26" s="1"/>
  <c r="J54" i="26" s="1"/>
  <c r="H59" i="60"/>
  <c r="H62" i="60" s="1"/>
  <c r="D81" i="24"/>
  <c r="C57" i="4"/>
  <c r="C62" i="4"/>
  <c r="C56" i="4"/>
  <c r="C61" i="4"/>
  <c r="C55" i="4"/>
  <c r="C60" i="4"/>
  <c r="C54" i="4"/>
  <c r="C64" i="4"/>
  <c r="C58" i="4"/>
  <c r="C53" i="4"/>
  <c r="C63" i="4"/>
  <c r="C59" i="4"/>
  <c r="F63" i="63"/>
  <c r="F115" i="63"/>
  <c r="F60" i="23"/>
  <c r="F62" i="23" s="1"/>
  <c r="H69" i="21"/>
  <c r="G72" i="21"/>
  <c r="C69" i="30"/>
  <c r="C68" i="30"/>
  <c r="F53" i="12"/>
  <c r="F54" i="12" s="1"/>
  <c r="C17" i="35"/>
  <c r="F17" i="35" s="1"/>
  <c r="G17" i="35" s="1"/>
  <c r="B18" i="35"/>
  <c r="E71" i="25"/>
  <c r="E74" i="25" s="1"/>
  <c r="E75" i="25" s="1"/>
  <c r="E78" i="25" s="1"/>
  <c r="E69" i="25"/>
  <c r="E77" i="25" s="1"/>
  <c r="C45" i="19"/>
  <c r="D98" i="19"/>
  <c r="D101" i="19" s="1"/>
  <c r="F169" i="30"/>
  <c r="F170" i="30" s="1"/>
  <c r="F171" i="30" s="1"/>
  <c r="F178" i="30" s="1"/>
  <c r="F98" i="30"/>
  <c r="F97" i="30"/>
  <c r="C46" i="59"/>
  <c r="E42" i="59"/>
  <c r="G95" i="50"/>
  <c r="F48" i="50"/>
  <c r="F54" i="50" s="1"/>
  <c r="G107" i="50" s="1"/>
  <c r="G109" i="50" s="1"/>
  <c r="F47" i="50"/>
  <c r="F51" i="50"/>
  <c r="G99" i="50"/>
  <c r="G44" i="50"/>
  <c r="E108" i="25"/>
  <c r="G45" i="51"/>
  <c r="G47" i="51"/>
  <c r="H82" i="13"/>
  <c r="G82" i="13"/>
  <c r="G85" i="13" s="1"/>
  <c r="G106" i="13" s="1"/>
  <c r="G78" i="13"/>
  <c r="D80" i="24"/>
  <c r="G18" i="46"/>
  <c r="C19" i="46" s="1"/>
  <c r="D69" i="60"/>
  <c r="D59" i="60"/>
  <c r="D62" i="60" s="1"/>
  <c r="E67" i="12"/>
  <c r="E72" i="12" s="1"/>
  <c r="E74" i="12" s="1"/>
  <c r="F42" i="2"/>
  <c r="J28" i="49"/>
  <c r="E29" i="49"/>
  <c r="C56" i="30"/>
  <c r="C55" i="30"/>
  <c r="G39" i="17"/>
  <c r="D44" i="17"/>
  <c r="D46" i="17" s="1"/>
  <c r="D48" i="17" s="1"/>
  <c r="C44" i="17"/>
  <c r="C46" i="17" s="1"/>
  <c r="C48" i="17" s="1"/>
  <c r="F44" i="17"/>
  <c r="F46" i="17" s="1"/>
  <c r="F48" i="17" s="1"/>
  <c r="C39" i="17"/>
  <c r="G44" i="17"/>
  <c r="G46" i="17" s="1"/>
  <c r="G48" i="17" s="1"/>
  <c r="E44" i="17"/>
  <c r="E46" i="17" s="1"/>
  <c r="E48" i="17" s="1"/>
  <c r="F68" i="46"/>
  <c r="D94" i="13"/>
  <c r="F66" i="25"/>
  <c r="F67" i="25" s="1"/>
  <c r="G65" i="25"/>
  <c r="F108" i="63"/>
  <c r="H98" i="19"/>
  <c r="H101" i="19" s="1"/>
  <c r="G45" i="19"/>
  <c r="E56" i="50"/>
  <c r="E57" i="50" s="1"/>
  <c r="E49" i="50"/>
  <c r="G51" i="12"/>
  <c r="G52" i="12"/>
  <c r="I107" i="28"/>
  <c r="I109" i="28" s="1"/>
  <c r="C78" i="7"/>
  <c r="C77" i="7"/>
  <c r="C71" i="7"/>
  <c r="C70" i="7"/>
  <c r="C68" i="7"/>
  <c r="F21" i="7"/>
  <c r="G21" i="7" s="1"/>
  <c r="E22" i="7" s="1"/>
  <c r="C75" i="7"/>
  <c r="C69" i="7"/>
  <c r="C74" i="7"/>
  <c r="H21" i="7"/>
  <c r="C76" i="7"/>
  <c r="C73" i="7"/>
  <c r="C67" i="7"/>
  <c r="C72" i="7"/>
  <c r="K42" i="26"/>
  <c r="K43" i="26" s="1"/>
  <c r="L41" i="26"/>
  <c r="H37" i="60"/>
  <c r="G48" i="51"/>
  <c r="E96" i="63"/>
  <c r="E95" i="63"/>
  <c r="E93" i="63"/>
  <c r="E92" i="63"/>
  <c r="E91" i="63"/>
  <c r="E94" i="63"/>
  <c r="F54" i="62"/>
  <c r="E98" i="30"/>
  <c r="E169" i="30"/>
  <c r="E170" i="30" s="1"/>
  <c r="E171" i="30" s="1"/>
  <c r="E178" i="30" s="1"/>
  <c r="E97" i="30"/>
  <c r="G15" i="55"/>
  <c r="S14" i="55"/>
  <c r="U21" i="55"/>
  <c r="F69" i="30"/>
  <c r="F68" i="30"/>
  <c r="G52" i="62"/>
  <c r="G53" i="62"/>
  <c r="G51" i="62"/>
  <c r="F39" i="44"/>
  <c r="L39" i="44" s="1"/>
  <c r="E39" i="44"/>
  <c r="K39" i="44" s="1"/>
  <c r="C39" i="44"/>
  <c r="D39" i="44"/>
  <c r="J39" i="44" s="1"/>
  <c r="B40" i="44"/>
  <c r="N119" i="30"/>
  <c r="O118" i="30" s="1"/>
  <c r="F33" i="3"/>
  <c r="E39" i="17"/>
  <c r="E78" i="22"/>
  <c r="E82" i="22" s="1"/>
  <c r="E83" i="22" s="1"/>
  <c r="E93" i="22" s="1"/>
  <c r="F103" i="22" s="1"/>
  <c r="H48" i="12"/>
  <c r="H73" i="12"/>
  <c r="I46" i="12"/>
  <c r="I63" i="12"/>
  <c r="H49" i="12"/>
  <c r="I60" i="12"/>
  <c r="I64" i="12"/>
  <c r="I59" i="12"/>
  <c r="I58" i="12"/>
  <c r="I57" i="12"/>
  <c r="I61" i="12"/>
  <c r="Y10" i="55"/>
  <c r="T10" i="55"/>
  <c r="Q10" i="55"/>
  <c r="D24" i="31"/>
  <c r="G24" i="31"/>
  <c r="E24" i="31"/>
  <c r="F53" i="51"/>
  <c r="G77" i="51"/>
  <c r="F60" i="13"/>
  <c r="F112" i="13"/>
  <c r="D97" i="63"/>
  <c r="D78" i="26"/>
  <c r="E38" i="21"/>
  <c r="I63" i="62"/>
  <c r="I46" i="62"/>
  <c r="I49" i="62" s="1"/>
  <c r="H49" i="62"/>
  <c r="I59" i="62"/>
  <c r="I58" i="62"/>
  <c r="I61" i="62"/>
  <c r="I64" i="62"/>
  <c r="I60" i="62"/>
  <c r="H73" i="62"/>
  <c r="I57" i="62"/>
  <c r="F75" i="22"/>
  <c r="F76" i="22" s="1"/>
  <c r="AB12" i="55"/>
  <c r="O12" i="55"/>
  <c r="G26" i="33"/>
  <c r="D58" i="50"/>
  <c r="E88" i="50" s="1"/>
  <c r="E84" i="50"/>
  <c r="H26" i="2"/>
  <c r="I26" i="2" s="1"/>
  <c r="D27" i="2" s="1"/>
  <c r="J26" i="2"/>
  <c r="E27" i="2"/>
  <c r="I26" i="49"/>
  <c r="D27" i="49" s="1"/>
  <c r="E30" i="56"/>
  <c r="E31" i="56"/>
  <c r="F60" i="32"/>
  <c r="C61" i="32" s="1"/>
  <c r="G60" i="32"/>
  <c r="E82" i="32"/>
  <c r="C83" i="5"/>
  <c r="C85" i="5"/>
  <c r="C88" i="5"/>
  <c r="C81" i="5"/>
  <c r="C86" i="5"/>
  <c r="C79" i="5"/>
  <c r="C87" i="5"/>
  <c r="F22" i="5"/>
  <c r="C90" i="5" s="1"/>
  <c r="C84" i="5"/>
  <c r="C82" i="5"/>
  <c r="C89" i="5"/>
  <c r="C80" i="5"/>
  <c r="G90" i="25"/>
  <c r="G87" i="25"/>
  <c r="G91" i="25" s="1"/>
  <c r="G88" i="25"/>
  <c r="H54" i="13"/>
  <c r="G59" i="13"/>
  <c r="F43" i="48"/>
  <c r="F35" i="60"/>
  <c r="F36" i="60"/>
  <c r="F72" i="60" s="1"/>
  <c r="B26" i="46"/>
  <c r="G62" i="63"/>
  <c r="H57" i="63"/>
  <c r="B28" i="33"/>
  <c r="C27" i="33"/>
  <c r="E27" i="33" s="1"/>
  <c r="D27" i="33"/>
  <c r="F27" i="33" s="1"/>
  <c r="F76" i="23"/>
  <c r="H68" i="23"/>
  <c r="G57" i="23"/>
  <c r="G75" i="23"/>
  <c r="G74" i="23"/>
  <c r="H67" i="23"/>
  <c r="G54" i="23"/>
  <c r="G55" i="23"/>
  <c r="G56" i="23"/>
  <c r="H52" i="23"/>
  <c r="G81" i="23"/>
  <c r="G59" i="23"/>
  <c r="H66" i="23"/>
  <c r="G61" i="23"/>
  <c r="G58" i="23"/>
  <c r="F78" i="8"/>
  <c r="F79" i="8" s="1"/>
  <c r="F80" i="8" s="1"/>
  <c r="F81" i="8" s="1"/>
  <c r="F87" i="8" s="1"/>
  <c r="J87" i="8" s="1"/>
  <c r="E62" i="62"/>
  <c r="E65" i="62" s="1"/>
  <c r="E69" i="62" s="1"/>
  <c r="E91" i="13"/>
  <c r="E93" i="13"/>
  <c r="E88" i="13"/>
  <c r="C36" i="56"/>
  <c r="C38" i="56"/>
  <c r="D13" i="55"/>
  <c r="E13" i="55"/>
  <c r="B14" i="55"/>
  <c r="C58" i="50"/>
  <c r="D88" i="50" s="1"/>
  <c r="D84" i="50"/>
  <c r="G81" i="21"/>
  <c r="F84" i="21"/>
  <c r="E40" i="21"/>
  <c r="B37" i="56"/>
  <c r="B38" i="56"/>
  <c r="K78" i="24"/>
  <c r="T78" i="24"/>
  <c r="T79" i="24" s="1"/>
  <c r="E85" i="46"/>
  <c r="G85" i="63"/>
  <c r="C36" i="19"/>
  <c r="E98" i="19"/>
  <c r="E101" i="19" s="1"/>
  <c r="D45" i="19"/>
  <c r="F96" i="25"/>
  <c r="F98" i="25" s="1"/>
  <c r="AC10" i="55"/>
  <c r="AF10" i="55"/>
  <c r="AH10" i="55" s="1"/>
  <c r="AI10" i="55" s="1"/>
  <c r="F86" i="63"/>
  <c r="F88" i="63" s="1"/>
  <c r="G79" i="63"/>
  <c r="H93" i="25"/>
  <c r="H94" i="25" s="1"/>
  <c r="I63" i="25"/>
  <c r="H85" i="25"/>
  <c r="F28" i="49"/>
  <c r="G27" i="49"/>
  <c r="H27" i="49" s="1"/>
  <c r="E88" i="30"/>
  <c r="E185" i="30"/>
  <c r="E186" i="30" s="1"/>
  <c r="E187" i="30" s="1"/>
  <c r="E194" i="30" s="1"/>
  <c r="E89" i="30"/>
  <c r="N11" i="55"/>
  <c r="P11" i="55"/>
  <c r="M12" i="55"/>
  <c r="AA11" i="55"/>
  <c r="H77" i="26"/>
  <c r="D80" i="26" s="1"/>
  <c r="G53" i="26"/>
  <c r="G55" i="26" s="1"/>
  <c r="H78" i="26" s="1"/>
  <c r="F56" i="30"/>
  <c r="F55" i="30"/>
  <c r="O29" i="52" l="1"/>
  <c r="G91" i="22"/>
  <c r="F24" i="31"/>
  <c r="H62" i="22"/>
  <c r="H59" i="22"/>
  <c r="H74" i="22"/>
  <c r="H57" i="22"/>
  <c r="H65" i="22"/>
  <c r="H50" i="22"/>
  <c r="H71" i="22"/>
  <c r="H70" i="22"/>
  <c r="H58" i="22"/>
  <c r="H67" i="22"/>
  <c r="H63" i="22"/>
  <c r="H60" i="22"/>
  <c r="H56" i="22"/>
  <c r="H72" i="22" s="1"/>
  <c r="H75" i="22" s="1"/>
  <c r="H76" i="22" s="1"/>
  <c r="H78" i="22" s="1"/>
  <c r="H82" i="22" s="1"/>
  <c r="H83" i="22" s="1"/>
  <c r="G96" i="22" s="1"/>
  <c r="G97" i="22" s="1"/>
  <c r="G98" i="22" s="1"/>
  <c r="H68" i="22"/>
  <c r="H69" i="22"/>
  <c r="H66" i="22"/>
  <c r="H64" i="22"/>
  <c r="H61" i="22"/>
  <c r="U43" i="26"/>
  <c r="S59" i="26" s="1"/>
  <c r="T47" i="26"/>
  <c r="T50" i="26" s="1"/>
  <c r="T51" i="26" s="1"/>
  <c r="T54" i="26" s="1"/>
  <c r="T45" i="26"/>
  <c r="T53" i="26" s="1"/>
  <c r="T55" i="26" s="1"/>
  <c r="F100" i="25"/>
  <c r="F39" i="17"/>
  <c r="G72" i="22"/>
  <c r="G75" i="22" s="1"/>
  <c r="G76" i="22" s="1"/>
  <c r="G78" i="22" s="1"/>
  <c r="G82" i="22" s="1"/>
  <c r="G83" i="22" s="1"/>
  <c r="G93" i="22" s="1"/>
  <c r="C42" i="27"/>
  <c r="C46" i="27" s="1"/>
  <c r="T55" i="24"/>
  <c r="W77" i="24" s="1"/>
  <c r="W13" i="55"/>
  <c r="X12" i="55"/>
  <c r="I68" i="21"/>
  <c r="H70" i="21" s="1"/>
  <c r="H72" i="21" s="1"/>
  <c r="C74" i="21" s="1"/>
  <c r="C92" i="21" s="1"/>
  <c r="E92" i="21" s="1"/>
  <c r="H20" i="21"/>
  <c r="H21" i="21" s="1"/>
  <c r="C23" i="21" s="1"/>
  <c r="C39" i="21" s="1"/>
  <c r="E39" i="21" s="1"/>
  <c r="O113" i="30"/>
  <c r="F49" i="50"/>
  <c r="G84" i="50" s="1"/>
  <c r="D39" i="17"/>
  <c r="C62" i="21"/>
  <c r="C91" i="21" s="1"/>
  <c r="E91" i="21" s="1"/>
  <c r="V43" i="24"/>
  <c r="T59" i="24" s="1"/>
  <c r="U47" i="24"/>
  <c r="U50" i="24" s="1"/>
  <c r="U51" i="24" s="1"/>
  <c r="U54" i="24" s="1"/>
  <c r="U45" i="24"/>
  <c r="U53" i="24" s="1"/>
  <c r="E56" i="28"/>
  <c r="D57" i="28" s="1"/>
  <c r="G89" i="8"/>
  <c r="G90" i="8"/>
  <c r="F37" i="60"/>
  <c r="C54" i="10"/>
  <c r="D56" i="10" s="1"/>
  <c r="C180" i="16"/>
  <c r="C112" i="16" s="1"/>
  <c r="C98" i="18"/>
  <c r="H12" i="55"/>
  <c r="K12" i="55" s="1"/>
  <c r="AG11" i="55"/>
  <c r="G49" i="18"/>
  <c r="G45" i="18"/>
  <c r="H93" i="18"/>
  <c r="C94" i="18" s="1"/>
  <c r="G46" i="18"/>
  <c r="G52" i="18" s="1"/>
  <c r="G54" i="18" s="1"/>
  <c r="G55" i="18" s="1"/>
  <c r="E109" i="25"/>
  <c r="F47" i="18"/>
  <c r="G82" i="18" s="1"/>
  <c r="D35" i="43"/>
  <c r="D40" i="43" s="1"/>
  <c r="P17" i="43"/>
  <c r="Q12" i="43"/>
  <c r="H90" i="8"/>
  <c r="H89" i="8"/>
  <c r="J89" i="8" s="1"/>
  <c r="E110" i="25"/>
  <c r="G26" i="48"/>
  <c r="H26" i="48" s="1"/>
  <c r="I26" i="48" s="1"/>
  <c r="D27" i="48" s="1"/>
  <c r="G26" i="3"/>
  <c r="E26" i="3" s="1"/>
  <c r="J26" i="3" s="1"/>
  <c r="I26" i="3"/>
  <c r="D27" i="3" s="1"/>
  <c r="C121" i="18"/>
  <c r="C123" i="18"/>
  <c r="C133" i="18"/>
  <c r="C119" i="18"/>
  <c r="C129" i="18"/>
  <c r="C131" i="18"/>
  <c r="C141" i="18"/>
  <c r="C130" i="18"/>
  <c r="C142" i="18"/>
  <c r="C138" i="18"/>
  <c r="C150" i="18"/>
  <c r="C116" i="18"/>
  <c r="C115" i="18"/>
  <c r="C169" i="18"/>
  <c r="C172" i="18"/>
  <c r="C174" i="18"/>
  <c r="C126" i="18"/>
  <c r="C122" i="18"/>
  <c r="C132" i="18"/>
  <c r="C144" i="18"/>
  <c r="C152" i="18"/>
  <c r="C160" i="18"/>
  <c r="C159" i="18"/>
  <c r="C168" i="18"/>
  <c r="C166" i="18"/>
  <c r="C147" i="18"/>
  <c r="C170" i="18"/>
  <c r="C143" i="18"/>
  <c r="C153" i="18"/>
  <c r="C155" i="18"/>
  <c r="C165" i="18"/>
  <c r="C151" i="18"/>
  <c r="C161" i="18"/>
  <c r="C163" i="18"/>
  <c r="C173" i="18"/>
  <c r="C137" i="18"/>
  <c r="C149" i="18"/>
  <c r="C145" i="18"/>
  <c r="C157" i="18"/>
  <c r="C118" i="18"/>
  <c r="C125" i="18"/>
  <c r="C162" i="18"/>
  <c r="C124" i="18"/>
  <c r="C136" i="18"/>
  <c r="C134" i="18"/>
  <c r="C140" i="18"/>
  <c r="C148" i="18"/>
  <c r="C128" i="18"/>
  <c r="C117" i="18"/>
  <c r="C146" i="18"/>
  <c r="C156" i="18"/>
  <c r="C154" i="18"/>
  <c r="C164" i="18"/>
  <c r="C127" i="18"/>
  <c r="C135" i="18"/>
  <c r="C167" i="18"/>
  <c r="C120" i="18"/>
  <c r="C158" i="18"/>
  <c r="C139" i="18"/>
  <c r="C171" i="18"/>
  <c r="E94" i="13"/>
  <c r="E107" i="13" s="1"/>
  <c r="E108" i="13" s="1"/>
  <c r="E110" i="13" s="1"/>
  <c r="E90" i="26"/>
  <c r="E88" i="26" s="1"/>
  <c r="E114" i="25"/>
  <c r="E115" i="25"/>
  <c r="E107" i="25"/>
  <c r="O107" i="25" s="1"/>
  <c r="C161" i="50"/>
  <c r="C153" i="50"/>
  <c r="C158" i="50"/>
  <c r="C154" i="50"/>
  <c r="E82" i="18"/>
  <c r="D56" i="18"/>
  <c r="E86" i="18" s="1"/>
  <c r="D82" i="18"/>
  <c r="C56" i="18"/>
  <c r="D86" i="18" s="1"/>
  <c r="K45" i="24"/>
  <c r="K47" i="24"/>
  <c r="K50" i="24" s="1"/>
  <c r="K51" i="24" s="1"/>
  <c r="K54" i="24" s="1"/>
  <c r="H24" i="52"/>
  <c r="H26" i="52" s="1"/>
  <c r="C92" i="52"/>
  <c r="G29" i="52" s="1"/>
  <c r="E113" i="25"/>
  <c r="H55" i="60"/>
  <c r="L42" i="24"/>
  <c r="L43" i="24" s="1"/>
  <c r="M41" i="24"/>
  <c r="E27" i="48"/>
  <c r="J26" i="48"/>
  <c r="F48" i="51"/>
  <c r="F50" i="51" s="1"/>
  <c r="F51" i="51" s="1"/>
  <c r="F54" i="51" s="1"/>
  <c r="F55" i="51" s="1"/>
  <c r="G78" i="51" s="1"/>
  <c r="C73" i="60"/>
  <c r="D81" i="26"/>
  <c r="E112" i="25"/>
  <c r="F101" i="30"/>
  <c r="C162" i="50"/>
  <c r="C164" i="50"/>
  <c r="H107" i="16"/>
  <c r="H109" i="16" s="1"/>
  <c r="C111" i="16" s="1"/>
  <c r="G56" i="16"/>
  <c r="G57" i="16" s="1"/>
  <c r="G58" i="16" s="1"/>
  <c r="H88" i="16" s="1"/>
  <c r="C89" i="16" s="1"/>
  <c r="C90" i="16" s="1"/>
  <c r="F56" i="18"/>
  <c r="G86" i="18" s="1"/>
  <c r="I47" i="8"/>
  <c r="I49" i="8" s="1"/>
  <c r="I50" i="8" s="1"/>
  <c r="I54" i="8" s="1"/>
  <c r="I43" i="8"/>
  <c r="I53" i="8" s="1"/>
  <c r="E56" i="18"/>
  <c r="F86" i="18" s="1"/>
  <c r="D64" i="44"/>
  <c r="J64" i="44" s="1"/>
  <c r="F64" i="44"/>
  <c r="L64" i="44" s="1"/>
  <c r="B65" i="44"/>
  <c r="E64" i="44"/>
  <c r="K64" i="44" s="1"/>
  <c r="C64" i="44"/>
  <c r="K47" i="26"/>
  <c r="K50" i="26" s="1"/>
  <c r="K51" i="26" s="1"/>
  <c r="K54" i="26" s="1"/>
  <c r="K45" i="26"/>
  <c r="F109" i="63"/>
  <c r="F78" i="22"/>
  <c r="F82" i="22" s="1"/>
  <c r="F83" i="22" s="1"/>
  <c r="F93" i="22" s="1"/>
  <c r="G103" i="22" s="1"/>
  <c r="G26" i="5"/>
  <c r="H81" i="21"/>
  <c r="H84" i="21" s="1"/>
  <c r="G84" i="21"/>
  <c r="I27" i="49"/>
  <c r="D28" i="49" s="1"/>
  <c r="E93" i="26"/>
  <c r="H51" i="12"/>
  <c r="H52" i="12"/>
  <c r="F34" i="3"/>
  <c r="U22" i="55"/>
  <c r="I113" i="28"/>
  <c r="D107" i="13"/>
  <c r="D108" i="13" s="1"/>
  <c r="D110" i="13" s="1"/>
  <c r="D97" i="13"/>
  <c r="D99" i="13" s="1"/>
  <c r="D63" i="13" s="1"/>
  <c r="I73" i="59"/>
  <c r="I75" i="59" s="1"/>
  <c r="O73" i="59"/>
  <c r="O75" i="59" s="1"/>
  <c r="L73" i="59"/>
  <c r="L75" i="59" s="1"/>
  <c r="N73" i="59"/>
  <c r="N75" i="59" s="1"/>
  <c r="M73" i="59"/>
  <c r="M75" i="59" s="1"/>
  <c r="Q73" i="59"/>
  <c r="Q75" i="59" s="1"/>
  <c r="D73" i="59"/>
  <c r="F73" i="59"/>
  <c r="F75" i="59" s="1"/>
  <c r="P73" i="59"/>
  <c r="P75" i="59" s="1"/>
  <c r="J73" i="59"/>
  <c r="J75" i="59" s="1"/>
  <c r="E73" i="59"/>
  <c r="E75" i="59" s="1"/>
  <c r="G73" i="59"/>
  <c r="G75" i="59" s="1"/>
  <c r="E46" i="59"/>
  <c r="D63" i="59" s="1"/>
  <c r="D65" i="59" s="1"/>
  <c r="K73" i="59"/>
  <c r="K75" i="59" s="1"/>
  <c r="H73" i="59"/>
  <c r="H75" i="59" s="1"/>
  <c r="R73" i="59"/>
  <c r="R75" i="59" s="1"/>
  <c r="C139" i="19"/>
  <c r="C112" i="19"/>
  <c r="C144" i="19"/>
  <c r="C117" i="19"/>
  <c r="C149" i="19"/>
  <c r="C122" i="19"/>
  <c r="C154" i="19"/>
  <c r="C127" i="19"/>
  <c r="C159" i="19"/>
  <c r="C132" i="19"/>
  <c r="C164" i="19"/>
  <c r="C137" i="19"/>
  <c r="C110" i="19"/>
  <c r="C142" i="19"/>
  <c r="C115" i="19"/>
  <c r="C147" i="19"/>
  <c r="C120" i="19"/>
  <c r="C152" i="19"/>
  <c r="C125" i="19"/>
  <c r="C157" i="19"/>
  <c r="C130" i="19"/>
  <c r="C162" i="19"/>
  <c r="C135" i="19"/>
  <c r="C167" i="19"/>
  <c r="C140" i="19"/>
  <c r="C113" i="19"/>
  <c r="C145" i="19"/>
  <c r="C118" i="19"/>
  <c r="C150" i="19"/>
  <c r="C155" i="19"/>
  <c r="C160" i="19"/>
  <c r="C165" i="19"/>
  <c r="C111" i="19"/>
  <c r="C116" i="19"/>
  <c r="C121" i="19"/>
  <c r="C126" i="19"/>
  <c r="C123" i="19"/>
  <c r="C128" i="19"/>
  <c r="C133" i="19"/>
  <c r="C138" i="19"/>
  <c r="C143" i="19"/>
  <c r="C148" i="19"/>
  <c r="C153" i="19"/>
  <c r="C158" i="19"/>
  <c r="C131" i="19"/>
  <c r="C141" i="19"/>
  <c r="C151" i="19"/>
  <c r="C161" i="19"/>
  <c r="C163" i="19"/>
  <c r="C114" i="19"/>
  <c r="C124" i="19"/>
  <c r="C134" i="19"/>
  <c r="C136" i="19"/>
  <c r="C156" i="19"/>
  <c r="C109" i="19"/>
  <c r="C129" i="19"/>
  <c r="C146" i="19"/>
  <c r="C119" i="19"/>
  <c r="C166" i="19"/>
  <c r="C168" i="19"/>
  <c r="D169" i="30"/>
  <c r="D170" i="30" s="1"/>
  <c r="D97" i="30"/>
  <c r="D98" i="30"/>
  <c r="AC11" i="55"/>
  <c r="AF11" i="55"/>
  <c r="AH11" i="55" s="1"/>
  <c r="AI11" i="55" s="1"/>
  <c r="F29" i="49"/>
  <c r="G28" i="49"/>
  <c r="H28" i="49" s="1"/>
  <c r="E122" i="46"/>
  <c r="O13" i="55"/>
  <c r="AB13" i="55"/>
  <c r="G27" i="33"/>
  <c r="G82" i="32"/>
  <c r="F82" i="32"/>
  <c r="C83" i="32" s="1"/>
  <c r="D105" i="32"/>
  <c r="E105" i="32" s="1"/>
  <c r="G185" i="30"/>
  <c r="G186" i="30" s="1"/>
  <c r="G88" i="30"/>
  <c r="G89" i="30"/>
  <c r="F71" i="25"/>
  <c r="F74" i="25" s="1"/>
  <c r="F75" i="25" s="1"/>
  <c r="F78" i="25" s="1"/>
  <c r="F69" i="25"/>
  <c r="F77" i="25" s="1"/>
  <c r="F57" i="17"/>
  <c r="G87" i="17" s="1"/>
  <c r="G83" i="17"/>
  <c r="H85" i="13"/>
  <c r="H106" i="13" s="1"/>
  <c r="H95" i="50"/>
  <c r="C96" i="50" s="1"/>
  <c r="G47" i="50"/>
  <c r="G51" i="50"/>
  <c r="H99" i="50"/>
  <c r="C100" i="50" s="1"/>
  <c r="G48" i="50"/>
  <c r="G54" i="50" s="1"/>
  <c r="C18" i="35"/>
  <c r="D18" i="35" s="1"/>
  <c r="E18" i="35" s="1"/>
  <c r="B19" i="35"/>
  <c r="F65" i="23"/>
  <c r="F69" i="23" s="1"/>
  <c r="F72" i="23"/>
  <c r="F79" i="23" s="1"/>
  <c r="F82" i="23" s="1"/>
  <c r="I47" i="51"/>
  <c r="I50" i="51" s="1"/>
  <c r="I51" i="51" s="1"/>
  <c r="I54" i="51" s="1"/>
  <c r="I45" i="51"/>
  <c r="F52" i="19"/>
  <c r="G81" i="19" s="1"/>
  <c r="G77" i="19"/>
  <c r="C160" i="50"/>
  <c r="C156" i="50"/>
  <c r="C157" i="50"/>
  <c r="F35" i="56"/>
  <c r="G24" i="56"/>
  <c r="H24" i="56" s="1"/>
  <c r="H35" i="56" s="1"/>
  <c r="F26" i="56"/>
  <c r="F28" i="56" s="1"/>
  <c r="F37" i="56" s="1"/>
  <c r="G27" i="2"/>
  <c r="G69" i="30"/>
  <c r="G68" i="30"/>
  <c r="G91" i="30"/>
  <c r="G184" i="30"/>
  <c r="G112" i="30"/>
  <c r="G114" i="30" s="1"/>
  <c r="H87" i="25"/>
  <c r="H91" i="25" s="1"/>
  <c r="H90" i="25"/>
  <c r="G86" i="63"/>
  <c r="G88" i="63" s="1"/>
  <c r="G109" i="63" s="1"/>
  <c r="H79" i="63"/>
  <c r="G81" i="63"/>
  <c r="H59" i="23"/>
  <c r="H57" i="23"/>
  <c r="H55" i="23"/>
  <c r="H61" i="23"/>
  <c r="H54" i="23"/>
  <c r="H58" i="23"/>
  <c r="H56" i="23"/>
  <c r="B29" i="33"/>
  <c r="D28" i="33"/>
  <c r="F28" i="33" s="1"/>
  <c r="C28" i="33"/>
  <c r="E28" i="33" s="1"/>
  <c r="G60" i="13"/>
  <c r="G112" i="13"/>
  <c r="G96" i="25"/>
  <c r="G98" i="25" s="1"/>
  <c r="G22" i="5"/>
  <c r="G24" i="5" s="1"/>
  <c r="E42" i="21"/>
  <c r="I48" i="12"/>
  <c r="I49" i="12"/>
  <c r="S15" i="55"/>
  <c r="G16" i="55"/>
  <c r="F62" i="62"/>
  <c r="F65" i="62" s="1"/>
  <c r="F69" i="62" s="1"/>
  <c r="G53" i="12"/>
  <c r="G54" i="12" s="1"/>
  <c r="H65" i="25"/>
  <c r="G66" i="25"/>
  <c r="G67" i="25" s="1"/>
  <c r="E57" i="17"/>
  <c r="F87" i="17" s="1"/>
  <c r="F83" i="17"/>
  <c r="D83" i="17"/>
  <c r="C57" i="17"/>
  <c r="D87" i="17" s="1"/>
  <c r="D112" i="30"/>
  <c r="D114" i="30" s="1"/>
  <c r="D91" i="30"/>
  <c r="D184" i="30"/>
  <c r="G50" i="51"/>
  <c r="G51" i="51" s="1"/>
  <c r="G54" i="51" s="1"/>
  <c r="D17" i="35"/>
  <c r="E17" i="35" s="1"/>
  <c r="C71" i="4"/>
  <c r="C76" i="4"/>
  <c r="C66" i="4"/>
  <c r="C75" i="4"/>
  <c r="C65" i="4"/>
  <c r="C70" i="4"/>
  <c r="C67" i="4"/>
  <c r="C73" i="4"/>
  <c r="C68" i="4"/>
  <c r="C74" i="4"/>
  <c r="C72" i="4"/>
  <c r="C69" i="4"/>
  <c r="F92" i="30"/>
  <c r="C163" i="50"/>
  <c r="C155" i="50"/>
  <c r="F77" i="29"/>
  <c r="C77" i="29"/>
  <c r="E77" i="29"/>
  <c r="N107" i="25"/>
  <c r="G55" i="30"/>
  <c r="G56" i="30"/>
  <c r="I57" i="63"/>
  <c r="I62" i="63" s="1"/>
  <c r="H62" i="63"/>
  <c r="G100" i="25"/>
  <c r="E33" i="56"/>
  <c r="N12" i="55"/>
  <c r="AA12" i="55"/>
  <c r="P12" i="55"/>
  <c r="M13" i="55"/>
  <c r="I52" i="62"/>
  <c r="I53" i="62"/>
  <c r="I51" i="62"/>
  <c r="I54" i="62" s="1"/>
  <c r="G169" i="30"/>
  <c r="G170" i="30" s="1"/>
  <c r="G97" i="30"/>
  <c r="G98" i="30"/>
  <c r="G100" i="30"/>
  <c r="G121" i="30"/>
  <c r="G123" i="30" s="1"/>
  <c r="G168" i="30"/>
  <c r="E97" i="13"/>
  <c r="E99" i="13" s="1"/>
  <c r="E63" i="13" s="1"/>
  <c r="E67" i="62"/>
  <c r="E72" i="62" s="1"/>
  <c r="E74" i="62" s="1"/>
  <c r="G60" i="23"/>
  <c r="G62" i="23" s="1"/>
  <c r="G63" i="63"/>
  <c r="G115" i="63"/>
  <c r="F44" i="48"/>
  <c r="F30" i="56"/>
  <c r="F31" i="56"/>
  <c r="F33" i="56" s="1"/>
  <c r="F36" i="56" s="1"/>
  <c r="J27" i="2"/>
  <c r="H27" i="2"/>
  <c r="I27" i="2" s="1"/>
  <c r="D28" i="2" s="1"/>
  <c r="E28" i="2"/>
  <c r="F93" i="13"/>
  <c r="F91" i="13"/>
  <c r="F88" i="13"/>
  <c r="E40" i="44"/>
  <c r="K40" i="44" s="1"/>
  <c r="C40" i="44"/>
  <c r="F40" i="44"/>
  <c r="L40" i="44" s="1"/>
  <c r="B41" i="44"/>
  <c r="D40" i="44"/>
  <c r="J40" i="44" s="1"/>
  <c r="E97" i="63"/>
  <c r="F22" i="7"/>
  <c r="G22" i="7" s="1"/>
  <c r="C90" i="7" s="1"/>
  <c r="C89" i="7"/>
  <c r="C83" i="7"/>
  <c r="C80" i="7"/>
  <c r="C81" i="7"/>
  <c r="C85" i="7"/>
  <c r="C82" i="7"/>
  <c r="C86" i="7"/>
  <c r="C88" i="7"/>
  <c r="C79" i="7"/>
  <c r="C87" i="7"/>
  <c r="C84" i="7"/>
  <c r="H77" i="19"/>
  <c r="G52" i="19"/>
  <c r="H81" i="19" s="1"/>
  <c r="F85" i="46"/>
  <c r="G68" i="46"/>
  <c r="C69" i="46" s="1"/>
  <c r="D168" i="30"/>
  <c r="D121" i="30"/>
  <c r="D123" i="30" s="1"/>
  <c r="D100" i="30"/>
  <c r="F43" i="2"/>
  <c r="H19" i="46"/>
  <c r="D19" i="46"/>
  <c r="E19" i="46"/>
  <c r="E36" i="46" s="1"/>
  <c r="D77" i="19"/>
  <c r="C52" i="19"/>
  <c r="D81" i="19" s="1"/>
  <c r="F62" i="12"/>
  <c r="F65" i="12" s="1"/>
  <c r="F69" i="12" s="1"/>
  <c r="D185" i="30"/>
  <c r="D186" i="30" s="1"/>
  <c r="D88" i="30"/>
  <c r="D89" i="30"/>
  <c r="K77" i="26"/>
  <c r="J53" i="26"/>
  <c r="J55" i="26" s="1"/>
  <c r="Y11" i="55"/>
  <c r="T11" i="55"/>
  <c r="Q11" i="55"/>
  <c r="E92" i="30"/>
  <c r="I85" i="25"/>
  <c r="J63" i="25"/>
  <c r="I93" i="25"/>
  <c r="I94" i="25" s="1"/>
  <c r="E77" i="19"/>
  <c r="D52" i="19"/>
  <c r="E81" i="19" s="1"/>
  <c r="D14" i="55"/>
  <c r="E14" i="55"/>
  <c r="B15" i="55"/>
  <c r="G76" i="23"/>
  <c r="F69" i="60"/>
  <c r="F59" i="60"/>
  <c r="F62" i="60" s="1"/>
  <c r="C63" i="60" s="1"/>
  <c r="I54" i="13"/>
  <c r="I59" i="13" s="1"/>
  <c r="H59" i="13"/>
  <c r="D61" i="32"/>
  <c r="E126" i="32"/>
  <c r="H52" i="62"/>
  <c r="H53" i="62"/>
  <c r="H51" i="62"/>
  <c r="D110" i="63"/>
  <c r="D111" i="63" s="1"/>
  <c r="D113" i="63" s="1"/>
  <c r="D100" i="63"/>
  <c r="G54" i="62"/>
  <c r="E101" i="30"/>
  <c r="L42" i="26"/>
  <c r="L43" i="26"/>
  <c r="M41" i="26"/>
  <c r="F84" i="50"/>
  <c r="E58" i="50"/>
  <c r="F88" i="50" s="1"/>
  <c r="H83" i="17"/>
  <c r="G57" i="17"/>
  <c r="H87" i="17" s="1"/>
  <c r="E83" i="17"/>
  <c r="D57" i="17"/>
  <c r="E87" i="17" s="1"/>
  <c r="J29" i="49"/>
  <c r="E30" i="49"/>
  <c r="G105" i="13"/>
  <c r="G53" i="51"/>
  <c r="H77" i="51"/>
  <c r="D80" i="51" s="1"/>
  <c r="F56" i="50"/>
  <c r="F57" i="50" s="1"/>
  <c r="F58" i="50" s="1"/>
  <c r="G88" i="50" s="1"/>
  <c r="E79" i="25"/>
  <c r="F93" i="63"/>
  <c r="F92" i="63"/>
  <c r="F95" i="63"/>
  <c r="F94" i="63"/>
  <c r="F96" i="63"/>
  <c r="F91" i="63"/>
  <c r="H69" i="60"/>
  <c r="J42" i="51"/>
  <c r="J43" i="51" s="1"/>
  <c r="K41" i="51"/>
  <c r="F21" i="32"/>
  <c r="E52" i="19"/>
  <c r="F81" i="19" s="1"/>
  <c r="F77" i="19"/>
  <c r="E28" i="56"/>
  <c r="H105" i="13"/>
  <c r="D42" i="4"/>
  <c r="E42" i="4" s="1"/>
  <c r="F42" i="4" s="1"/>
  <c r="G47" i="18" l="1"/>
  <c r="H24" i="31"/>
  <c r="C24" i="31"/>
  <c r="S60" i="26"/>
  <c r="R65" i="26" s="1"/>
  <c r="R64" i="26"/>
  <c r="R71" i="26" s="1"/>
  <c r="S72" i="26" s="1"/>
  <c r="S62" i="26"/>
  <c r="S73" i="26" s="1"/>
  <c r="W77" i="26" s="1"/>
  <c r="E42" i="27"/>
  <c r="E57" i="28"/>
  <c r="G57" i="28"/>
  <c r="AG12" i="55"/>
  <c r="H13" i="55"/>
  <c r="K13" i="55" s="1"/>
  <c r="U55" i="24"/>
  <c r="S64" i="24"/>
  <c r="T60" i="24"/>
  <c r="S65" i="24" s="1"/>
  <c r="W14" i="55"/>
  <c r="X13" i="55"/>
  <c r="I55" i="8"/>
  <c r="I62" i="8" s="1"/>
  <c r="I63" i="8" s="1"/>
  <c r="I90" i="8" s="1"/>
  <c r="D171" i="30"/>
  <c r="D178" i="30" s="1"/>
  <c r="F94" i="13"/>
  <c r="F97" i="13" s="1"/>
  <c r="F99" i="13" s="1"/>
  <c r="F63" i="13" s="1"/>
  <c r="C86" i="21"/>
  <c r="C93" i="21" s="1"/>
  <c r="C78" i="19"/>
  <c r="H22" i="7"/>
  <c r="H24" i="7" s="1"/>
  <c r="G27" i="48"/>
  <c r="H27" i="48" s="1"/>
  <c r="I27" i="48" s="1"/>
  <c r="D28" i="48" s="1"/>
  <c r="L47" i="24"/>
  <c r="L50" i="24" s="1"/>
  <c r="L51" i="24" s="1"/>
  <c r="L54" i="24" s="1"/>
  <c r="L45" i="24"/>
  <c r="C70" i="60"/>
  <c r="G26" i="7"/>
  <c r="G28" i="33"/>
  <c r="H96" i="25"/>
  <c r="H98" i="25" s="1"/>
  <c r="G56" i="50"/>
  <c r="G57" i="50" s="1"/>
  <c r="D101" i="30"/>
  <c r="D102" i="30" s="1"/>
  <c r="E102" i="30" s="1"/>
  <c r="F102" i="30" s="1"/>
  <c r="E28" i="48"/>
  <c r="J27" i="48"/>
  <c r="L77" i="24"/>
  <c r="K53" i="24"/>
  <c r="K55" i="24" s="1"/>
  <c r="L72" i="27"/>
  <c r="L74" i="27" s="1"/>
  <c r="G72" i="27"/>
  <c r="G74" i="27" s="1"/>
  <c r="J72" i="27"/>
  <c r="J74" i="27" s="1"/>
  <c r="D72" i="27"/>
  <c r="D74" i="27" s="1"/>
  <c r="N72" i="27"/>
  <c r="N74" i="27" s="1"/>
  <c r="K72" i="27"/>
  <c r="K74" i="27" s="1"/>
  <c r="E72" i="27"/>
  <c r="E74" i="27" s="1"/>
  <c r="O72" i="27"/>
  <c r="O74" i="27" s="1"/>
  <c r="M72" i="27"/>
  <c r="M74" i="27" s="1"/>
  <c r="R72" i="27"/>
  <c r="R74" i="27" s="1"/>
  <c r="P72" i="27"/>
  <c r="P74" i="27" s="1"/>
  <c r="E46" i="27"/>
  <c r="D62" i="27" s="1"/>
  <c r="D64" i="27" s="1"/>
  <c r="Q72" i="27"/>
  <c r="Q74" i="27" s="1"/>
  <c r="F72" i="27"/>
  <c r="F74" i="27" s="1"/>
  <c r="I72" i="27"/>
  <c r="I74" i="27" s="1"/>
  <c r="H72" i="27"/>
  <c r="H74" i="27" s="1"/>
  <c r="G27" i="3"/>
  <c r="E27" i="3" s="1"/>
  <c r="J27" i="3" s="1"/>
  <c r="I27" i="3"/>
  <c r="D28" i="3" s="1"/>
  <c r="G49" i="50"/>
  <c r="M42" i="24"/>
  <c r="M43" i="24" s="1"/>
  <c r="N41" i="24"/>
  <c r="C176" i="18"/>
  <c r="C108" i="18" s="1"/>
  <c r="J90" i="8"/>
  <c r="F65" i="44"/>
  <c r="L65" i="44" s="1"/>
  <c r="E65" i="44"/>
  <c r="K65" i="44" s="1"/>
  <c r="C65" i="44"/>
  <c r="D65" i="44"/>
  <c r="J65" i="44" s="1"/>
  <c r="B66" i="44"/>
  <c r="J45" i="51"/>
  <c r="J47" i="51"/>
  <c r="J50" i="51" s="1"/>
  <c r="J51" i="51" s="1"/>
  <c r="J54" i="51" s="1"/>
  <c r="G28" i="2"/>
  <c r="H28" i="2" s="1"/>
  <c r="I28" i="2" s="1"/>
  <c r="D29" i="2" s="1"/>
  <c r="D43" i="4"/>
  <c r="E43" i="4" s="1"/>
  <c r="F43" i="4" s="1"/>
  <c r="G71" i="25"/>
  <c r="G74" i="25" s="1"/>
  <c r="G75" i="25" s="1"/>
  <c r="G78" i="25" s="1"/>
  <c r="G69" i="25"/>
  <c r="G77" i="25" s="1"/>
  <c r="F113" i="25"/>
  <c r="F109" i="25"/>
  <c r="F112" i="25"/>
  <c r="F114" i="25"/>
  <c r="F111" i="25"/>
  <c r="F108" i="25"/>
  <c r="F115" i="25"/>
  <c r="F110" i="25"/>
  <c r="L47" i="26"/>
  <c r="L50" i="26" s="1"/>
  <c r="L51" i="26" s="1"/>
  <c r="L54" i="26" s="1"/>
  <c r="L45" i="26"/>
  <c r="I90" i="25"/>
  <c r="I87" i="25"/>
  <c r="I91" i="25" s="1"/>
  <c r="G30" i="56"/>
  <c r="G31" i="56"/>
  <c r="G33" i="56" s="1"/>
  <c r="G36" i="56" s="1"/>
  <c r="G91" i="63"/>
  <c r="G96" i="63"/>
  <c r="G94" i="63"/>
  <c r="G93" i="63"/>
  <c r="G92" i="63"/>
  <c r="G95" i="63"/>
  <c r="T12" i="55"/>
  <c r="Y12" i="55"/>
  <c r="Q12" i="55"/>
  <c r="E36" i="56"/>
  <c r="G62" i="12"/>
  <c r="G65" i="12" s="1"/>
  <c r="G69" i="12" s="1"/>
  <c r="I51" i="12"/>
  <c r="I52" i="12"/>
  <c r="B30" i="33"/>
  <c r="C29" i="33"/>
  <c r="E29" i="33" s="1"/>
  <c r="D29" i="33"/>
  <c r="F29" i="33" s="1"/>
  <c r="H185" i="30"/>
  <c r="H186" i="30" s="1"/>
  <c r="H88" i="30"/>
  <c r="H89" i="30"/>
  <c r="D113" i="13"/>
  <c r="D114" i="13" s="1"/>
  <c r="D65" i="13"/>
  <c r="G21" i="32"/>
  <c r="C22" i="32" s="1"/>
  <c r="G62" i="62"/>
  <c r="G65" i="62" s="1"/>
  <c r="G69" i="62" s="1"/>
  <c r="E93" i="21"/>
  <c r="E95" i="21" s="1"/>
  <c r="K78" i="26"/>
  <c r="S78" i="26"/>
  <c r="S79" i="26" s="1"/>
  <c r="F107" i="13"/>
  <c r="F108" i="13" s="1"/>
  <c r="F110" i="13" s="1"/>
  <c r="G101" i="30"/>
  <c r="AF12" i="55"/>
  <c r="AH12" i="55" s="1"/>
  <c r="AI12" i="55" s="1"/>
  <c r="AC12" i="55"/>
  <c r="H184" i="30"/>
  <c r="H91" i="30"/>
  <c r="H112" i="30"/>
  <c r="C88" i="17"/>
  <c r="S16" i="55"/>
  <c r="G17" i="55"/>
  <c r="H86" i="63"/>
  <c r="H88" i="63" s="1"/>
  <c r="H109" i="63" s="1"/>
  <c r="H81" i="63"/>
  <c r="F18" i="35"/>
  <c r="G18" i="35" s="1"/>
  <c r="H103" i="22"/>
  <c r="C106" i="22" s="1"/>
  <c r="C107" i="22" s="1"/>
  <c r="F97" i="63"/>
  <c r="H63" i="63"/>
  <c r="H115" i="63"/>
  <c r="H121" i="30"/>
  <c r="H168" i="30"/>
  <c r="H100" i="30"/>
  <c r="D187" i="30"/>
  <c r="D194" i="30" s="1"/>
  <c r="C84" i="17"/>
  <c r="G38" i="21"/>
  <c r="H38" i="21" s="1"/>
  <c r="G40" i="21"/>
  <c r="H40" i="21" s="1"/>
  <c r="G39" i="21"/>
  <c r="H39" i="21" s="1"/>
  <c r="G108" i="63"/>
  <c r="F38" i="56"/>
  <c r="J77" i="51"/>
  <c r="I53" i="51"/>
  <c r="I55" i="51" s="1"/>
  <c r="J78" i="51" s="1"/>
  <c r="H84" i="50"/>
  <c r="C85" i="50" s="1"/>
  <c r="G58" i="50"/>
  <c r="H88" i="50" s="1"/>
  <c r="C89" i="50" s="1"/>
  <c r="F126" i="32"/>
  <c r="G126" i="32" s="1"/>
  <c r="H126" i="32"/>
  <c r="D83" i="32"/>
  <c r="M14" i="55"/>
  <c r="P13" i="55"/>
  <c r="AA13" i="55"/>
  <c r="N13" i="55"/>
  <c r="F30" i="49"/>
  <c r="U23" i="55"/>
  <c r="H53" i="12"/>
  <c r="H54" i="12" s="1"/>
  <c r="I28" i="49"/>
  <c r="D29" i="49" s="1"/>
  <c r="G29" i="49" s="1"/>
  <c r="H29" i="49" s="1"/>
  <c r="D66" i="63"/>
  <c r="D102" i="63"/>
  <c r="H112" i="13"/>
  <c r="H60" i="13"/>
  <c r="O14" i="55"/>
  <c r="AB14" i="55"/>
  <c r="E69" i="46"/>
  <c r="H69" i="46"/>
  <c r="D69" i="46"/>
  <c r="E29" i="2"/>
  <c r="J28" i="2"/>
  <c r="I62" i="62"/>
  <c r="I65" i="62" s="1"/>
  <c r="I69" i="62" s="1"/>
  <c r="D77" i="29"/>
  <c r="G35" i="56"/>
  <c r="G26" i="56"/>
  <c r="F35" i="3"/>
  <c r="L77" i="26"/>
  <c r="K53" i="26"/>
  <c r="K55" i="26" s="1"/>
  <c r="E37" i="56"/>
  <c r="E38" i="56"/>
  <c r="E31" i="49"/>
  <c r="J30" i="49"/>
  <c r="I112" i="13"/>
  <c r="I60" i="13"/>
  <c r="F44" i="2"/>
  <c r="C41" i="44"/>
  <c r="B42" i="44"/>
  <c r="F41" i="44"/>
  <c r="L41" i="44" s="1"/>
  <c r="E41" i="44"/>
  <c r="K41" i="44" s="1"/>
  <c r="D41" i="44"/>
  <c r="J41" i="44" s="1"/>
  <c r="G65" i="23"/>
  <c r="G69" i="23" s="1"/>
  <c r="G72" i="23" s="1"/>
  <c r="G79" i="23" s="1"/>
  <c r="G82" i="23" s="1"/>
  <c r="F86" i="23" s="1"/>
  <c r="C87" i="4"/>
  <c r="C77" i="4"/>
  <c r="C82" i="4"/>
  <c r="C80" i="4"/>
  <c r="C81" i="4"/>
  <c r="C86" i="4"/>
  <c r="C88" i="4"/>
  <c r="C79" i="4"/>
  <c r="C85" i="4"/>
  <c r="C78" i="4"/>
  <c r="C83" i="4"/>
  <c r="C84" i="4"/>
  <c r="G93" i="13"/>
  <c r="G91" i="13"/>
  <c r="G88" i="13"/>
  <c r="C107" i="32"/>
  <c r="K42" i="51"/>
  <c r="K43" i="51" s="1"/>
  <c r="L41" i="51"/>
  <c r="H54" i="62"/>
  <c r="E15" i="55"/>
  <c r="D15" i="55"/>
  <c r="B16" i="55"/>
  <c r="F67" i="12"/>
  <c r="F72" i="12" s="1"/>
  <c r="F74" i="12" s="1"/>
  <c r="F122" i="46"/>
  <c r="F45" i="48"/>
  <c r="G55" i="51"/>
  <c r="H78" i="51" s="1"/>
  <c r="D81" i="51" s="1"/>
  <c r="M42" i="26"/>
  <c r="M43" i="26" s="1"/>
  <c r="N41" i="26"/>
  <c r="J93" i="25"/>
  <c r="J94" i="25" s="1"/>
  <c r="K63" i="25"/>
  <c r="J85" i="25"/>
  <c r="D92" i="30"/>
  <c r="D93" i="30" s="1"/>
  <c r="E93" i="30" s="1"/>
  <c r="F93" i="30" s="1"/>
  <c r="C82" i="19"/>
  <c r="F19" i="46"/>
  <c r="E110" i="63"/>
  <c r="E111" i="63" s="1"/>
  <c r="E113" i="63" s="1"/>
  <c r="E100" i="63"/>
  <c r="E113" i="13"/>
  <c r="E114" i="13" s="1"/>
  <c r="F33" i="14" s="1"/>
  <c r="F35" i="14" s="1"/>
  <c r="E65" i="13"/>
  <c r="G171" i="30"/>
  <c r="G178" i="30" s="1"/>
  <c r="I115" i="63"/>
  <c r="I63" i="63"/>
  <c r="I77" i="29"/>
  <c r="G77" i="29"/>
  <c r="I65" i="25"/>
  <c r="H66" i="25"/>
  <c r="H67" i="25" s="1"/>
  <c r="F67" i="62"/>
  <c r="F72" i="62" s="1"/>
  <c r="F74" i="62" s="1"/>
  <c r="H60" i="23"/>
  <c r="H62" i="23" s="1"/>
  <c r="H88" i="25"/>
  <c r="G187" i="30"/>
  <c r="G194" i="30" s="1"/>
  <c r="H97" i="30"/>
  <c r="H98" i="30"/>
  <c r="H169" i="30"/>
  <c r="H170" i="30" s="1"/>
  <c r="B20" i="35"/>
  <c r="C19" i="35"/>
  <c r="D19" i="35" s="1"/>
  <c r="E19" i="35" s="1"/>
  <c r="F19" i="35"/>
  <c r="G19" i="35" s="1"/>
  <c r="H107" i="50"/>
  <c r="H109" i="50" s="1"/>
  <c r="C167" i="50"/>
  <c r="C172" i="50"/>
  <c r="C166" i="50"/>
  <c r="C170" i="50"/>
  <c r="C169" i="50"/>
  <c r="C175" i="50"/>
  <c r="C168" i="50"/>
  <c r="C174" i="50"/>
  <c r="C176" i="50"/>
  <c r="C171" i="50"/>
  <c r="C165" i="50"/>
  <c r="C173" i="50"/>
  <c r="F79" i="25"/>
  <c r="G92" i="30"/>
  <c r="C170" i="19"/>
  <c r="C102" i="19" s="1"/>
  <c r="C79" i="59"/>
  <c r="D75" i="59"/>
  <c r="C76" i="59" s="1"/>
  <c r="C67" i="59" s="1"/>
  <c r="H100" i="25" l="1"/>
  <c r="C83" i="19"/>
  <c r="E25" i="31"/>
  <c r="D25" i="31"/>
  <c r="G25" i="31"/>
  <c r="H31" i="56"/>
  <c r="G56" i="18"/>
  <c r="H86" i="18" s="1"/>
  <c r="C87" i="18" s="1"/>
  <c r="H82" i="18"/>
  <c r="C83" i="18" s="1"/>
  <c r="S71" i="24"/>
  <c r="T72" i="24" s="1"/>
  <c r="H14" i="55"/>
  <c r="K14" i="55" s="1"/>
  <c r="P14" i="55" s="1"/>
  <c r="AG13" i="55"/>
  <c r="W15" i="55"/>
  <c r="X14" i="55"/>
  <c r="D58" i="28"/>
  <c r="G58" i="28" s="1"/>
  <c r="C178" i="50"/>
  <c r="C110" i="50" s="1"/>
  <c r="T62" i="24"/>
  <c r="E33" i="14"/>
  <c r="E35" i="14" s="1"/>
  <c r="E19" i="14"/>
  <c r="U78" i="24"/>
  <c r="U79" i="24" s="1"/>
  <c r="L78" i="24"/>
  <c r="L53" i="24"/>
  <c r="L55" i="24" s="1"/>
  <c r="M77" i="24"/>
  <c r="H101" i="30"/>
  <c r="I88" i="25"/>
  <c r="C90" i="50"/>
  <c r="G67" i="62"/>
  <c r="G72" i="62" s="1"/>
  <c r="G74" i="62" s="1"/>
  <c r="G29" i="33"/>
  <c r="G28" i="3"/>
  <c r="E28" i="3" s="1"/>
  <c r="J28" i="3" s="1"/>
  <c r="I28" i="3"/>
  <c r="D29" i="3" s="1"/>
  <c r="G28" i="48"/>
  <c r="H28" i="48" s="1"/>
  <c r="I28" i="48" s="1"/>
  <c r="D29" i="48" s="1"/>
  <c r="M47" i="24"/>
  <c r="M50" i="24" s="1"/>
  <c r="M51" i="24" s="1"/>
  <c r="M54" i="24" s="1"/>
  <c r="M45" i="24"/>
  <c r="C75" i="27"/>
  <c r="C66" i="27" s="1"/>
  <c r="G67" i="12"/>
  <c r="G72" i="12" s="1"/>
  <c r="G74" i="12" s="1"/>
  <c r="N42" i="24"/>
  <c r="N43" i="24"/>
  <c r="E29" i="48"/>
  <c r="J28" i="48"/>
  <c r="C66" i="44"/>
  <c r="D66" i="44"/>
  <c r="J66" i="44" s="1"/>
  <c r="F66" i="44"/>
  <c r="L66" i="44" s="1"/>
  <c r="B67" i="44"/>
  <c r="E66" i="44"/>
  <c r="K66" i="44" s="1"/>
  <c r="F69" i="46"/>
  <c r="F86" i="46" s="1"/>
  <c r="H71" i="25"/>
  <c r="H74" i="25" s="1"/>
  <c r="H75" i="25" s="1"/>
  <c r="H78" i="25" s="1"/>
  <c r="H69" i="25"/>
  <c r="H77" i="25" s="1"/>
  <c r="K47" i="51"/>
  <c r="K50" i="51" s="1"/>
  <c r="K51" i="51" s="1"/>
  <c r="K54" i="51" s="1"/>
  <c r="K45" i="51"/>
  <c r="G91" i="21"/>
  <c r="H91" i="21" s="1"/>
  <c r="G92" i="21"/>
  <c r="H92" i="21" s="1"/>
  <c r="G93" i="21"/>
  <c r="H93" i="21" s="1"/>
  <c r="G29" i="2"/>
  <c r="H29" i="2" s="1"/>
  <c r="I29" i="2" s="1"/>
  <c r="D30" i="2" s="1"/>
  <c r="B21" i="35"/>
  <c r="C20" i="35"/>
  <c r="D20" i="35" s="1"/>
  <c r="E20" i="35" s="1"/>
  <c r="I66" i="25"/>
  <c r="I67" i="25" s="1"/>
  <c r="J65" i="25"/>
  <c r="I94" i="63"/>
  <c r="I91" i="63"/>
  <c r="I92" i="63"/>
  <c r="I93" i="63"/>
  <c r="E102" i="63"/>
  <c r="E66" i="63"/>
  <c r="G93" i="30"/>
  <c r="N42" i="26"/>
  <c r="N43" i="26" s="1"/>
  <c r="T78" i="26"/>
  <c r="T79" i="26" s="1"/>
  <c r="L78" i="26"/>
  <c r="D39" i="15"/>
  <c r="F19" i="14"/>
  <c r="F21" i="14" s="1"/>
  <c r="H62" i="12"/>
  <c r="H65" i="12" s="1"/>
  <c r="H69" i="12" s="1"/>
  <c r="Q13" i="55"/>
  <c r="T13" i="55"/>
  <c r="Y13" i="55"/>
  <c r="E43" i="21"/>
  <c r="E44" i="21" s="1"/>
  <c r="H171" i="30"/>
  <c r="C39" i="15"/>
  <c r="E21" i="14"/>
  <c r="D118" i="13"/>
  <c r="H108" i="63"/>
  <c r="C105" i="22"/>
  <c r="J53" i="51"/>
  <c r="J55" i="51" s="1"/>
  <c r="K78" i="51" s="1"/>
  <c r="K77" i="51"/>
  <c r="J90" i="25"/>
  <c r="J87" i="25"/>
  <c r="J91" i="25" s="1"/>
  <c r="F46" i="48"/>
  <c r="H62" i="62"/>
  <c r="H65" i="62" s="1"/>
  <c r="H69" i="62" s="1"/>
  <c r="C42" i="44"/>
  <c r="F42" i="44"/>
  <c r="L42" i="44" s="1"/>
  <c r="E42" i="44"/>
  <c r="K42" i="44" s="1"/>
  <c r="D42" i="44"/>
  <c r="J42" i="44" s="1"/>
  <c r="B43" i="44"/>
  <c r="I93" i="13"/>
  <c r="I88" i="13"/>
  <c r="I91" i="13"/>
  <c r="G102" i="30"/>
  <c r="H77" i="29"/>
  <c r="F31" i="49"/>
  <c r="C89" i="17"/>
  <c r="F110" i="63"/>
  <c r="F111" i="63" s="1"/>
  <c r="F113" i="63" s="1"/>
  <c r="F100" i="63"/>
  <c r="H33" i="56"/>
  <c r="I96" i="25"/>
  <c r="I98" i="25" s="1"/>
  <c r="G79" i="25"/>
  <c r="F36" i="46"/>
  <c r="G19" i="46"/>
  <c r="C20" i="46" s="1"/>
  <c r="K93" i="25"/>
  <c r="K94" i="25" s="1"/>
  <c r="L63" i="25"/>
  <c r="K85" i="25"/>
  <c r="M45" i="26"/>
  <c r="M47" i="26"/>
  <c r="M50" i="26" s="1"/>
  <c r="M51" i="26" s="1"/>
  <c r="M54" i="26" s="1"/>
  <c r="E16" i="55"/>
  <c r="D16" i="55"/>
  <c r="B17" i="55"/>
  <c r="L42" i="51"/>
  <c r="L43" i="51" s="1"/>
  <c r="M41" i="51"/>
  <c r="G94" i="13"/>
  <c r="G28" i="56"/>
  <c r="H26" i="56"/>
  <c r="M15" i="55"/>
  <c r="AA14" i="55"/>
  <c r="N14" i="55"/>
  <c r="D116" i="63"/>
  <c r="D117" i="63" s="1"/>
  <c r="D68" i="63"/>
  <c r="G18" i="55"/>
  <c r="S17" i="55"/>
  <c r="M77" i="26"/>
  <c r="L53" i="26"/>
  <c r="L55" i="26" s="1"/>
  <c r="O108" i="25"/>
  <c r="N108" i="25"/>
  <c r="D44" i="4"/>
  <c r="E44" i="4" s="1"/>
  <c r="F44" i="4"/>
  <c r="G110" i="25"/>
  <c r="G115" i="25"/>
  <c r="G114" i="25"/>
  <c r="G113" i="25"/>
  <c r="G111" i="25"/>
  <c r="G112" i="25"/>
  <c r="G109" i="25"/>
  <c r="O109" i="25" s="1"/>
  <c r="H65" i="23"/>
  <c r="H69" i="23" s="1"/>
  <c r="H72" i="23" s="1"/>
  <c r="C85" i="23" s="1"/>
  <c r="AB15" i="55"/>
  <c r="O15" i="55"/>
  <c r="C89" i="4"/>
  <c r="F45" i="2"/>
  <c r="E32" i="49"/>
  <c r="J31" i="49"/>
  <c r="F36" i="3"/>
  <c r="I67" i="62"/>
  <c r="I72" i="62" s="1"/>
  <c r="H77" i="62" s="1"/>
  <c r="E30" i="2"/>
  <c r="J29" i="2"/>
  <c r="E86" i="46"/>
  <c r="H93" i="13"/>
  <c r="H88" i="13"/>
  <c r="H91" i="13"/>
  <c r="I29" i="49"/>
  <c r="D30" i="49" s="1"/>
  <c r="U24" i="55"/>
  <c r="AF13" i="55"/>
  <c r="AH13" i="55" s="1"/>
  <c r="AI13" i="55" s="1"/>
  <c r="AC13" i="55"/>
  <c r="E41" i="32"/>
  <c r="E61" i="32" s="1"/>
  <c r="H91" i="63"/>
  <c r="H95" i="63"/>
  <c r="H96" i="63"/>
  <c r="H94" i="63"/>
  <c r="H92" i="63"/>
  <c r="H93" i="63"/>
  <c r="H187" i="30"/>
  <c r="F113" i="13"/>
  <c r="F114" i="13" s="1"/>
  <c r="G33" i="14" s="1"/>
  <c r="G35" i="14" s="1"/>
  <c r="F65" i="13"/>
  <c r="E22" i="32"/>
  <c r="D22" i="32"/>
  <c r="H22" i="32"/>
  <c r="H92" i="30"/>
  <c r="B31" i="33"/>
  <c r="C30" i="33"/>
  <c r="E30" i="33" s="1"/>
  <c r="D30" i="33"/>
  <c r="F30" i="33" s="1"/>
  <c r="I53" i="12"/>
  <c r="I54" i="12" s="1"/>
  <c r="G97" i="63"/>
  <c r="F25" i="31" l="1"/>
  <c r="C88" i="18"/>
  <c r="E58" i="28"/>
  <c r="W16" i="55"/>
  <c r="X15" i="55"/>
  <c r="H79" i="25"/>
  <c r="I111" i="25" s="1"/>
  <c r="O111" i="25" s="1"/>
  <c r="H15" i="55"/>
  <c r="K15" i="55" s="1"/>
  <c r="P15" i="55" s="1"/>
  <c r="AG14" i="55"/>
  <c r="J88" i="25"/>
  <c r="T73" i="24"/>
  <c r="X77" i="24" s="1"/>
  <c r="J29" i="48"/>
  <c r="E30" i="48"/>
  <c r="F20" i="35"/>
  <c r="G20" i="35" s="1"/>
  <c r="N47" i="24"/>
  <c r="N50" i="24" s="1"/>
  <c r="N51" i="24" s="1"/>
  <c r="N54" i="24" s="1"/>
  <c r="N45" i="24"/>
  <c r="G29" i="48"/>
  <c r="H29" i="48" s="1"/>
  <c r="I29" i="48" s="1"/>
  <c r="D30" i="48" s="1"/>
  <c r="G30" i="33"/>
  <c r="I100" i="25"/>
  <c r="H94" i="13"/>
  <c r="N109" i="25"/>
  <c r="H102" i="30"/>
  <c r="N80" i="30" s="1"/>
  <c r="E96" i="21"/>
  <c r="E97" i="21" s="1"/>
  <c r="N77" i="24"/>
  <c r="M53" i="24"/>
  <c r="M55" i="24" s="1"/>
  <c r="G29" i="3"/>
  <c r="E29" i="3" s="1"/>
  <c r="J29" i="3" s="1"/>
  <c r="I29" i="3"/>
  <c r="D30" i="3" s="1"/>
  <c r="M78" i="24"/>
  <c r="V78" i="24"/>
  <c r="V79" i="24" s="1"/>
  <c r="F67" i="44"/>
  <c r="L67" i="44" s="1"/>
  <c r="D67" i="44"/>
  <c r="J67" i="44" s="1"/>
  <c r="E67" i="44"/>
  <c r="K67" i="44" s="1"/>
  <c r="B68" i="44"/>
  <c r="C67" i="44"/>
  <c r="G69" i="46"/>
  <c r="C70" i="46" s="1"/>
  <c r="E70" i="46" s="1"/>
  <c r="F22" i="32"/>
  <c r="C108" i="32" s="1"/>
  <c r="I62" i="12"/>
  <c r="I65" i="12" s="1"/>
  <c r="I69" i="12" s="1"/>
  <c r="E39" i="15"/>
  <c r="G19" i="14"/>
  <c r="G21" i="14" s="1"/>
  <c r="F61" i="32"/>
  <c r="C62" i="32" s="1"/>
  <c r="G61" i="32"/>
  <c r="M62" i="32"/>
  <c r="N62" i="32" s="1"/>
  <c r="K63" i="32" s="1"/>
  <c r="C86" i="23"/>
  <c r="C87" i="23" s="1"/>
  <c r="C89" i="23" s="1"/>
  <c r="F85" i="23" s="1"/>
  <c r="F87" i="23" s="1"/>
  <c r="U25" i="55"/>
  <c r="H107" i="13"/>
  <c r="H108" i="13" s="1"/>
  <c r="H97" i="13"/>
  <c r="E33" i="49"/>
  <c r="J32" i="49"/>
  <c r="S18" i="55"/>
  <c r="G19" i="55"/>
  <c r="D135" i="63"/>
  <c r="D137" i="63" s="1"/>
  <c r="D121" i="63"/>
  <c r="C130" i="63" s="1"/>
  <c r="G37" i="56"/>
  <c r="G38" i="56"/>
  <c r="B41" i="56" s="1"/>
  <c r="H28" i="56"/>
  <c r="G107" i="13"/>
  <c r="G108" i="13" s="1"/>
  <c r="G97" i="13"/>
  <c r="D17" i="55"/>
  <c r="B18" i="55"/>
  <c r="E17" i="55"/>
  <c r="N77" i="26"/>
  <c r="M53" i="26"/>
  <c r="M55" i="26" s="1"/>
  <c r="D20" i="46"/>
  <c r="E20" i="46"/>
  <c r="E37" i="46" s="1"/>
  <c r="H20" i="46"/>
  <c r="C78" i="29"/>
  <c r="F78" i="29"/>
  <c r="E78" i="29"/>
  <c r="F123" i="46"/>
  <c r="H93" i="30"/>
  <c r="K53" i="51"/>
  <c r="K55" i="51" s="1"/>
  <c r="L78" i="51" s="1"/>
  <c r="L77" i="51"/>
  <c r="G110" i="63"/>
  <c r="G111" i="63" s="1"/>
  <c r="G100" i="63"/>
  <c r="H97" i="63"/>
  <c r="F37" i="3"/>
  <c r="C90" i="4"/>
  <c r="T14" i="55"/>
  <c r="Y14" i="55"/>
  <c r="Q14" i="55"/>
  <c r="M42" i="51"/>
  <c r="M43" i="51" s="1"/>
  <c r="AB16" i="55"/>
  <c r="O16" i="55"/>
  <c r="K87" i="25"/>
  <c r="K91" i="25" s="1"/>
  <c r="K90" i="25"/>
  <c r="I94" i="13"/>
  <c r="J96" i="25"/>
  <c r="J98" i="25" s="1"/>
  <c r="J100" i="25" s="1"/>
  <c r="H112" i="22"/>
  <c r="C111" i="22"/>
  <c r="K120" i="22"/>
  <c r="C112" i="22"/>
  <c r="H67" i="12"/>
  <c r="H72" i="12" s="1"/>
  <c r="H74" i="12" s="1"/>
  <c r="C84" i="12" s="1"/>
  <c r="E116" i="63"/>
  <c r="E117" i="63" s="1"/>
  <c r="E135" i="63" s="1"/>
  <c r="E137" i="63" s="1"/>
  <c r="E68" i="63"/>
  <c r="K65" i="25"/>
  <c r="J66" i="25"/>
  <c r="J67" i="25" s="1"/>
  <c r="B22" i="35"/>
  <c r="C21" i="35"/>
  <c r="F21" i="35" s="1"/>
  <c r="G21" i="35" s="1"/>
  <c r="J30" i="2"/>
  <c r="E31" i="2"/>
  <c r="F46" i="2"/>
  <c r="D45" i="4"/>
  <c r="E45" i="4" s="1"/>
  <c r="F45" i="4" s="1"/>
  <c r="L47" i="51"/>
  <c r="L50" i="51" s="1"/>
  <c r="L51" i="51" s="1"/>
  <c r="L54" i="51" s="1"/>
  <c r="L45" i="51"/>
  <c r="L85" i="25"/>
  <c r="L93" i="25"/>
  <c r="L94" i="25" s="1"/>
  <c r="F66" i="63"/>
  <c r="F102" i="63"/>
  <c r="G30" i="49"/>
  <c r="H30" i="49" s="1"/>
  <c r="I30" i="49" s="1"/>
  <c r="D31" i="49" s="1"/>
  <c r="G31" i="49" s="1"/>
  <c r="H31" i="49" s="1"/>
  <c r="H174" i="30"/>
  <c r="H177" i="30" s="1"/>
  <c r="H178" i="30" s="1"/>
  <c r="D180" i="30" s="1"/>
  <c r="C42" i="15"/>
  <c r="C44" i="15" s="1"/>
  <c r="C52" i="15" s="1"/>
  <c r="D119" i="15"/>
  <c r="D81" i="15"/>
  <c r="D109" i="15"/>
  <c r="C49" i="15"/>
  <c r="D42" i="15"/>
  <c r="D44" i="15" s="1"/>
  <c r="D52" i="15" s="1"/>
  <c r="E81" i="15"/>
  <c r="E83" i="15" s="1"/>
  <c r="D49" i="15"/>
  <c r="N47" i="26"/>
  <c r="N50" i="26" s="1"/>
  <c r="N51" i="26" s="1"/>
  <c r="N54" i="26" s="1"/>
  <c r="N45" i="26"/>
  <c r="I71" i="25"/>
  <c r="I74" i="25" s="1"/>
  <c r="I75" i="25" s="1"/>
  <c r="I78" i="25" s="1"/>
  <c r="I69" i="25"/>
  <c r="I77" i="25" s="1"/>
  <c r="G30" i="2"/>
  <c r="H30" i="2" s="1"/>
  <c r="I30" i="2" s="1"/>
  <c r="D31" i="2" s="1"/>
  <c r="I115" i="25"/>
  <c r="I112" i="25"/>
  <c r="I113" i="25"/>
  <c r="C31" i="33"/>
  <c r="E31" i="33" s="1"/>
  <c r="B32" i="33"/>
  <c r="D31" i="33"/>
  <c r="F31" i="33" s="1"/>
  <c r="G22" i="32"/>
  <c r="C23" i="32" s="1"/>
  <c r="E83" i="32"/>
  <c r="F41" i="32"/>
  <c r="C42" i="32" s="1"/>
  <c r="G41" i="32"/>
  <c r="E123" i="46"/>
  <c r="H78" i="62"/>
  <c r="H79" i="62" s="1"/>
  <c r="H81" i="62" s="1"/>
  <c r="C85" i="62" s="1"/>
  <c r="AA15" i="55"/>
  <c r="N15" i="55"/>
  <c r="M16" i="55"/>
  <c r="U78" i="26"/>
  <c r="U79" i="26" s="1"/>
  <c r="M78" i="26"/>
  <c r="AC14" i="55"/>
  <c r="AF14" i="55"/>
  <c r="H110" i="25"/>
  <c r="H111" i="25"/>
  <c r="H113" i="25"/>
  <c r="H115" i="25"/>
  <c r="H112" i="25"/>
  <c r="H114" i="25"/>
  <c r="F32" i="49"/>
  <c r="E43" i="44"/>
  <c r="K43" i="44" s="1"/>
  <c r="C43" i="44"/>
  <c r="F43" i="44"/>
  <c r="L43" i="44" s="1"/>
  <c r="B44" i="44"/>
  <c r="D43" i="44"/>
  <c r="J43" i="44" s="1"/>
  <c r="H67" i="62"/>
  <c r="H72" i="62" s="1"/>
  <c r="H74" i="62" s="1"/>
  <c r="C84" i="62" s="1"/>
  <c r="F47" i="48"/>
  <c r="I97" i="63"/>
  <c r="N111" i="25" l="1"/>
  <c r="C86" i="62"/>
  <c r="I114" i="25"/>
  <c r="AH14" i="55"/>
  <c r="AI14" i="55" s="1"/>
  <c r="H25" i="31"/>
  <c r="C25" i="31"/>
  <c r="D59" i="28"/>
  <c r="G59" i="28" s="1"/>
  <c r="E59" i="28"/>
  <c r="AG15" i="55"/>
  <c r="H16" i="55"/>
  <c r="K16" i="55" s="1"/>
  <c r="W17" i="55"/>
  <c r="X16" i="55"/>
  <c r="G30" i="48"/>
  <c r="H30" i="48" s="1"/>
  <c r="I30" i="48" s="1"/>
  <c r="D31" i="48" s="1"/>
  <c r="H122" i="30"/>
  <c r="H123" i="30" s="1"/>
  <c r="D125" i="30" s="1"/>
  <c r="N78" i="24"/>
  <c r="W78" i="24"/>
  <c r="W79" i="24" s="1"/>
  <c r="I102" i="30"/>
  <c r="D21" i="35"/>
  <c r="E21" i="35" s="1"/>
  <c r="K88" i="25"/>
  <c r="J30" i="48"/>
  <c r="E31" i="48"/>
  <c r="I79" i="25"/>
  <c r="J114" i="25" s="1"/>
  <c r="K96" i="25"/>
  <c r="K98" i="25" s="1"/>
  <c r="I30" i="3"/>
  <c r="D31" i="3" s="1"/>
  <c r="G30" i="3"/>
  <c r="E30" i="3" s="1"/>
  <c r="J30" i="3" s="1"/>
  <c r="N53" i="24"/>
  <c r="N55" i="24" s="1"/>
  <c r="O77" i="24"/>
  <c r="K80" i="24" s="1"/>
  <c r="F68" i="44"/>
  <c r="L68" i="44" s="1"/>
  <c r="B69" i="44"/>
  <c r="D68" i="44"/>
  <c r="J68" i="44" s="1"/>
  <c r="C68" i="44"/>
  <c r="E68" i="44"/>
  <c r="K68" i="44" s="1"/>
  <c r="H70" i="46"/>
  <c r="D70" i="46"/>
  <c r="M47" i="51"/>
  <c r="M50" i="51" s="1"/>
  <c r="M51" i="51" s="1"/>
  <c r="M54" i="51" s="1"/>
  <c r="M45" i="51"/>
  <c r="G31" i="2"/>
  <c r="C88" i="62"/>
  <c r="H89" i="62"/>
  <c r="F91" i="23"/>
  <c r="F89" i="23"/>
  <c r="F88" i="23"/>
  <c r="D46" i="4"/>
  <c r="E46" i="4" s="1"/>
  <c r="F46" i="4" s="1"/>
  <c r="I78" i="29"/>
  <c r="G78" i="29"/>
  <c r="D118" i="29"/>
  <c r="S19" i="55"/>
  <c r="G20" i="55"/>
  <c r="H98" i="13"/>
  <c r="H109" i="13" s="1"/>
  <c r="H110" i="13" s="1"/>
  <c r="F48" i="48"/>
  <c r="O110" i="25"/>
  <c r="N110" i="25"/>
  <c r="G83" i="32"/>
  <c r="D106" i="32"/>
  <c r="E106" i="32" s="1"/>
  <c r="F83" i="32"/>
  <c r="C84" i="32" s="1"/>
  <c r="I31" i="49"/>
  <c r="D32" i="49" s="1"/>
  <c r="C113" i="22"/>
  <c r="D112" i="22" s="1"/>
  <c r="G98" i="13"/>
  <c r="G109" i="13" s="1"/>
  <c r="G110" i="13" s="1"/>
  <c r="L63" i="32"/>
  <c r="E42" i="15"/>
  <c r="E44" i="15" s="1"/>
  <c r="E52" i="15" s="1"/>
  <c r="F81" i="15"/>
  <c r="F83" i="15" s="1"/>
  <c r="E49" i="15"/>
  <c r="G31" i="33"/>
  <c r="D54" i="15"/>
  <c r="D51" i="15"/>
  <c r="M77" i="51"/>
  <c r="L53" i="51"/>
  <c r="L55" i="51" s="1"/>
  <c r="M78" i="51" s="1"/>
  <c r="H31" i="2"/>
  <c r="I31" i="2" s="1"/>
  <c r="D32" i="2" s="1"/>
  <c r="J31" i="2"/>
  <c r="E32" i="2"/>
  <c r="C22" i="35"/>
  <c r="F22" i="35" s="1"/>
  <c r="G22" i="35" s="1"/>
  <c r="D22" i="35"/>
  <c r="E22" i="35" s="1"/>
  <c r="B23" i="35"/>
  <c r="H110" i="63"/>
  <c r="H111" i="63" s="1"/>
  <c r="H100" i="63"/>
  <c r="J33" i="49"/>
  <c r="E34" i="49"/>
  <c r="D127" i="32"/>
  <c r="D42" i="32"/>
  <c r="N53" i="26"/>
  <c r="N55" i="26" s="1"/>
  <c r="O77" i="26"/>
  <c r="L80" i="26" s="1"/>
  <c r="F47" i="2"/>
  <c r="I107" i="13"/>
  <c r="I108" i="13" s="1"/>
  <c r="I97" i="13"/>
  <c r="N78" i="26"/>
  <c r="V78" i="26"/>
  <c r="V79" i="26" s="1"/>
  <c r="O17" i="55"/>
  <c r="AB17" i="55"/>
  <c r="B45" i="44"/>
  <c r="D44" i="44"/>
  <c r="J44" i="44" s="1"/>
  <c r="C44" i="44"/>
  <c r="E44" i="44"/>
  <c r="K44" i="44" s="1"/>
  <c r="F44" i="44"/>
  <c r="L44" i="44" s="1"/>
  <c r="AF15" i="55"/>
  <c r="AH15" i="55" s="1"/>
  <c r="AI15" i="55" s="1"/>
  <c r="AC15" i="55"/>
  <c r="C32" i="33"/>
  <c r="E32" i="33" s="1"/>
  <c r="B33" i="33"/>
  <c r="D32" i="33"/>
  <c r="F32" i="33" s="1"/>
  <c r="C51" i="15"/>
  <c r="C54" i="15"/>
  <c r="L87" i="25"/>
  <c r="L91" i="25" s="1"/>
  <c r="L90" i="25"/>
  <c r="J71" i="25"/>
  <c r="J74" i="25" s="1"/>
  <c r="J75" i="25" s="1"/>
  <c r="J78" i="25" s="1"/>
  <c r="J69" i="25"/>
  <c r="J77" i="25" s="1"/>
  <c r="F38" i="3"/>
  <c r="N81" i="30"/>
  <c r="H104" i="30"/>
  <c r="H190" i="30"/>
  <c r="H193" i="30" s="1"/>
  <c r="H194" i="30" s="1"/>
  <c r="D196" i="30" s="1"/>
  <c r="I93" i="30"/>
  <c r="H113" i="30"/>
  <c r="H114" i="30" s="1"/>
  <c r="D116" i="30" s="1"/>
  <c r="I110" i="63"/>
  <c r="I111" i="63" s="1"/>
  <c r="I100" i="63"/>
  <c r="F33" i="49"/>
  <c r="G32" i="49"/>
  <c r="H32" i="49" s="1"/>
  <c r="Q15" i="55"/>
  <c r="T15" i="55"/>
  <c r="Y15" i="55"/>
  <c r="H23" i="32"/>
  <c r="E23" i="32"/>
  <c r="D23" i="32"/>
  <c r="D83" i="15"/>
  <c r="F116" i="63"/>
  <c r="F117" i="63" s="1"/>
  <c r="F135" i="63" s="1"/>
  <c r="F137" i="63" s="1"/>
  <c r="F68" i="63"/>
  <c r="K66" i="25"/>
  <c r="K67" i="25" s="1"/>
  <c r="L65" i="25"/>
  <c r="N16" i="55"/>
  <c r="AA16" i="55"/>
  <c r="M17" i="55"/>
  <c r="P16" i="55"/>
  <c r="E87" i="46"/>
  <c r="C91" i="4"/>
  <c r="G101" i="63"/>
  <c r="G112" i="63" s="1"/>
  <c r="G113" i="63" s="1"/>
  <c r="G66" i="63"/>
  <c r="D78" i="29"/>
  <c r="D111" i="29"/>
  <c r="F20" i="46"/>
  <c r="B19" i="55"/>
  <c r="E18" i="55"/>
  <c r="D18" i="55"/>
  <c r="D62" i="32"/>
  <c r="E127" i="32"/>
  <c r="I67" i="12"/>
  <c r="I72" i="12" s="1"/>
  <c r="H77" i="12" s="1"/>
  <c r="K100" i="25" l="1"/>
  <c r="D26" i="31"/>
  <c r="G26" i="31"/>
  <c r="E26" i="31"/>
  <c r="J113" i="25"/>
  <c r="X17" i="55"/>
  <c r="W18" i="55"/>
  <c r="AG16" i="55"/>
  <c r="H17" i="55"/>
  <c r="K17" i="55" s="1"/>
  <c r="L96" i="25"/>
  <c r="L98" i="25" s="1"/>
  <c r="D60" i="28"/>
  <c r="G60" i="28" s="1"/>
  <c r="G31" i="48"/>
  <c r="H31" i="48" s="1"/>
  <c r="I31" i="48" s="1"/>
  <c r="D32" i="48" s="1"/>
  <c r="G32" i="48" s="1"/>
  <c r="H32" i="48" s="1"/>
  <c r="I32" i="48" s="1"/>
  <c r="D33" i="48" s="1"/>
  <c r="G31" i="3"/>
  <c r="E31" i="3" s="1"/>
  <c r="J31" i="3" s="1"/>
  <c r="I31" i="3"/>
  <c r="D32" i="3" s="1"/>
  <c r="J112" i="25"/>
  <c r="D111" i="22"/>
  <c r="D113" i="22" s="1"/>
  <c r="X78" i="24"/>
  <c r="X79" i="24" s="1"/>
  <c r="T81" i="24" s="1"/>
  <c r="O78" i="24"/>
  <c r="K81" i="24" s="1"/>
  <c r="J31" i="48"/>
  <c r="E32" i="48"/>
  <c r="J115" i="25"/>
  <c r="G99" i="13"/>
  <c r="G63" i="13" s="1"/>
  <c r="G65" i="13" s="1"/>
  <c r="F23" i="32"/>
  <c r="G23" i="32" s="1"/>
  <c r="C24" i="32" s="1"/>
  <c r="D24" i="32" s="1"/>
  <c r="G32" i="33"/>
  <c r="H99" i="13"/>
  <c r="H63" i="13" s="1"/>
  <c r="H65" i="13" s="1"/>
  <c r="E69" i="44"/>
  <c r="K69" i="44" s="1"/>
  <c r="F69" i="44"/>
  <c r="L69" i="44" s="1"/>
  <c r="D69" i="44"/>
  <c r="J69" i="44" s="1"/>
  <c r="C69" i="44"/>
  <c r="B70" i="44"/>
  <c r="G102" i="63"/>
  <c r="F70" i="46"/>
  <c r="G70" i="46" s="1"/>
  <c r="C71" i="46" s="1"/>
  <c r="K71" i="25"/>
  <c r="K74" i="25" s="1"/>
  <c r="K75" i="25" s="1"/>
  <c r="K78" i="25" s="1"/>
  <c r="K69" i="25"/>
  <c r="K77" i="25" s="1"/>
  <c r="L66" i="25"/>
  <c r="L67" i="25" s="1"/>
  <c r="W78" i="26"/>
  <c r="W79" i="26" s="1"/>
  <c r="S81" i="26" s="1"/>
  <c r="O78" i="26"/>
  <c r="L81" i="26" s="1"/>
  <c r="O112" i="25"/>
  <c r="N112" i="25"/>
  <c r="D47" i="4"/>
  <c r="E47" i="4" s="1"/>
  <c r="F47" i="4" s="1"/>
  <c r="G32" i="2"/>
  <c r="H32" i="2" s="1"/>
  <c r="I32" i="2" s="1"/>
  <c r="D33" i="2" s="1"/>
  <c r="E19" i="55"/>
  <c r="D19" i="55"/>
  <c r="B20" i="55"/>
  <c r="E124" i="46"/>
  <c r="F34" i="49"/>
  <c r="D90" i="15"/>
  <c r="C53" i="15"/>
  <c r="D98" i="15" s="1"/>
  <c r="P17" i="55"/>
  <c r="N17" i="55"/>
  <c r="AA17" i="55"/>
  <c r="M18" i="55"/>
  <c r="F37" i="46"/>
  <c r="G20" i="46"/>
  <c r="C21" i="46" s="1"/>
  <c r="T16" i="55"/>
  <c r="Y16" i="55"/>
  <c r="Q16" i="55"/>
  <c r="F39" i="3"/>
  <c r="F48" i="2"/>
  <c r="J34" i="49"/>
  <c r="H101" i="63"/>
  <c r="H112" i="63" s="1"/>
  <c r="H66" i="63"/>
  <c r="B24" i="35"/>
  <c r="C23" i="35"/>
  <c r="D23" i="35" s="1"/>
  <c r="E23" i="35" s="1"/>
  <c r="E90" i="15"/>
  <c r="E92" i="15" s="1"/>
  <c r="D53" i="15"/>
  <c r="E98" i="15" s="1"/>
  <c r="E100" i="15" s="1"/>
  <c r="E54" i="15"/>
  <c r="E51" i="15"/>
  <c r="S20" i="55"/>
  <c r="G21" i="55"/>
  <c r="M53" i="51"/>
  <c r="M55" i="51" s="1"/>
  <c r="N78" i="51" s="1"/>
  <c r="K81" i="51" s="1"/>
  <c r="N77" i="51"/>
  <c r="K80" i="51" s="1"/>
  <c r="AF16" i="55"/>
  <c r="AH16" i="55" s="1"/>
  <c r="AI16" i="55" s="1"/>
  <c r="AC16" i="55"/>
  <c r="C45" i="44"/>
  <c r="E45" i="44"/>
  <c r="K45" i="44" s="1"/>
  <c r="B46" i="44"/>
  <c r="F45" i="44"/>
  <c r="L45" i="44" s="1"/>
  <c r="D45" i="44"/>
  <c r="J45" i="44" s="1"/>
  <c r="H127" i="32"/>
  <c r="F127" i="32"/>
  <c r="D84" i="32"/>
  <c r="H78" i="12"/>
  <c r="H79" i="12"/>
  <c r="H81" i="12" s="1"/>
  <c r="C85" i="12" s="1"/>
  <c r="C86" i="12" s="1"/>
  <c r="C88" i="12" s="1"/>
  <c r="H78" i="29"/>
  <c r="N82" i="30"/>
  <c r="O80" i="30" s="1"/>
  <c r="I32" i="49"/>
  <c r="D33" i="49" s="1"/>
  <c r="G33" i="49" s="1"/>
  <c r="H33" i="49" s="1"/>
  <c r="I101" i="63"/>
  <c r="I112" i="63" s="1"/>
  <c r="I66" i="63"/>
  <c r="AB18" i="55"/>
  <c r="O18" i="55"/>
  <c r="D119" i="29"/>
  <c r="D112" i="29"/>
  <c r="G68" i="63"/>
  <c r="G116" i="63"/>
  <c r="G117" i="63" s="1"/>
  <c r="G135" i="63" s="1"/>
  <c r="G137" i="63" s="1"/>
  <c r="C92" i="4"/>
  <c r="I113" i="63"/>
  <c r="J79" i="25"/>
  <c r="L88" i="25"/>
  <c r="L100" i="25" s="1"/>
  <c r="B34" i="33"/>
  <c r="D33" i="33"/>
  <c r="F33" i="33" s="1"/>
  <c r="C33" i="33"/>
  <c r="E33" i="33" s="1"/>
  <c r="I98" i="13"/>
  <c r="I109" i="13" s="1"/>
  <c r="I110" i="13" s="1"/>
  <c r="G127" i="32"/>
  <c r="H113" i="63"/>
  <c r="J32" i="2"/>
  <c r="E33" i="2"/>
  <c r="F49" i="48"/>
  <c r="E60" i="28" l="1"/>
  <c r="G113" i="13"/>
  <c r="G114" i="13" s="1"/>
  <c r="H33" i="14" s="1"/>
  <c r="H35" i="14" s="1"/>
  <c r="F26" i="31"/>
  <c r="H113" i="13"/>
  <c r="H114" i="13" s="1"/>
  <c r="I33" i="14" s="1"/>
  <c r="I35" i="14" s="1"/>
  <c r="D37" i="14" s="1"/>
  <c r="D61" i="28"/>
  <c r="G61" i="28" s="1"/>
  <c r="E61" i="28"/>
  <c r="AG17" i="55"/>
  <c r="H18" i="55"/>
  <c r="K18" i="55" s="1"/>
  <c r="P18" i="55" s="1"/>
  <c r="E24" i="32"/>
  <c r="F24" i="32" s="1"/>
  <c r="W19" i="55"/>
  <c r="X18" i="55"/>
  <c r="H24" i="32"/>
  <c r="C109" i="32"/>
  <c r="G33" i="48"/>
  <c r="K79" i="25"/>
  <c r="L115" i="25" s="1"/>
  <c r="I32" i="3"/>
  <c r="D33" i="3" s="1"/>
  <c r="G32" i="3"/>
  <c r="E32" i="3" s="1"/>
  <c r="J32" i="3" s="1"/>
  <c r="I99" i="13"/>
  <c r="I63" i="13" s="1"/>
  <c r="I113" i="13" s="1"/>
  <c r="I114" i="13" s="1"/>
  <c r="E120" i="13" s="1"/>
  <c r="G33" i="33"/>
  <c r="I102" i="63"/>
  <c r="O81" i="30"/>
  <c r="J32" i="48"/>
  <c r="E33" i="48"/>
  <c r="D70" i="44"/>
  <c r="J70" i="44" s="1"/>
  <c r="C70" i="44"/>
  <c r="B71" i="44"/>
  <c r="E70" i="44"/>
  <c r="K70" i="44" s="1"/>
  <c r="F70" i="44"/>
  <c r="L70" i="44" s="1"/>
  <c r="H102" i="63"/>
  <c r="F87" i="46"/>
  <c r="F124" i="46" s="1"/>
  <c r="G33" i="2"/>
  <c r="H33" i="2" s="1"/>
  <c r="I33" i="2" s="1"/>
  <c r="D34" i="2" s="1"/>
  <c r="G39" i="15"/>
  <c r="I19" i="14"/>
  <c r="I21" i="14" s="1"/>
  <c r="F39" i="15"/>
  <c r="H19" i="14"/>
  <c r="H21" i="14" s="1"/>
  <c r="I68" i="63"/>
  <c r="I116" i="63"/>
  <c r="I117" i="63" s="1"/>
  <c r="H68" i="63"/>
  <c r="H116" i="63"/>
  <c r="H117" i="63" s="1"/>
  <c r="H135" i="63" s="1"/>
  <c r="F40" i="3"/>
  <c r="H21" i="46"/>
  <c r="E21" i="46"/>
  <c r="E38" i="46" s="1"/>
  <c r="D21" i="46"/>
  <c r="F21" i="46" s="1"/>
  <c r="F38" i="46" s="1"/>
  <c r="E20" i="55"/>
  <c r="B21" i="55"/>
  <c r="D20" i="55"/>
  <c r="K113" i="25"/>
  <c r="K115" i="25"/>
  <c r="K114" i="25"/>
  <c r="E42" i="32"/>
  <c r="E62" i="32" s="1"/>
  <c r="F50" i="48"/>
  <c r="C79" i="29"/>
  <c r="F79" i="29"/>
  <c r="E79" i="29"/>
  <c r="D46" i="44"/>
  <c r="J46" i="44" s="1"/>
  <c r="B47" i="44"/>
  <c r="F46" i="44"/>
  <c r="L46" i="44" s="1"/>
  <c r="E46" i="44"/>
  <c r="K46" i="44" s="1"/>
  <c r="C46" i="44"/>
  <c r="F23" i="35"/>
  <c r="G23" i="35" s="1"/>
  <c r="D100" i="15"/>
  <c r="D71" i="46"/>
  <c r="H71" i="46"/>
  <c r="E71" i="46"/>
  <c r="C93" i="4"/>
  <c r="I65" i="13"/>
  <c r="M19" i="55"/>
  <c r="N18" i="55"/>
  <c r="AA18" i="55"/>
  <c r="I33" i="49"/>
  <c r="D34" i="49" s="1"/>
  <c r="G34" i="49" s="1"/>
  <c r="H34" i="49" s="1"/>
  <c r="H89" i="12"/>
  <c r="C24" i="35"/>
  <c r="D24" i="35" s="1"/>
  <c r="E24" i="35" s="1"/>
  <c r="B25" i="35"/>
  <c r="F49" i="2"/>
  <c r="Q17" i="55"/>
  <c r="T17" i="55"/>
  <c r="Y17" i="55"/>
  <c r="F35" i="49"/>
  <c r="AB19" i="55"/>
  <c r="O19" i="55"/>
  <c r="D48" i="4"/>
  <c r="E48" i="4" s="1"/>
  <c r="F48" i="4" s="1"/>
  <c r="L71" i="25"/>
  <c r="L74" i="25" s="1"/>
  <c r="L75" i="25" s="1"/>
  <c r="L78" i="25" s="1"/>
  <c r="L69" i="25"/>
  <c r="L77" i="25" s="1"/>
  <c r="J33" i="2"/>
  <c r="E34" i="2"/>
  <c r="C34" i="33"/>
  <c r="E34" i="33" s="1"/>
  <c r="B35" i="33"/>
  <c r="D34" i="33"/>
  <c r="F34" i="33" s="1"/>
  <c r="G22" i="55"/>
  <c r="S21" i="55"/>
  <c r="F90" i="15"/>
  <c r="F92" i="15" s="1"/>
  <c r="E53" i="15"/>
  <c r="F98" i="15" s="1"/>
  <c r="F100" i="15" s="1"/>
  <c r="AF17" i="55"/>
  <c r="AC17" i="55"/>
  <c r="D92" i="15"/>
  <c r="D124" i="29"/>
  <c r="D126" i="29" s="1"/>
  <c r="L114" i="25" l="1"/>
  <c r="G34" i="33"/>
  <c r="H26" i="31"/>
  <c r="C26" i="31"/>
  <c r="AH17" i="55"/>
  <c r="AI17" i="55" s="1"/>
  <c r="G24" i="32"/>
  <c r="C25" i="32" s="1"/>
  <c r="E25" i="32" s="1"/>
  <c r="C110" i="32"/>
  <c r="W20" i="55"/>
  <c r="X19" i="55"/>
  <c r="H19" i="55"/>
  <c r="K19" i="55" s="1"/>
  <c r="AG18" i="55"/>
  <c r="H33" i="48"/>
  <c r="I33" i="48" s="1"/>
  <c r="D34" i="48" s="1"/>
  <c r="G34" i="48" s="1"/>
  <c r="D62" i="28"/>
  <c r="G62" i="28" s="1"/>
  <c r="F24" i="35"/>
  <c r="G24" i="35" s="1"/>
  <c r="J33" i="48"/>
  <c r="E34" i="48"/>
  <c r="J34" i="48" s="1"/>
  <c r="I33" i="3"/>
  <c r="D34" i="3" s="1"/>
  <c r="G33" i="3"/>
  <c r="E33" i="3" s="1"/>
  <c r="J33" i="3" s="1"/>
  <c r="L79" i="25"/>
  <c r="M115" i="25" s="1"/>
  <c r="O115" i="25" s="1"/>
  <c r="G21" i="46"/>
  <c r="C22" i="46" s="1"/>
  <c r="H22" i="46" s="1"/>
  <c r="D71" i="44"/>
  <c r="J71" i="44" s="1"/>
  <c r="C71" i="44"/>
  <c r="B72" i="44"/>
  <c r="E71" i="44"/>
  <c r="K71" i="44" s="1"/>
  <c r="F71" i="44"/>
  <c r="L71" i="44" s="1"/>
  <c r="G34" i="2"/>
  <c r="D49" i="4"/>
  <c r="E49" i="4" s="1"/>
  <c r="F49" i="4" s="1"/>
  <c r="F50" i="2"/>
  <c r="E88" i="46"/>
  <c r="D79" i="29"/>
  <c r="B26" i="35"/>
  <c r="C25" i="35"/>
  <c r="D25" i="35" s="1"/>
  <c r="E25" i="35" s="1"/>
  <c r="H136" i="63"/>
  <c r="H137" i="63" s="1"/>
  <c r="E123" i="63"/>
  <c r="F42" i="32"/>
  <c r="C43" i="32" s="1"/>
  <c r="G42" i="32"/>
  <c r="AF18" i="55"/>
  <c r="AH18" i="55" s="1"/>
  <c r="AI18" i="55" s="1"/>
  <c r="AC18" i="55"/>
  <c r="B48" i="44"/>
  <c r="F47" i="44"/>
  <c r="L47" i="44" s="1"/>
  <c r="L49" i="44" s="1"/>
  <c r="F49" i="44" s="1"/>
  <c r="D47" i="44"/>
  <c r="J47" i="44" s="1"/>
  <c r="J49" i="44" s="1"/>
  <c r="D49" i="44" s="1"/>
  <c r="C47" i="44"/>
  <c r="E47" i="44"/>
  <c r="K47" i="44" s="1"/>
  <c r="K49" i="44" s="1"/>
  <c r="E49" i="44" s="1"/>
  <c r="S22" i="55"/>
  <c r="G23" i="55"/>
  <c r="D35" i="33"/>
  <c r="F35" i="33" s="1"/>
  <c r="C35" i="33"/>
  <c r="E35" i="33" s="1"/>
  <c r="B36" i="33"/>
  <c r="J34" i="2"/>
  <c r="H34" i="2"/>
  <c r="I34" i="2" s="1"/>
  <c r="D35" i="2" s="1"/>
  <c r="E35" i="2"/>
  <c r="AA19" i="55"/>
  <c r="M20" i="55"/>
  <c r="N19" i="55"/>
  <c r="C94" i="4"/>
  <c r="F62" i="32"/>
  <c r="C63" i="32" s="1"/>
  <c r="G62" i="32"/>
  <c r="O113" i="25"/>
  <c r="N113" i="25"/>
  <c r="B22" i="55"/>
  <c r="E21" i="55"/>
  <c r="D21" i="55"/>
  <c r="G81" i="15"/>
  <c r="F42" i="15"/>
  <c r="F44" i="15" s="1"/>
  <c r="F52" i="15" s="1"/>
  <c r="F49" i="15"/>
  <c r="I34" i="49"/>
  <c r="D35" i="49" s="1"/>
  <c r="O114" i="25"/>
  <c r="N114" i="25"/>
  <c r="G79" i="29"/>
  <c r="I79" i="29"/>
  <c r="G42" i="15"/>
  <c r="G44" i="15" s="1"/>
  <c r="G52" i="15" s="1"/>
  <c r="G49" i="15"/>
  <c r="H81" i="15"/>
  <c r="H83" i="15" s="1"/>
  <c r="F36" i="49"/>
  <c r="T18" i="55"/>
  <c r="Q18" i="55"/>
  <c r="Y18" i="55"/>
  <c r="F71" i="46"/>
  <c r="F51" i="48"/>
  <c r="M63" i="32"/>
  <c r="N63" i="32" s="1"/>
  <c r="K64" i="32" s="1"/>
  <c r="AB20" i="55"/>
  <c r="O20" i="55"/>
  <c r="F41" i="3"/>
  <c r="D26" i="14"/>
  <c r="D43" i="14" s="1"/>
  <c r="D45" i="14" s="1"/>
  <c r="E27" i="31" l="1"/>
  <c r="D27" i="31"/>
  <c r="F27" i="31" s="1"/>
  <c r="G27" i="31"/>
  <c r="H25" i="32"/>
  <c r="D25" i="32"/>
  <c r="F25" i="32" s="1"/>
  <c r="G25" i="32" s="1"/>
  <c r="C26" i="32" s="1"/>
  <c r="D26" i="32" s="1"/>
  <c r="D22" i="46"/>
  <c r="F22" i="46"/>
  <c r="F39" i="46" s="1"/>
  <c r="H20" i="55"/>
  <c r="K20" i="55" s="1"/>
  <c r="AG19" i="55"/>
  <c r="E22" i="46"/>
  <c r="E39" i="46" s="1"/>
  <c r="X20" i="55"/>
  <c r="W21" i="55"/>
  <c r="P19" i="55"/>
  <c r="Q19" i="55" s="1"/>
  <c r="E62" i="28"/>
  <c r="C144" i="63"/>
  <c r="C146" i="63" s="1"/>
  <c r="C140" i="63"/>
  <c r="N115" i="25"/>
  <c r="I34" i="3"/>
  <c r="D35" i="3" s="1"/>
  <c r="G34" i="3"/>
  <c r="E34" i="3" s="1"/>
  <c r="J34" i="3" s="1"/>
  <c r="G35" i="33"/>
  <c r="H34" i="48"/>
  <c r="I34" i="48" s="1"/>
  <c r="D35" i="48" s="1"/>
  <c r="D72" i="44"/>
  <c r="J72" i="44" s="1"/>
  <c r="J74" i="44" s="1"/>
  <c r="D74" i="44" s="1"/>
  <c r="E72" i="44"/>
  <c r="K72" i="44" s="1"/>
  <c r="K74" i="44" s="1"/>
  <c r="E74" i="44" s="1"/>
  <c r="C72" i="44"/>
  <c r="F72" i="44"/>
  <c r="L72" i="44" s="1"/>
  <c r="L74" i="44" s="1"/>
  <c r="F74" i="44" s="1"/>
  <c r="B73" i="44"/>
  <c r="D50" i="4"/>
  <c r="E50" i="4" s="1"/>
  <c r="F50" i="4" s="1"/>
  <c r="C152" i="63"/>
  <c r="C148" i="63"/>
  <c r="G35" i="2"/>
  <c r="H35" i="2" s="1"/>
  <c r="I35" i="2" s="1"/>
  <c r="D36" i="2" s="1"/>
  <c r="F42" i="3"/>
  <c r="M21" i="55"/>
  <c r="P20" i="55"/>
  <c r="N20" i="55"/>
  <c r="AA20" i="55"/>
  <c r="F52" i="48"/>
  <c r="AF19" i="55"/>
  <c r="AH19" i="55" s="1"/>
  <c r="AI19" i="55" s="1"/>
  <c r="AC19" i="55"/>
  <c r="B37" i="33"/>
  <c r="D36" i="33"/>
  <c r="F36" i="33" s="1"/>
  <c r="C36" i="33"/>
  <c r="E36" i="33" s="1"/>
  <c r="D48" i="44"/>
  <c r="C48" i="44"/>
  <c r="B74" i="44"/>
  <c r="E48" i="44"/>
  <c r="F48" i="44"/>
  <c r="E125" i="46"/>
  <c r="G54" i="15"/>
  <c r="G51" i="15"/>
  <c r="P9" i="49"/>
  <c r="O21" i="55"/>
  <c r="AB21" i="55"/>
  <c r="C95" i="4"/>
  <c r="E36" i="2"/>
  <c r="J35" i="2"/>
  <c r="F51" i="15"/>
  <c r="F54" i="15"/>
  <c r="D43" i="32"/>
  <c r="D128" i="32"/>
  <c r="F25" i="35"/>
  <c r="G25" i="35" s="1"/>
  <c r="H79" i="29"/>
  <c r="F37" i="49"/>
  <c r="G83" i="15"/>
  <c r="D112" i="15"/>
  <c r="D114" i="15" s="1"/>
  <c r="D116" i="15" s="1"/>
  <c r="C26" i="35"/>
  <c r="D26" i="35" s="1"/>
  <c r="E26" i="35" s="1"/>
  <c r="B27" i="35"/>
  <c r="L64" i="32"/>
  <c r="F88" i="46"/>
  <c r="G71" i="46"/>
  <c r="C72" i="46" s="1"/>
  <c r="E35" i="49"/>
  <c r="G35" i="49"/>
  <c r="D22" i="55"/>
  <c r="B23" i="55"/>
  <c r="E22" i="55"/>
  <c r="D63" i="32"/>
  <c r="E128" i="32"/>
  <c r="G24" i="55"/>
  <c r="S23" i="55"/>
  <c r="E84" i="32"/>
  <c r="F51" i="2"/>
  <c r="H26" i="32" l="1"/>
  <c r="H27" i="31"/>
  <c r="C27" i="31"/>
  <c r="C111" i="32"/>
  <c r="W22" i="55"/>
  <c r="X21" i="55"/>
  <c r="E26" i="32"/>
  <c r="F26" i="32" s="1"/>
  <c r="C112" i="32" s="1"/>
  <c r="D63" i="28"/>
  <c r="E63" i="28" s="1"/>
  <c r="Y19" i="55"/>
  <c r="T19" i="55"/>
  <c r="G22" i="46"/>
  <c r="C23" i="46" s="1"/>
  <c r="E23" i="46" s="1"/>
  <c r="E40" i="46" s="1"/>
  <c r="H21" i="55"/>
  <c r="K21" i="55" s="1"/>
  <c r="AG20" i="55"/>
  <c r="G36" i="33"/>
  <c r="G35" i="3"/>
  <c r="E35" i="3" s="1"/>
  <c r="J35" i="3" s="1"/>
  <c r="I35" i="3"/>
  <c r="D36" i="3" s="1"/>
  <c r="F26" i="35"/>
  <c r="G26" i="35" s="1"/>
  <c r="G35" i="48"/>
  <c r="E35" i="48"/>
  <c r="G36" i="2"/>
  <c r="H36" i="2" s="1"/>
  <c r="I36" i="2" s="1"/>
  <c r="D37" i="2" s="1"/>
  <c r="D23" i="46"/>
  <c r="F38" i="49"/>
  <c r="G53" i="15"/>
  <c r="H98" i="15" s="1"/>
  <c r="H100" i="15" s="1"/>
  <c r="H90" i="15"/>
  <c r="H92" i="15" s="1"/>
  <c r="B38" i="33"/>
  <c r="C37" i="33"/>
  <c r="E37" i="33" s="1"/>
  <c r="D37" i="33"/>
  <c r="F37" i="33" s="1"/>
  <c r="H35" i="49"/>
  <c r="I35" i="49" s="1"/>
  <c r="D36" i="49" s="1"/>
  <c r="E36" i="49"/>
  <c r="R9" i="49"/>
  <c r="J35" i="49"/>
  <c r="F80" i="29"/>
  <c r="C80" i="29"/>
  <c r="E80" i="29"/>
  <c r="N21" i="55"/>
  <c r="AA21" i="55"/>
  <c r="P21" i="55"/>
  <c r="M22" i="55"/>
  <c r="F43" i="3"/>
  <c r="D107" i="32"/>
  <c r="E107" i="32" s="1"/>
  <c r="G84" i="32"/>
  <c r="F84" i="32"/>
  <c r="C85" i="32" s="1"/>
  <c r="D72" i="46"/>
  <c r="H72" i="46"/>
  <c r="E72" i="46"/>
  <c r="D111" i="15"/>
  <c r="C84" i="15"/>
  <c r="D110" i="15" s="1"/>
  <c r="F53" i="15"/>
  <c r="G98" i="15" s="1"/>
  <c r="G90" i="15"/>
  <c r="F53" i="48"/>
  <c r="Q20" i="55"/>
  <c r="T20" i="55"/>
  <c r="Y20" i="55"/>
  <c r="AB22" i="55"/>
  <c r="O22" i="55"/>
  <c r="F125" i="46"/>
  <c r="AC20" i="55"/>
  <c r="AF20" i="55"/>
  <c r="E37" i="2"/>
  <c r="J36" i="2"/>
  <c r="G25" i="55"/>
  <c r="S24" i="55"/>
  <c r="F52" i="2"/>
  <c r="D23" i="55"/>
  <c r="E23" i="55"/>
  <c r="B24" i="55"/>
  <c r="C27" i="35"/>
  <c r="F27" i="35" s="1"/>
  <c r="G27" i="35" s="1"/>
  <c r="B28" i="35"/>
  <c r="C96" i="4"/>
  <c r="D51" i="4"/>
  <c r="E51" i="4" s="1"/>
  <c r="F51" i="4" s="1"/>
  <c r="AH20" i="55" l="1"/>
  <c r="AI20" i="55" s="1"/>
  <c r="G37" i="33"/>
  <c r="G28" i="31"/>
  <c r="D28" i="31"/>
  <c r="E28" i="31"/>
  <c r="G26" i="32"/>
  <c r="C27" i="32" s="1"/>
  <c r="E27" i="32" s="1"/>
  <c r="D64" i="28"/>
  <c r="G64" i="28" s="1"/>
  <c r="E64" i="28"/>
  <c r="D65" i="28" s="1"/>
  <c r="D27" i="35"/>
  <c r="E27" i="35" s="1"/>
  <c r="H23" i="46"/>
  <c r="G63" i="28"/>
  <c r="H22" i="55"/>
  <c r="K22" i="55" s="1"/>
  <c r="P22" i="55" s="1"/>
  <c r="AG21" i="55"/>
  <c r="W23" i="55"/>
  <c r="X22" i="55"/>
  <c r="J35" i="48"/>
  <c r="H35" i="48"/>
  <c r="I35" i="48" s="1"/>
  <c r="D36" i="48" s="1"/>
  <c r="G36" i="48" s="1"/>
  <c r="E36" i="48"/>
  <c r="I36" i="3"/>
  <c r="D37" i="3" s="1"/>
  <c r="G36" i="3"/>
  <c r="E36" i="3" s="1"/>
  <c r="J36" i="3" s="1"/>
  <c r="D52" i="4"/>
  <c r="E52" i="4" s="1"/>
  <c r="F52" i="4" s="1"/>
  <c r="G37" i="2"/>
  <c r="H37" i="2" s="1"/>
  <c r="I37" i="2" s="1"/>
  <c r="D38" i="2" s="1"/>
  <c r="AB23" i="55"/>
  <c r="O23" i="55"/>
  <c r="G100" i="15"/>
  <c r="D136" i="15"/>
  <c r="D138" i="15" s="1"/>
  <c r="D140" i="15" s="1"/>
  <c r="F72" i="46"/>
  <c r="Y21" i="55"/>
  <c r="Q21" i="55"/>
  <c r="T21" i="55"/>
  <c r="D80" i="29"/>
  <c r="F39" i="49"/>
  <c r="E38" i="2"/>
  <c r="J37" i="2"/>
  <c r="M23" i="55"/>
  <c r="N22" i="55"/>
  <c r="AA22" i="55"/>
  <c r="F54" i="48"/>
  <c r="AC21" i="55"/>
  <c r="AF21" i="55"/>
  <c r="J36" i="49"/>
  <c r="E37" i="49"/>
  <c r="B39" i="33"/>
  <c r="D38" i="33"/>
  <c r="F38" i="33" s="1"/>
  <c r="C38" i="33"/>
  <c r="E38" i="33" s="1"/>
  <c r="F23" i="46"/>
  <c r="B25" i="55"/>
  <c r="D24" i="55"/>
  <c r="E24" i="55"/>
  <c r="F53" i="2"/>
  <c r="S25" i="55"/>
  <c r="G29" i="55"/>
  <c r="G30" i="55" s="1"/>
  <c r="G31" i="55" s="1"/>
  <c r="G32" i="55" s="1"/>
  <c r="G33" i="55" s="1"/>
  <c r="G34" i="55" s="1"/>
  <c r="G35" i="55" s="1"/>
  <c r="G36" i="55" s="1"/>
  <c r="G37" i="55" s="1"/>
  <c r="G38" i="55" s="1"/>
  <c r="E89" i="46"/>
  <c r="D85" i="32"/>
  <c r="H128" i="32"/>
  <c r="F128" i="32"/>
  <c r="G128" i="32" s="1"/>
  <c r="F44" i="3"/>
  <c r="G36" i="49"/>
  <c r="H36" i="49" s="1"/>
  <c r="I36" i="49" s="1"/>
  <c r="D37" i="49" s="1"/>
  <c r="C97" i="4"/>
  <c r="B29" i="35"/>
  <c r="C28" i="35"/>
  <c r="D28" i="35" s="1"/>
  <c r="E28" i="35" s="1"/>
  <c r="G92" i="15"/>
  <c r="D122" i="15"/>
  <c r="D124" i="15" s="1"/>
  <c r="I80" i="29"/>
  <c r="G80" i="29"/>
  <c r="AH21" i="55" l="1"/>
  <c r="AI21" i="55" s="1"/>
  <c r="D66" i="28"/>
  <c r="D94" i="28" s="1"/>
  <c r="F28" i="31"/>
  <c r="D27" i="32"/>
  <c r="F27" i="32" s="1"/>
  <c r="C113" i="32" s="1"/>
  <c r="H27" i="32"/>
  <c r="H23" i="55"/>
  <c r="K23" i="55" s="1"/>
  <c r="P23" i="55" s="1"/>
  <c r="AG22" i="55"/>
  <c r="C45" i="28"/>
  <c r="C43" i="28" s="1"/>
  <c r="C44" i="28" s="1"/>
  <c r="C46" i="28" s="1"/>
  <c r="F28" i="35"/>
  <c r="G28" i="35" s="1"/>
  <c r="E65" i="28"/>
  <c r="F65" i="28" s="1"/>
  <c r="G65" i="28" s="1"/>
  <c r="W24" i="55"/>
  <c r="X23" i="55"/>
  <c r="H36" i="48"/>
  <c r="I36" i="48" s="1"/>
  <c r="D37" i="48" s="1"/>
  <c r="J36" i="48"/>
  <c r="E37" i="48"/>
  <c r="G37" i="3"/>
  <c r="E37" i="3" s="1"/>
  <c r="J37" i="3" s="1"/>
  <c r="I37" i="3"/>
  <c r="D38" i="3" s="1"/>
  <c r="G37" i="49"/>
  <c r="H37" i="49" s="1"/>
  <c r="I37" i="49" s="1"/>
  <c r="D38" i="49" s="1"/>
  <c r="G38" i="2"/>
  <c r="E126" i="46"/>
  <c r="O24" i="55"/>
  <c r="AB24" i="55"/>
  <c r="J37" i="49"/>
  <c r="E38" i="49"/>
  <c r="AC22" i="55"/>
  <c r="AF22" i="55"/>
  <c r="AH22" i="55" s="1"/>
  <c r="AI22" i="55" s="1"/>
  <c r="H80" i="29"/>
  <c r="D135" i="15"/>
  <c r="C102" i="15"/>
  <c r="D121" i="15"/>
  <c r="C93" i="15"/>
  <c r="B30" i="35"/>
  <c r="C29" i="35"/>
  <c r="D29" i="35"/>
  <c r="E29" i="35" s="1"/>
  <c r="F29" i="35"/>
  <c r="G29" i="35" s="1"/>
  <c r="C98" i="4"/>
  <c r="F45" i="3"/>
  <c r="E43" i="32"/>
  <c r="E63" i="32" s="1"/>
  <c r="M64" i="32" s="1"/>
  <c r="N64" i="32" s="1"/>
  <c r="K65" i="32" s="1"/>
  <c r="F54" i="2"/>
  <c r="F40" i="46"/>
  <c r="G23" i="46"/>
  <c r="C24" i="46" s="1"/>
  <c r="F89" i="46"/>
  <c r="F126" i="46" s="1"/>
  <c r="G72" i="46"/>
  <c r="C73" i="46" s="1"/>
  <c r="D53" i="4"/>
  <c r="E53" i="4" s="1"/>
  <c r="F53" i="4" s="1"/>
  <c r="C39" i="33"/>
  <c r="E39" i="33" s="1"/>
  <c r="B40" i="33"/>
  <c r="D39" i="33"/>
  <c r="F39" i="33" s="1"/>
  <c r="Y22" i="55"/>
  <c r="Q22" i="55"/>
  <c r="T22" i="55"/>
  <c r="D126" i="15"/>
  <c r="D129" i="15"/>
  <c r="D131" i="15" s="1"/>
  <c r="E25" i="55"/>
  <c r="D25" i="55"/>
  <c r="G38" i="33"/>
  <c r="F55" i="48"/>
  <c r="E39" i="2"/>
  <c r="J38" i="2"/>
  <c r="H38" i="2"/>
  <c r="I38" i="2" s="1"/>
  <c r="D39" i="2" s="1"/>
  <c r="F40" i="49"/>
  <c r="N23" i="55"/>
  <c r="M24" i="55"/>
  <c r="AA23" i="55"/>
  <c r="H28" i="31" l="1"/>
  <c r="C28" i="31"/>
  <c r="C81" i="28"/>
  <c r="C82" i="28" s="1"/>
  <c r="W25" i="55"/>
  <c r="X25" i="55" s="1"/>
  <c r="X24" i="55"/>
  <c r="F46" i="28"/>
  <c r="G53" i="28" s="1"/>
  <c r="D96" i="28"/>
  <c r="H24" i="55"/>
  <c r="K24" i="55" s="1"/>
  <c r="P24" i="55" s="1"/>
  <c r="AG23" i="55"/>
  <c r="J37" i="48"/>
  <c r="E38" i="48"/>
  <c r="F38" i="28"/>
  <c r="C47" i="28"/>
  <c r="F37" i="28" s="1"/>
  <c r="I38" i="3"/>
  <c r="D39" i="3" s="1"/>
  <c r="G38" i="3"/>
  <c r="E38" i="3" s="1"/>
  <c r="J38" i="3" s="1"/>
  <c r="G37" i="48"/>
  <c r="H37" i="48" s="1"/>
  <c r="I37" i="48" s="1"/>
  <c r="D38" i="48" s="1"/>
  <c r="G38" i="48" s="1"/>
  <c r="D54" i="4"/>
  <c r="E54" i="4" s="1"/>
  <c r="F54" i="4" s="1"/>
  <c r="L65" i="32"/>
  <c r="G38" i="49"/>
  <c r="J39" i="2"/>
  <c r="E40" i="2"/>
  <c r="F81" i="29"/>
  <c r="C81" i="29"/>
  <c r="E81" i="29"/>
  <c r="AA24" i="55"/>
  <c r="M25" i="55"/>
  <c r="N24" i="55"/>
  <c r="H24" i="46"/>
  <c r="E24" i="46"/>
  <c r="E41" i="46" s="1"/>
  <c r="D24" i="46"/>
  <c r="C104" i="15"/>
  <c r="D120" i="15"/>
  <c r="D134" i="15"/>
  <c r="D104" i="15"/>
  <c r="D141" i="15"/>
  <c r="G27" i="32"/>
  <c r="C28" i="32" s="1"/>
  <c r="AC23" i="55"/>
  <c r="AF23" i="55"/>
  <c r="AH23" i="55" s="1"/>
  <c r="AI23" i="55" s="1"/>
  <c r="AB25" i="55"/>
  <c r="O25" i="55"/>
  <c r="B29" i="55"/>
  <c r="H38" i="49"/>
  <c r="I38" i="49" s="1"/>
  <c r="D39" i="49" s="1"/>
  <c r="J38" i="49"/>
  <c r="E39" i="49"/>
  <c r="G39" i="2"/>
  <c r="H39" i="2" s="1"/>
  <c r="I39" i="2" s="1"/>
  <c r="D40" i="2" s="1"/>
  <c r="E117" i="28"/>
  <c r="I117" i="28"/>
  <c r="E118" i="28"/>
  <c r="F117" i="28"/>
  <c r="G117" i="28"/>
  <c r="H117" i="28"/>
  <c r="F56" i="48"/>
  <c r="H73" i="46"/>
  <c r="D73" i="46"/>
  <c r="E73" i="46"/>
  <c r="E90" i="46" s="1"/>
  <c r="E127" i="46" s="1"/>
  <c r="F63" i="32"/>
  <c r="C64" i="32" s="1"/>
  <c r="G63" i="32"/>
  <c r="F46" i="3"/>
  <c r="C40" i="33"/>
  <c r="E40" i="33" s="1"/>
  <c r="D40" i="33"/>
  <c r="F40" i="33" s="1"/>
  <c r="Q23" i="55"/>
  <c r="T23" i="55"/>
  <c r="Y23" i="55"/>
  <c r="F41" i="49"/>
  <c r="G39" i="33"/>
  <c r="F55" i="2"/>
  <c r="E85" i="32"/>
  <c r="F43" i="32"/>
  <c r="C44" i="32" s="1"/>
  <c r="G43" i="32"/>
  <c r="C99" i="4"/>
  <c r="B31" i="35"/>
  <c r="C30" i="35"/>
  <c r="F30" i="35" s="1"/>
  <c r="G30" i="35" s="1"/>
  <c r="H38" i="48" l="1"/>
  <c r="I38" i="48" s="1"/>
  <c r="D39" i="48" s="1"/>
  <c r="G39" i="48" s="1"/>
  <c r="D29" i="31"/>
  <c r="G29" i="31"/>
  <c r="E29" i="31"/>
  <c r="AG24" i="55"/>
  <c r="H25" i="55"/>
  <c r="K25" i="55" s="1"/>
  <c r="P25" i="55" s="1"/>
  <c r="G67" i="28"/>
  <c r="C93" i="28"/>
  <c r="D120" i="28" s="1"/>
  <c r="D123" i="28" s="1"/>
  <c r="D124" i="28" s="1"/>
  <c r="G40" i="33"/>
  <c r="G39" i="3"/>
  <c r="E39" i="3" s="1"/>
  <c r="J39" i="3" s="1"/>
  <c r="I39" i="3"/>
  <c r="D40" i="3" s="1"/>
  <c r="D130" i="28"/>
  <c r="D131" i="28" s="1"/>
  <c r="F39" i="28"/>
  <c r="C135" i="28"/>
  <c r="E39" i="48"/>
  <c r="J38" i="48"/>
  <c r="F24" i="46"/>
  <c r="F72" i="28"/>
  <c r="H20" i="28"/>
  <c r="E72" i="28"/>
  <c r="F47" i="28"/>
  <c r="C92" i="28" s="1"/>
  <c r="H72" i="28"/>
  <c r="G72" i="28"/>
  <c r="I72" i="28"/>
  <c r="F73" i="46"/>
  <c r="G40" i="2"/>
  <c r="H40" i="2" s="1"/>
  <c r="I40" i="2" s="1"/>
  <c r="D41" i="2" s="1"/>
  <c r="G39" i="49"/>
  <c r="H39" i="49" s="1"/>
  <c r="I39" i="49" s="1"/>
  <c r="D40" i="49" s="1"/>
  <c r="D55" i="4"/>
  <c r="E55" i="4" s="1"/>
  <c r="F55" i="4" s="1"/>
  <c r="G85" i="32"/>
  <c r="D108" i="32"/>
  <c r="E108" i="32" s="1"/>
  <c r="F85" i="32"/>
  <c r="C86" i="32" s="1"/>
  <c r="F47" i="3"/>
  <c r="D30" i="35"/>
  <c r="E30" i="35" s="1"/>
  <c r="F118" i="28"/>
  <c r="T24" i="55"/>
  <c r="Y24" i="55"/>
  <c r="Q24" i="55"/>
  <c r="E40" i="49"/>
  <c r="J39" i="49"/>
  <c r="D81" i="29"/>
  <c r="E111" i="29"/>
  <c r="AA25" i="55"/>
  <c r="L29" i="55"/>
  <c r="N25" i="55"/>
  <c r="AC24" i="55"/>
  <c r="AF24" i="55"/>
  <c r="C100" i="4"/>
  <c r="F42" i="49"/>
  <c r="E28" i="32"/>
  <c r="D28" i="32" s="1"/>
  <c r="F28" i="32" s="1"/>
  <c r="H28" i="32"/>
  <c r="I81" i="29"/>
  <c r="G81" i="29"/>
  <c r="E118" i="29"/>
  <c r="J40" i="2"/>
  <c r="E41" i="2"/>
  <c r="F56" i="2"/>
  <c r="D64" i="32"/>
  <c r="E129" i="32"/>
  <c r="B32" i="35"/>
  <c r="C31" i="35"/>
  <c r="F31" i="35" s="1"/>
  <c r="G31" i="35" s="1"/>
  <c r="D44" i="32"/>
  <c r="D129" i="32"/>
  <c r="F57" i="48"/>
  <c r="E29" i="55"/>
  <c r="D29" i="55"/>
  <c r="AH24" i="55" l="1"/>
  <c r="AI24" i="55" s="1"/>
  <c r="F29" i="31"/>
  <c r="AG25" i="55"/>
  <c r="H29" i="55"/>
  <c r="K29" i="55" s="1"/>
  <c r="H30" i="55" s="1"/>
  <c r="K30" i="55" s="1"/>
  <c r="H31" i="55" s="1"/>
  <c r="K31" i="55" s="1"/>
  <c r="H32" i="55" s="1"/>
  <c r="K32" i="55" s="1"/>
  <c r="H33" i="55" s="1"/>
  <c r="K33" i="55" s="1"/>
  <c r="H34" i="55" s="1"/>
  <c r="K34" i="55" s="1"/>
  <c r="H35" i="55" s="1"/>
  <c r="K35" i="55" s="1"/>
  <c r="H36" i="55" s="1"/>
  <c r="K36" i="55" s="1"/>
  <c r="H37" i="55" s="1"/>
  <c r="K37" i="55" s="1"/>
  <c r="H38" i="55" s="1"/>
  <c r="K38" i="55" s="1"/>
  <c r="G110" i="28"/>
  <c r="G111" i="28" s="1"/>
  <c r="G146" i="28" s="1"/>
  <c r="H39" i="48"/>
  <c r="I39" i="48" s="1"/>
  <c r="D40" i="48" s="1"/>
  <c r="G40" i="48" s="1"/>
  <c r="E40" i="48"/>
  <c r="J39" i="48"/>
  <c r="I40" i="3"/>
  <c r="D41" i="3" s="1"/>
  <c r="G40" i="3"/>
  <c r="E40" i="3" s="1"/>
  <c r="J40" i="3" s="1"/>
  <c r="D73" i="28"/>
  <c r="I73" i="28"/>
  <c r="D132" i="28" s="1"/>
  <c r="E133" i="28" s="1"/>
  <c r="F73" i="28"/>
  <c r="H73" i="28"/>
  <c r="I74" i="28" s="1"/>
  <c r="E110" i="28"/>
  <c r="E111" i="28" s="1"/>
  <c r="E146" i="28" s="1"/>
  <c r="G73" i="28"/>
  <c r="E73" i="28"/>
  <c r="E74" i="28" s="1"/>
  <c r="E115" i="28" s="1"/>
  <c r="H110" i="28"/>
  <c r="H111" i="28" s="1"/>
  <c r="H146" i="28" s="1"/>
  <c r="F110" i="28"/>
  <c r="F111" i="28" s="1"/>
  <c r="F146" i="28" s="1"/>
  <c r="I110" i="28"/>
  <c r="I111" i="28" s="1"/>
  <c r="E121" i="28"/>
  <c r="F121" i="28"/>
  <c r="H121" i="28"/>
  <c r="I121" i="28"/>
  <c r="G121" i="28"/>
  <c r="C95" i="28"/>
  <c r="C97" i="28" s="1"/>
  <c r="C111" i="28" s="1"/>
  <c r="D90" i="28"/>
  <c r="D95" i="28" s="1"/>
  <c r="D97" i="28" s="1"/>
  <c r="D111" i="28" s="1"/>
  <c r="F41" i="46"/>
  <c r="G24" i="46"/>
  <c r="C25" i="46" s="1"/>
  <c r="F90" i="46"/>
  <c r="F127" i="46" s="1"/>
  <c r="G73" i="46"/>
  <c r="C74" i="46" s="1"/>
  <c r="G41" i="2"/>
  <c r="D56" i="4"/>
  <c r="E56" i="4" s="1"/>
  <c r="F56" i="4"/>
  <c r="F58" i="48"/>
  <c r="AF25" i="55"/>
  <c r="AH25" i="55" s="1"/>
  <c r="AI25" i="55" s="1"/>
  <c r="AC25" i="55"/>
  <c r="G40" i="49"/>
  <c r="H40" i="49" s="1"/>
  <c r="I40" i="49" s="1"/>
  <c r="D41" i="49" s="1"/>
  <c r="C101" i="4"/>
  <c r="E112" i="29"/>
  <c r="E119" i="29"/>
  <c r="E124" i="29" s="1"/>
  <c r="D86" i="32"/>
  <c r="H129" i="32"/>
  <c r="F129" i="32"/>
  <c r="G129" i="32" s="1"/>
  <c r="N29" i="55"/>
  <c r="B30" i="55"/>
  <c r="E41" i="49"/>
  <c r="J40" i="49"/>
  <c r="D31" i="35"/>
  <c r="E31" i="35" s="1"/>
  <c r="F57" i="2"/>
  <c r="F43" i="49"/>
  <c r="T25" i="55"/>
  <c r="Y25" i="55"/>
  <c r="Y26" i="55" s="1"/>
  <c r="Q25" i="55"/>
  <c r="P26" i="55"/>
  <c r="F48" i="3"/>
  <c r="H41" i="2"/>
  <c r="I41" i="2" s="1"/>
  <c r="D42" i="2" s="1"/>
  <c r="J41" i="2"/>
  <c r="E42" i="2"/>
  <c r="G28" i="32"/>
  <c r="C32" i="35"/>
  <c r="F32" i="35" s="1"/>
  <c r="G32" i="35" s="1"/>
  <c r="B33" i="35"/>
  <c r="C114" i="32"/>
  <c r="H81" i="29"/>
  <c r="G118" i="28"/>
  <c r="H29" i="31" l="1"/>
  <c r="C29" i="31"/>
  <c r="G74" i="28"/>
  <c r="G115" i="28" s="1"/>
  <c r="E75" i="28"/>
  <c r="I115" i="28"/>
  <c r="I75" i="28"/>
  <c r="E25" i="46"/>
  <c r="E42" i="46" s="1"/>
  <c r="H25" i="46"/>
  <c r="D25" i="46"/>
  <c r="H130" i="28"/>
  <c r="I146" i="28"/>
  <c r="E123" i="28"/>
  <c r="E124" i="28" s="1"/>
  <c r="E126" i="28" s="1"/>
  <c r="E147" i="28" s="1"/>
  <c r="I41" i="3"/>
  <c r="D42" i="3" s="1"/>
  <c r="G41" i="3"/>
  <c r="E41" i="3" s="1"/>
  <c r="J41" i="3" s="1"/>
  <c r="D32" i="35"/>
  <c r="E32" i="35" s="1"/>
  <c r="F74" i="28"/>
  <c r="H74" i="28"/>
  <c r="C146" i="28"/>
  <c r="C126" i="28"/>
  <c r="C147" i="28" s="1"/>
  <c r="D126" i="28"/>
  <c r="D147" i="28" s="1"/>
  <c r="D146" i="28"/>
  <c r="E41" i="48"/>
  <c r="J40" i="48"/>
  <c r="H40" i="48"/>
  <c r="I40" i="48" s="1"/>
  <c r="D41" i="48" s="1"/>
  <c r="G41" i="48" s="1"/>
  <c r="D74" i="46"/>
  <c r="E74" i="46"/>
  <c r="E91" i="46" s="1"/>
  <c r="E128" i="46" s="1"/>
  <c r="H74" i="46"/>
  <c r="G41" i="49"/>
  <c r="H41" i="49" s="1"/>
  <c r="I41" i="49" s="1"/>
  <c r="D42" i="49" s="1"/>
  <c r="G42" i="2"/>
  <c r="H42" i="2" s="1"/>
  <c r="I42" i="2" s="1"/>
  <c r="D43" i="2" s="1"/>
  <c r="E43" i="2"/>
  <c r="J42" i="2"/>
  <c r="E44" i="32"/>
  <c r="E64" i="32" s="1"/>
  <c r="D57" i="4"/>
  <c r="E57" i="4" s="1"/>
  <c r="F57" i="4" s="1"/>
  <c r="F49" i="3"/>
  <c r="G123" i="28"/>
  <c r="G124" i="28" s="1"/>
  <c r="G126" i="28" s="1"/>
  <c r="G147" i="28" s="1"/>
  <c r="H118" i="28"/>
  <c r="F82" i="29"/>
  <c r="C82" i="29"/>
  <c r="E82" i="29"/>
  <c r="F58" i="2"/>
  <c r="E42" i="49"/>
  <c r="J41" i="49"/>
  <c r="E126" i="29"/>
  <c r="L30" i="55"/>
  <c r="O29" i="55"/>
  <c r="M29" i="55"/>
  <c r="F44" i="49"/>
  <c r="C33" i="35"/>
  <c r="F33" i="35" s="1"/>
  <c r="G33" i="35" s="1"/>
  <c r="D33" i="35"/>
  <c r="E33" i="35" s="1"/>
  <c r="R11" i="55"/>
  <c r="R8" i="55"/>
  <c r="R24" i="55"/>
  <c r="R17" i="55"/>
  <c r="R10" i="55"/>
  <c r="R15" i="55"/>
  <c r="R12" i="55"/>
  <c r="Q26" i="55"/>
  <c r="R21" i="55"/>
  <c r="R14" i="55"/>
  <c r="R7" i="55"/>
  <c r="R20" i="55"/>
  <c r="R6" i="55"/>
  <c r="R23" i="55"/>
  <c r="R13" i="55"/>
  <c r="R22" i="55"/>
  <c r="R19" i="55"/>
  <c r="R18" i="55"/>
  <c r="R16" i="55"/>
  <c r="R9" i="55"/>
  <c r="R25" i="55"/>
  <c r="D30" i="55"/>
  <c r="E30" i="55"/>
  <c r="C102" i="4"/>
  <c r="F59" i="48"/>
  <c r="E30" i="31" l="1"/>
  <c r="G30" i="31"/>
  <c r="D30" i="31"/>
  <c r="G75" i="28"/>
  <c r="E42" i="48"/>
  <c r="J41" i="48"/>
  <c r="H41" i="48"/>
  <c r="I41" i="48" s="1"/>
  <c r="D42" i="48" s="1"/>
  <c r="C149" i="28"/>
  <c r="H115" i="28"/>
  <c r="H75" i="28"/>
  <c r="F115" i="28"/>
  <c r="F123" i="28" s="1"/>
  <c r="F124" i="28" s="1"/>
  <c r="F126" i="28" s="1"/>
  <c r="F147" i="28" s="1"/>
  <c r="F75" i="28"/>
  <c r="I42" i="3"/>
  <c r="D43" i="3" s="1"/>
  <c r="G42" i="3"/>
  <c r="E42" i="3" s="1"/>
  <c r="J42" i="3" s="1"/>
  <c r="F25" i="46"/>
  <c r="F74" i="46"/>
  <c r="F91" i="46" s="1"/>
  <c r="F128" i="46" s="1"/>
  <c r="G43" i="2"/>
  <c r="H43" i="2" s="1"/>
  <c r="I43" i="2" s="1"/>
  <c r="D44" i="2" s="1"/>
  <c r="G42" i="49"/>
  <c r="H42" i="49" s="1"/>
  <c r="I42" i="49" s="1"/>
  <c r="D43" i="49" s="1"/>
  <c r="D58" i="4"/>
  <c r="E58" i="4" s="1"/>
  <c r="F58" i="4" s="1"/>
  <c r="G82" i="29"/>
  <c r="I82" i="29"/>
  <c r="S29" i="55"/>
  <c r="T29" i="55"/>
  <c r="P29" i="55"/>
  <c r="E43" i="49"/>
  <c r="J42" i="49"/>
  <c r="N30" i="55"/>
  <c r="B31" i="55"/>
  <c r="H123" i="28"/>
  <c r="H124" i="28" s="1"/>
  <c r="H126" i="28" s="1"/>
  <c r="H147" i="28" s="1"/>
  <c r="F64" i="32"/>
  <c r="C65" i="32" s="1"/>
  <c r="G64" i="32"/>
  <c r="F45" i="49"/>
  <c r="D82" i="29"/>
  <c r="H82" i="29" s="1"/>
  <c r="I118" i="28"/>
  <c r="I123" i="28" s="1"/>
  <c r="I124" i="28" s="1"/>
  <c r="I126" i="28" s="1"/>
  <c r="M65" i="32"/>
  <c r="N65" i="32" s="1"/>
  <c r="K66" i="32" s="1"/>
  <c r="C103" i="4"/>
  <c r="F60" i="48"/>
  <c r="F59" i="2"/>
  <c r="F50" i="3"/>
  <c r="F44" i="32"/>
  <c r="C45" i="32" s="1"/>
  <c r="G44" i="32"/>
  <c r="J43" i="2"/>
  <c r="E44" i="2"/>
  <c r="F30" i="31" l="1"/>
  <c r="E86" i="32"/>
  <c r="F86" i="32" s="1"/>
  <c r="C87" i="32" s="1"/>
  <c r="G25" i="46"/>
  <c r="C26" i="46" s="1"/>
  <c r="E26" i="46" s="1"/>
  <c r="E43" i="46" s="1"/>
  <c r="E49" i="46" s="1"/>
  <c r="F42" i="46"/>
  <c r="G42" i="48"/>
  <c r="G43" i="3"/>
  <c r="E43" i="3" s="1"/>
  <c r="J43" i="3" s="1"/>
  <c r="I43" i="3"/>
  <c r="D44" i="3" s="1"/>
  <c r="J42" i="48"/>
  <c r="E43" i="48"/>
  <c r="H42" i="48"/>
  <c r="I42" i="48" s="1"/>
  <c r="D43" i="48" s="1"/>
  <c r="G43" i="48" s="1"/>
  <c r="C136" i="28"/>
  <c r="D137" i="28" s="1"/>
  <c r="D139" i="28" s="1"/>
  <c r="E140" i="28" s="1"/>
  <c r="E141" i="28" s="1"/>
  <c r="I147" i="28" s="1"/>
  <c r="C150" i="28" s="1"/>
  <c r="G74" i="46"/>
  <c r="C75" i="46" s="1"/>
  <c r="E75" i="46" s="1"/>
  <c r="E92" i="46" s="1"/>
  <c r="E129" i="46" s="1"/>
  <c r="G43" i="49"/>
  <c r="D130" i="32"/>
  <c r="D45" i="32"/>
  <c r="L31" i="55"/>
  <c r="O30" i="55"/>
  <c r="M30" i="55"/>
  <c r="D59" i="4"/>
  <c r="E59" i="4" s="1"/>
  <c r="F59" i="4" s="1"/>
  <c r="G44" i="2"/>
  <c r="H44" i="2" s="1"/>
  <c r="I44" i="2" s="1"/>
  <c r="D45" i="2" s="1"/>
  <c r="C104" i="4"/>
  <c r="U29" i="55"/>
  <c r="J44" i="2"/>
  <c r="E45" i="2"/>
  <c r="D65" i="32"/>
  <c r="E130" i="32"/>
  <c r="J43" i="49"/>
  <c r="E44" i="49"/>
  <c r="H43" i="49"/>
  <c r="I43" i="49" s="1"/>
  <c r="D44" i="49" s="1"/>
  <c r="F83" i="29"/>
  <c r="C83" i="29"/>
  <c r="E83" i="29"/>
  <c r="F60" i="2"/>
  <c r="L66" i="32"/>
  <c r="F51" i="3"/>
  <c r="F61" i="48"/>
  <c r="F46" i="49"/>
  <c r="E31" i="55"/>
  <c r="D31" i="55"/>
  <c r="H30" i="31" l="1"/>
  <c r="C30" i="31"/>
  <c r="D109" i="32"/>
  <c r="E109" i="32" s="1"/>
  <c r="G86" i="32"/>
  <c r="E46" i="46"/>
  <c r="E52" i="46"/>
  <c r="D26" i="46"/>
  <c r="F26" i="46" s="1"/>
  <c r="G26" i="46" s="1"/>
  <c r="G44" i="3"/>
  <c r="E44" i="3" s="1"/>
  <c r="J44" i="3" s="1"/>
  <c r="I44" i="3"/>
  <c r="D45" i="3" s="1"/>
  <c r="J43" i="48"/>
  <c r="H43" i="48"/>
  <c r="I43" i="48" s="1"/>
  <c r="D44" i="48" s="1"/>
  <c r="E44" i="48"/>
  <c r="D75" i="46"/>
  <c r="H75" i="46"/>
  <c r="G44" i="49"/>
  <c r="H44" i="49" s="1"/>
  <c r="I44" i="49" s="1"/>
  <c r="D45" i="49" s="1"/>
  <c r="F43" i="46"/>
  <c r="D87" i="32"/>
  <c r="F130" i="32"/>
  <c r="G130" i="32" s="1"/>
  <c r="H130" i="32"/>
  <c r="J44" i="49"/>
  <c r="E45" i="49"/>
  <c r="C105" i="4"/>
  <c r="N31" i="55"/>
  <c r="B32" i="55"/>
  <c r="F52" i="3"/>
  <c r="F61" i="2"/>
  <c r="J45" i="2"/>
  <c r="E46" i="2"/>
  <c r="G45" i="2"/>
  <c r="H45" i="2" s="1"/>
  <c r="I45" i="2" s="1"/>
  <c r="D46" i="2" s="1"/>
  <c r="P30" i="55"/>
  <c r="T30" i="55"/>
  <c r="U30" i="55" s="1"/>
  <c r="S30" i="55"/>
  <c r="G83" i="29"/>
  <c r="I83" i="29"/>
  <c r="D60" i="4"/>
  <c r="E60" i="4" s="1"/>
  <c r="F60" i="4" s="1"/>
  <c r="F62" i="48"/>
  <c r="F47" i="49"/>
  <c r="D83" i="29"/>
  <c r="H83" i="29" s="1"/>
  <c r="G31" i="31" l="1"/>
  <c r="E31" i="31"/>
  <c r="F31" i="31" s="1"/>
  <c r="H31" i="31" s="1"/>
  <c r="E36" i="31"/>
  <c r="G36" i="31" s="1"/>
  <c r="H32" i="31"/>
  <c r="E35" i="31"/>
  <c r="G35" i="31" s="1"/>
  <c r="E37" i="31"/>
  <c r="G37" i="31" s="1"/>
  <c r="G44" i="48"/>
  <c r="H44" i="48" s="1"/>
  <c r="I44" i="48" s="1"/>
  <c r="D45" i="48" s="1"/>
  <c r="G45" i="48" s="1"/>
  <c r="G45" i="3"/>
  <c r="E45" i="3" s="1"/>
  <c r="J45" i="3" s="1"/>
  <c r="I45" i="3"/>
  <c r="D46" i="3" s="1"/>
  <c r="J44" i="48"/>
  <c r="E45" i="48"/>
  <c r="F75" i="46"/>
  <c r="F92" i="46" s="1"/>
  <c r="F129" i="46" s="1"/>
  <c r="G46" i="2"/>
  <c r="H46" i="2" s="1"/>
  <c r="I46" i="2" s="1"/>
  <c r="D47" i="2" s="1"/>
  <c r="G45" i="49"/>
  <c r="D61" i="4"/>
  <c r="E61" i="4" s="1"/>
  <c r="F61" i="4" s="1"/>
  <c r="L32" i="55"/>
  <c r="M31" i="55"/>
  <c r="O31" i="55"/>
  <c r="F48" i="49"/>
  <c r="J46" i="2"/>
  <c r="E47" i="2"/>
  <c r="E46" i="49"/>
  <c r="H45" i="49"/>
  <c r="I45" i="49" s="1"/>
  <c r="D46" i="49" s="1"/>
  <c r="J45" i="49"/>
  <c r="F53" i="3"/>
  <c r="F62" i="2"/>
  <c r="C84" i="29"/>
  <c r="F84" i="29"/>
  <c r="E84" i="29"/>
  <c r="F49" i="46"/>
  <c r="G49" i="46" s="1"/>
  <c r="F46" i="46"/>
  <c r="G46" i="46" s="1"/>
  <c r="F52" i="46"/>
  <c r="G52" i="46" s="1"/>
  <c r="F63" i="48"/>
  <c r="D32" i="55"/>
  <c r="E32" i="55"/>
  <c r="C106" i="4"/>
  <c r="E45" i="32"/>
  <c r="E65" i="32" s="1"/>
  <c r="G46" i="3" l="1"/>
  <c r="E46" i="3" s="1"/>
  <c r="J46" i="3" s="1"/>
  <c r="I46" i="3"/>
  <c r="D47" i="3" s="1"/>
  <c r="E46" i="48"/>
  <c r="J46" i="48" s="1"/>
  <c r="J45" i="48"/>
  <c r="H45" i="48"/>
  <c r="I45" i="48" s="1"/>
  <c r="D46" i="48" s="1"/>
  <c r="G46" i="48" s="1"/>
  <c r="H46" i="48" s="1"/>
  <c r="I46" i="48" s="1"/>
  <c r="D47" i="48" s="1"/>
  <c r="G75" i="46"/>
  <c r="C76" i="46" s="1"/>
  <c r="E76" i="46" s="1"/>
  <c r="G46" i="49"/>
  <c r="H46" i="49" s="1"/>
  <c r="I46" i="49" s="1"/>
  <c r="D47" i="49" s="1"/>
  <c r="G47" i="2"/>
  <c r="H47" i="2" s="1"/>
  <c r="I47" i="2" s="1"/>
  <c r="D48" i="2" s="1"/>
  <c r="F65" i="32"/>
  <c r="C66" i="32" s="1"/>
  <c r="G65" i="32"/>
  <c r="F49" i="49"/>
  <c r="B33" i="55"/>
  <c r="N32" i="55"/>
  <c r="D84" i="29"/>
  <c r="H84" i="29" s="1"/>
  <c r="F111" i="29"/>
  <c r="F63" i="2"/>
  <c r="J46" i="49"/>
  <c r="T31" i="55"/>
  <c r="S31" i="55"/>
  <c r="P31" i="55"/>
  <c r="D62" i="4"/>
  <c r="E62" i="4" s="1"/>
  <c r="F62" i="4" s="1"/>
  <c r="M66" i="32"/>
  <c r="N66" i="32" s="1"/>
  <c r="K67" i="32" s="1"/>
  <c r="F45" i="32"/>
  <c r="C46" i="32" s="1"/>
  <c r="G45" i="32"/>
  <c r="C107" i="4"/>
  <c r="F64" i="48"/>
  <c r="G84" i="29"/>
  <c r="I84" i="29"/>
  <c r="F118" i="29"/>
  <c r="F54" i="3"/>
  <c r="E48" i="2"/>
  <c r="J47" i="2"/>
  <c r="I47" i="3" l="1"/>
  <c r="D48" i="3" s="1"/>
  <c r="G47" i="3"/>
  <c r="E47" i="3" s="1"/>
  <c r="J47" i="3" s="1"/>
  <c r="G47" i="48"/>
  <c r="E47" i="48"/>
  <c r="D76" i="46"/>
  <c r="F76" i="46" s="1"/>
  <c r="E96" i="46"/>
  <c r="E93" i="46"/>
  <c r="E130" i="46" s="1"/>
  <c r="E132" i="46" s="1"/>
  <c r="E135" i="46" s="1"/>
  <c r="D63" i="4"/>
  <c r="E63" i="4" s="1"/>
  <c r="F63" i="4" s="1"/>
  <c r="P10" i="49"/>
  <c r="G47" i="49"/>
  <c r="E47" i="49"/>
  <c r="G48" i="2"/>
  <c r="H48" i="2" s="1"/>
  <c r="I48" i="2" s="1"/>
  <c r="D49" i="2" s="1"/>
  <c r="E49" i="2"/>
  <c r="J48" i="2"/>
  <c r="F65" i="48"/>
  <c r="F119" i="29"/>
  <c r="F112" i="29"/>
  <c r="F50" i="49"/>
  <c r="D66" i="32"/>
  <c r="E131" i="32"/>
  <c r="E87" i="32"/>
  <c r="F85" i="29"/>
  <c r="C85" i="29"/>
  <c r="E85" i="29"/>
  <c r="M32" i="55"/>
  <c r="O32" i="55"/>
  <c r="L33" i="55"/>
  <c r="U31" i="55"/>
  <c r="F64" i="2"/>
  <c r="D46" i="32"/>
  <c r="D131" i="32"/>
  <c r="F55" i="3"/>
  <c r="C108" i="4"/>
  <c r="L67" i="32"/>
  <c r="D33" i="55"/>
  <c r="E33" i="55"/>
  <c r="H47" i="48" l="1"/>
  <c r="I47" i="48" s="1"/>
  <c r="D48" i="48" s="1"/>
  <c r="G48" i="48" s="1"/>
  <c r="E48" i="48"/>
  <c r="J47" i="48"/>
  <c r="G48" i="3"/>
  <c r="E48" i="3" s="1"/>
  <c r="J48" i="3" s="1"/>
  <c r="I48" i="3"/>
  <c r="D49" i="3" s="1"/>
  <c r="E103" i="46"/>
  <c r="E107" i="46" s="1"/>
  <c r="F93" i="46"/>
  <c r="F96" i="46"/>
  <c r="G96" i="46" s="1"/>
  <c r="G76" i="46"/>
  <c r="G49" i="2"/>
  <c r="H49" i="2" s="1"/>
  <c r="I49" i="2" s="1"/>
  <c r="D50" i="2" s="1"/>
  <c r="D64" i="4"/>
  <c r="E64" i="4" s="1"/>
  <c r="F64" i="4" s="1"/>
  <c r="G85" i="29"/>
  <c r="I85" i="29"/>
  <c r="F124" i="29"/>
  <c r="F126" i="29" s="1"/>
  <c r="T32" i="55"/>
  <c r="S32" i="55"/>
  <c r="P32" i="55"/>
  <c r="F66" i="48"/>
  <c r="H47" i="49"/>
  <c r="I47" i="49" s="1"/>
  <c r="D48" i="49" s="1"/>
  <c r="E48" i="49"/>
  <c r="R10" i="49"/>
  <c r="J47" i="49"/>
  <c r="N33" i="55"/>
  <c r="B34" i="55"/>
  <c r="C109" i="4"/>
  <c r="F65" i="2"/>
  <c r="D85" i="29"/>
  <c r="H85" i="29" s="1"/>
  <c r="J49" i="2"/>
  <c r="E50" i="2"/>
  <c r="F56" i="3"/>
  <c r="U32" i="55"/>
  <c r="D110" i="32"/>
  <c r="E110" i="32" s="1"/>
  <c r="G87" i="32"/>
  <c r="F87" i="32"/>
  <c r="C88" i="32" s="1"/>
  <c r="F51" i="49"/>
  <c r="E49" i="48" l="1"/>
  <c r="J48" i="48"/>
  <c r="I49" i="3"/>
  <c r="D50" i="3" s="1"/>
  <c r="G49" i="3"/>
  <c r="E49" i="3" s="1"/>
  <c r="J49" i="3" s="1"/>
  <c r="H48" i="48"/>
  <c r="I48" i="48" s="1"/>
  <c r="D49" i="48" s="1"/>
  <c r="G49" i="48" s="1"/>
  <c r="H49" i="48" s="1"/>
  <c r="I49" i="48" s="1"/>
  <c r="D50" i="48" s="1"/>
  <c r="G50" i="48" s="1"/>
  <c r="F130" i="46"/>
  <c r="F132" i="46" s="1"/>
  <c r="F135" i="46" s="1"/>
  <c r="F103" i="46"/>
  <c r="G50" i="2"/>
  <c r="H50" i="2" s="1"/>
  <c r="I50" i="2" s="1"/>
  <c r="D51" i="2" s="1"/>
  <c r="E34" i="55"/>
  <c r="D34" i="55"/>
  <c r="F52" i="49"/>
  <c r="M33" i="55"/>
  <c r="O33" i="55"/>
  <c r="L34" i="55"/>
  <c r="D65" i="4"/>
  <c r="E65" i="4" s="1"/>
  <c r="F65" i="4" s="1"/>
  <c r="F57" i="3"/>
  <c r="J48" i="49"/>
  <c r="E49" i="49"/>
  <c r="J50" i="2"/>
  <c r="E51" i="2"/>
  <c r="F66" i="2"/>
  <c r="G48" i="49"/>
  <c r="H48" i="49" s="1"/>
  <c r="I48" i="49" s="1"/>
  <c r="D49" i="49" s="1"/>
  <c r="F131" i="32"/>
  <c r="G131" i="32" s="1"/>
  <c r="H131" i="32"/>
  <c r="D88" i="32"/>
  <c r="F86" i="29"/>
  <c r="C86" i="29"/>
  <c r="E86" i="29"/>
  <c r="C110" i="4"/>
  <c r="F67" i="48"/>
  <c r="G50" i="3" l="1"/>
  <c r="E50" i="3" s="1"/>
  <c r="J50" i="3" s="1"/>
  <c r="I50" i="3"/>
  <c r="D51" i="3" s="1"/>
  <c r="J49" i="48"/>
  <c r="E50" i="48"/>
  <c r="F107" i="46"/>
  <c r="G103" i="46"/>
  <c r="G107" i="46" s="1"/>
  <c r="G49" i="49"/>
  <c r="H49" i="49" s="1"/>
  <c r="I49" i="49" s="1"/>
  <c r="D50" i="49" s="1"/>
  <c r="G51" i="2"/>
  <c r="H51" i="2" s="1"/>
  <c r="I51" i="2" s="1"/>
  <c r="D52" i="2" s="1"/>
  <c r="D66" i="4"/>
  <c r="E66" i="4" s="1"/>
  <c r="F66" i="4" s="1"/>
  <c r="F68" i="48"/>
  <c r="F67" i="2"/>
  <c r="F58" i="3"/>
  <c r="D86" i="29"/>
  <c r="H86" i="29" s="1"/>
  <c r="N34" i="55"/>
  <c r="B35" i="55"/>
  <c r="G86" i="29"/>
  <c r="I86" i="29"/>
  <c r="E46" i="32"/>
  <c r="E66" i="32" s="1"/>
  <c r="E50" i="49"/>
  <c r="J49" i="49"/>
  <c r="F53" i="49"/>
  <c r="C111" i="4"/>
  <c r="E52" i="2"/>
  <c r="J51" i="2"/>
  <c r="P33" i="55"/>
  <c r="T33" i="55"/>
  <c r="U33" i="55" s="1"/>
  <c r="S33" i="55"/>
  <c r="H50" i="48" l="1"/>
  <c r="I50" i="48" s="1"/>
  <c r="D51" i="48" s="1"/>
  <c r="G51" i="48" s="1"/>
  <c r="E51" i="48"/>
  <c r="J50" i="48"/>
  <c r="G51" i="3"/>
  <c r="E51" i="3" s="1"/>
  <c r="J51" i="3" s="1"/>
  <c r="I51" i="3"/>
  <c r="D52" i="3" s="1"/>
  <c r="D67" i="4"/>
  <c r="E67" i="4" s="1"/>
  <c r="F67" i="4" s="1"/>
  <c r="G52" i="2"/>
  <c r="H52" i="2" s="1"/>
  <c r="I52" i="2" s="1"/>
  <c r="D53" i="2" s="1"/>
  <c r="G50" i="49"/>
  <c r="H50" i="49" s="1"/>
  <c r="I50" i="49" s="1"/>
  <c r="D51" i="49" s="1"/>
  <c r="F66" i="32"/>
  <c r="C67" i="32" s="1"/>
  <c r="G66" i="32"/>
  <c r="F68" i="2"/>
  <c r="C112" i="4"/>
  <c r="E53" i="2"/>
  <c r="J52" i="2"/>
  <c r="F46" i="32"/>
  <c r="C47" i="32" s="1"/>
  <c r="G46" i="32"/>
  <c r="C87" i="29"/>
  <c r="F87" i="29"/>
  <c r="E87" i="29"/>
  <c r="F54" i="49"/>
  <c r="M67" i="32"/>
  <c r="N67" i="32" s="1"/>
  <c r="K68" i="32" s="1"/>
  <c r="D35" i="55"/>
  <c r="E35" i="55"/>
  <c r="E51" i="49"/>
  <c r="J50" i="49"/>
  <c r="M34" i="55"/>
  <c r="O34" i="55"/>
  <c r="L35" i="55"/>
  <c r="F59" i="3"/>
  <c r="F69" i="48"/>
  <c r="J51" i="48" l="1"/>
  <c r="H51" i="48"/>
  <c r="I51" i="48" s="1"/>
  <c r="D52" i="48" s="1"/>
  <c r="G52" i="48" s="1"/>
  <c r="E52" i="48"/>
  <c r="G52" i="3"/>
  <c r="E52" i="3" s="1"/>
  <c r="J52" i="3" s="1"/>
  <c r="I52" i="3"/>
  <c r="D53" i="3" s="1"/>
  <c r="G53" i="2"/>
  <c r="H53" i="2" s="1"/>
  <c r="I53" i="2" s="1"/>
  <c r="D54" i="2" s="1"/>
  <c r="G51" i="49"/>
  <c r="H51" i="49" s="1"/>
  <c r="I51" i="49" s="1"/>
  <c r="D52" i="49" s="1"/>
  <c r="G87" i="29"/>
  <c r="I87" i="29"/>
  <c r="G118" i="29"/>
  <c r="F69" i="2"/>
  <c r="D68" i="4"/>
  <c r="E68" i="4" s="1"/>
  <c r="F68" i="4" s="1"/>
  <c r="F60" i="3"/>
  <c r="B36" i="55"/>
  <c r="N35" i="55"/>
  <c r="L68" i="32"/>
  <c r="D47" i="32"/>
  <c r="D132" i="32"/>
  <c r="E54" i="2"/>
  <c r="J53" i="2"/>
  <c r="J51" i="49"/>
  <c r="E52" i="49"/>
  <c r="E88" i="32"/>
  <c r="F70" i="48"/>
  <c r="P34" i="55"/>
  <c r="T34" i="55"/>
  <c r="U34" i="55" s="1"/>
  <c r="S34" i="55"/>
  <c r="F55" i="49"/>
  <c r="D87" i="29"/>
  <c r="H87" i="29" s="1"/>
  <c r="G111" i="29"/>
  <c r="C113" i="4"/>
  <c r="E132" i="32"/>
  <c r="D67" i="32"/>
  <c r="J52" i="48" l="1"/>
  <c r="E53" i="48"/>
  <c r="H52" i="48"/>
  <c r="I52" i="48" s="1"/>
  <c r="D53" i="48" s="1"/>
  <c r="G53" i="48" s="1"/>
  <c r="H53" i="48" s="1"/>
  <c r="I53" i="48" s="1"/>
  <c r="D54" i="48" s="1"/>
  <c r="G54" i="48" s="1"/>
  <c r="G53" i="3"/>
  <c r="E53" i="3" s="1"/>
  <c r="J53" i="3" s="1"/>
  <c r="I53" i="3"/>
  <c r="D54" i="3" s="1"/>
  <c r="G52" i="49"/>
  <c r="H52" i="49" s="1"/>
  <c r="I52" i="49" s="1"/>
  <c r="D53" i="49" s="1"/>
  <c r="G54" i="2"/>
  <c r="H54" i="2" s="1"/>
  <c r="I54" i="2" s="1"/>
  <c r="D55" i="2" s="1"/>
  <c r="F56" i="49"/>
  <c r="J54" i="2"/>
  <c r="E55" i="2"/>
  <c r="F61" i="3"/>
  <c r="F70" i="2"/>
  <c r="C114" i="4"/>
  <c r="F71" i="48"/>
  <c r="D69" i="4"/>
  <c r="E69" i="4" s="1"/>
  <c r="F69" i="4" s="1"/>
  <c r="G119" i="29"/>
  <c r="G124" i="29" s="1"/>
  <c r="G112" i="29"/>
  <c r="C88" i="29"/>
  <c r="F88" i="29"/>
  <c r="E88" i="29"/>
  <c r="G88" i="32"/>
  <c r="D111" i="32"/>
  <c r="E111" i="32" s="1"/>
  <c r="F88" i="32"/>
  <c r="C89" i="32" s="1"/>
  <c r="M35" i="55"/>
  <c r="O35" i="55"/>
  <c r="L36" i="55"/>
  <c r="E53" i="49"/>
  <c r="J52" i="49"/>
  <c r="D36" i="55"/>
  <c r="E36" i="55"/>
  <c r="J53" i="48" l="1"/>
  <c r="E54" i="48"/>
  <c r="H54" i="48" s="1"/>
  <c r="I54" i="48" s="1"/>
  <c r="D55" i="48" s="1"/>
  <c r="G55" i="48" s="1"/>
  <c r="I54" i="3"/>
  <c r="D55" i="3" s="1"/>
  <c r="G54" i="3"/>
  <c r="E54" i="3" s="1"/>
  <c r="J54" i="3" s="1"/>
  <c r="G53" i="49"/>
  <c r="H53" i="49" s="1"/>
  <c r="I53" i="49" s="1"/>
  <c r="D54" i="49" s="1"/>
  <c r="D70" i="4"/>
  <c r="E70" i="4" s="1"/>
  <c r="F70" i="4" s="1"/>
  <c r="G55" i="2"/>
  <c r="H55" i="2" s="1"/>
  <c r="I55" i="2" s="1"/>
  <c r="D56" i="2" s="1"/>
  <c r="E54" i="49"/>
  <c r="J53" i="49"/>
  <c r="J55" i="2"/>
  <c r="E56" i="2"/>
  <c r="B37" i="55"/>
  <c r="N36" i="55"/>
  <c r="F71" i="2"/>
  <c r="G88" i="29"/>
  <c r="I88" i="29"/>
  <c r="G126" i="29"/>
  <c r="F57" i="49"/>
  <c r="D89" i="32"/>
  <c r="H132" i="32"/>
  <c r="F132" i="32"/>
  <c r="G132" i="32" s="1"/>
  <c r="F72" i="48"/>
  <c r="D88" i="29"/>
  <c r="H88" i="29" s="1"/>
  <c r="T35" i="55"/>
  <c r="U35" i="55" s="1"/>
  <c r="S35" i="55"/>
  <c r="P35" i="55"/>
  <c r="C115" i="4"/>
  <c r="F62" i="3"/>
  <c r="J54" i="48" l="1"/>
  <c r="E55" i="48"/>
  <c r="I55" i="3"/>
  <c r="D56" i="3" s="1"/>
  <c r="G55" i="3"/>
  <c r="E55" i="3" s="1"/>
  <c r="J55" i="3" s="1"/>
  <c r="G56" i="2"/>
  <c r="H56" i="2" s="1"/>
  <c r="I56" i="2" s="1"/>
  <c r="D57" i="2" s="1"/>
  <c r="G54" i="49"/>
  <c r="H54" i="49" s="1"/>
  <c r="I54" i="49" s="1"/>
  <c r="D55" i="49" s="1"/>
  <c r="F89" i="29"/>
  <c r="C89" i="29"/>
  <c r="E89" i="29"/>
  <c r="L37" i="55"/>
  <c r="M36" i="55"/>
  <c r="O36" i="55"/>
  <c r="F63" i="3"/>
  <c r="F73" i="48"/>
  <c r="F72" i="2"/>
  <c r="J54" i="49"/>
  <c r="E55" i="49"/>
  <c r="F58" i="49"/>
  <c r="D71" i="4"/>
  <c r="E71" i="4" s="1"/>
  <c r="F71" i="4" s="1"/>
  <c r="E37" i="55"/>
  <c r="D37" i="55"/>
  <c r="C116" i="4"/>
  <c r="E47" i="32"/>
  <c r="E67" i="32" s="1"/>
  <c r="E57" i="2"/>
  <c r="J56" i="2"/>
  <c r="G56" i="3" l="1"/>
  <c r="E56" i="3" s="1"/>
  <c r="J56" i="3" s="1"/>
  <c r="I56" i="3"/>
  <c r="D57" i="3" s="1"/>
  <c r="H55" i="48"/>
  <c r="I55" i="48" s="1"/>
  <c r="D56" i="48" s="1"/>
  <c r="G56" i="48" s="1"/>
  <c r="E56" i="48"/>
  <c r="J55" i="48"/>
  <c r="G55" i="49"/>
  <c r="H55" i="49" s="1"/>
  <c r="I55" i="49" s="1"/>
  <c r="D56" i="49" s="1"/>
  <c r="G57" i="2"/>
  <c r="H57" i="2" s="1"/>
  <c r="I57" i="2" s="1"/>
  <c r="D58" i="2" s="1"/>
  <c r="F67" i="32"/>
  <c r="C68" i="32" s="1"/>
  <c r="G67" i="32"/>
  <c r="J55" i="49"/>
  <c r="E56" i="49"/>
  <c r="F73" i="2"/>
  <c r="F64" i="3"/>
  <c r="J57" i="2"/>
  <c r="E58" i="2"/>
  <c r="T36" i="55"/>
  <c r="U36" i="55" s="1"/>
  <c r="S36" i="55"/>
  <c r="P36" i="55"/>
  <c r="D89" i="29"/>
  <c r="H89" i="29" s="1"/>
  <c r="C117" i="4"/>
  <c r="F59" i="49"/>
  <c r="D72" i="4"/>
  <c r="E72" i="4" s="1"/>
  <c r="F72" i="4" s="1"/>
  <c r="I89" i="29"/>
  <c r="G89" i="29"/>
  <c r="M68" i="32"/>
  <c r="N68" i="32" s="1"/>
  <c r="K69" i="32" s="1"/>
  <c r="F74" i="48"/>
  <c r="F47" i="32"/>
  <c r="C48" i="32" s="1"/>
  <c r="G47" i="32"/>
  <c r="B38" i="55"/>
  <c r="N37" i="55"/>
  <c r="J56" i="48" l="1"/>
  <c r="H56" i="48"/>
  <c r="I56" i="48" s="1"/>
  <c r="D57" i="48" s="1"/>
  <c r="G57" i="48" s="1"/>
  <c r="E57" i="48"/>
  <c r="G57" i="3"/>
  <c r="E57" i="3" s="1"/>
  <c r="J57" i="3" s="1"/>
  <c r="I57" i="3"/>
  <c r="D58" i="3" s="1"/>
  <c r="G58" i="2"/>
  <c r="D73" i="4"/>
  <c r="E73" i="4" s="1"/>
  <c r="F73" i="4" s="1"/>
  <c r="G56" i="49"/>
  <c r="H56" i="49" s="1"/>
  <c r="I56" i="49" s="1"/>
  <c r="D57" i="49" s="1"/>
  <c r="L69" i="32"/>
  <c r="F74" i="2"/>
  <c r="D133" i="32"/>
  <c r="D48" i="32"/>
  <c r="O37" i="55"/>
  <c r="L38" i="55"/>
  <c r="M37" i="55"/>
  <c r="E89" i="32"/>
  <c r="F60" i="49"/>
  <c r="J56" i="49"/>
  <c r="E57" i="49"/>
  <c r="E133" i="32"/>
  <c r="D68" i="32"/>
  <c r="E38" i="55"/>
  <c r="D38" i="55"/>
  <c r="N38" i="55" s="1"/>
  <c r="F75" i="48"/>
  <c r="F90" i="29"/>
  <c r="C90" i="29"/>
  <c r="E90" i="29"/>
  <c r="F65" i="3"/>
  <c r="C118" i="4"/>
  <c r="H58" i="2"/>
  <c r="I58" i="2" s="1"/>
  <c r="D59" i="2" s="1"/>
  <c r="J58" i="2"/>
  <c r="E59" i="2"/>
  <c r="H57" i="48" l="1"/>
  <c r="I57" i="48" s="1"/>
  <c r="D58" i="48" s="1"/>
  <c r="G58" i="48" s="1"/>
  <c r="E58" i="48"/>
  <c r="J57" i="48"/>
  <c r="G58" i="3"/>
  <c r="E58" i="3" s="1"/>
  <c r="J58" i="3" s="1"/>
  <c r="I58" i="3"/>
  <c r="D59" i="3" s="1"/>
  <c r="G57" i="49"/>
  <c r="H57" i="49" s="1"/>
  <c r="I57" i="49" s="1"/>
  <c r="D58" i="49" s="1"/>
  <c r="D74" i="4"/>
  <c r="E74" i="4" s="1"/>
  <c r="F74" i="4" s="1"/>
  <c r="G59" i="2"/>
  <c r="H59" i="2" s="1"/>
  <c r="I59" i="2" s="1"/>
  <c r="D60" i="2" s="1"/>
  <c r="G90" i="29"/>
  <c r="I90" i="29"/>
  <c r="H118" i="29"/>
  <c r="O38" i="55"/>
  <c r="M38" i="55"/>
  <c r="C119" i="4"/>
  <c r="D112" i="32"/>
  <c r="E112" i="32" s="1"/>
  <c r="G89" i="32"/>
  <c r="F89" i="32"/>
  <c r="C90" i="32" s="1"/>
  <c r="E60" i="2"/>
  <c r="J59" i="2"/>
  <c r="D90" i="29"/>
  <c r="H90" i="29" s="1"/>
  <c r="H111" i="29"/>
  <c r="F75" i="2"/>
  <c r="E58" i="49"/>
  <c r="J57" i="49"/>
  <c r="F66" i="3"/>
  <c r="F76" i="48"/>
  <c r="F61" i="49"/>
  <c r="P37" i="55"/>
  <c r="T37" i="55"/>
  <c r="U37" i="55" s="1"/>
  <c r="S37" i="55"/>
  <c r="I59" i="3" l="1"/>
  <c r="D60" i="3" s="1"/>
  <c r="G59" i="3"/>
  <c r="E59" i="3" s="1"/>
  <c r="J59" i="3" s="1"/>
  <c r="J58" i="48"/>
  <c r="H58" i="48"/>
  <c r="I58" i="48" s="1"/>
  <c r="D59" i="48" s="1"/>
  <c r="G60" i="2"/>
  <c r="H60" i="2" s="1"/>
  <c r="I60" i="2" s="1"/>
  <c r="D61" i="2" s="1"/>
  <c r="D75" i="4"/>
  <c r="E75" i="4" s="1"/>
  <c r="F75" i="4" s="1"/>
  <c r="G58" i="49"/>
  <c r="H58" i="49" s="1"/>
  <c r="I58" i="49" s="1"/>
  <c r="D59" i="49" s="1"/>
  <c r="F77" i="48"/>
  <c r="C91" i="29"/>
  <c r="F91" i="29"/>
  <c r="E91" i="29"/>
  <c r="H133" i="32"/>
  <c r="D90" i="32"/>
  <c r="F133" i="32"/>
  <c r="G133" i="32" s="1"/>
  <c r="P38" i="55"/>
  <c r="S38" i="55"/>
  <c r="T38" i="55"/>
  <c r="T39" i="55" s="1"/>
  <c r="E61" i="2"/>
  <c r="J60" i="2"/>
  <c r="J58" i="49"/>
  <c r="H119" i="29"/>
  <c r="H124" i="29" s="1"/>
  <c r="H112" i="29"/>
  <c r="C120" i="4"/>
  <c r="F62" i="49"/>
  <c r="F67" i="3"/>
  <c r="F76" i="2"/>
  <c r="E59" i="48" l="1"/>
  <c r="G59" i="48"/>
  <c r="I60" i="3"/>
  <c r="D61" i="3" s="1"/>
  <c r="G60" i="3"/>
  <c r="E60" i="3" s="1"/>
  <c r="J60" i="3" s="1"/>
  <c r="P11" i="49"/>
  <c r="E59" i="49"/>
  <c r="G59" i="49"/>
  <c r="G61" i="2"/>
  <c r="H61" i="2" s="1"/>
  <c r="I61" i="2" s="1"/>
  <c r="D62" i="2" s="1"/>
  <c r="F63" i="49"/>
  <c r="F68" i="3"/>
  <c r="F78" i="48"/>
  <c r="F77" i="2"/>
  <c r="G91" i="29"/>
  <c r="I91" i="29"/>
  <c r="D76" i="4"/>
  <c r="E76" i="4" s="1"/>
  <c r="F76" i="4" s="1"/>
  <c r="C121" i="4"/>
  <c r="H126" i="29"/>
  <c r="E48" i="32"/>
  <c r="E68" i="32" s="1"/>
  <c r="J61" i="2"/>
  <c r="E62" i="2"/>
  <c r="D91" i="29"/>
  <c r="H91" i="29" s="1"/>
  <c r="U38" i="55"/>
  <c r="U39" i="55" s="1"/>
  <c r="I61" i="3" l="1"/>
  <c r="D62" i="3" s="1"/>
  <c r="G61" i="3"/>
  <c r="E61" i="3" s="1"/>
  <c r="J61" i="3" s="1"/>
  <c r="J59" i="48"/>
  <c r="E60" i="48"/>
  <c r="H59" i="48"/>
  <c r="I59" i="48" s="1"/>
  <c r="D60" i="48" s="1"/>
  <c r="G60" i="48" s="1"/>
  <c r="D77" i="4"/>
  <c r="E77" i="4" s="1"/>
  <c r="F77" i="4" s="1"/>
  <c r="G62" i="2"/>
  <c r="H62" i="2" s="1"/>
  <c r="I62" i="2" s="1"/>
  <c r="D63" i="2" s="1"/>
  <c r="F68" i="32"/>
  <c r="C69" i="32" s="1"/>
  <c r="G68" i="32"/>
  <c r="E63" i="2"/>
  <c r="J62" i="2"/>
  <c r="M69" i="32"/>
  <c r="N69" i="32" s="1"/>
  <c r="K70" i="32" s="1"/>
  <c r="F78" i="2"/>
  <c r="F48" i="32"/>
  <c r="C49" i="32" s="1"/>
  <c r="G48" i="32"/>
  <c r="C122" i="4"/>
  <c r="C92" i="29"/>
  <c r="F92" i="29"/>
  <c r="E92" i="29"/>
  <c r="F69" i="3"/>
  <c r="F79" i="48"/>
  <c r="F64" i="49"/>
  <c r="H59" i="49"/>
  <c r="I59" i="49" s="1"/>
  <c r="D60" i="49" s="1"/>
  <c r="E60" i="49"/>
  <c r="J59" i="49"/>
  <c r="R11" i="49"/>
  <c r="I62" i="3" l="1"/>
  <c r="D63" i="3" s="1"/>
  <c r="G62" i="3"/>
  <c r="E62" i="3" s="1"/>
  <c r="J62" i="3" s="1"/>
  <c r="J60" i="48"/>
  <c r="H60" i="48"/>
  <c r="I60" i="48" s="1"/>
  <c r="D61" i="48" s="1"/>
  <c r="G61" i="48" s="1"/>
  <c r="E61" i="48"/>
  <c r="G63" i="2"/>
  <c r="H63" i="2" s="1"/>
  <c r="I63" i="2" s="1"/>
  <c r="D64" i="2" s="1"/>
  <c r="D49" i="32"/>
  <c r="D134" i="32"/>
  <c r="F80" i="48"/>
  <c r="C123" i="4"/>
  <c r="F79" i="2"/>
  <c r="D78" i="4"/>
  <c r="E78" i="4" s="1"/>
  <c r="F78" i="4" s="1"/>
  <c r="J60" i="49"/>
  <c r="E61" i="49"/>
  <c r="D92" i="29"/>
  <c r="H92" i="29" s="1"/>
  <c r="L70" i="32"/>
  <c r="G60" i="49"/>
  <c r="H60" i="49" s="1"/>
  <c r="I60" i="49" s="1"/>
  <c r="D61" i="49" s="1"/>
  <c r="G92" i="29"/>
  <c r="I92" i="29"/>
  <c r="E90" i="32"/>
  <c r="E134" i="32"/>
  <c r="D69" i="32"/>
  <c r="F70" i="3"/>
  <c r="F65" i="49"/>
  <c r="J63" i="2"/>
  <c r="E64" i="2"/>
  <c r="J61" i="48" l="1"/>
  <c r="H61" i="48"/>
  <c r="I61" i="48" s="1"/>
  <c r="D62" i="48" s="1"/>
  <c r="G62" i="48" s="1"/>
  <c r="E62" i="48"/>
  <c r="I63" i="3"/>
  <c r="D64" i="3" s="1"/>
  <c r="G63" i="3"/>
  <c r="E63" i="3" s="1"/>
  <c r="J63" i="3" s="1"/>
  <c r="G64" i="2"/>
  <c r="H64" i="2" s="1"/>
  <c r="I64" i="2" s="1"/>
  <c r="D65" i="2" s="1"/>
  <c r="G61" i="49"/>
  <c r="H61" i="49" s="1"/>
  <c r="I61" i="49" s="1"/>
  <c r="D62" i="49" s="1"/>
  <c r="D79" i="4"/>
  <c r="E79" i="4" s="1"/>
  <c r="F79" i="4" s="1"/>
  <c r="J64" i="2"/>
  <c r="E65" i="2"/>
  <c r="F81" i="48"/>
  <c r="F93" i="29"/>
  <c r="C93" i="29"/>
  <c r="E93" i="29"/>
  <c r="E62" i="49"/>
  <c r="J61" i="49"/>
  <c r="F66" i="49"/>
  <c r="F80" i="2"/>
  <c r="F71" i="3"/>
  <c r="G90" i="32"/>
  <c r="D113" i="32"/>
  <c r="E113" i="32" s="1"/>
  <c r="F90" i="32"/>
  <c r="C91" i="32" s="1"/>
  <c r="G64" i="3" l="1"/>
  <c r="E64" i="3" s="1"/>
  <c r="J64" i="3" s="1"/>
  <c r="I64" i="3"/>
  <c r="D65" i="3" s="1"/>
  <c r="H62" i="48"/>
  <c r="I62" i="48" s="1"/>
  <c r="D63" i="48" s="1"/>
  <c r="G63" i="48" s="1"/>
  <c r="J62" i="48"/>
  <c r="E63" i="48"/>
  <c r="G65" i="2"/>
  <c r="H65" i="2" s="1"/>
  <c r="I65" i="2" s="1"/>
  <c r="D66" i="2" s="1"/>
  <c r="D80" i="4"/>
  <c r="E80" i="4" s="1"/>
  <c r="F80" i="4" s="1"/>
  <c r="G62" i="49"/>
  <c r="H62" i="49" s="1"/>
  <c r="I62" i="49" s="1"/>
  <c r="D63" i="49" s="1"/>
  <c r="F81" i="2"/>
  <c r="E63" i="49"/>
  <c r="J62" i="49"/>
  <c r="F67" i="49"/>
  <c r="F72" i="3"/>
  <c r="D93" i="29"/>
  <c r="H93" i="29" s="1"/>
  <c r="I111" i="29"/>
  <c r="J65" i="2"/>
  <c r="E66" i="2"/>
  <c r="I93" i="29"/>
  <c r="G93" i="29"/>
  <c r="I118" i="29"/>
  <c r="F134" i="32"/>
  <c r="G134" i="32" s="1"/>
  <c r="D91" i="32"/>
  <c r="H134" i="32"/>
  <c r="F82" i="48"/>
  <c r="G65" i="3" l="1"/>
  <c r="E65" i="3" s="1"/>
  <c r="J65" i="3" s="1"/>
  <c r="I65" i="3"/>
  <c r="D66" i="3" s="1"/>
  <c r="J63" i="48"/>
  <c r="E64" i="48"/>
  <c r="H63" i="48"/>
  <c r="I63" i="48" s="1"/>
  <c r="D64" i="48" s="1"/>
  <c r="G64" i="48" s="1"/>
  <c r="D81" i="4"/>
  <c r="E81" i="4" s="1"/>
  <c r="F81" i="4" s="1"/>
  <c r="G66" i="2"/>
  <c r="H66" i="2" s="1"/>
  <c r="I66" i="2" s="1"/>
  <c r="D67" i="2" s="1"/>
  <c r="G63" i="49"/>
  <c r="H63" i="49" s="1"/>
  <c r="I63" i="49" s="1"/>
  <c r="D64" i="49" s="1"/>
  <c r="E49" i="32"/>
  <c r="E69" i="32" s="1"/>
  <c r="F73" i="3"/>
  <c r="J63" i="49"/>
  <c r="E64" i="49"/>
  <c r="I119" i="29"/>
  <c r="I124" i="29" s="1"/>
  <c r="I112" i="29"/>
  <c r="F68" i="49"/>
  <c r="E67" i="2"/>
  <c r="J66" i="2"/>
  <c r="F94" i="29"/>
  <c r="C94" i="29"/>
  <c r="E94" i="29"/>
  <c r="F82" i="2"/>
  <c r="E65" i="48" l="1"/>
  <c r="J64" i="48"/>
  <c r="I66" i="3"/>
  <c r="D67" i="3" s="1"/>
  <c r="G66" i="3"/>
  <c r="E66" i="3" s="1"/>
  <c r="J66" i="3" s="1"/>
  <c r="H64" i="48"/>
  <c r="I64" i="48" s="1"/>
  <c r="D65" i="48" s="1"/>
  <c r="G65" i="48" s="1"/>
  <c r="H65" i="48" s="1"/>
  <c r="I65" i="48" s="1"/>
  <c r="D66" i="48" s="1"/>
  <c r="G66" i="48" s="1"/>
  <c r="G67" i="2"/>
  <c r="G64" i="49"/>
  <c r="H64" i="49" s="1"/>
  <c r="I64" i="49" s="1"/>
  <c r="D65" i="49" s="1"/>
  <c r="D82" i="4"/>
  <c r="E82" i="4" s="1"/>
  <c r="F82" i="4" s="1"/>
  <c r="F69" i="32"/>
  <c r="G69" i="32"/>
  <c r="G71" i="32" s="1"/>
  <c r="I126" i="29"/>
  <c r="J64" i="49"/>
  <c r="E65" i="49"/>
  <c r="F49" i="32"/>
  <c r="G49" i="32"/>
  <c r="G51" i="32" s="1"/>
  <c r="G94" i="29"/>
  <c r="I94" i="29"/>
  <c r="F69" i="49"/>
  <c r="M70" i="32"/>
  <c r="N70" i="32" s="1"/>
  <c r="D94" i="29"/>
  <c r="H94" i="29" s="1"/>
  <c r="F83" i="2"/>
  <c r="H67" i="2"/>
  <c r="I67" i="2" s="1"/>
  <c r="D68" i="2" s="1"/>
  <c r="J67" i="2"/>
  <c r="E68" i="2"/>
  <c r="F74" i="3"/>
  <c r="G67" i="3" l="1"/>
  <c r="E67" i="3" s="1"/>
  <c r="J67" i="3" s="1"/>
  <c r="I67" i="3"/>
  <c r="D68" i="3" s="1"/>
  <c r="E66" i="48"/>
  <c r="J65" i="48"/>
  <c r="E91" i="32"/>
  <c r="G91" i="32" s="1"/>
  <c r="G68" i="2"/>
  <c r="H68" i="2" s="1"/>
  <c r="I68" i="2" s="1"/>
  <c r="D69" i="2" s="1"/>
  <c r="G65" i="49"/>
  <c r="H65" i="49" s="1"/>
  <c r="I65" i="49" s="1"/>
  <c r="D66" i="49" s="1"/>
  <c r="J68" i="2"/>
  <c r="E69" i="2"/>
  <c r="F75" i="3"/>
  <c r="D83" i="4"/>
  <c r="E83" i="4" s="1"/>
  <c r="F83" i="4" s="1"/>
  <c r="C95" i="29"/>
  <c r="F95" i="29"/>
  <c r="E95" i="29"/>
  <c r="F70" i="49"/>
  <c r="J65" i="49"/>
  <c r="E66" i="49"/>
  <c r="F91" i="32" l="1"/>
  <c r="D114" i="32"/>
  <c r="E114" i="32" s="1"/>
  <c r="E116" i="32" s="1"/>
  <c r="F174" i="32" s="1"/>
  <c r="J66" i="48"/>
  <c r="E67" i="48"/>
  <c r="H66" i="48"/>
  <c r="I66" i="48" s="1"/>
  <c r="D67" i="48" s="1"/>
  <c r="G67" i="48" s="1"/>
  <c r="G68" i="3"/>
  <c r="E68" i="3" s="1"/>
  <c r="J68" i="3" s="1"/>
  <c r="I68" i="3"/>
  <c r="D69" i="3" s="1"/>
  <c r="G66" i="49"/>
  <c r="H66" i="49" s="1"/>
  <c r="I66" i="49" s="1"/>
  <c r="D67" i="49" s="1"/>
  <c r="D84" i="4"/>
  <c r="E84" i="4" s="1"/>
  <c r="F84" i="4"/>
  <c r="G69" i="2"/>
  <c r="F76" i="3"/>
  <c r="D95" i="29"/>
  <c r="H95" i="29" s="1"/>
  <c r="I95" i="29"/>
  <c r="G95" i="29"/>
  <c r="G93" i="32"/>
  <c r="G94" i="32"/>
  <c r="E70" i="2"/>
  <c r="J69" i="2"/>
  <c r="H69" i="2"/>
  <c r="I69" i="2" s="1"/>
  <c r="D70" i="2" s="1"/>
  <c r="E67" i="49"/>
  <c r="J66" i="49"/>
  <c r="F71" i="49"/>
  <c r="E174" i="32"/>
  <c r="H67" i="48" l="1"/>
  <c r="I67" i="48" s="1"/>
  <c r="D68" i="48" s="1"/>
  <c r="G68" i="48" s="1"/>
  <c r="J67" i="48"/>
  <c r="E68" i="48"/>
  <c r="G69" i="3"/>
  <c r="E69" i="3" s="1"/>
  <c r="J69" i="3" s="1"/>
  <c r="I69" i="3"/>
  <c r="D70" i="3" s="1"/>
  <c r="F96" i="29"/>
  <c r="C96" i="29"/>
  <c r="E96" i="29"/>
  <c r="G70" i="2"/>
  <c r="G67" i="49"/>
  <c r="H67" i="49" s="1"/>
  <c r="I67" i="49" s="1"/>
  <c r="D68" i="49" s="1"/>
  <c r="F72" i="49"/>
  <c r="F77" i="3"/>
  <c r="J67" i="49"/>
  <c r="E68" i="49"/>
  <c r="D85" i="4"/>
  <c r="E85" i="4" s="1"/>
  <c r="F85" i="4" s="1"/>
  <c r="J70" i="2"/>
  <c r="E71" i="2"/>
  <c r="H70" i="2"/>
  <c r="I70" i="2" s="1"/>
  <c r="D71" i="2" s="1"/>
  <c r="E69" i="48" l="1"/>
  <c r="J68" i="48"/>
  <c r="I70" i="3"/>
  <c r="D71" i="3" s="1"/>
  <c r="G70" i="3"/>
  <c r="E70" i="3" s="1"/>
  <c r="J70" i="3" s="1"/>
  <c r="H68" i="48"/>
  <c r="I68" i="48" s="1"/>
  <c r="D69" i="48" s="1"/>
  <c r="G69" i="48" s="1"/>
  <c r="G71" i="2"/>
  <c r="H71" i="2" s="1"/>
  <c r="I71" i="2" s="1"/>
  <c r="D72" i="2" s="1"/>
  <c r="G68" i="49"/>
  <c r="H68" i="49" s="1"/>
  <c r="I68" i="49" s="1"/>
  <c r="D69" i="49" s="1"/>
  <c r="I96" i="29"/>
  <c r="G96" i="29"/>
  <c r="J118" i="29"/>
  <c r="E69" i="49"/>
  <c r="J68" i="49"/>
  <c r="D86" i="4"/>
  <c r="E86" i="4" s="1"/>
  <c r="F86" i="4" s="1"/>
  <c r="F78" i="3"/>
  <c r="J71" i="2"/>
  <c r="E72" i="2"/>
  <c r="D96" i="29"/>
  <c r="H96" i="29" s="1"/>
  <c r="J111" i="29"/>
  <c r="F73" i="49"/>
  <c r="I71" i="3" l="1"/>
  <c r="D72" i="3" s="1"/>
  <c r="G71" i="3"/>
  <c r="E71" i="3" s="1"/>
  <c r="J71" i="3" s="1"/>
  <c r="J69" i="48"/>
  <c r="H69" i="48"/>
  <c r="I69" i="48" s="1"/>
  <c r="D70" i="48" s="1"/>
  <c r="G70" i="48" s="1"/>
  <c r="E70" i="48"/>
  <c r="G72" i="2"/>
  <c r="H72" i="2" s="1"/>
  <c r="I72" i="2" s="1"/>
  <c r="D73" i="2" s="1"/>
  <c r="G69" i="49"/>
  <c r="H69" i="49" s="1"/>
  <c r="I69" i="49" s="1"/>
  <c r="D70" i="49" s="1"/>
  <c r="D87" i="4"/>
  <c r="E87" i="4" s="1"/>
  <c r="F87" i="4" s="1"/>
  <c r="F79" i="3"/>
  <c r="F74" i="49"/>
  <c r="E73" i="2"/>
  <c r="J72" i="2"/>
  <c r="J119" i="29"/>
  <c r="J124" i="29" s="1"/>
  <c r="J112" i="29"/>
  <c r="C97" i="29"/>
  <c r="F97" i="29"/>
  <c r="E97" i="29" s="1"/>
  <c r="E70" i="49"/>
  <c r="J69" i="49"/>
  <c r="H70" i="48" l="1"/>
  <c r="I70" i="48" s="1"/>
  <c r="D71" i="48" s="1"/>
  <c r="J70" i="48"/>
  <c r="I72" i="3"/>
  <c r="D73" i="3" s="1"/>
  <c r="G72" i="3"/>
  <c r="E72" i="3" s="1"/>
  <c r="J72" i="3" s="1"/>
  <c r="G70" i="49"/>
  <c r="H70" i="49" s="1"/>
  <c r="I70" i="49" s="1"/>
  <c r="D71" i="49" s="1"/>
  <c r="G73" i="2"/>
  <c r="H73" i="2" s="1"/>
  <c r="I73" i="2" s="1"/>
  <c r="D74" i="2" s="1"/>
  <c r="F75" i="49"/>
  <c r="E74" i="2"/>
  <c r="J73" i="2"/>
  <c r="J70" i="49"/>
  <c r="D97" i="29"/>
  <c r="H97" i="29" s="1"/>
  <c r="D88" i="4"/>
  <c r="E88" i="4" s="1"/>
  <c r="F88" i="4" s="1"/>
  <c r="I97" i="29"/>
  <c r="G97" i="29"/>
  <c r="J126" i="29"/>
  <c r="F80" i="3"/>
  <c r="G73" i="3" l="1"/>
  <c r="E73" i="3" s="1"/>
  <c r="J73" i="3" s="1"/>
  <c r="I73" i="3"/>
  <c r="D74" i="3" s="1"/>
  <c r="E71" i="48"/>
  <c r="G71" i="48"/>
  <c r="G74" i="2"/>
  <c r="H74" i="2" s="1"/>
  <c r="I74" i="2" s="1"/>
  <c r="D75" i="2" s="1"/>
  <c r="P12" i="49"/>
  <c r="E71" i="49"/>
  <c r="G71" i="49"/>
  <c r="D89" i="4"/>
  <c r="E89" i="4" s="1"/>
  <c r="F89" i="4" s="1"/>
  <c r="F98" i="29"/>
  <c r="E98" i="29" s="1"/>
  <c r="C98" i="29"/>
  <c r="F81" i="3"/>
  <c r="J74" i="2"/>
  <c r="E75" i="2"/>
  <c r="F76" i="49"/>
  <c r="H71" i="48" l="1"/>
  <c r="I71" i="48" s="1"/>
  <c r="D72" i="48" s="1"/>
  <c r="G72" i="48" s="1"/>
  <c r="E72" i="48"/>
  <c r="J71" i="48"/>
  <c r="I74" i="3"/>
  <c r="D75" i="3" s="1"/>
  <c r="G74" i="3"/>
  <c r="E74" i="3" s="1"/>
  <c r="J74" i="3" s="1"/>
  <c r="D90" i="4"/>
  <c r="E90" i="4" s="1"/>
  <c r="F90" i="4" s="1"/>
  <c r="G98" i="29"/>
  <c r="I98" i="29"/>
  <c r="G75" i="2"/>
  <c r="D98" i="29"/>
  <c r="H98" i="29" s="1"/>
  <c r="F77" i="49"/>
  <c r="H71" i="49"/>
  <c r="I71" i="49" s="1"/>
  <c r="D72" i="49" s="1"/>
  <c r="E72" i="49"/>
  <c r="J71" i="49"/>
  <c r="R12" i="49"/>
  <c r="H75" i="2"/>
  <c r="I75" i="2" s="1"/>
  <c r="D76" i="2" s="1"/>
  <c r="E76" i="2"/>
  <c r="J75" i="2"/>
  <c r="H72" i="48" l="1"/>
  <c r="I72" i="48" s="1"/>
  <c r="D73" i="48" s="1"/>
  <c r="G73" i="48" s="1"/>
  <c r="I75" i="3"/>
  <c r="D76" i="3" s="1"/>
  <c r="G75" i="3"/>
  <c r="E75" i="3" s="1"/>
  <c r="J75" i="3" s="1"/>
  <c r="E73" i="48"/>
  <c r="J72" i="48"/>
  <c r="H73" i="48"/>
  <c r="I73" i="48" s="1"/>
  <c r="D74" i="48" s="1"/>
  <c r="G74" i="48" s="1"/>
  <c r="D91" i="4"/>
  <c r="E91" i="4" s="1"/>
  <c r="F91" i="4" s="1"/>
  <c r="G76" i="2"/>
  <c r="H76" i="2" s="1"/>
  <c r="I76" i="2" s="1"/>
  <c r="D77" i="2" s="1"/>
  <c r="F99" i="29"/>
  <c r="F100" i="29" s="1"/>
  <c r="C99" i="29"/>
  <c r="F78" i="49"/>
  <c r="E77" i="2"/>
  <c r="J76" i="2"/>
  <c r="J72" i="49"/>
  <c r="H72" i="49"/>
  <c r="I72" i="49" s="1"/>
  <c r="D73" i="49" s="1"/>
  <c r="E73" i="49"/>
  <c r="G72" i="49"/>
  <c r="J73" i="48" l="1"/>
  <c r="E74" i="48"/>
  <c r="H74" i="48"/>
  <c r="I74" i="48" s="1"/>
  <c r="D75" i="48" s="1"/>
  <c r="G75" i="48" s="1"/>
  <c r="I76" i="3"/>
  <c r="D77" i="3" s="1"/>
  <c r="G76" i="3"/>
  <c r="E76" i="3" s="1"/>
  <c r="J76" i="3" s="1"/>
  <c r="D92" i="4"/>
  <c r="E92" i="4" s="1"/>
  <c r="F92" i="4" s="1"/>
  <c r="G77" i="2"/>
  <c r="H77" i="2" s="1"/>
  <c r="I77" i="2" s="1"/>
  <c r="D78" i="2" s="1"/>
  <c r="G73" i="49"/>
  <c r="H73" i="49" s="1"/>
  <c r="I73" i="49" s="1"/>
  <c r="D74" i="49" s="1"/>
  <c r="E99" i="29"/>
  <c r="F79" i="49"/>
  <c r="E74" i="49"/>
  <c r="J73" i="49"/>
  <c r="E78" i="2"/>
  <c r="J77" i="2"/>
  <c r="D99" i="29"/>
  <c r="C100" i="29"/>
  <c r="E17" i="29" s="1"/>
  <c r="K111" i="29"/>
  <c r="G77" i="3" l="1"/>
  <c r="E77" i="3" s="1"/>
  <c r="J77" i="3" s="1"/>
  <c r="I77" i="3"/>
  <c r="D78" i="3" s="1"/>
  <c r="E75" i="48"/>
  <c r="J74" i="48"/>
  <c r="G74" i="49"/>
  <c r="H74" i="49" s="1"/>
  <c r="I74" i="49" s="1"/>
  <c r="D75" i="49" s="1"/>
  <c r="G78" i="2"/>
  <c r="H78" i="2" s="1"/>
  <c r="I78" i="2" s="1"/>
  <c r="D79" i="2" s="1"/>
  <c r="D93" i="4"/>
  <c r="E93" i="4" s="1"/>
  <c r="F93" i="4" s="1"/>
  <c r="E18" i="29"/>
  <c r="O11" i="29"/>
  <c r="F80" i="49"/>
  <c r="D100" i="29"/>
  <c r="H99" i="29"/>
  <c r="E75" i="49"/>
  <c r="J74" i="49"/>
  <c r="K119" i="29"/>
  <c r="L119" i="29" s="1"/>
  <c r="K112" i="29"/>
  <c r="E79" i="2"/>
  <c r="J78" i="2"/>
  <c r="I99" i="29"/>
  <c r="G99" i="29"/>
  <c r="G100" i="29" s="1"/>
  <c r="E100" i="29"/>
  <c r="K118" i="29"/>
  <c r="E76" i="48" l="1"/>
  <c r="J75" i="48"/>
  <c r="H75" i="48"/>
  <c r="I75" i="48" s="1"/>
  <c r="D76" i="48" s="1"/>
  <c r="G76" i="48" s="1"/>
  <c r="G78" i="3"/>
  <c r="E78" i="3" s="1"/>
  <c r="J78" i="3" s="1"/>
  <c r="I78" i="3"/>
  <c r="D79" i="3" s="1"/>
  <c r="G75" i="49"/>
  <c r="H75" i="49" s="1"/>
  <c r="I75" i="49" s="1"/>
  <c r="D76" i="49" s="1"/>
  <c r="G79" i="2"/>
  <c r="H79" i="2" s="1"/>
  <c r="I79" i="2" s="1"/>
  <c r="D80" i="2" s="1"/>
  <c r="D94" i="4"/>
  <c r="E94" i="4" s="1"/>
  <c r="F94" i="4" s="1"/>
  <c r="K124" i="29"/>
  <c r="K126" i="29" s="1"/>
  <c r="O24" i="29"/>
  <c r="O12" i="29"/>
  <c r="I75" i="29" s="1"/>
  <c r="J75" i="49"/>
  <c r="E76" i="49"/>
  <c r="J79" i="2"/>
  <c r="E80" i="2"/>
  <c r="F81" i="49"/>
  <c r="H76" i="48" l="1"/>
  <c r="I76" i="48" s="1"/>
  <c r="D77" i="48" s="1"/>
  <c r="G77" i="48" s="1"/>
  <c r="I79" i="3"/>
  <c r="D80" i="3" s="1"/>
  <c r="G79" i="3"/>
  <c r="E79" i="3" s="1"/>
  <c r="J79" i="3" s="1"/>
  <c r="J76" i="48"/>
  <c r="E77" i="48"/>
  <c r="G76" i="49"/>
  <c r="H76" i="49" s="1"/>
  <c r="I76" i="49" s="1"/>
  <c r="D77" i="49" s="1"/>
  <c r="D95" i="4"/>
  <c r="E95" i="4" s="1"/>
  <c r="F95" i="4" s="1"/>
  <c r="G80" i="2"/>
  <c r="H80" i="2" s="1"/>
  <c r="I80" i="2" s="1"/>
  <c r="D81" i="2" s="1"/>
  <c r="C117" i="29"/>
  <c r="C102" i="29"/>
  <c r="F82" i="49"/>
  <c r="O13" i="29"/>
  <c r="O21" i="29" s="1"/>
  <c r="O27" i="29" s="1"/>
  <c r="E77" i="49"/>
  <c r="J76" i="49"/>
  <c r="G9" i="29"/>
  <c r="G10" i="29"/>
  <c r="G8" i="29"/>
  <c r="J80" i="2"/>
  <c r="E81" i="2"/>
  <c r="H77" i="48" l="1"/>
  <c r="I77" i="48" s="1"/>
  <c r="D78" i="48" s="1"/>
  <c r="G78" i="48" s="1"/>
  <c r="J77" i="48"/>
  <c r="E78" i="48"/>
  <c r="G80" i="3"/>
  <c r="E80" i="3" s="1"/>
  <c r="J80" i="3" s="1"/>
  <c r="I80" i="3"/>
  <c r="D81" i="3" s="1"/>
  <c r="G81" i="2"/>
  <c r="H81" i="2" s="1"/>
  <c r="I81" i="2" s="1"/>
  <c r="D82" i="2" s="1"/>
  <c r="D96" i="4"/>
  <c r="E96" i="4" s="1"/>
  <c r="F96" i="4" s="1"/>
  <c r="G77" i="49"/>
  <c r="H77" i="49" s="1"/>
  <c r="I77" i="49" s="1"/>
  <c r="D78" i="49" s="1"/>
  <c r="J77" i="49"/>
  <c r="E78" i="49"/>
  <c r="J81" i="2"/>
  <c r="E82" i="2"/>
  <c r="O25" i="29"/>
  <c r="O26" i="29" s="1"/>
  <c r="L117" i="29"/>
  <c r="N119" i="29" s="1"/>
  <c r="N120" i="29" s="1"/>
  <c r="C124" i="29"/>
  <c r="C126" i="29" s="1"/>
  <c r="F83" i="49"/>
  <c r="E79" i="48" l="1"/>
  <c r="H78" i="48"/>
  <c r="I78" i="48" s="1"/>
  <c r="D79" i="48" s="1"/>
  <c r="G79" i="48" s="1"/>
  <c r="J78" i="48"/>
  <c r="I81" i="3"/>
  <c r="G81" i="3"/>
  <c r="E81" i="3" s="1"/>
  <c r="G78" i="49"/>
  <c r="H78" i="49" s="1"/>
  <c r="I78" i="49" s="1"/>
  <c r="D79" i="49" s="1"/>
  <c r="D97" i="4"/>
  <c r="E97" i="4" s="1"/>
  <c r="F97" i="4" s="1"/>
  <c r="G82" i="2"/>
  <c r="H82" i="2" s="1"/>
  <c r="I82" i="2" s="1"/>
  <c r="D83" i="2" s="1"/>
  <c r="J78" i="49"/>
  <c r="E79" i="49"/>
  <c r="K127" i="29"/>
  <c r="E127" i="29"/>
  <c r="J127" i="29"/>
  <c r="H127" i="29"/>
  <c r="D130" i="29"/>
  <c r="D127" i="29"/>
  <c r="D129" i="29"/>
  <c r="I127" i="29"/>
  <c r="C127" i="29"/>
  <c r="F127" i="29"/>
  <c r="G127" i="29"/>
  <c r="F84" i="49"/>
  <c r="N121" i="29"/>
  <c r="E83" i="2"/>
  <c r="J82" i="2"/>
  <c r="J81" i="3" l="1"/>
  <c r="F83" i="3" s="1"/>
  <c r="E16" i="3" s="1"/>
  <c r="H79" i="48"/>
  <c r="I79" i="48" s="1"/>
  <c r="D80" i="48" s="1"/>
  <c r="G80" i="48" s="1"/>
  <c r="J79" i="48"/>
  <c r="E80" i="48"/>
  <c r="G83" i="2"/>
  <c r="H83" i="2" s="1"/>
  <c r="I83" i="2" s="1"/>
  <c r="J83" i="2" s="1"/>
  <c r="F85" i="2" s="1"/>
  <c r="F18" i="2" s="1"/>
  <c r="G79" i="49"/>
  <c r="H79" i="49" s="1"/>
  <c r="I79" i="49" s="1"/>
  <c r="D80" i="49" s="1"/>
  <c r="D98" i="4"/>
  <c r="E98" i="4" s="1"/>
  <c r="F98" i="4" s="1"/>
  <c r="F85" i="49"/>
  <c r="F17" i="49"/>
  <c r="E80" i="49"/>
  <c r="J79" i="49"/>
  <c r="E81" i="48" l="1"/>
  <c r="J80" i="48"/>
  <c r="H80" i="48"/>
  <c r="I80" i="48" s="1"/>
  <c r="D81" i="48" s="1"/>
  <c r="G81" i="48" s="1"/>
  <c r="D99" i="4"/>
  <c r="E99" i="4" s="1"/>
  <c r="F99" i="4" s="1"/>
  <c r="G80" i="49"/>
  <c r="H80" i="49" s="1"/>
  <c r="I80" i="49" s="1"/>
  <c r="D81" i="49" s="1"/>
  <c r="F86" i="49"/>
  <c r="J80" i="49"/>
  <c r="E81" i="49"/>
  <c r="J81" i="48" l="1"/>
  <c r="H81" i="48"/>
  <c r="I81" i="48" s="1"/>
  <c r="D82" i="48" s="1"/>
  <c r="G82" i="48" s="1"/>
  <c r="E82" i="48"/>
  <c r="G81" i="49"/>
  <c r="D100" i="4"/>
  <c r="E100" i="4" s="1"/>
  <c r="F100" i="4" s="1"/>
  <c r="F87" i="49"/>
  <c r="H81" i="49"/>
  <c r="I81" i="49" s="1"/>
  <c r="D82" i="49" s="1"/>
  <c r="E82" i="49"/>
  <c r="J81" i="49"/>
  <c r="H82" i="48" l="1"/>
  <c r="I82" i="48" s="1"/>
  <c r="J82" i="48" s="1"/>
  <c r="F84" i="48" s="1"/>
  <c r="F17" i="48" s="1"/>
  <c r="G82" i="49"/>
  <c r="H82" i="49"/>
  <c r="I82" i="49" s="1"/>
  <c r="D83" i="49" s="1"/>
  <c r="J82" i="49"/>
  <c r="D101" i="4"/>
  <c r="E101" i="4" s="1"/>
  <c r="F101" i="4" s="1"/>
  <c r="F88" i="49"/>
  <c r="D102" i="4" l="1"/>
  <c r="E102" i="4" s="1"/>
  <c r="F102" i="4" s="1"/>
  <c r="P13" i="49"/>
  <c r="G83" i="49"/>
  <c r="E83" i="49"/>
  <c r="F89" i="49"/>
  <c r="J83" i="49" l="1"/>
  <c r="R13" i="49"/>
  <c r="H83" i="49"/>
  <c r="I83" i="49" s="1"/>
  <c r="D84" i="49" s="1"/>
  <c r="E84" i="49"/>
  <c r="F90" i="49"/>
  <c r="D103" i="4"/>
  <c r="E103" i="4" s="1"/>
  <c r="F103" i="4" s="1"/>
  <c r="D104" i="4" l="1"/>
  <c r="E104" i="4" s="1"/>
  <c r="F104" i="4" s="1"/>
  <c r="J84" i="49"/>
  <c r="E85" i="49"/>
  <c r="G84" i="49"/>
  <c r="H84" i="49" s="1"/>
  <c r="I84" i="49" s="1"/>
  <c r="D85" i="49" s="1"/>
  <c r="F91" i="49"/>
  <c r="G85" i="49" l="1"/>
  <c r="D105" i="4"/>
  <c r="E105" i="4" s="1"/>
  <c r="F105" i="4" s="1"/>
  <c r="F92" i="49"/>
  <c r="J85" i="49"/>
  <c r="H85" i="49"/>
  <c r="I85" i="49" s="1"/>
  <c r="D86" i="49" s="1"/>
  <c r="E86" i="49"/>
  <c r="G86" i="49" l="1"/>
  <c r="D106" i="4"/>
  <c r="E106" i="4" s="1"/>
  <c r="F106" i="4" s="1"/>
  <c r="F93" i="49"/>
  <c r="H86" i="49"/>
  <c r="I86" i="49" s="1"/>
  <c r="D87" i="49" s="1"/>
  <c r="E87" i="49"/>
  <c r="J86" i="49"/>
  <c r="G87" i="49" l="1"/>
  <c r="H87" i="49" s="1"/>
  <c r="I87" i="49" s="1"/>
  <c r="D88" i="49" s="1"/>
  <c r="E88" i="49"/>
  <c r="J87" i="49"/>
  <c r="D107" i="4"/>
  <c r="E107" i="4" s="1"/>
  <c r="F107" i="4" s="1"/>
  <c r="F94" i="49"/>
  <c r="G88" i="49" l="1"/>
  <c r="H88" i="49" s="1"/>
  <c r="I88" i="49" s="1"/>
  <c r="D89" i="49" s="1"/>
  <c r="D108" i="4"/>
  <c r="E108" i="4" s="1"/>
  <c r="F108" i="4" s="1"/>
  <c r="J88" i="49"/>
  <c r="E89" i="49"/>
  <c r="F95" i="49"/>
  <c r="G89" i="49" l="1"/>
  <c r="D109" i="4"/>
  <c r="E109" i="4" s="1"/>
  <c r="F109" i="4" s="1"/>
  <c r="E90" i="49"/>
  <c r="H89" i="49"/>
  <c r="I89" i="49" s="1"/>
  <c r="D90" i="49" s="1"/>
  <c r="J89" i="49"/>
  <c r="F96" i="49"/>
  <c r="G90" i="49" l="1"/>
  <c r="H90" i="49" s="1"/>
  <c r="I90" i="49" s="1"/>
  <c r="D91" i="49" s="1"/>
  <c r="D110" i="4"/>
  <c r="E110" i="4" s="1"/>
  <c r="F110" i="4" s="1"/>
  <c r="F97" i="49"/>
  <c r="E91" i="49"/>
  <c r="J90" i="49"/>
  <c r="G91" i="49" l="1"/>
  <c r="H91" i="49" s="1"/>
  <c r="I91" i="49" s="1"/>
  <c r="D92" i="49" s="1"/>
  <c r="D111" i="4"/>
  <c r="E111" i="4" s="1"/>
  <c r="F111" i="4" s="1"/>
  <c r="J91" i="49"/>
  <c r="E92" i="49"/>
  <c r="F98" i="49"/>
  <c r="D112" i="4" l="1"/>
  <c r="E112" i="4" s="1"/>
  <c r="F112" i="4" s="1"/>
  <c r="G92" i="49"/>
  <c r="H92" i="49" s="1"/>
  <c r="I92" i="49" s="1"/>
  <c r="D93" i="49" s="1"/>
  <c r="E93" i="49"/>
  <c r="J92" i="49"/>
  <c r="F99" i="49"/>
  <c r="G93" i="49" l="1"/>
  <c r="H93" i="49" s="1"/>
  <c r="I93" i="49" s="1"/>
  <c r="D94" i="49" s="1"/>
  <c r="F100" i="49"/>
  <c r="D113" i="4"/>
  <c r="E113" i="4" s="1"/>
  <c r="F113" i="4" s="1"/>
  <c r="E94" i="49"/>
  <c r="J93" i="49"/>
  <c r="G94" i="49" l="1"/>
  <c r="H94" i="49" s="1"/>
  <c r="I94" i="49" s="1"/>
  <c r="D95" i="49" s="1"/>
  <c r="D114" i="4"/>
  <c r="E114" i="4" s="1"/>
  <c r="F114" i="4" s="1"/>
  <c r="J94" i="49"/>
  <c r="F101" i="49"/>
  <c r="P14" i="49" l="1"/>
  <c r="G95" i="49"/>
  <c r="E95" i="49"/>
  <c r="D115" i="4"/>
  <c r="E115" i="4" s="1"/>
  <c r="F115" i="4" s="1"/>
  <c r="F102" i="49"/>
  <c r="F103" i="49" l="1"/>
  <c r="J95" i="49"/>
  <c r="H95" i="49"/>
  <c r="I95" i="49" s="1"/>
  <c r="D96" i="49" s="1"/>
  <c r="R14" i="49"/>
  <c r="E96" i="49"/>
  <c r="D116" i="4"/>
  <c r="E116" i="4" s="1"/>
  <c r="F116" i="4" s="1"/>
  <c r="G96" i="49" l="1"/>
  <c r="H96" i="49" s="1"/>
  <c r="I96" i="49" s="1"/>
  <c r="D97" i="49" s="1"/>
  <c r="D117" i="4"/>
  <c r="E117" i="4" s="1"/>
  <c r="F117" i="4" s="1"/>
  <c r="J96" i="49"/>
  <c r="E97" i="49"/>
  <c r="F104" i="49"/>
  <c r="G97" i="49" l="1"/>
  <c r="H97" i="49" s="1"/>
  <c r="I97" i="49" s="1"/>
  <c r="D98" i="49" s="1"/>
  <c r="F105" i="49"/>
  <c r="J97" i="49"/>
  <c r="E98" i="49"/>
  <c r="D118" i="4"/>
  <c r="E118" i="4" s="1"/>
  <c r="F118" i="4" s="1"/>
  <c r="D119" i="4" l="1"/>
  <c r="E119" i="4" s="1"/>
  <c r="F119" i="4"/>
  <c r="G98" i="49"/>
  <c r="H98" i="49" s="1"/>
  <c r="I98" i="49" s="1"/>
  <c r="D99" i="49" s="1"/>
  <c r="F106" i="49"/>
  <c r="J98" i="49"/>
  <c r="E99" i="49"/>
  <c r="G99" i="49" l="1"/>
  <c r="H99" i="49" s="1"/>
  <c r="I99" i="49" s="1"/>
  <c r="D100" i="49" s="1"/>
  <c r="D120" i="4"/>
  <c r="E120" i="4" s="1"/>
  <c r="F120" i="4" s="1"/>
  <c r="F107" i="49"/>
  <c r="J99" i="49"/>
  <c r="E100" i="49"/>
  <c r="G100" i="49" l="1"/>
  <c r="H100" i="49" s="1"/>
  <c r="I100" i="49" s="1"/>
  <c r="D101" i="49" s="1"/>
  <c r="J100" i="49"/>
  <c r="E101" i="49"/>
  <c r="D121" i="4"/>
  <c r="E121" i="4" s="1"/>
  <c r="F121" i="4" s="1"/>
  <c r="F108" i="49"/>
  <c r="G101" i="49" l="1"/>
  <c r="D122" i="4"/>
  <c r="E122" i="4" s="1"/>
  <c r="F122" i="4" s="1"/>
  <c r="F109" i="49"/>
  <c r="H101" i="49"/>
  <c r="I101" i="49" s="1"/>
  <c r="D102" i="49" s="1"/>
  <c r="J101" i="49"/>
  <c r="E102" i="49"/>
  <c r="G102" i="49" l="1"/>
  <c r="H102" i="49" s="1"/>
  <c r="I102" i="49" s="1"/>
  <c r="D103" i="49" s="1"/>
  <c r="D123" i="4"/>
  <c r="E123" i="4" s="1"/>
  <c r="F123" i="4" s="1"/>
  <c r="E103" i="49"/>
  <c r="J102" i="49"/>
  <c r="F110" i="49"/>
  <c r="G103" i="49" l="1"/>
  <c r="H103" i="49" s="1"/>
  <c r="I103" i="49" s="1"/>
  <c r="D104" i="49" s="1"/>
  <c r="D124" i="4"/>
  <c r="E124" i="4" s="1"/>
  <c r="F124" i="4" s="1"/>
  <c r="C124" i="4" s="1"/>
  <c r="D15" i="4" s="1"/>
  <c r="F111" i="49"/>
  <c r="E104" i="49"/>
  <c r="J103" i="49"/>
  <c r="G104" i="49" l="1"/>
  <c r="H104" i="49" s="1"/>
  <c r="I104" i="49" s="1"/>
  <c r="D105" i="49" s="1"/>
  <c r="E105" i="49"/>
  <c r="J104" i="49"/>
  <c r="F112" i="49"/>
  <c r="G105" i="49" l="1"/>
  <c r="H105" i="49" s="1"/>
  <c r="I105" i="49" s="1"/>
  <c r="D106" i="49" s="1"/>
  <c r="J105" i="49"/>
  <c r="E106" i="49"/>
  <c r="F113" i="49"/>
  <c r="G106" i="49" l="1"/>
  <c r="F114" i="49"/>
  <c r="J106" i="49"/>
  <c r="H106" i="49"/>
  <c r="I106" i="49" s="1"/>
  <c r="D107" i="49" s="1"/>
  <c r="P15" i="49" l="1"/>
  <c r="E107" i="49"/>
  <c r="G107" i="49"/>
  <c r="F115" i="49"/>
  <c r="H107" i="49" l="1"/>
  <c r="I107" i="49" s="1"/>
  <c r="D108" i="49" s="1"/>
  <c r="E108" i="49"/>
  <c r="J107" i="49"/>
  <c r="R15" i="49"/>
  <c r="F116" i="49"/>
  <c r="J108" i="49" l="1"/>
  <c r="E109" i="49"/>
  <c r="F117" i="49"/>
  <c r="G108" i="49"/>
  <c r="H108" i="49" s="1"/>
  <c r="I108" i="49" s="1"/>
  <c r="D109" i="49" s="1"/>
  <c r="G109" i="49" l="1"/>
  <c r="H109" i="49" s="1"/>
  <c r="I109" i="49" s="1"/>
  <c r="D110" i="49" s="1"/>
  <c r="F118" i="49"/>
  <c r="J109" i="49"/>
  <c r="E110" i="49"/>
  <c r="G110" i="49" l="1"/>
  <c r="H110" i="49" s="1"/>
  <c r="I110" i="49" s="1"/>
  <c r="D111" i="49" s="1"/>
  <c r="F119" i="49"/>
  <c r="J110" i="49"/>
  <c r="E111" i="49"/>
  <c r="G111" i="49" l="1"/>
  <c r="H111" i="49" s="1"/>
  <c r="I111" i="49" s="1"/>
  <c r="D112" i="49" s="1"/>
  <c r="E112" i="49"/>
  <c r="J111" i="49"/>
  <c r="F120" i="49"/>
  <c r="G112" i="49" l="1"/>
  <c r="H112" i="49" s="1"/>
  <c r="I112" i="49" s="1"/>
  <c r="D113" i="49" s="1"/>
  <c r="F121" i="49"/>
  <c r="J112" i="49"/>
  <c r="E113" i="49"/>
  <c r="G113" i="49" l="1"/>
  <c r="H113" i="49" s="1"/>
  <c r="I113" i="49" s="1"/>
  <c r="D114" i="49" s="1"/>
  <c r="E114" i="49"/>
  <c r="J113" i="49"/>
  <c r="F122" i="49"/>
  <c r="G114" i="49" l="1"/>
  <c r="H114" i="49" s="1"/>
  <c r="I114" i="49" s="1"/>
  <c r="D115" i="49" s="1"/>
  <c r="E115" i="49"/>
  <c r="J114" i="49"/>
  <c r="F123" i="49"/>
  <c r="G115" i="49" l="1"/>
  <c r="H115" i="49" s="1"/>
  <c r="I115" i="49" s="1"/>
  <c r="D116" i="49" s="1"/>
  <c r="E116" i="49"/>
  <c r="J115" i="49"/>
  <c r="F124" i="49"/>
  <c r="G116" i="49" l="1"/>
  <c r="H116" i="49" s="1"/>
  <c r="I116" i="49" s="1"/>
  <c r="D117" i="49" s="1"/>
  <c r="F125" i="49"/>
  <c r="J116" i="49"/>
  <c r="E117" i="49"/>
  <c r="G117" i="49" l="1"/>
  <c r="H117" i="49" s="1"/>
  <c r="I117" i="49" s="1"/>
  <c r="D118" i="49" s="1"/>
  <c r="J117" i="49"/>
  <c r="E118" i="49"/>
  <c r="F126" i="49"/>
  <c r="G118" i="49" l="1"/>
  <c r="H118" i="49" s="1"/>
  <c r="I118" i="49" s="1"/>
  <c r="D119" i="49" s="1"/>
  <c r="F127" i="49"/>
  <c r="J118" i="49"/>
  <c r="F128" i="49" l="1"/>
  <c r="P16" i="49"/>
  <c r="E119" i="49"/>
  <c r="G119" i="49"/>
  <c r="H119" i="49" l="1"/>
  <c r="I119" i="49" s="1"/>
  <c r="D120" i="49" s="1"/>
  <c r="R16" i="49"/>
  <c r="E120" i="49"/>
  <c r="J119" i="49"/>
  <c r="F129" i="49"/>
  <c r="J120" i="49" l="1"/>
  <c r="E121" i="49"/>
  <c r="F130" i="49"/>
  <c r="G120" i="49"/>
  <c r="H120" i="49" s="1"/>
  <c r="I120" i="49" s="1"/>
  <c r="D121" i="49" s="1"/>
  <c r="G121" i="49" l="1"/>
  <c r="H121" i="49" s="1"/>
  <c r="I121" i="49" s="1"/>
  <c r="D122" i="49" s="1"/>
  <c r="F131" i="49"/>
  <c r="E122" i="49"/>
  <c r="J121" i="49"/>
  <c r="G122" i="49" l="1"/>
  <c r="H122" i="49" s="1"/>
  <c r="I122" i="49" s="1"/>
  <c r="D123" i="49" s="1"/>
  <c r="F132" i="49"/>
  <c r="E123" i="49"/>
  <c r="J122" i="49"/>
  <c r="G123" i="49" l="1"/>
  <c r="H123" i="49" s="1"/>
  <c r="I123" i="49" s="1"/>
  <c r="D124" i="49" s="1"/>
  <c r="F133" i="49"/>
  <c r="E124" i="49"/>
  <c r="J123" i="49"/>
  <c r="G124" i="49" l="1"/>
  <c r="H124" i="49" s="1"/>
  <c r="I124" i="49" s="1"/>
  <c r="D125" i="49" s="1"/>
  <c r="F134" i="49"/>
  <c r="J124" i="49"/>
  <c r="E125" i="49"/>
  <c r="G125" i="49" l="1"/>
  <c r="H125" i="49" s="1"/>
  <c r="I125" i="49" s="1"/>
  <c r="D126" i="49" s="1"/>
  <c r="J125" i="49"/>
  <c r="E126" i="49"/>
  <c r="F135" i="49"/>
  <c r="G126" i="49" l="1"/>
  <c r="F136" i="49"/>
  <c r="E127" i="49"/>
  <c r="H126" i="49"/>
  <c r="I126" i="49" s="1"/>
  <c r="D127" i="49" s="1"/>
  <c r="J126" i="49"/>
  <c r="G127" i="49" l="1"/>
  <c r="H127" i="49" s="1"/>
  <c r="I127" i="49" s="1"/>
  <c r="D128" i="49" s="1"/>
  <c r="F137" i="49"/>
  <c r="J127" i="49"/>
  <c r="E128" i="49"/>
  <c r="G128" i="49" l="1"/>
  <c r="H128" i="49" s="1"/>
  <c r="I128" i="49" s="1"/>
  <c r="D129" i="49" s="1"/>
  <c r="E129" i="49"/>
  <c r="J128" i="49"/>
  <c r="F138" i="49"/>
  <c r="G129" i="49" l="1"/>
  <c r="H129" i="49" s="1"/>
  <c r="I129" i="49" s="1"/>
  <c r="D130" i="49" s="1"/>
  <c r="E130" i="49"/>
  <c r="J129" i="49"/>
  <c r="F139" i="49"/>
  <c r="G130" i="49" l="1"/>
  <c r="H130" i="49" s="1"/>
  <c r="I130" i="49" s="1"/>
  <c r="D131" i="49" s="1"/>
  <c r="J130" i="49"/>
  <c r="F140" i="49"/>
  <c r="P17" i="49" l="1"/>
  <c r="G131" i="49"/>
  <c r="E131" i="49"/>
  <c r="F141" i="49"/>
  <c r="F142" i="49" l="1"/>
  <c r="J131" i="49"/>
  <c r="R17" i="49"/>
  <c r="H131" i="49"/>
  <c r="I131" i="49" s="1"/>
  <c r="D132" i="49" s="1"/>
  <c r="E132" i="49"/>
  <c r="E133" i="49" l="1"/>
  <c r="J132" i="49"/>
  <c r="G132" i="49"/>
  <c r="H132" i="49" s="1"/>
  <c r="I132" i="49" s="1"/>
  <c r="D133" i="49" s="1"/>
  <c r="F143" i="49"/>
  <c r="G133" i="49" l="1"/>
  <c r="H133" i="49" s="1"/>
  <c r="I133" i="49" s="1"/>
  <c r="D134" i="49" s="1"/>
  <c r="J133" i="49"/>
  <c r="E134" i="49"/>
  <c r="F144" i="49"/>
  <c r="G134" i="49" l="1"/>
  <c r="F145" i="49"/>
  <c r="E135" i="49"/>
  <c r="J134" i="49"/>
  <c r="H134" i="49"/>
  <c r="I134" i="49" s="1"/>
  <c r="D135" i="49" s="1"/>
  <c r="G135" i="49" l="1"/>
  <c r="F146" i="49"/>
  <c r="J135" i="49"/>
  <c r="E136" i="49"/>
  <c r="H135" i="49"/>
  <c r="I135" i="49" s="1"/>
  <c r="D136" i="49" s="1"/>
  <c r="G136" i="49" l="1"/>
  <c r="H136" i="49" s="1"/>
  <c r="I136" i="49" s="1"/>
  <c r="D137" i="49" s="1"/>
  <c r="F147" i="49"/>
  <c r="E137" i="49"/>
  <c r="J136" i="49"/>
  <c r="G137" i="49" l="1"/>
  <c r="H137" i="49" s="1"/>
  <c r="I137" i="49" s="1"/>
  <c r="D138" i="49" s="1"/>
  <c r="F148" i="49"/>
  <c r="J137" i="49"/>
  <c r="E138" i="49"/>
  <c r="G138" i="49" l="1"/>
  <c r="H138" i="49" s="1"/>
  <c r="I138" i="49" s="1"/>
  <c r="D139" i="49" s="1"/>
  <c r="F149" i="49"/>
  <c r="E139" i="49"/>
  <c r="J138" i="49"/>
  <c r="G139" i="49" l="1"/>
  <c r="H139" i="49" s="1"/>
  <c r="I139" i="49" s="1"/>
  <c r="D140" i="49" s="1"/>
  <c r="F150" i="49"/>
  <c r="J139" i="49"/>
  <c r="E140" i="49"/>
  <c r="G140" i="49" l="1"/>
  <c r="H140" i="49" s="1"/>
  <c r="I140" i="49" s="1"/>
  <c r="D141" i="49" s="1"/>
  <c r="E141" i="49"/>
  <c r="J140" i="49"/>
  <c r="F151" i="49"/>
  <c r="G141" i="49" l="1"/>
  <c r="H141" i="49" s="1"/>
  <c r="I141" i="49" s="1"/>
  <c r="D142" i="49" s="1"/>
  <c r="J141" i="49"/>
  <c r="E142" i="49"/>
  <c r="F152" i="49"/>
  <c r="G142" i="49" l="1"/>
  <c r="H142" i="49" s="1"/>
  <c r="I142" i="49" s="1"/>
  <c r="D143" i="49" s="1"/>
  <c r="F153" i="49"/>
  <c r="J142" i="49"/>
  <c r="P18" i="49" l="1"/>
  <c r="E143" i="49"/>
  <c r="G143" i="49"/>
  <c r="F154" i="49"/>
  <c r="H143" i="49" l="1"/>
  <c r="I143" i="49" s="1"/>
  <c r="D144" i="49" s="1"/>
  <c r="E144" i="49"/>
  <c r="R18" i="49"/>
  <c r="J143" i="49"/>
  <c r="F155" i="49"/>
  <c r="F156" i="49" l="1"/>
  <c r="J144" i="49"/>
  <c r="E145" i="49"/>
  <c r="G144" i="49"/>
  <c r="H144" i="49" s="1"/>
  <c r="I144" i="49" s="1"/>
  <c r="D145" i="49" s="1"/>
  <c r="G145" i="49" l="1"/>
  <c r="H145" i="49" s="1"/>
  <c r="I145" i="49" s="1"/>
  <c r="D146" i="49" s="1"/>
  <c r="J145" i="49"/>
  <c r="E146" i="49"/>
  <c r="F157" i="49"/>
  <c r="G146" i="49" l="1"/>
  <c r="H146" i="49" s="1"/>
  <c r="I146" i="49" s="1"/>
  <c r="D147" i="49" s="1"/>
  <c r="E147" i="49"/>
  <c r="J146" i="49"/>
  <c r="F158" i="49"/>
  <c r="G147" i="49" l="1"/>
  <c r="E148" i="49"/>
  <c r="H147" i="49"/>
  <c r="I147" i="49" s="1"/>
  <c r="D148" i="49" s="1"/>
  <c r="J147" i="49"/>
  <c r="F159" i="49"/>
  <c r="G148" i="49" l="1"/>
  <c r="H148" i="49" s="1"/>
  <c r="I148" i="49" s="1"/>
  <c r="D149" i="49" s="1"/>
  <c r="J148" i="49"/>
  <c r="E149" i="49"/>
  <c r="F160" i="49"/>
  <c r="G149" i="49" l="1"/>
  <c r="H149" i="49" s="1"/>
  <c r="I149" i="49" s="1"/>
  <c r="D150" i="49" s="1"/>
  <c r="F161" i="49"/>
  <c r="E150" i="49"/>
  <c r="J149" i="49"/>
  <c r="G150" i="49" l="1"/>
  <c r="F162" i="49"/>
  <c r="H150" i="49"/>
  <c r="I150" i="49" s="1"/>
  <c r="D151" i="49" s="1"/>
  <c r="E151" i="49"/>
  <c r="J150" i="49"/>
  <c r="G151" i="49" l="1"/>
  <c r="F163" i="49"/>
  <c r="E152" i="49"/>
  <c r="J151" i="49"/>
  <c r="H151" i="49"/>
  <c r="I151" i="49" s="1"/>
  <c r="D152" i="49" s="1"/>
  <c r="G152" i="49" l="1"/>
  <c r="F164" i="49"/>
  <c r="H152" i="49"/>
  <c r="I152" i="49" s="1"/>
  <c r="D153" i="49" s="1"/>
  <c r="E153" i="49"/>
  <c r="J152" i="49"/>
  <c r="G153" i="49" l="1"/>
  <c r="H153" i="49" s="1"/>
  <c r="I153" i="49" s="1"/>
  <c r="D154" i="49" s="1"/>
  <c r="F165" i="49"/>
  <c r="J153" i="49"/>
  <c r="E154" i="49"/>
  <c r="G154" i="49" l="1"/>
  <c r="F166" i="49"/>
  <c r="H154" i="49"/>
  <c r="I154" i="49" s="1"/>
  <c r="D155" i="49" s="1"/>
  <c r="J154" i="49"/>
  <c r="P19" i="49" l="1"/>
  <c r="E155" i="49"/>
  <c r="G155" i="49"/>
  <c r="F167" i="49"/>
  <c r="R19" i="49" l="1"/>
  <c r="H155" i="49"/>
  <c r="I155" i="49" s="1"/>
  <c r="D156" i="49" s="1"/>
  <c r="J155" i="49"/>
  <c r="E156" i="49"/>
  <c r="F168" i="49"/>
  <c r="E157" i="49" l="1"/>
  <c r="J156" i="49"/>
  <c r="G156" i="49"/>
  <c r="H156" i="49" s="1"/>
  <c r="I156" i="49" s="1"/>
  <c r="D157" i="49" s="1"/>
  <c r="F169" i="49"/>
  <c r="G157" i="49" l="1"/>
  <c r="H157" i="49" s="1"/>
  <c r="I157" i="49" s="1"/>
  <c r="D158" i="49" s="1"/>
  <c r="F170" i="49"/>
  <c r="E158" i="49"/>
  <c r="J157" i="49"/>
  <c r="G158" i="49" l="1"/>
  <c r="H158" i="49" s="1"/>
  <c r="I158" i="49" s="1"/>
  <c r="D159" i="49" s="1"/>
  <c r="F171" i="49"/>
  <c r="E159" i="49"/>
  <c r="J158" i="49"/>
  <c r="G159" i="49" l="1"/>
  <c r="H159" i="49" s="1"/>
  <c r="I159" i="49" s="1"/>
  <c r="D160" i="49" s="1"/>
  <c r="F172" i="49"/>
  <c r="E160" i="49"/>
  <c r="J159" i="49"/>
  <c r="G160" i="49" l="1"/>
  <c r="H160" i="49" s="1"/>
  <c r="I160" i="49" s="1"/>
  <c r="D161" i="49" s="1"/>
  <c r="F173" i="49"/>
  <c r="E161" i="49"/>
  <c r="J160" i="49"/>
  <c r="G161" i="49" l="1"/>
  <c r="H161" i="49" s="1"/>
  <c r="I161" i="49" s="1"/>
  <c r="D162" i="49" s="1"/>
  <c r="F174" i="49"/>
  <c r="E162" i="49"/>
  <c r="J161" i="49"/>
  <c r="G162" i="49" l="1"/>
  <c r="F175" i="49"/>
  <c r="E163" i="49"/>
  <c r="H162" i="49"/>
  <c r="I162" i="49" s="1"/>
  <c r="D163" i="49" s="1"/>
  <c r="J162" i="49"/>
  <c r="G163" i="49" l="1"/>
  <c r="F176" i="49"/>
  <c r="E164" i="49"/>
  <c r="J163" i="49"/>
  <c r="H163" i="49"/>
  <c r="I163" i="49" s="1"/>
  <c r="D164" i="49" s="1"/>
  <c r="G164" i="49" l="1"/>
  <c r="H164" i="49" s="1"/>
  <c r="I164" i="49" s="1"/>
  <c r="D165" i="49" s="1"/>
  <c r="F177" i="49"/>
  <c r="J164" i="49"/>
  <c r="E165" i="49"/>
  <c r="G165" i="49" l="1"/>
  <c r="H165" i="49" s="1"/>
  <c r="I165" i="49" s="1"/>
  <c r="D166" i="49" s="1"/>
  <c r="F178" i="49"/>
  <c r="J165" i="49"/>
  <c r="E166" i="49"/>
  <c r="G166" i="49" l="1"/>
  <c r="H166" i="49" s="1"/>
  <c r="I166" i="49" s="1"/>
  <c r="D167" i="49" s="1"/>
  <c r="J166" i="49"/>
  <c r="F179" i="49"/>
  <c r="P20" i="49" l="1"/>
  <c r="G167" i="49"/>
  <c r="E167" i="49"/>
  <c r="F180" i="49"/>
  <c r="F181" i="49" l="1"/>
  <c r="R20" i="49"/>
  <c r="H167" i="49"/>
  <c r="I167" i="49" s="1"/>
  <c r="D168" i="49" s="1"/>
  <c r="E168" i="49"/>
  <c r="J167" i="49"/>
  <c r="J168" i="49" l="1"/>
  <c r="E169" i="49"/>
  <c r="G168" i="49"/>
  <c r="H168" i="49" s="1"/>
  <c r="I168" i="49" s="1"/>
  <c r="D169" i="49" s="1"/>
  <c r="F182" i="49"/>
  <c r="G169" i="49" l="1"/>
  <c r="J169" i="49"/>
  <c r="E170" i="49"/>
  <c r="H169" i="49"/>
  <c r="I169" i="49" s="1"/>
  <c r="D170" i="49" s="1"/>
  <c r="F183" i="49"/>
  <c r="G170" i="49" l="1"/>
  <c r="E171" i="49"/>
  <c r="H170" i="49"/>
  <c r="I170" i="49" s="1"/>
  <c r="D171" i="49" s="1"/>
  <c r="J170" i="49"/>
  <c r="F184" i="49"/>
  <c r="G171" i="49" l="1"/>
  <c r="H171" i="49" s="1"/>
  <c r="I171" i="49" s="1"/>
  <c r="D172" i="49" s="1"/>
  <c r="E172" i="49"/>
  <c r="J171" i="49"/>
  <c r="F185" i="49"/>
  <c r="G172" i="49" l="1"/>
  <c r="H172" i="49" s="1"/>
  <c r="I172" i="49" s="1"/>
  <c r="D173" i="49" s="1"/>
  <c r="F186" i="49"/>
  <c r="J172" i="49"/>
  <c r="E173" i="49"/>
  <c r="G173" i="49" l="1"/>
  <c r="H173" i="49" s="1"/>
  <c r="I173" i="49" s="1"/>
  <c r="D174" i="49" s="1"/>
  <c r="J173" i="49"/>
  <c r="E174" i="49"/>
  <c r="F187" i="49"/>
  <c r="G174" i="49" l="1"/>
  <c r="H174" i="49" s="1"/>
  <c r="I174" i="49" s="1"/>
  <c r="D175" i="49" s="1"/>
  <c r="J174" i="49"/>
  <c r="E175" i="49"/>
  <c r="F188" i="49"/>
  <c r="G175" i="49" l="1"/>
  <c r="H175" i="49" s="1"/>
  <c r="I175" i="49" s="1"/>
  <c r="D176" i="49" s="1"/>
  <c r="E176" i="49"/>
  <c r="J175" i="49"/>
  <c r="F189" i="49"/>
  <c r="G176" i="49" l="1"/>
  <c r="H176" i="49"/>
  <c r="I176" i="49" s="1"/>
  <c r="D177" i="49" s="1"/>
  <c r="J176" i="49"/>
  <c r="E177" i="49"/>
  <c r="F190" i="49"/>
  <c r="G177" i="49" l="1"/>
  <c r="H177" i="49" s="1"/>
  <c r="I177" i="49" s="1"/>
  <c r="D178" i="49" s="1"/>
  <c r="F191" i="49"/>
  <c r="J177" i="49"/>
  <c r="E178" i="49"/>
  <c r="G178" i="49" l="1"/>
  <c r="F192" i="49"/>
  <c r="J178" i="49"/>
  <c r="H178" i="49"/>
  <c r="I178" i="49" s="1"/>
  <c r="D179" i="49" s="1"/>
  <c r="P21" i="49" l="1"/>
  <c r="E179" i="49"/>
  <c r="G179" i="49"/>
  <c r="F193" i="49"/>
  <c r="R21" i="49" l="1"/>
  <c r="J179" i="49"/>
  <c r="E180" i="49"/>
  <c r="H179" i="49"/>
  <c r="I179" i="49" s="1"/>
  <c r="D180" i="49" s="1"/>
  <c r="F194" i="49"/>
  <c r="G180" i="49" l="1"/>
  <c r="H180" i="49" s="1"/>
  <c r="I180" i="49" s="1"/>
  <c r="D181" i="49" s="1"/>
  <c r="J180" i="49"/>
  <c r="E181" i="49"/>
  <c r="F195" i="49"/>
  <c r="G181" i="49" l="1"/>
  <c r="H181" i="49" s="1"/>
  <c r="I181" i="49" s="1"/>
  <c r="D182" i="49" s="1"/>
  <c r="F196" i="49"/>
  <c r="E182" i="49"/>
  <c r="J181" i="49"/>
  <c r="G182" i="49" l="1"/>
  <c r="F197" i="49"/>
  <c r="E183" i="49"/>
  <c r="H182" i="49"/>
  <c r="I182" i="49" s="1"/>
  <c r="D183" i="49" s="1"/>
  <c r="J182" i="49"/>
  <c r="G183" i="49" l="1"/>
  <c r="H183" i="49"/>
  <c r="I183" i="49" s="1"/>
  <c r="D184" i="49" s="1"/>
  <c r="E184" i="49"/>
  <c r="J183" i="49"/>
  <c r="F198" i="49"/>
  <c r="G184" i="49" l="1"/>
  <c r="H184" i="49" s="1"/>
  <c r="I184" i="49" s="1"/>
  <c r="D185" i="49" s="1"/>
  <c r="E185" i="49"/>
  <c r="J184" i="49"/>
  <c r="F199" i="49"/>
  <c r="G185" i="49" l="1"/>
  <c r="H185" i="49" s="1"/>
  <c r="I185" i="49" s="1"/>
  <c r="D186" i="49" s="1"/>
  <c r="E186" i="49"/>
  <c r="J185" i="49"/>
  <c r="F200" i="49"/>
  <c r="G186" i="49" l="1"/>
  <c r="H186" i="49" s="1"/>
  <c r="I186" i="49" s="1"/>
  <c r="D187" i="49" s="1"/>
  <c r="E187" i="49"/>
  <c r="J186" i="49"/>
  <c r="F201" i="49"/>
  <c r="G187" i="49" l="1"/>
  <c r="H187" i="49" s="1"/>
  <c r="I187" i="49" s="1"/>
  <c r="D188" i="49" s="1"/>
  <c r="J187" i="49"/>
  <c r="E188" i="49"/>
  <c r="F202" i="49"/>
  <c r="G188" i="49" l="1"/>
  <c r="H188" i="49" s="1"/>
  <c r="I188" i="49" s="1"/>
  <c r="D189" i="49" s="1"/>
  <c r="E189" i="49"/>
  <c r="J188" i="49"/>
  <c r="F203" i="49"/>
  <c r="G189" i="49" l="1"/>
  <c r="H189" i="49" s="1"/>
  <c r="I189" i="49" s="1"/>
  <c r="D190" i="49" s="1"/>
  <c r="J189" i="49"/>
  <c r="E190" i="49"/>
  <c r="F204" i="49"/>
  <c r="G190" i="49" l="1"/>
  <c r="F205" i="49"/>
  <c r="J190" i="49"/>
  <c r="H190" i="49"/>
  <c r="I190" i="49" s="1"/>
  <c r="D191" i="49" s="1"/>
  <c r="P22" i="49" l="1"/>
  <c r="G191" i="49"/>
  <c r="E191" i="49"/>
  <c r="F206" i="49"/>
  <c r="H191" i="49" l="1"/>
  <c r="I191" i="49" s="1"/>
  <c r="D192" i="49" s="1"/>
  <c r="E192" i="49"/>
  <c r="J191" i="49"/>
  <c r="R22" i="49"/>
  <c r="F207" i="49"/>
  <c r="F208" i="49" l="1"/>
  <c r="G192" i="49"/>
  <c r="E193" i="49"/>
  <c r="H192" i="49"/>
  <c r="I192" i="49" s="1"/>
  <c r="D193" i="49" s="1"/>
  <c r="J192" i="49"/>
  <c r="G193" i="49" l="1"/>
  <c r="H193" i="49" s="1"/>
  <c r="I193" i="49" s="1"/>
  <c r="D194" i="49" s="1"/>
  <c r="E194" i="49"/>
  <c r="J193" i="49"/>
  <c r="F209" i="49"/>
  <c r="G194" i="49" l="1"/>
  <c r="H194" i="49" s="1"/>
  <c r="I194" i="49" s="1"/>
  <c r="D195" i="49" s="1"/>
  <c r="E195" i="49"/>
  <c r="J194" i="49"/>
  <c r="F210" i="49"/>
  <c r="G195" i="49" l="1"/>
  <c r="H195" i="49" s="1"/>
  <c r="I195" i="49" s="1"/>
  <c r="D196" i="49" s="1"/>
  <c r="J195" i="49"/>
  <c r="E196" i="49"/>
  <c r="F211" i="49"/>
  <c r="G196" i="49" l="1"/>
  <c r="H196" i="49" s="1"/>
  <c r="I196" i="49" s="1"/>
  <c r="D197" i="49" s="1"/>
  <c r="F212" i="49"/>
  <c r="E197" i="49"/>
  <c r="J196" i="49"/>
  <c r="G197" i="49" l="1"/>
  <c r="H197" i="49" s="1"/>
  <c r="I197" i="49" s="1"/>
  <c r="D198" i="49" s="1"/>
  <c r="F213" i="49"/>
  <c r="E198" i="49"/>
  <c r="J197" i="49"/>
  <c r="G198" i="49" l="1"/>
  <c r="H198" i="49" s="1"/>
  <c r="I198" i="49" s="1"/>
  <c r="D199" i="49" s="1"/>
  <c r="F214" i="49"/>
  <c r="E199" i="49"/>
  <c r="J198" i="49"/>
  <c r="G199" i="49" l="1"/>
  <c r="H199" i="49" s="1"/>
  <c r="I199" i="49" s="1"/>
  <c r="D200" i="49" s="1"/>
  <c r="F215" i="49"/>
  <c r="J199" i="49"/>
  <c r="E200" i="49"/>
  <c r="G200" i="49" l="1"/>
  <c r="H200" i="49" s="1"/>
  <c r="I200" i="49" s="1"/>
  <c r="D201" i="49" s="1"/>
  <c r="F216" i="49"/>
  <c r="J200" i="49"/>
  <c r="E201" i="49"/>
  <c r="G201" i="49" l="1"/>
  <c r="H201" i="49" s="1"/>
  <c r="I201" i="49" s="1"/>
  <c r="D202" i="49" s="1"/>
  <c r="F217" i="49"/>
  <c r="E202" i="49"/>
  <c r="J201" i="49"/>
  <c r="G202" i="49" l="1"/>
  <c r="H202" i="49" s="1"/>
  <c r="I202" i="49" s="1"/>
  <c r="D203" i="49" s="1"/>
  <c r="F218" i="49"/>
  <c r="J202" i="49"/>
  <c r="P23" i="49" l="1"/>
  <c r="E203" i="49"/>
  <c r="G203" i="49"/>
  <c r="F219" i="49"/>
  <c r="E204" i="49" l="1"/>
  <c r="R23" i="49"/>
  <c r="H203" i="49"/>
  <c r="I203" i="49" s="1"/>
  <c r="D204" i="49" s="1"/>
  <c r="J203" i="49"/>
  <c r="F220" i="49"/>
  <c r="F221" i="49" l="1"/>
  <c r="E205" i="49"/>
  <c r="J204" i="49"/>
  <c r="G204" i="49"/>
  <c r="H204" i="49" s="1"/>
  <c r="I204" i="49" s="1"/>
  <c r="D205" i="49" s="1"/>
  <c r="G205" i="49" l="1"/>
  <c r="H205" i="49" s="1"/>
  <c r="I205" i="49" s="1"/>
  <c r="D206" i="49" s="1"/>
  <c r="F222" i="49"/>
  <c r="J205" i="49"/>
  <c r="E206" i="49"/>
  <c r="G206" i="49" l="1"/>
  <c r="F223" i="49"/>
  <c r="J206" i="49"/>
  <c r="H206" i="49"/>
  <c r="I206" i="49" s="1"/>
  <c r="D207" i="49" s="1"/>
  <c r="E207" i="49"/>
  <c r="G207" i="49" l="1"/>
  <c r="H207" i="49" s="1"/>
  <c r="I207" i="49" s="1"/>
  <c r="D208" i="49" s="1"/>
  <c r="E208" i="49"/>
  <c r="J207" i="49"/>
  <c r="F224" i="49"/>
  <c r="G208" i="49" l="1"/>
  <c r="F225" i="49"/>
  <c r="J208" i="49"/>
  <c r="H208" i="49"/>
  <c r="I208" i="49" s="1"/>
  <c r="D209" i="49" s="1"/>
  <c r="E209" i="49"/>
  <c r="G209" i="49" l="1"/>
  <c r="H209" i="49" s="1"/>
  <c r="I209" i="49" s="1"/>
  <c r="D210" i="49" s="1"/>
  <c r="J209" i="49"/>
  <c r="E210" i="49"/>
  <c r="F226" i="49"/>
  <c r="G210" i="49" l="1"/>
  <c r="H210" i="49" s="1"/>
  <c r="I210" i="49" s="1"/>
  <c r="D211" i="49" s="1"/>
  <c r="F227" i="49"/>
  <c r="J210" i="49"/>
  <c r="E211" i="49"/>
  <c r="G211" i="49" l="1"/>
  <c r="H211" i="49" s="1"/>
  <c r="I211" i="49" s="1"/>
  <c r="D212" i="49" s="1"/>
  <c r="E212" i="49"/>
  <c r="J211" i="49"/>
  <c r="F228" i="49"/>
  <c r="G212" i="49" l="1"/>
  <c r="H212" i="49" s="1"/>
  <c r="I212" i="49" s="1"/>
  <c r="D213" i="49" s="1"/>
  <c r="E213" i="49"/>
  <c r="J212" i="49"/>
  <c r="F229" i="49"/>
  <c r="G213" i="49" l="1"/>
  <c r="H213" i="49" s="1"/>
  <c r="I213" i="49" s="1"/>
  <c r="D214" i="49" s="1"/>
  <c r="E214" i="49"/>
  <c r="J213" i="49"/>
  <c r="F230" i="49"/>
  <c r="G214" i="49" l="1"/>
  <c r="H214" i="49" s="1"/>
  <c r="I214" i="49" s="1"/>
  <c r="D215" i="49" s="1"/>
  <c r="J214" i="49"/>
  <c r="F231" i="49"/>
  <c r="P24" i="49" l="1"/>
  <c r="G215" i="49"/>
  <c r="E215" i="49"/>
  <c r="F232" i="49"/>
  <c r="H215" i="49" l="1"/>
  <c r="I215" i="49" s="1"/>
  <c r="D216" i="49" s="1"/>
  <c r="E216" i="49"/>
  <c r="R24" i="49"/>
  <c r="J215" i="49"/>
  <c r="F233" i="49"/>
  <c r="F234" i="49" l="1"/>
  <c r="E217" i="49"/>
  <c r="J216" i="49"/>
  <c r="G216" i="49"/>
  <c r="H216" i="49" s="1"/>
  <c r="I216" i="49" s="1"/>
  <c r="D217" i="49" s="1"/>
  <c r="G217" i="49" l="1"/>
  <c r="H217" i="49" s="1"/>
  <c r="I217" i="49" s="1"/>
  <c r="D218" i="49" s="1"/>
  <c r="E218" i="49"/>
  <c r="J217" i="49"/>
  <c r="F235" i="49"/>
  <c r="G218" i="49" l="1"/>
  <c r="H218" i="49" s="1"/>
  <c r="I218" i="49" s="1"/>
  <c r="D219" i="49" s="1"/>
  <c r="F236" i="49"/>
  <c r="E219" i="49"/>
  <c r="J218" i="49"/>
  <c r="G219" i="49" l="1"/>
  <c r="H219" i="49" s="1"/>
  <c r="I219" i="49" s="1"/>
  <c r="D220" i="49" s="1"/>
  <c r="F237" i="49"/>
  <c r="J219" i="49"/>
  <c r="E220" i="49"/>
  <c r="G220" i="49" l="1"/>
  <c r="H220" i="49" s="1"/>
  <c r="I220" i="49" s="1"/>
  <c r="D221" i="49" s="1"/>
  <c r="J220" i="49"/>
  <c r="E221" i="49"/>
  <c r="F238" i="49"/>
  <c r="G221" i="49" l="1"/>
  <c r="H221" i="49" s="1"/>
  <c r="I221" i="49" s="1"/>
  <c r="D222" i="49" s="1"/>
  <c r="F239" i="49"/>
  <c r="E222" i="49"/>
  <c r="J221" i="49"/>
  <c r="G222" i="49" l="1"/>
  <c r="F240" i="49"/>
  <c r="H222" i="49"/>
  <c r="I222" i="49" s="1"/>
  <c r="D223" i="49" s="1"/>
  <c r="E223" i="49"/>
  <c r="J222" i="49"/>
  <c r="G223" i="49" l="1"/>
  <c r="H223" i="49" s="1"/>
  <c r="I223" i="49" s="1"/>
  <c r="D224" i="49" s="1"/>
  <c r="F241" i="49"/>
  <c r="E224" i="49"/>
  <c r="J223" i="49"/>
  <c r="G224" i="49" l="1"/>
  <c r="H224" i="49" s="1"/>
  <c r="I224" i="49" s="1"/>
  <c r="D225" i="49" s="1"/>
  <c r="F242" i="49"/>
  <c r="E225" i="49"/>
  <c r="J224" i="49"/>
  <c r="G225" i="49" l="1"/>
  <c r="F243" i="49"/>
  <c r="E226" i="49"/>
  <c r="J225" i="49"/>
  <c r="H225" i="49"/>
  <c r="I225" i="49" s="1"/>
  <c r="D226" i="49" s="1"/>
  <c r="G226" i="49" l="1"/>
  <c r="F244" i="49"/>
  <c r="H226" i="49"/>
  <c r="I226" i="49" s="1"/>
  <c r="D227" i="49" s="1"/>
  <c r="J226" i="49"/>
  <c r="P25" i="49" l="1"/>
  <c r="E227" i="49"/>
  <c r="G227" i="49"/>
  <c r="F245" i="49"/>
  <c r="R25" i="49" l="1"/>
  <c r="J227" i="49"/>
  <c r="E228" i="49"/>
  <c r="H227" i="49"/>
  <c r="I227" i="49" s="1"/>
  <c r="D228" i="49" s="1"/>
  <c r="F246" i="49"/>
  <c r="G228" i="49" l="1"/>
  <c r="H228" i="49" s="1"/>
  <c r="I228" i="49" s="1"/>
  <c r="D229" i="49" s="1"/>
  <c r="J228" i="49"/>
  <c r="E229" i="49"/>
  <c r="F247" i="49"/>
  <c r="G229" i="49" l="1"/>
  <c r="F248" i="49"/>
  <c r="J229" i="49"/>
  <c r="E230" i="49"/>
  <c r="H229" i="49"/>
  <c r="I229" i="49" s="1"/>
  <c r="D230" i="49" s="1"/>
  <c r="G230" i="49" l="1"/>
  <c r="H230" i="49" s="1"/>
  <c r="I230" i="49" s="1"/>
  <c r="D231" i="49" s="1"/>
  <c r="F249" i="49"/>
  <c r="E231" i="49"/>
  <c r="J230" i="49"/>
  <c r="G231" i="49" l="1"/>
  <c r="H231" i="49" s="1"/>
  <c r="I231" i="49" s="1"/>
  <c r="D232" i="49" s="1"/>
  <c r="F250" i="49"/>
  <c r="E232" i="49"/>
  <c r="J231" i="49"/>
  <c r="G232" i="49" l="1"/>
  <c r="F251" i="49"/>
  <c r="E233" i="49"/>
  <c r="H232" i="49"/>
  <c r="I232" i="49" s="1"/>
  <c r="D233" i="49" s="1"/>
  <c r="J232" i="49"/>
  <c r="G233" i="49" l="1"/>
  <c r="F252" i="49"/>
  <c r="E234" i="49"/>
  <c r="J233" i="49"/>
  <c r="H233" i="49"/>
  <c r="I233" i="49" s="1"/>
  <c r="D234" i="49" s="1"/>
  <c r="G234" i="49" l="1"/>
  <c r="F253" i="49"/>
  <c r="J234" i="49"/>
  <c r="H234" i="49"/>
  <c r="I234" i="49" s="1"/>
  <c r="D235" i="49" s="1"/>
  <c r="E235" i="49"/>
  <c r="G235" i="49" l="1"/>
  <c r="F254" i="49"/>
  <c r="J235" i="49"/>
  <c r="E236" i="49"/>
  <c r="H235" i="49"/>
  <c r="I235" i="49" s="1"/>
  <c r="D236" i="49" s="1"/>
  <c r="G236" i="49" l="1"/>
  <c r="F255" i="49"/>
  <c r="E237" i="49"/>
  <c r="J236" i="49"/>
  <c r="H236" i="49"/>
  <c r="I236" i="49" s="1"/>
  <c r="D237" i="49" s="1"/>
  <c r="G237" i="49" l="1"/>
  <c r="H237" i="49" s="1"/>
  <c r="I237" i="49" s="1"/>
  <c r="D238" i="49" s="1"/>
  <c r="F256" i="49"/>
  <c r="E238" i="49"/>
  <c r="J237" i="49"/>
  <c r="G238" i="49" l="1"/>
  <c r="H238" i="49" s="1"/>
  <c r="I238" i="49" s="1"/>
  <c r="D239" i="49" s="1"/>
  <c r="F257" i="49"/>
  <c r="J238" i="49"/>
  <c r="P26" i="49" l="1"/>
  <c r="E239" i="49"/>
  <c r="G239" i="49"/>
  <c r="F258" i="49"/>
  <c r="R26" i="49" l="1"/>
  <c r="E240" i="49"/>
  <c r="H239" i="49"/>
  <c r="I239" i="49" s="1"/>
  <c r="D240" i="49" s="1"/>
  <c r="J239" i="49"/>
  <c r="F259" i="49"/>
  <c r="G240" i="49" l="1"/>
  <c r="H240" i="49" s="1"/>
  <c r="I240" i="49" s="1"/>
  <c r="D241" i="49" s="1"/>
  <c r="E241" i="49"/>
  <c r="J240" i="49"/>
  <c r="F260" i="49"/>
  <c r="G241" i="49" l="1"/>
  <c r="H241" i="49" s="1"/>
  <c r="I241" i="49" s="1"/>
  <c r="D242" i="49" s="1"/>
  <c r="F261" i="49"/>
  <c r="E242" i="49"/>
  <c r="J241" i="49"/>
  <c r="G242" i="49" l="1"/>
  <c r="H242" i="49" s="1"/>
  <c r="I242" i="49" s="1"/>
  <c r="D243" i="49" s="1"/>
  <c r="F262" i="49"/>
  <c r="E243" i="49"/>
  <c r="J242" i="49"/>
  <c r="G243" i="49" l="1"/>
  <c r="H243" i="49" s="1"/>
  <c r="I243" i="49" s="1"/>
  <c r="D244" i="49" s="1"/>
  <c r="F263" i="49"/>
  <c r="J243" i="49"/>
  <c r="E244" i="49"/>
  <c r="G244" i="49" l="1"/>
  <c r="H244" i="49" s="1"/>
  <c r="I244" i="49" s="1"/>
  <c r="D245" i="49" s="1"/>
  <c r="F264" i="49"/>
  <c r="E245" i="49"/>
  <c r="J244" i="49"/>
  <c r="G245" i="49" l="1"/>
  <c r="F265" i="49"/>
  <c r="E246" i="49"/>
  <c r="H245" i="49"/>
  <c r="I245" i="49" s="1"/>
  <c r="D246" i="49" s="1"/>
  <c r="J245" i="49"/>
  <c r="G246" i="49" l="1"/>
  <c r="H246" i="49" s="1"/>
  <c r="I246" i="49" s="1"/>
  <c r="D247" i="49" s="1"/>
  <c r="F266" i="49"/>
  <c r="J246" i="49"/>
  <c r="E247" i="49"/>
  <c r="G247" i="49" l="1"/>
  <c r="E248" i="49"/>
  <c r="J247" i="49"/>
  <c r="H247" i="49"/>
  <c r="I247" i="49" s="1"/>
  <c r="D248" i="49" s="1"/>
  <c r="F267" i="49"/>
  <c r="G248" i="49" l="1"/>
  <c r="H248" i="49" s="1"/>
  <c r="I248" i="49" s="1"/>
  <c r="D249" i="49" s="1"/>
  <c r="E249" i="49"/>
  <c r="J248" i="49"/>
  <c r="F268" i="49"/>
  <c r="G249" i="49" l="1"/>
  <c r="H249" i="49" s="1"/>
  <c r="I249" i="49" s="1"/>
  <c r="D250" i="49" s="1"/>
  <c r="F269" i="49"/>
  <c r="E250" i="49"/>
  <c r="J249" i="49"/>
  <c r="G250" i="49" l="1"/>
  <c r="H250" i="49" s="1"/>
  <c r="I250" i="49" s="1"/>
  <c r="D251" i="49" s="1"/>
  <c r="F270" i="49"/>
  <c r="J250" i="49"/>
  <c r="P27" i="49" l="1"/>
  <c r="G251" i="49"/>
  <c r="E251" i="49"/>
  <c r="F271" i="49"/>
  <c r="H251" i="49" l="1"/>
  <c r="I251" i="49" s="1"/>
  <c r="D252" i="49" s="1"/>
  <c r="R27" i="49"/>
  <c r="E252" i="49"/>
  <c r="J251" i="49"/>
  <c r="F272" i="49"/>
  <c r="J252" i="49" l="1"/>
  <c r="E253" i="49"/>
  <c r="F273" i="49"/>
  <c r="G252" i="49"/>
  <c r="H252" i="49" s="1"/>
  <c r="I252" i="49" s="1"/>
  <c r="D253" i="49" s="1"/>
  <c r="G253" i="49" l="1"/>
  <c r="H253" i="49" s="1"/>
  <c r="I253" i="49" s="1"/>
  <c r="D254" i="49" s="1"/>
  <c r="E254" i="49"/>
  <c r="J253" i="49"/>
  <c r="F274" i="49"/>
  <c r="G254" i="49" l="1"/>
  <c r="J254" i="49"/>
  <c r="H254" i="49"/>
  <c r="I254" i="49" s="1"/>
  <c r="D255" i="49" s="1"/>
  <c r="E255" i="49"/>
  <c r="F275" i="49"/>
  <c r="G255" i="49" l="1"/>
  <c r="H255" i="49" s="1"/>
  <c r="I255" i="49" s="1"/>
  <c r="D256" i="49" s="1"/>
  <c r="F276" i="49"/>
  <c r="E256" i="49"/>
  <c r="J255" i="49"/>
  <c r="G256" i="49" l="1"/>
  <c r="H256" i="49" s="1"/>
  <c r="I256" i="49" s="1"/>
  <c r="D257" i="49" s="1"/>
  <c r="F277" i="49"/>
  <c r="E257" i="49"/>
  <c r="J256" i="49"/>
  <c r="G257" i="49" l="1"/>
  <c r="H257" i="49" s="1"/>
  <c r="I257" i="49" s="1"/>
  <c r="D258" i="49" s="1"/>
  <c r="F278" i="49"/>
  <c r="J257" i="49"/>
  <c r="E258" i="49"/>
  <c r="G258" i="49" l="1"/>
  <c r="H258" i="49" s="1"/>
  <c r="I258" i="49" s="1"/>
  <c r="D259" i="49" s="1"/>
  <c r="F279" i="49"/>
  <c r="J258" i="49"/>
  <c r="E259" i="49"/>
  <c r="G259" i="49" l="1"/>
  <c r="H259" i="49" s="1"/>
  <c r="I259" i="49" s="1"/>
  <c r="D260" i="49" s="1"/>
  <c r="F280" i="49"/>
  <c r="E260" i="49"/>
  <c r="J259" i="49"/>
  <c r="G260" i="49" l="1"/>
  <c r="F281" i="49"/>
  <c r="E261" i="49"/>
  <c r="H260" i="49"/>
  <c r="I260" i="49" s="1"/>
  <c r="D261" i="49" s="1"/>
  <c r="J260" i="49"/>
  <c r="G261" i="49" l="1"/>
  <c r="H261" i="49" s="1"/>
  <c r="I261" i="49" s="1"/>
  <c r="D262" i="49" s="1"/>
  <c r="F282" i="49"/>
  <c r="J261" i="49"/>
  <c r="E262" i="49"/>
  <c r="G262" i="49" l="1"/>
  <c r="J262" i="49"/>
  <c r="H262" i="49"/>
  <c r="I262" i="49" s="1"/>
  <c r="D263" i="49" s="1"/>
  <c r="F283" i="49"/>
  <c r="P28" i="49" l="1"/>
  <c r="E263" i="49"/>
  <c r="G263" i="49"/>
  <c r="F284" i="49"/>
  <c r="E264" i="49" l="1"/>
  <c r="J263" i="49"/>
  <c r="R28" i="49"/>
  <c r="H263" i="49"/>
  <c r="I263" i="49" s="1"/>
  <c r="D264" i="49" s="1"/>
  <c r="F285" i="49"/>
  <c r="G264" i="49" l="1"/>
  <c r="H264" i="49" s="1"/>
  <c r="I264" i="49" s="1"/>
  <c r="D265" i="49" s="1"/>
  <c r="F286" i="49"/>
  <c r="E265" i="49"/>
  <c r="J264" i="49"/>
  <c r="G265" i="49" l="1"/>
  <c r="F287" i="49"/>
  <c r="J265" i="49"/>
  <c r="H265" i="49"/>
  <c r="I265" i="49" s="1"/>
  <c r="D266" i="49" s="1"/>
  <c r="E266" i="49"/>
  <c r="G266" i="49" l="1"/>
  <c r="H266" i="49" s="1"/>
  <c r="I266" i="49" s="1"/>
  <c r="D267" i="49" s="1"/>
  <c r="F288" i="49"/>
  <c r="E267" i="49"/>
  <c r="J266" i="49"/>
  <c r="F289" i="49" l="1"/>
  <c r="J267" i="49"/>
  <c r="E268" i="49"/>
  <c r="G267" i="49"/>
  <c r="H267" i="49" s="1"/>
  <c r="I267" i="49" s="1"/>
  <c r="D268" i="49" s="1"/>
  <c r="G268" i="49" l="1"/>
  <c r="H268" i="49" s="1"/>
  <c r="I268" i="49" s="1"/>
  <c r="D269" i="49" s="1"/>
  <c r="J268" i="49"/>
  <c r="E269" i="49"/>
  <c r="F290" i="49"/>
  <c r="G269" i="49" l="1"/>
  <c r="F291" i="49"/>
  <c r="J269" i="49"/>
  <c r="E270" i="49"/>
  <c r="H269" i="49"/>
  <c r="I269" i="49" s="1"/>
  <c r="D270" i="49" s="1"/>
  <c r="G270" i="49" l="1"/>
  <c r="H270" i="49" s="1"/>
  <c r="I270" i="49" s="1"/>
  <c r="D271" i="49" s="1"/>
  <c r="F292" i="49"/>
  <c r="J270" i="49"/>
  <c r="E271" i="49"/>
  <c r="G271" i="49" l="1"/>
  <c r="H271" i="49" s="1"/>
  <c r="I271" i="49" s="1"/>
  <c r="D272" i="49" s="1"/>
  <c r="E272" i="49"/>
  <c r="J271" i="49"/>
  <c r="F293" i="49"/>
  <c r="G272" i="49" l="1"/>
  <c r="H272" i="49" s="1"/>
  <c r="I272" i="49" s="1"/>
  <c r="D273" i="49" s="1"/>
  <c r="J272" i="49"/>
  <c r="E273" i="49"/>
  <c r="F294" i="49"/>
  <c r="G273" i="49" l="1"/>
  <c r="H273" i="49" s="1"/>
  <c r="I273" i="49" s="1"/>
  <c r="D274" i="49" s="1"/>
  <c r="F295" i="49"/>
  <c r="J273" i="49"/>
  <c r="E274" i="49"/>
  <c r="G274" i="49" l="1"/>
  <c r="H274" i="49" s="1"/>
  <c r="I274" i="49" s="1"/>
  <c r="D275" i="49" s="1"/>
  <c r="F296" i="49"/>
  <c r="J274" i="49"/>
  <c r="P29" i="49" l="1"/>
  <c r="G275" i="49"/>
  <c r="E275" i="49"/>
  <c r="F297" i="49"/>
  <c r="E276" i="49" l="1"/>
  <c r="J275" i="49"/>
  <c r="H275" i="49"/>
  <c r="I275" i="49" s="1"/>
  <c r="D276" i="49" s="1"/>
  <c r="R29" i="49"/>
  <c r="F298" i="49"/>
  <c r="G276" i="49" l="1"/>
  <c r="F299" i="49"/>
  <c r="E277" i="49"/>
  <c r="H276" i="49"/>
  <c r="I276" i="49" s="1"/>
  <c r="D277" i="49" s="1"/>
  <c r="J276" i="49"/>
  <c r="G277" i="49" l="1"/>
  <c r="H277" i="49" s="1"/>
  <c r="I277" i="49" s="1"/>
  <c r="D278" i="49" s="1"/>
  <c r="F300" i="49"/>
  <c r="E278" i="49"/>
  <c r="J277" i="49"/>
  <c r="G278" i="49" l="1"/>
  <c r="H278" i="49" s="1"/>
  <c r="I278" i="49" s="1"/>
  <c r="D279" i="49" s="1"/>
  <c r="J278" i="49"/>
  <c r="E279" i="49"/>
  <c r="F301" i="49"/>
  <c r="G279" i="49" l="1"/>
  <c r="F302" i="49"/>
  <c r="H279" i="49"/>
  <c r="I279" i="49" s="1"/>
  <c r="D280" i="49" s="1"/>
  <c r="J279" i="49"/>
  <c r="E280" i="49"/>
  <c r="G280" i="49" l="1"/>
  <c r="H280" i="49" s="1"/>
  <c r="I280" i="49" s="1"/>
  <c r="D281" i="49" s="1"/>
  <c r="F303" i="49"/>
  <c r="E281" i="49"/>
  <c r="J280" i="49"/>
  <c r="G281" i="49" l="1"/>
  <c r="H281" i="49" s="1"/>
  <c r="I281" i="49" s="1"/>
  <c r="D282" i="49" s="1"/>
  <c r="F304" i="49"/>
  <c r="E282" i="49"/>
  <c r="J281" i="49"/>
  <c r="G282" i="49" l="1"/>
  <c r="H282" i="49" s="1"/>
  <c r="I282" i="49" s="1"/>
  <c r="D283" i="49" s="1"/>
  <c r="F305" i="49"/>
  <c r="J282" i="49"/>
  <c r="E283" i="49"/>
  <c r="G283" i="49" l="1"/>
  <c r="H283" i="49" s="1"/>
  <c r="I283" i="49" s="1"/>
  <c r="D284" i="49" s="1"/>
  <c r="F306" i="49"/>
  <c r="E284" i="49"/>
  <c r="J283" i="49"/>
  <c r="G284" i="49" l="1"/>
  <c r="H284" i="49" s="1"/>
  <c r="I284" i="49" s="1"/>
  <c r="D285" i="49" s="1"/>
  <c r="F307" i="49"/>
  <c r="J284" i="49"/>
  <c r="E285" i="49"/>
  <c r="G285" i="49" l="1"/>
  <c r="H285" i="49" s="1"/>
  <c r="I285" i="49" s="1"/>
  <c r="D286" i="49" s="1"/>
  <c r="F308" i="49"/>
  <c r="J285" i="49"/>
  <c r="E286" i="49"/>
  <c r="G286" i="49" l="1"/>
  <c r="H286" i="49" s="1"/>
  <c r="I286" i="49" s="1"/>
  <c r="D287" i="49" s="1"/>
  <c r="F309" i="49"/>
  <c r="J286" i="49"/>
  <c r="P30" i="49" l="1"/>
  <c r="G287" i="49"/>
  <c r="E287" i="49"/>
  <c r="F310" i="49"/>
  <c r="J287" i="49" l="1"/>
  <c r="H287" i="49"/>
  <c r="I287" i="49" s="1"/>
  <c r="D288" i="49" s="1"/>
  <c r="R30" i="49"/>
  <c r="E288" i="49"/>
  <c r="F311" i="49"/>
  <c r="J288" i="49" l="1"/>
  <c r="E289" i="49"/>
  <c r="G288" i="49"/>
  <c r="H288" i="49" s="1"/>
  <c r="I288" i="49" s="1"/>
  <c r="D289" i="49" s="1"/>
  <c r="F312" i="49"/>
  <c r="G289" i="49" l="1"/>
  <c r="H289" i="49" s="1"/>
  <c r="I289" i="49" s="1"/>
  <c r="D290" i="49" s="1"/>
  <c r="F313" i="49"/>
  <c r="J289" i="49"/>
  <c r="E290" i="49"/>
  <c r="G290" i="49" l="1"/>
  <c r="H290" i="49" s="1"/>
  <c r="I290" i="49" s="1"/>
  <c r="D291" i="49" s="1"/>
  <c r="E291" i="49"/>
  <c r="J290" i="49"/>
  <c r="F314" i="49"/>
  <c r="G291" i="49" l="1"/>
  <c r="H291" i="49" s="1"/>
  <c r="I291" i="49" s="1"/>
  <c r="D292" i="49" s="1"/>
  <c r="F315" i="49"/>
  <c r="J291" i="49"/>
  <c r="E292" i="49"/>
  <c r="G292" i="49" l="1"/>
  <c r="F316" i="49"/>
  <c r="H292" i="49"/>
  <c r="I292" i="49" s="1"/>
  <c r="D293" i="49" s="1"/>
  <c r="E293" i="49"/>
  <c r="J292" i="49"/>
  <c r="G293" i="49" l="1"/>
  <c r="H293" i="49" s="1"/>
  <c r="I293" i="49" s="1"/>
  <c r="D294" i="49" s="1"/>
  <c r="F317" i="49"/>
  <c r="J293" i="49"/>
  <c r="E294" i="49"/>
  <c r="G294" i="49" l="1"/>
  <c r="H294" i="49"/>
  <c r="I294" i="49" s="1"/>
  <c r="D295" i="49" s="1"/>
  <c r="E295" i="49"/>
  <c r="J294" i="49"/>
  <c r="F318" i="49"/>
  <c r="G295" i="49" l="1"/>
  <c r="H295" i="49" s="1"/>
  <c r="I295" i="49" s="1"/>
  <c r="D296" i="49" s="1"/>
  <c r="E296" i="49"/>
  <c r="J295" i="49"/>
  <c r="F319" i="49"/>
  <c r="G296" i="49" l="1"/>
  <c r="H296" i="49" s="1"/>
  <c r="I296" i="49" s="1"/>
  <c r="D297" i="49" s="1"/>
  <c r="J296" i="49"/>
  <c r="E297" i="49"/>
  <c r="F320" i="49"/>
  <c r="G297" i="49" l="1"/>
  <c r="F321" i="49"/>
  <c r="J297" i="49"/>
  <c r="H297" i="49"/>
  <c r="I297" i="49" s="1"/>
  <c r="D298" i="49" s="1"/>
  <c r="E298" i="49"/>
  <c r="G298" i="49" l="1"/>
  <c r="H298" i="49" s="1"/>
  <c r="I298" i="49" s="1"/>
  <c r="D299" i="49" s="1"/>
  <c r="F322" i="49"/>
  <c r="J298" i="49"/>
  <c r="P31" i="49" l="1"/>
  <c r="G299" i="49"/>
  <c r="E299" i="49"/>
  <c r="F323" i="49"/>
  <c r="J299" i="49" l="1"/>
  <c r="H299" i="49"/>
  <c r="I299" i="49" s="1"/>
  <c r="D300" i="49" s="1"/>
  <c r="R31" i="49"/>
  <c r="E300" i="49"/>
  <c r="F324" i="49"/>
  <c r="G300" i="49" l="1"/>
  <c r="H300" i="49" s="1"/>
  <c r="I300" i="49" s="1"/>
  <c r="D301" i="49" s="1"/>
  <c r="J300" i="49"/>
  <c r="E301" i="49"/>
  <c r="F325" i="49"/>
  <c r="G301" i="49" l="1"/>
  <c r="H301" i="49"/>
  <c r="I301" i="49" s="1"/>
  <c r="D302" i="49" s="1"/>
  <c r="J301" i="49"/>
  <c r="E302" i="49"/>
  <c r="F326" i="49"/>
  <c r="G302" i="49" l="1"/>
  <c r="H302" i="49" s="1"/>
  <c r="I302" i="49" s="1"/>
  <c r="D303" i="49" s="1"/>
  <c r="F327" i="49"/>
  <c r="J302" i="49"/>
  <c r="E303" i="49"/>
  <c r="G303" i="49" l="1"/>
  <c r="H303" i="49" s="1"/>
  <c r="I303" i="49" s="1"/>
  <c r="D304" i="49" s="1"/>
  <c r="F328" i="49"/>
  <c r="J303" i="49"/>
  <c r="E304" i="49"/>
  <c r="G304" i="49" l="1"/>
  <c r="H304" i="49" s="1"/>
  <c r="I304" i="49" s="1"/>
  <c r="D305" i="49" s="1"/>
  <c r="F329" i="49"/>
  <c r="J304" i="49"/>
  <c r="E305" i="49"/>
  <c r="G305" i="49" l="1"/>
  <c r="H305" i="49" s="1"/>
  <c r="I305" i="49" s="1"/>
  <c r="D306" i="49" s="1"/>
  <c r="F330" i="49"/>
  <c r="E306" i="49"/>
  <c r="J305" i="49"/>
  <c r="G306" i="49" l="1"/>
  <c r="H306" i="49" s="1"/>
  <c r="I306" i="49" s="1"/>
  <c r="D307" i="49" s="1"/>
  <c r="F331" i="49"/>
  <c r="E307" i="49"/>
  <c r="J306" i="49"/>
  <c r="G307" i="49" l="1"/>
  <c r="H307" i="49" s="1"/>
  <c r="I307" i="49" s="1"/>
  <c r="D308" i="49" s="1"/>
  <c r="F332" i="49"/>
  <c r="J307" i="49"/>
  <c r="E308" i="49"/>
  <c r="G308" i="49" l="1"/>
  <c r="F333" i="49"/>
  <c r="J308" i="49"/>
  <c r="H308" i="49"/>
  <c r="I308" i="49" s="1"/>
  <c r="D309" i="49" s="1"/>
  <c r="E309" i="49"/>
  <c r="G309" i="49" l="1"/>
  <c r="H309" i="49" s="1"/>
  <c r="I309" i="49" s="1"/>
  <c r="D310" i="49" s="1"/>
  <c r="E310" i="49"/>
  <c r="J309" i="49"/>
  <c r="F334" i="49"/>
  <c r="G310" i="49" l="1"/>
  <c r="H310" i="49"/>
  <c r="I310" i="49" s="1"/>
  <c r="D311" i="49" s="1"/>
  <c r="J310" i="49"/>
  <c r="F335" i="49"/>
  <c r="P32" i="49" l="1"/>
  <c r="G311" i="49"/>
  <c r="E311" i="49"/>
  <c r="F336" i="49"/>
  <c r="H311" i="49" l="1"/>
  <c r="I311" i="49" s="1"/>
  <c r="D312" i="49" s="1"/>
  <c r="E312" i="49"/>
  <c r="J311" i="49"/>
  <c r="R32" i="49"/>
  <c r="F337" i="49"/>
  <c r="F338" i="49" l="1"/>
  <c r="J312" i="49"/>
  <c r="E313" i="49"/>
  <c r="G312" i="49"/>
  <c r="H312" i="49" s="1"/>
  <c r="I312" i="49" s="1"/>
  <c r="D313" i="49" s="1"/>
  <c r="G313" i="49" l="1"/>
  <c r="H313" i="49" s="1"/>
  <c r="I313" i="49" s="1"/>
  <c r="D314" i="49" s="1"/>
  <c r="J313" i="49"/>
  <c r="E314" i="49"/>
  <c r="F339" i="49"/>
  <c r="G314" i="49" l="1"/>
  <c r="F340" i="49"/>
  <c r="E315" i="49"/>
  <c r="H314" i="49"/>
  <c r="I314" i="49" s="1"/>
  <c r="D315" i="49" s="1"/>
  <c r="J314" i="49"/>
  <c r="G315" i="49" l="1"/>
  <c r="H315" i="49" s="1"/>
  <c r="I315" i="49" s="1"/>
  <c r="D316" i="49" s="1"/>
  <c r="F341" i="49"/>
  <c r="J315" i="49"/>
  <c r="E316" i="49"/>
  <c r="G316" i="49" l="1"/>
  <c r="H316" i="49" s="1"/>
  <c r="I316" i="49" s="1"/>
  <c r="D317" i="49" s="1"/>
  <c r="F342" i="49"/>
  <c r="J316" i="49"/>
  <c r="E317" i="49"/>
  <c r="G317" i="49" l="1"/>
  <c r="H317" i="49" s="1"/>
  <c r="I317" i="49" s="1"/>
  <c r="D318" i="49" s="1"/>
  <c r="E318" i="49"/>
  <c r="J317" i="49"/>
  <c r="F343" i="49"/>
  <c r="G318" i="49" l="1"/>
  <c r="H318" i="49" s="1"/>
  <c r="I318" i="49" s="1"/>
  <c r="D319" i="49" s="1"/>
  <c r="E319" i="49"/>
  <c r="J318" i="49"/>
  <c r="F344" i="49"/>
  <c r="G319" i="49" l="1"/>
  <c r="H319" i="49" s="1"/>
  <c r="I319" i="49" s="1"/>
  <c r="D320" i="49" s="1"/>
  <c r="E320" i="49"/>
  <c r="J319" i="49"/>
  <c r="F345" i="49"/>
  <c r="G320" i="49" l="1"/>
  <c r="H320" i="49" s="1"/>
  <c r="I320" i="49" s="1"/>
  <c r="D321" i="49" s="1"/>
  <c r="J320" i="49"/>
  <c r="E321" i="49"/>
  <c r="F346" i="49"/>
  <c r="G321" i="49" l="1"/>
  <c r="H321" i="49" s="1"/>
  <c r="I321" i="49" s="1"/>
  <c r="D322" i="49" s="1"/>
  <c r="F347" i="49"/>
  <c r="E322" i="49"/>
  <c r="J321" i="49"/>
  <c r="G322" i="49" l="1"/>
  <c r="H322" i="49" s="1"/>
  <c r="I322" i="49" s="1"/>
  <c r="D323" i="49" s="1"/>
  <c r="F348" i="49"/>
  <c r="J322" i="49"/>
  <c r="P33" i="49" l="1"/>
  <c r="E323" i="49"/>
  <c r="G323" i="49"/>
  <c r="F349" i="49"/>
  <c r="E324" i="49" l="1"/>
  <c r="H323" i="49"/>
  <c r="I323" i="49" s="1"/>
  <c r="D324" i="49" s="1"/>
  <c r="J323" i="49"/>
  <c r="R33" i="49"/>
  <c r="F350" i="49"/>
  <c r="G324" i="49" l="1"/>
  <c r="H324" i="49" s="1"/>
  <c r="I324" i="49" s="1"/>
  <c r="D325" i="49" s="1"/>
  <c r="F351" i="49"/>
  <c r="E325" i="49"/>
  <c r="J324" i="49"/>
  <c r="G325" i="49" l="1"/>
  <c r="H325" i="49" s="1"/>
  <c r="I325" i="49" s="1"/>
  <c r="D326" i="49" s="1"/>
  <c r="F352" i="49"/>
  <c r="E326" i="49"/>
  <c r="J325" i="49"/>
  <c r="G326" i="49" l="1"/>
  <c r="H326" i="49" s="1"/>
  <c r="I326" i="49" s="1"/>
  <c r="D327" i="49" s="1"/>
  <c r="F353" i="49"/>
  <c r="E327" i="49"/>
  <c r="J326" i="49"/>
  <c r="G327" i="49" l="1"/>
  <c r="H327" i="49" s="1"/>
  <c r="I327" i="49" s="1"/>
  <c r="D328" i="49" s="1"/>
  <c r="F354" i="49"/>
  <c r="J327" i="49"/>
  <c r="E328" i="49"/>
  <c r="G328" i="49" l="1"/>
  <c r="H328" i="49" s="1"/>
  <c r="I328" i="49" s="1"/>
  <c r="D329" i="49" s="1"/>
  <c r="J328" i="49"/>
  <c r="E329" i="49"/>
  <c r="F355" i="49"/>
  <c r="G329" i="49" l="1"/>
  <c r="H329" i="49" s="1"/>
  <c r="I329" i="49" s="1"/>
  <c r="D330" i="49" s="1"/>
  <c r="J329" i="49"/>
  <c r="E330" i="49"/>
  <c r="F356" i="49"/>
  <c r="G330" i="49" l="1"/>
  <c r="H330" i="49" s="1"/>
  <c r="I330" i="49" s="1"/>
  <c r="D331" i="49" s="1"/>
  <c r="F357" i="49"/>
  <c r="J330" i="49"/>
  <c r="E331" i="49"/>
  <c r="G331" i="49" l="1"/>
  <c r="H331" i="49" s="1"/>
  <c r="I331" i="49" s="1"/>
  <c r="D332" i="49" s="1"/>
  <c r="F358" i="49"/>
  <c r="E332" i="49"/>
  <c r="J331" i="49"/>
  <c r="G332" i="49" l="1"/>
  <c r="H332" i="49" s="1"/>
  <c r="I332" i="49" s="1"/>
  <c r="D333" i="49" s="1"/>
  <c r="F359" i="49"/>
  <c r="E333" i="49"/>
  <c r="J332" i="49"/>
  <c r="G333" i="49" l="1"/>
  <c r="H333" i="49" s="1"/>
  <c r="I333" i="49" s="1"/>
  <c r="D334" i="49" s="1"/>
  <c r="F360" i="49"/>
  <c r="E334" i="49"/>
  <c r="J333" i="49"/>
  <c r="G334" i="49" l="1"/>
  <c r="H334" i="49" s="1"/>
  <c r="I334" i="49" s="1"/>
  <c r="D335" i="49" s="1"/>
  <c r="J334" i="49"/>
  <c r="F361" i="49"/>
  <c r="P34" i="49" l="1"/>
  <c r="G335" i="49"/>
  <c r="E335" i="49"/>
  <c r="F362" i="49"/>
  <c r="J335" i="49" l="1"/>
  <c r="R34" i="49"/>
  <c r="H335" i="49"/>
  <c r="I335" i="49" s="1"/>
  <c r="D336" i="49" s="1"/>
  <c r="E336" i="49"/>
  <c r="F363" i="49"/>
  <c r="G336" i="49" l="1"/>
  <c r="H336" i="49" s="1"/>
  <c r="I336" i="49" s="1"/>
  <c r="D337" i="49" s="1"/>
  <c r="E337" i="49"/>
  <c r="J336" i="49"/>
  <c r="F364" i="49"/>
  <c r="G337" i="49" l="1"/>
  <c r="H337" i="49" s="1"/>
  <c r="I337" i="49" s="1"/>
  <c r="D338" i="49" s="1"/>
  <c r="J337" i="49"/>
  <c r="E338" i="49"/>
  <c r="F365" i="49"/>
  <c r="G338" i="49" l="1"/>
  <c r="H338" i="49" s="1"/>
  <c r="I338" i="49" s="1"/>
  <c r="D339" i="49" s="1"/>
  <c r="F366" i="49"/>
  <c r="J338" i="49"/>
  <c r="E339" i="49"/>
  <c r="G339" i="49" l="1"/>
  <c r="H339" i="49" s="1"/>
  <c r="I339" i="49" s="1"/>
  <c r="D340" i="49" s="1"/>
  <c r="F367" i="49"/>
  <c r="J339" i="49"/>
  <c r="E340" i="49"/>
  <c r="G340" i="49" l="1"/>
  <c r="H340" i="49" s="1"/>
  <c r="I340" i="49" s="1"/>
  <c r="D341" i="49" s="1"/>
  <c r="F368" i="49"/>
  <c r="E341" i="49"/>
  <c r="J340" i="49"/>
  <c r="G341" i="49" l="1"/>
  <c r="H341" i="49" s="1"/>
  <c r="I341" i="49" s="1"/>
  <c r="D342" i="49" s="1"/>
  <c r="F369" i="49"/>
  <c r="E342" i="49"/>
  <c r="J341" i="49"/>
  <c r="G342" i="49" l="1"/>
  <c r="F370" i="49"/>
  <c r="J342" i="49"/>
  <c r="E343" i="49"/>
  <c r="H342" i="49"/>
  <c r="I342" i="49" s="1"/>
  <c r="D343" i="49" s="1"/>
  <c r="G343" i="49" l="1"/>
  <c r="H343" i="49" s="1"/>
  <c r="I343" i="49" s="1"/>
  <c r="D344" i="49" s="1"/>
  <c r="F371" i="49"/>
  <c r="J343" i="49"/>
  <c r="E344" i="49"/>
  <c r="G344" i="49" l="1"/>
  <c r="H344" i="49" s="1"/>
  <c r="I344" i="49" s="1"/>
  <c r="D345" i="49" s="1"/>
  <c r="J344" i="49"/>
  <c r="E345" i="49"/>
  <c r="F372" i="49"/>
  <c r="G345" i="49" l="1"/>
  <c r="H345" i="49" s="1"/>
  <c r="I345" i="49" s="1"/>
  <c r="D346" i="49" s="1"/>
  <c r="F373" i="49"/>
  <c r="J345" i="49"/>
  <c r="E346" i="49"/>
  <c r="G346" i="49" l="1"/>
  <c r="H346" i="49" s="1"/>
  <c r="I346" i="49" s="1"/>
  <c r="D347" i="49" s="1"/>
  <c r="F374" i="49"/>
  <c r="J346" i="49"/>
  <c r="P35" i="49" l="1"/>
  <c r="E347" i="49"/>
  <c r="G347" i="49"/>
  <c r="F375" i="49"/>
  <c r="R35" i="49" l="1"/>
  <c r="E348" i="49"/>
  <c r="J347" i="49"/>
  <c r="H347" i="49"/>
  <c r="I347" i="49" s="1"/>
  <c r="D348" i="49" s="1"/>
  <c r="F376" i="49"/>
  <c r="E349" i="49" l="1"/>
  <c r="J348" i="49"/>
  <c r="G348" i="49"/>
  <c r="H348" i="49" s="1"/>
  <c r="I348" i="49" s="1"/>
  <c r="D349" i="49" s="1"/>
  <c r="F377" i="49"/>
  <c r="G349" i="49" l="1"/>
  <c r="H349" i="49" s="1"/>
  <c r="I349" i="49" s="1"/>
  <c r="D350" i="49" s="1"/>
  <c r="F378" i="49"/>
  <c r="E350" i="49"/>
  <c r="J349" i="49"/>
  <c r="G350" i="49" l="1"/>
  <c r="H350" i="49" s="1"/>
  <c r="I350" i="49" s="1"/>
  <c r="D351" i="49" s="1"/>
  <c r="F379" i="49"/>
  <c r="E351" i="49"/>
  <c r="J350" i="49"/>
  <c r="G351" i="49" l="1"/>
  <c r="H351" i="49" s="1"/>
  <c r="I351" i="49" s="1"/>
  <c r="D352" i="49" s="1"/>
  <c r="F380" i="49"/>
  <c r="J351" i="49"/>
  <c r="E352" i="49"/>
  <c r="G352" i="49" l="1"/>
  <c r="H352" i="49" s="1"/>
  <c r="I352" i="49" s="1"/>
  <c r="D353" i="49" s="1"/>
  <c r="F381" i="49"/>
  <c r="E353" i="49"/>
  <c r="J352" i="49"/>
  <c r="G353" i="49" l="1"/>
  <c r="H353" i="49" s="1"/>
  <c r="I353" i="49" s="1"/>
  <c r="D354" i="49" s="1"/>
  <c r="F382" i="49"/>
  <c r="J353" i="49"/>
  <c r="E354" i="49"/>
  <c r="G354" i="49" l="1"/>
  <c r="H354" i="49"/>
  <c r="I354" i="49" s="1"/>
  <c r="D355" i="49" s="1"/>
  <c r="E355" i="49"/>
  <c r="J354" i="49"/>
  <c r="G355" i="49" l="1"/>
  <c r="H355" i="49" s="1"/>
  <c r="I355" i="49" s="1"/>
  <c r="D356" i="49" s="1"/>
  <c r="E356" i="49"/>
  <c r="J355" i="49"/>
  <c r="G356" i="49" l="1"/>
  <c r="H356" i="49" s="1"/>
  <c r="I356" i="49" s="1"/>
  <c r="D357" i="49" s="1"/>
  <c r="E357" i="49"/>
  <c r="J356" i="49"/>
  <c r="G357" i="49" l="1"/>
  <c r="H357" i="49" s="1"/>
  <c r="I357" i="49" s="1"/>
  <c r="D358" i="49" s="1"/>
  <c r="E358" i="49"/>
  <c r="J357" i="49"/>
  <c r="G358" i="49" l="1"/>
  <c r="H358" i="49"/>
  <c r="I358" i="49" s="1"/>
  <c r="D359" i="49" s="1"/>
  <c r="J358" i="49"/>
  <c r="P36" i="49" l="1"/>
  <c r="G359" i="49"/>
  <c r="E359" i="49"/>
  <c r="H359" i="49" l="1"/>
  <c r="I359" i="49" s="1"/>
  <c r="D360" i="49" s="1"/>
  <c r="J359" i="49"/>
  <c r="E360" i="49"/>
  <c r="R36" i="49"/>
  <c r="E361" i="49" l="1"/>
  <c r="J360" i="49"/>
  <c r="G360" i="49"/>
  <c r="H360" i="49" s="1"/>
  <c r="I360" i="49" s="1"/>
  <c r="D361" i="49" s="1"/>
  <c r="G361" i="49" l="1"/>
  <c r="H361" i="49"/>
  <c r="I361" i="49" s="1"/>
  <c r="D362" i="49" s="1"/>
  <c r="J361" i="49"/>
  <c r="E362" i="49"/>
  <c r="G362" i="49" l="1"/>
  <c r="H362" i="49" s="1"/>
  <c r="I362" i="49" s="1"/>
  <c r="D363" i="49" s="1"/>
  <c r="E363" i="49"/>
  <c r="J362" i="49"/>
  <c r="G363" i="49" l="1"/>
  <c r="H363" i="49" s="1"/>
  <c r="I363" i="49" s="1"/>
  <c r="D364" i="49" s="1"/>
  <c r="J363" i="49"/>
  <c r="E364" i="49"/>
  <c r="G364" i="49" l="1"/>
  <c r="H364" i="49"/>
  <c r="I364" i="49" s="1"/>
  <c r="D365" i="49" s="1"/>
  <c r="J364" i="49"/>
  <c r="E365" i="49"/>
  <c r="G365" i="49" l="1"/>
  <c r="H365" i="49" s="1"/>
  <c r="I365" i="49" s="1"/>
  <c r="D366" i="49" s="1"/>
  <c r="J365" i="49"/>
  <c r="E366" i="49"/>
  <c r="G366" i="49" l="1"/>
  <c r="H366" i="49" s="1"/>
  <c r="I366" i="49" s="1"/>
  <c r="D367" i="49" s="1"/>
  <c r="E367" i="49"/>
  <c r="J366" i="49"/>
  <c r="G367" i="49" l="1"/>
  <c r="H367" i="49"/>
  <c r="I367" i="49" s="1"/>
  <c r="D368" i="49" s="1"/>
  <c r="J367" i="49"/>
  <c r="E368" i="49"/>
  <c r="G368" i="49" l="1"/>
  <c r="H368" i="49" s="1"/>
  <c r="I368" i="49" s="1"/>
  <c r="D369" i="49" s="1"/>
  <c r="E369" i="49"/>
  <c r="J368" i="49"/>
  <c r="G369" i="49" l="1"/>
  <c r="H369" i="49" s="1"/>
  <c r="I369" i="49" s="1"/>
  <c r="D370" i="49" s="1"/>
  <c r="J369" i="49"/>
  <c r="E370" i="49"/>
  <c r="G370" i="49" l="1"/>
  <c r="H370" i="49"/>
  <c r="I370" i="49" s="1"/>
  <c r="D371" i="49" s="1"/>
  <c r="J370" i="49"/>
  <c r="P37" i="49" l="1"/>
  <c r="G371" i="49"/>
  <c r="E371" i="49"/>
  <c r="R37" i="49" l="1"/>
  <c r="J371" i="49"/>
  <c r="E372" i="49"/>
  <c r="H371" i="49"/>
  <c r="I371" i="49" s="1"/>
  <c r="D372" i="49" s="1"/>
  <c r="G372" i="49" l="1"/>
  <c r="H372" i="49" s="1"/>
  <c r="I372" i="49" s="1"/>
  <c r="D373" i="49" s="1"/>
  <c r="J372" i="49"/>
  <c r="E373" i="49"/>
  <c r="G373" i="49" l="1"/>
  <c r="H373" i="49" s="1"/>
  <c r="I373" i="49" s="1"/>
  <c r="D374" i="49" s="1"/>
  <c r="E374" i="49"/>
  <c r="J373" i="49"/>
  <c r="G374" i="49" l="1"/>
  <c r="H374" i="49" s="1"/>
  <c r="I374" i="49" s="1"/>
  <c r="D375" i="49" s="1"/>
  <c r="J374" i="49"/>
  <c r="E375" i="49"/>
  <c r="G375" i="49" l="1"/>
  <c r="H375" i="49" s="1"/>
  <c r="I375" i="49" s="1"/>
  <c r="D376" i="49" s="1"/>
  <c r="J375" i="49"/>
  <c r="E376" i="49"/>
  <c r="G376" i="49" l="1"/>
  <c r="H376" i="49" s="1"/>
  <c r="I376" i="49" s="1"/>
  <c r="D377" i="49" s="1"/>
  <c r="J376" i="49"/>
  <c r="E377" i="49"/>
  <c r="E378" i="49" l="1"/>
  <c r="J377" i="49"/>
  <c r="G377" i="49"/>
  <c r="H377" i="49" s="1"/>
  <c r="I377" i="49" s="1"/>
  <c r="D378" i="49" s="1"/>
  <c r="G378" i="49" l="1"/>
  <c r="H378" i="49"/>
  <c r="I378" i="49" s="1"/>
  <c r="D379" i="49" s="1"/>
  <c r="J378" i="49"/>
  <c r="E379" i="49"/>
  <c r="G379" i="49" l="1"/>
  <c r="H379" i="49" s="1"/>
  <c r="I379" i="49" s="1"/>
  <c r="D380" i="49" s="1"/>
  <c r="J379" i="49"/>
  <c r="E380" i="49"/>
  <c r="G380" i="49" l="1"/>
  <c r="H380" i="49" s="1"/>
  <c r="I380" i="49" s="1"/>
  <c r="D381" i="49" s="1"/>
  <c r="J380" i="49"/>
  <c r="E381" i="49"/>
  <c r="G381" i="49" l="1"/>
  <c r="H381" i="49" s="1"/>
  <c r="I381" i="49" s="1"/>
  <c r="D382" i="49" s="1"/>
  <c r="E382" i="49"/>
  <c r="J381" i="49"/>
  <c r="G382" i="49" l="1"/>
  <c r="H382" i="49" s="1"/>
  <c r="I382" i="49" s="1"/>
  <c r="D383" i="49" s="1"/>
  <c r="J382"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author>
    <author>George DeCourcy</author>
  </authors>
  <commentList>
    <comment ref="C22" authorId="0" shapeId="0" xr:uid="{00000000-0006-0000-1000-000001000000}">
      <text>
        <r>
          <rPr>
            <b/>
            <sz val="9"/>
            <color indexed="81"/>
            <rFont val="Tahoma"/>
            <family val="2"/>
          </rPr>
          <t>George:</t>
        </r>
        <r>
          <rPr>
            <sz val="9"/>
            <color indexed="81"/>
            <rFont val="Tahoma"/>
            <family val="2"/>
          </rPr>
          <t xml:space="preserve">
Somewhat unusual approach here is to determine the "annual" loan constant given loan parameters. (Done by using $1 loan - then multiplying by 12 months). This number then can be used to calculate max loan amount given an available annual CF for debt service.
See alternative approach at right.</t>
        </r>
      </text>
    </comment>
    <comment ref="C23" authorId="1" shapeId="0" xr:uid="{00000000-0006-0000-1000-000002000000}">
      <text>
        <r>
          <rPr>
            <b/>
            <sz val="9"/>
            <color indexed="81"/>
            <rFont val="Tahoma"/>
            <family val="2"/>
          </rPr>
          <t xml:space="preserve">George DeCourcy:
</t>
        </r>
        <r>
          <rPr>
            <sz val="9"/>
            <color indexed="81"/>
            <rFont val="Tahoma"/>
            <family val="2"/>
          </rPr>
          <t>Apporach here is somewhat convulted - done in 3 steps (when one would work).
This max loan amount uses constant derived above. DCR is factored in by reference to Debt Service line below which has already been calculated using the DCR.
Alternative: My formula at right builds all of this into one simple function that is easier to understand.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D71" authorId="0" shapeId="0" xr:uid="{00000000-0006-0000-1900-000001000000}">
      <text>
        <r>
          <rPr>
            <b/>
            <sz val="9"/>
            <color indexed="81"/>
            <rFont val="Tahoma"/>
            <family val="2"/>
          </rPr>
          <t>George DeCourcy:</t>
        </r>
        <r>
          <rPr>
            <sz val="9"/>
            <color indexed="81"/>
            <rFont val="Tahoma"/>
            <family val="2"/>
          </rPr>
          <t xml:space="preserve">
Technically this is NOT a part of GAIN calculation, but we will receive the tax benefit of this deduction (as interest) at the end of the deal so we are accounting for it here. Because we've used a simple overall tax rate (below), this slight misclassification does not affect the numbers.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D71" authorId="0" shapeId="0" xr:uid="{76514FAC-49AD-44DB-BFC8-9DC343084BFB}">
      <text>
        <r>
          <rPr>
            <b/>
            <sz val="9"/>
            <color indexed="81"/>
            <rFont val="Tahoma"/>
            <family val="2"/>
          </rPr>
          <t>George DeCourcy:</t>
        </r>
        <r>
          <rPr>
            <sz val="9"/>
            <color indexed="81"/>
            <rFont val="Tahoma"/>
            <family val="2"/>
          </rPr>
          <t xml:space="preserve">
Technically this is NOT a part of GAIN calculation, but we will receive the tax benefit of this deduction (as interest) at the end of the deal so we are accounting for it here. Because we've used a simple overall tax rate (below), this slight misclassification does not affect the numbers.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E36" authorId="0" shapeId="0" xr:uid="{00000000-0006-0000-1E00-000001000000}">
      <text>
        <r>
          <rPr>
            <b/>
            <sz val="9"/>
            <color indexed="81"/>
            <rFont val="Tahoma"/>
            <family val="2"/>
          </rPr>
          <t>George DeCourcy:</t>
        </r>
        <r>
          <rPr>
            <sz val="9"/>
            <color indexed="81"/>
            <rFont val="Tahoma"/>
            <family val="2"/>
          </rPr>
          <t xml:space="preserve">
Std deviation (risk) per unit of expected return. Lower values better.</t>
        </r>
      </text>
    </comment>
    <comment ref="F36" authorId="0" shapeId="0" xr:uid="{00000000-0006-0000-1E00-000002000000}">
      <text>
        <r>
          <rPr>
            <b/>
            <sz val="9"/>
            <color indexed="81"/>
            <rFont val="Tahoma"/>
            <family val="2"/>
          </rPr>
          <t>George DeCourcy:</t>
        </r>
        <r>
          <rPr>
            <sz val="9"/>
            <color indexed="81"/>
            <rFont val="Tahoma"/>
            <family val="2"/>
          </rPr>
          <t xml:space="preserve">
Expected return in excess of risk free rate divided by measure of risk. Higher values better.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George</author>
  </authors>
  <commentList>
    <comment ref="H59" authorId="0" shapeId="0" xr:uid="{00000000-0006-0000-1F00-000001000000}">
      <text>
        <r>
          <rPr>
            <b/>
            <sz val="9"/>
            <color indexed="81"/>
            <rFont val="Tahoma"/>
            <family val="2"/>
          </rPr>
          <t>George:</t>
        </r>
        <r>
          <rPr>
            <sz val="9"/>
            <color indexed="81"/>
            <rFont val="Tahoma"/>
            <family val="2"/>
          </rPr>
          <t xml:space="preserve">
This formula may be confusing to some (
as it uses 20year constant as divisor). See revised formula to the right.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E50" authorId="0" shapeId="0" xr:uid="{00000000-0006-0000-2000-000001000000}">
      <text>
        <r>
          <rPr>
            <b/>
            <sz val="9"/>
            <color indexed="81"/>
            <rFont val="Tahoma"/>
            <family val="2"/>
          </rPr>
          <t>George DeCourcy:</t>
        </r>
        <r>
          <rPr>
            <sz val="9"/>
            <color indexed="81"/>
            <rFont val="Tahoma"/>
            <family val="2"/>
          </rPr>
          <t xml:space="preserve">
As the restaurant lease "rolls-over", we can't be sure there will be a percentage lease in place on the renewal, so this formula assumes we will not.</t>
        </r>
      </text>
    </comment>
    <comment ref="H58" authorId="0" shapeId="0" xr:uid="{00000000-0006-0000-2000-000002000000}">
      <text>
        <r>
          <rPr>
            <b/>
            <sz val="9"/>
            <color indexed="81"/>
            <rFont val="Tahoma"/>
            <family val="2"/>
          </rPr>
          <t>George DeCourcy:</t>
        </r>
        <r>
          <rPr>
            <sz val="9"/>
            <color indexed="81"/>
            <rFont val="Tahoma"/>
            <family val="2"/>
          </rPr>
          <t xml:space="preserve">
Text simplifying assumption that new lease will have no expense recoveries.</t>
        </r>
      </text>
    </comment>
    <comment ref="E64" authorId="0" shapeId="0" xr:uid="{00000000-0006-0000-2000-000003000000}">
      <text>
        <r>
          <rPr>
            <b/>
            <sz val="9"/>
            <color indexed="81"/>
            <rFont val="Tahoma"/>
            <family val="2"/>
          </rPr>
          <t>George DeCourcy:</t>
        </r>
        <r>
          <rPr>
            <sz val="9"/>
            <color indexed="81"/>
            <rFont val="Tahoma"/>
            <family val="2"/>
          </rPr>
          <t xml:space="preserve">
Text assumption - no expene recoveries on new lease.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George</author>
  </authors>
  <commentList>
    <comment ref="D34" authorId="0" shapeId="0" xr:uid="{00000000-0006-0000-2100-000001000000}">
      <text>
        <r>
          <rPr>
            <b/>
            <sz val="9"/>
            <color indexed="81"/>
            <rFont val="Tahoma"/>
            <family val="2"/>
          </rPr>
          <t>George:</t>
        </r>
        <r>
          <rPr>
            <sz val="9"/>
            <color indexed="81"/>
            <rFont val="Tahoma"/>
            <family val="2"/>
          </rPr>
          <t xml:space="preserve">
at "roll-over" date for this specific lease.</t>
        </r>
      </text>
    </comment>
    <comment ref="J34" authorId="0" shapeId="0" xr:uid="{00000000-0006-0000-2100-000002000000}">
      <text>
        <r>
          <rPr>
            <b/>
            <sz val="9"/>
            <color indexed="81"/>
            <rFont val="Tahoma"/>
            <family val="2"/>
          </rPr>
          <t>George:</t>
        </r>
        <r>
          <rPr>
            <sz val="9"/>
            <color indexed="81"/>
            <rFont val="Tahoma"/>
            <family val="2"/>
          </rPr>
          <t xml:space="preserve">
Lease Commissions
</t>
        </r>
      </text>
    </comment>
    <comment ref="F55" authorId="0" shapeId="0" xr:uid="{00000000-0006-0000-2100-000003000000}">
      <text>
        <r>
          <rPr>
            <b/>
            <sz val="9"/>
            <color indexed="81"/>
            <rFont val="Tahoma"/>
            <family val="2"/>
          </rPr>
          <t>George:</t>
        </r>
        <r>
          <rPr>
            <sz val="9"/>
            <color indexed="81"/>
            <rFont val="Tahoma"/>
            <family val="2"/>
          </rPr>
          <t xml:space="preserve">
Renews at "Market rent for renewal tenants"</t>
        </r>
      </text>
    </comment>
    <comment ref="E61" authorId="0" shapeId="0" xr:uid="{00000000-0006-0000-2100-000004000000}">
      <text>
        <r>
          <rPr>
            <b/>
            <sz val="9"/>
            <color indexed="81"/>
            <rFont val="Tahoma"/>
            <family val="2"/>
          </rPr>
          <t>George:</t>
        </r>
        <r>
          <rPr>
            <sz val="9"/>
            <color indexed="81"/>
            <rFont val="Tahoma"/>
            <family val="2"/>
          </rPr>
          <t xml:space="preserve">
This, and gross rent, is calculated differently in Argus, but they get the same result.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C38" authorId="0" shapeId="0" xr:uid="{00000000-0006-0000-2A00-000001000000}">
      <text>
        <r>
          <rPr>
            <b/>
            <sz val="9"/>
            <color indexed="81"/>
            <rFont val="Tahoma"/>
            <family val="2"/>
          </rPr>
          <t>George DeCourcy:</t>
        </r>
        <r>
          <rPr>
            <sz val="9"/>
            <color indexed="81"/>
            <rFont val="Tahoma"/>
            <family val="2"/>
          </rPr>
          <t xml:space="preserve">
See text Ch16 Exhibit16-4.
180,028+ 270,042+ 30,800
</t>
        </r>
      </text>
    </comment>
    <comment ref="E73" authorId="1" shapeId="0" xr:uid="{00000000-0006-0000-2A00-000002000000}">
      <text>
        <r>
          <rPr>
            <b/>
            <sz val="9"/>
            <color indexed="81"/>
            <rFont val="Tahoma"/>
            <family val="2"/>
          </rPr>
          <t>George:</t>
        </r>
        <r>
          <rPr>
            <sz val="9"/>
            <color indexed="81"/>
            <rFont val="Tahoma"/>
            <family val="2"/>
          </rPr>
          <t xml:space="preserve">
Calculated here by rolling the mtge balance forward one year at a time.</t>
        </r>
      </text>
    </comment>
    <comment ref="C81" authorId="0" shapeId="0" xr:uid="{00000000-0006-0000-2A00-000003000000}">
      <text>
        <r>
          <rPr>
            <b/>
            <sz val="9"/>
            <color indexed="81"/>
            <rFont val="Tahoma"/>
            <family val="2"/>
          </rPr>
          <t>George DeCourcy:</t>
        </r>
        <r>
          <rPr>
            <sz val="9"/>
            <color indexed="81"/>
            <rFont val="Tahoma"/>
            <family val="2"/>
          </rPr>
          <t xml:space="preserve">
Excludes loan fees and leasing commissions.</t>
        </r>
      </text>
    </comment>
    <comment ref="E111" authorId="1" shapeId="0" xr:uid="{00000000-0006-0000-2A00-000004000000}">
      <text>
        <r>
          <rPr>
            <b/>
            <sz val="9"/>
            <color indexed="81"/>
            <rFont val="Tahoma"/>
            <family val="2"/>
          </rPr>
          <t>George:</t>
        </r>
        <r>
          <rPr>
            <sz val="9"/>
            <color indexed="81"/>
            <rFont val="Tahoma"/>
            <family val="2"/>
          </rPr>
          <t xml:space="preserve">
How is this funded?</t>
        </r>
      </text>
    </comment>
    <comment ref="I118" authorId="1" shapeId="0" xr:uid="{00000000-0006-0000-2A00-000005000000}">
      <text>
        <r>
          <rPr>
            <b/>
            <sz val="9"/>
            <color indexed="81"/>
            <rFont val="Tahoma"/>
            <family val="2"/>
          </rPr>
          <t>George:</t>
        </r>
        <r>
          <rPr>
            <sz val="9"/>
            <color indexed="81"/>
            <rFont val="Tahoma"/>
            <family val="2"/>
          </rPr>
          <t xml:space="preserve">
Apparent error in text. This number s/b correct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C38" authorId="0" shapeId="0" xr:uid="{E4C6BE7C-A1F7-45B4-8C6B-D7B9083D9763}">
      <text>
        <r>
          <rPr>
            <b/>
            <sz val="9"/>
            <color indexed="81"/>
            <rFont val="Tahoma"/>
            <family val="2"/>
          </rPr>
          <t>George DeCourcy:</t>
        </r>
        <r>
          <rPr>
            <sz val="9"/>
            <color indexed="81"/>
            <rFont val="Tahoma"/>
            <family val="2"/>
          </rPr>
          <t xml:space="preserve">
See text Ch16 Exhibit16-4.
214,597+321,895+ 30,800
</t>
        </r>
      </text>
    </comment>
    <comment ref="E73" authorId="1" shapeId="0" xr:uid="{DA0E8ED4-00EF-466F-A287-F516C5265D94}">
      <text>
        <r>
          <rPr>
            <b/>
            <sz val="9"/>
            <color indexed="81"/>
            <rFont val="Tahoma"/>
            <family val="2"/>
          </rPr>
          <t>George:</t>
        </r>
        <r>
          <rPr>
            <sz val="9"/>
            <color indexed="81"/>
            <rFont val="Tahoma"/>
            <family val="2"/>
          </rPr>
          <t xml:space="preserve">
Calculated here by rolling the mtge balance forward one year at a time.</t>
        </r>
      </text>
    </comment>
    <comment ref="C81" authorId="0" shapeId="0" xr:uid="{5CF081BE-0B08-4AB8-BF6C-99BE5D1DEFA6}">
      <text>
        <r>
          <rPr>
            <b/>
            <sz val="9"/>
            <color indexed="81"/>
            <rFont val="Tahoma"/>
            <family val="2"/>
          </rPr>
          <t>George DeCourcy:</t>
        </r>
        <r>
          <rPr>
            <sz val="9"/>
            <color indexed="81"/>
            <rFont val="Tahoma"/>
            <family val="2"/>
          </rPr>
          <t xml:space="preserve">
Excludes loan fees and leasing commissions.</t>
        </r>
      </text>
    </comment>
    <comment ref="E111" authorId="1" shapeId="0" xr:uid="{DE670A6D-F481-4296-B2FF-4A2B98786536}">
      <text>
        <r>
          <rPr>
            <b/>
            <sz val="9"/>
            <color indexed="81"/>
            <rFont val="Tahoma"/>
            <family val="2"/>
          </rPr>
          <t>George:</t>
        </r>
        <r>
          <rPr>
            <sz val="9"/>
            <color indexed="81"/>
            <rFont val="Tahoma"/>
            <family val="2"/>
          </rPr>
          <t xml:space="preserve">
How is this funded?</t>
        </r>
      </text>
    </comment>
    <comment ref="I121" authorId="1" shapeId="0" xr:uid="{7819D6AC-BAAA-4323-9FC9-EBA38C9FA32F}">
      <text>
        <r>
          <rPr>
            <b/>
            <sz val="9"/>
            <color indexed="81"/>
            <rFont val="Tahoma"/>
            <family val="2"/>
          </rPr>
          <t>George:</t>
        </r>
        <r>
          <rPr>
            <sz val="9"/>
            <color indexed="81"/>
            <rFont val="Tahoma"/>
            <family val="2"/>
          </rPr>
          <t xml:space="preserve">
Apparent error in text. This number s/b correct</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B1" authorId="0" shapeId="0" xr:uid="{00000000-0006-0000-2B00-000001000000}">
      <text>
        <r>
          <rPr>
            <b/>
            <sz val="9"/>
            <color indexed="81"/>
            <rFont val="Tahoma"/>
            <charset val="1"/>
          </rPr>
          <t>George DeCourcy:</t>
        </r>
        <r>
          <rPr>
            <sz val="9"/>
            <color indexed="81"/>
            <rFont val="Tahoma"/>
            <charset val="1"/>
          </rPr>
          <t xml:space="preserve">
This proforma is rather messy and disorganized, but does illustrate concepts. I suggest ignoring the methodology for calculating release prices.</t>
        </r>
      </text>
    </comment>
    <comment ref="J8" authorId="1" shapeId="0" xr:uid="{00000000-0006-0000-2B00-000002000000}">
      <text>
        <r>
          <rPr>
            <b/>
            <sz val="9"/>
            <color indexed="81"/>
            <rFont val="Tahoma"/>
            <family val="2"/>
          </rPr>
          <t>George:</t>
        </r>
        <r>
          <rPr>
            <sz val="9"/>
            <color indexed="81"/>
            <rFont val="Tahoma"/>
            <family val="2"/>
          </rPr>
          <t xml:space="preserve">
Text is vague. Land cost is $2MM but there are closing and options costs included in this number.</t>
        </r>
      </text>
    </comment>
    <comment ref="I13" authorId="0" shapeId="0" xr:uid="{00000000-0006-0000-2B00-000003000000}">
      <text>
        <r>
          <rPr>
            <b/>
            <sz val="9"/>
            <color indexed="81"/>
            <rFont val="Tahoma"/>
            <family val="2"/>
          </rPr>
          <t>George DeCourcy:</t>
        </r>
        <r>
          <rPr>
            <sz val="9"/>
            <color indexed="81"/>
            <rFont val="Tahoma"/>
            <family val="2"/>
          </rPr>
          <t xml:space="preserve">
Methodology for calculation of release price is overly complex here.
Simpler method would be to use "allocated loan per lot" and multiply by 1.2 for 20% premium.</t>
        </r>
      </text>
    </comment>
    <comment ref="O16" authorId="0" shapeId="0" xr:uid="{00000000-0006-0000-2B00-000004000000}">
      <text>
        <r>
          <rPr>
            <b/>
            <sz val="9"/>
            <color indexed="81"/>
            <rFont val="Tahoma"/>
            <family val="2"/>
          </rPr>
          <t>George DeCourcy:</t>
        </r>
        <r>
          <rPr>
            <sz val="9"/>
            <color indexed="81"/>
            <rFont val="Tahoma"/>
            <family val="2"/>
          </rPr>
          <t xml:space="preserve">
Really should be shown as a "net" from proceeds of sale and not as a budget line item.</t>
        </r>
      </text>
    </comment>
    <comment ref="O24" authorId="0" shapeId="0" xr:uid="{00000000-0006-0000-2B00-000005000000}">
      <text>
        <r>
          <rPr>
            <b/>
            <sz val="9"/>
            <color indexed="81"/>
            <rFont val="Tahoma"/>
            <family val="2"/>
          </rPr>
          <t>George DeCourcy:</t>
        </r>
        <r>
          <rPr>
            <sz val="9"/>
            <color indexed="81"/>
            <rFont val="Tahoma"/>
            <family val="2"/>
          </rPr>
          <t xml:space="preserve">
Includes approved "costs" plus interest.</t>
        </r>
      </text>
    </comment>
    <comment ref="B116" authorId="1" shapeId="0" xr:uid="{00000000-0006-0000-2B00-000006000000}">
      <text>
        <r>
          <rPr>
            <b/>
            <sz val="9"/>
            <color indexed="81"/>
            <rFont val="Tahoma"/>
            <family val="2"/>
          </rPr>
          <t>George:</t>
        </r>
        <r>
          <rPr>
            <sz val="9"/>
            <color indexed="81"/>
            <rFont val="Tahoma"/>
            <family val="2"/>
          </rPr>
          <t xml:space="preserve">
Source? Closing costs should be in Land costs per text. This might be marketing expense.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George</author>
  </authors>
  <commentList>
    <comment ref="H61" authorId="0" shapeId="0" xr:uid="{00000000-0006-0000-2C00-000001000000}">
      <text>
        <r>
          <rPr>
            <b/>
            <sz val="9"/>
            <color indexed="81"/>
            <rFont val="Tahoma"/>
            <family val="2"/>
          </rPr>
          <t>George:
Plug</t>
        </r>
        <r>
          <rPr>
            <sz val="9"/>
            <color indexed="81"/>
            <rFont val="Tahoma"/>
            <family val="2"/>
          </rPr>
          <t xml:space="preserve">
Used Goal Seek to estimate then interpolate.  Number here has been taken from Text example. This number is manually determined to force the preliminary IRR to 12% for the ICI investors.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B3" authorId="0" shapeId="0" xr:uid="{00000000-0006-0000-1100-000001000000}">
      <text>
        <r>
          <rPr>
            <b/>
            <sz val="9"/>
            <color indexed="81"/>
            <rFont val="Tahoma"/>
            <family val="2"/>
          </rPr>
          <t>George DeCourcy:</t>
        </r>
        <r>
          <rPr>
            <sz val="9"/>
            <color indexed="81"/>
            <rFont val="Tahoma"/>
            <family val="2"/>
          </rPr>
          <t xml:space="preserve">
This spreadsheet is built based on assumptions in the 14th edition of the textbook. The 15th edition makes some minor changes that have no material effect.
Changes in 15e include Year 1 rental rate changed to $1250, Real Estate Taxes escalate at 3% and credit loss is still 1% but of lease rents and Not laundry.</t>
        </r>
      </text>
    </comment>
    <comment ref="D22" authorId="0" shapeId="0" xr:uid="{00000000-0006-0000-1100-000002000000}">
      <text>
        <r>
          <rPr>
            <b/>
            <sz val="9"/>
            <color indexed="81"/>
            <rFont val="Tahoma"/>
            <family val="2"/>
          </rPr>
          <t>George DeCourcy:</t>
        </r>
        <r>
          <rPr>
            <sz val="9"/>
            <color indexed="81"/>
            <rFont val="Tahoma"/>
            <family val="2"/>
          </rPr>
          <t xml:space="preserve">
In 15th edition of text, this variation of current rent from "Market" rent is eliminated and all rents simply start at $1,250 per month.</t>
        </r>
      </text>
    </comment>
    <comment ref="G34" authorId="0" shapeId="0" xr:uid="{00000000-0006-0000-1100-000003000000}">
      <text>
        <r>
          <rPr>
            <b/>
            <sz val="9"/>
            <color indexed="81"/>
            <rFont val="Tahoma"/>
            <family val="2"/>
          </rPr>
          <t>George DeCourcy:</t>
        </r>
        <r>
          <rPr>
            <sz val="9"/>
            <color indexed="81"/>
            <rFont val="Tahoma"/>
            <family val="2"/>
          </rPr>
          <t xml:space="preserve">
For 15th edition of text, this is 3%, but for prior editions this is 2.5%.</t>
        </r>
      </text>
    </comment>
    <comment ref="E53" authorId="0" shapeId="0" xr:uid="{00000000-0006-0000-1100-000004000000}">
      <text>
        <r>
          <rPr>
            <b/>
            <sz val="9"/>
            <color indexed="81"/>
            <rFont val="Tahoma"/>
            <family val="2"/>
          </rPr>
          <t>George DeCourcy:</t>
        </r>
        <r>
          <rPr>
            <sz val="9"/>
            <color indexed="81"/>
            <rFont val="Tahoma"/>
            <family val="2"/>
          </rPr>
          <t xml:space="preserve">
Changed in 15e to exclude laundry income. (minor change)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George</author>
    <author>George DeCourcy</author>
  </authors>
  <commentList>
    <comment ref="C32" authorId="0" shapeId="0" xr:uid="{00000000-0006-0000-2E00-000001000000}">
      <text>
        <r>
          <rPr>
            <b/>
            <sz val="9"/>
            <color indexed="81"/>
            <rFont val="Tahoma"/>
            <family val="2"/>
          </rPr>
          <t>George:</t>
        </r>
        <r>
          <rPr>
            <sz val="9"/>
            <color indexed="81"/>
            <rFont val="Tahoma"/>
            <family val="2"/>
          </rPr>
          <t xml:space="preserve">
Note: Problem starts in Year 2 per text example. Confusing - but no issue.</t>
        </r>
      </text>
    </comment>
    <comment ref="B54" authorId="0" shapeId="0" xr:uid="{00000000-0006-0000-2E00-000002000000}">
      <text>
        <r>
          <rPr>
            <b/>
            <sz val="9"/>
            <color indexed="81"/>
            <rFont val="Tahoma"/>
            <family val="2"/>
          </rPr>
          <t>George:</t>
        </r>
        <r>
          <rPr>
            <sz val="9"/>
            <color indexed="81"/>
            <rFont val="Tahoma"/>
            <family val="2"/>
          </rPr>
          <t xml:space="preserve">
Assumes no hold back for partnership reserves.</t>
        </r>
      </text>
    </comment>
    <comment ref="G65" authorId="0" shapeId="0" xr:uid="{00000000-0006-0000-2E00-000003000000}">
      <text>
        <r>
          <rPr>
            <b/>
            <sz val="9"/>
            <color indexed="81"/>
            <rFont val="Tahoma"/>
            <family val="2"/>
          </rPr>
          <t>George:</t>
        </r>
        <r>
          <rPr>
            <sz val="9"/>
            <color indexed="81"/>
            <rFont val="Tahoma"/>
            <family val="2"/>
          </rPr>
          <t xml:space="preserve">
Includes unamortized balance now deductible as loan is being paid off.</t>
        </r>
      </text>
    </comment>
    <comment ref="D75" authorId="1" shapeId="0" xr:uid="{00000000-0006-0000-2E00-000004000000}">
      <text>
        <r>
          <rPr>
            <b/>
            <sz val="9"/>
            <color indexed="81"/>
            <rFont val="Tahoma"/>
            <family val="2"/>
          </rPr>
          <t>George DeCourcy:</t>
        </r>
        <r>
          <rPr>
            <sz val="9"/>
            <color indexed="81"/>
            <rFont val="Tahoma"/>
            <family val="2"/>
          </rPr>
          <t xml:space="preserve">
Includes the syndication costs.</t>
        </r>
      </text>
    </comment>
    <comment ref="N75" authorId="0" shapeId="0" xr:uid="{00000000-0006-0000-2E00-000005000000}">
      <text>
        <r>
          <rPr>
            <b/>
            <sz val="9"/>
            <color indexed="81"/>
            <rFont val="Tahoma"/>
            <family val="2"/>
          </rPr>
          <t>George:</t>
        </r>
        <r>
          <rPr>
            <sz val="9"/>
            <color indexed="81"/>
            <rFont val="Tahoma"/>
            <family val="2"/>
          </rPr>
          <t xml:space="preserve">
This is not "gain". Much of this is return of equity.</t>
        </r>
      </text>
    </comment>
    <comment ref="E78" authorId="0" shapeId="0" xr:uid="{00000000-0006-0000-2E00-000006000000}">
      <text>
        <r>
          <rPr>
            <b/>
            <sz val="9"/>
            <color indexed="81"/>
            <rFont val="Tahoma"/>
            <family val="2"/>
          </rPr>
          <t>George:</t>
        </r>
        <r>
          <rPr>
            <sz val="9"/>
            <color indexed="81"/>
            <rFont val="Tahoma"/>
            <family val="2"/>
          </rPr>
          <t xml:space="preserve">
This is "tax gain" is substantially different than Proceeds from Sale. See schedule to the right for Proceeds from sale.
Also, for this illustration we are ignoring the complexity of Depreciation Recapture and LTCG allocation.</t>
        </r>
      </text>
    </comment>
    <comment ref="K84" authorId="1" shapeId="0" xr:uid="{00000000-0006-0000-2E00-000007000000}">
      <text>
        <r>
          <rPr>
            <b/>
            <sz val="9"/>
            <color indexed="81"/>
            <rFont val="Tahoma"/>
            <family val="2"/>
          </rPr>
          <t>George DeCourcy:</t>
        </r>
        <r>
          <rPr>
            <sz val="9"/>
            <color indexed="81"/>
            <rFont val="Tahoma"/>
            <family val="2"/>
          </rPr>
          <t xml:space="preserve">
This method, though simple, is clearly not correct. Proceeds from sale are not the same as gain.</t>
        </r>
      </text>
    </comment>
    <comment ref="N96" authorId="0" shapeId="0" xr:uid="{00000000-0006-0000-2E00-000008000000}">
      <text>
        <r>
          <rPr>
            <b/>
            <sz val="9"/>
            <color indexed="81"/>
            <rFont val="Tahoma"/>
            <family val="2"/>
          </rPr>
          <t>George:</t>
        </r>
        <r>
          <rPr>
            <sz val="9"/>
            <color indexed="81"/>
            <rFont val="Tahoma"/>
            <family val="2"/>
          </rPr>
          <t xml:space="preserve">
This cost capitalized, never amortized. Other soft costs have been charged to "operations".</t>
        </r>
      </text>
    </comment>
    <comment ref="K126" authorId="1" shapeId="0" xr:uid="{00000000-0006-0000-2E00-000009000000}">
      <text>
        <r>
          <rPr>
            <b/>
            <sz val="9"/>
            <color indexed="81"/>
            <rFont val="Tahoma"/>
            <family val="2"/>
          </rPr>
          <t>George DeCourcy:</t>
        </r>
        <r>
          <rPr>
            <sz val="9"/>
            <color indexed="81"/>
            <rFont val="Tahoma"/>
            <family val="2"/>
          </rPr>
          <t xml:space="preserve">
With exception of the special gain provisions, this "simple" example has a 95/5 distribution as the primary distribution model which happens to be pro-rata with investment. A more realistic model would have a pref, then a  different % allocation, making this analysis even more complex.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D20" authorId="0" shapeId="0" xr:uid="{00000000-0006-0000-2F00-000001000000}">
      <text>
        <r>
          <rPr>
            <b/>
            <sz val="9"/>
            <color indexed="81"/>
            <rFont val="Tahoma"/>
            <family val="2"/>
          </rPr>
          <t>George DeCourcy:</t>
        </r>
        <r>
          <rPr>
            <sz val="9"/>
            <color indexed="81"/>
            <rFont val="Tahoma"/>
            <family val="2"/>
          </rPr>
          <t xml:space="preserve">
End of year prepayments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B3" authorId="0" shapeId="0" xr:uid="{00000000-0006-0000-3000-000001000000}">
      <text>
        <r>
          <rPr>
            <b/>
            <sz val="9"/>
            <color indexed="81"/>
            <rFont val="Tahoma"/>
            <family val="2"/>
          </rPr>
          <t>George DeCourcy:</t>
        </r>
        <r>
          <rPr>
            <sz val="9"/>
            <color indexed="81"/>
            <rFont val="Tahoma"/>
            <family val="2"/>
          </rPr>
          <t xml:space="preserve">
A typical mortgage pool would be 30 year amoritizations with various prepayments. This example is simplified showing 10 year am -  to simulate prepayments. The focus however should be on the tranches and CF rights.</t>
        </r>
      </text>
    </comment>
    <comment ref="E10" authorId="1" shapeId="0" xr:uid="{00000000-0006-0000-3000-000002000000}">
      <text>
        <r>
          <rPr>
            <b/>
            <sz val="9"/>
            <color indexed="81"/>
            <rFont val="Tahoma"/>
            <family val="2"/>
          </rPr>
          <t>George:</t>
        </r>
        <r>
          <rPr>
            <sz val="9"/>
            <color indexed="81"/>
            <rFont val="Tahoma"/>
            <family val="2"/>
          </rPr>
          <t xml:space="preserve">
10 year maturity shown for simplicity. Would likely be 30 year deal mortgages - but prepayments will occur.</t>
        </r>
      </text>
    </comment>
    <comment ref="D13" authorId="0" shapeId="0" xr:uid="{00000000-0006-0000-3000-000003000000}">
      <text>
        <r>
          <rPr>
            <b/>
            <sz val="9"/>
            <color indexed="81"/>
            <rFont val="Tahoma"/>
            <family val="2"/>
          </rPr>
          <t>George DeCourcy:</t>
        </r>
        <r>
          <rPr>
            <sz val="9"/>
            <color indexed="81"/>
            <rFont val="Tahoma"/>
            <family val="2"/>
          </rPr>
          <t xml:space="preserve">
This calculaton is (over) simplified to show the pool amortizing/paying out over a 10 year period. In reality, payments would be monthly with p+I, but there would also be prepayments.
</t>
        </r>
      </text>
    </comment>
    <comment ref="B15" authorId="0" shapeId="0" xr:uid="{00000000-0006-0000-3000-000004000000}">
      <text>
        <r>
          <rPr>
            <b/>
            <sz val="9"/>
            <color indexed="81"/>
            <rFont val="Tahoma"/>
            <family val="2"/>
          </rPr>
          <t>George DeCourcy:</t>
        </r>
        <r>
          <rPr>
            <sz val="9"/>
            <color indexed="81"/>
            <rFont val="Tahoma"/>
            <family val="2"/>
          </rPr>
          <t xml:space="preserve">
10 year amortization assumption is overly simplistic - but the point is that the mortgage pool will likely pay down faster than the "Contracted" loans (which may be 30 year am).</t>
        </r>
      </text>
    </comment>
    <comment ref="B32" authorId="0" shapeId="0" xr:uid="{00000000-0006-0000-3000-000005000000}">
      <text>
        <r>
          <rPr>
            <b/>
            <sz val="9"/>
            <color indexed="81"/>
            <rFont val="Tahoma"/>
            <family val="2"/>
          </rPr>
          <t>George DeCourcy:</t>
        </r>
        <r>
          <rPr>
            <sz val="9"/>
            <color indexed="81"/>
            <rFont val="Tahoma"/>
            <family val="2"/>
          </rPr>
          <t xml:space="preserve">
Receives all princial payments plus a "notional" principal due to Z's deferral of interest.</t>
        </r>
      </text>
    </comment>
    <comment ref="E40" authorId="1" shapeId="0" xr:uid="{00000000-0006-0000-3000-000006000000}">
      <text>
        <r>
          <rPr>
            <b/>
            <sz val="9"/>
            <color indexed="81"/>
            <rFont val="Tahoma"/>
            <family val="2"/>
          </rPr>
          <t>George:</t>
        </r>
        <r>
          <rPr>
            <sz val="9"/>
            <color indexed="81"/>
            <rFont val="Tahoma"/>
            <family val="2"/>
          </rPr>
          <t xml:space="preserve">
A tranche is receiving all actual principal paydowns from pool plus a notional paydown based on interest otherwise payable to Z class.</t>
        </r>
      </text>
    </comment>
    <comment ref="B54" authorId="0" shapeId="0" xr:uid="{00000000-0006-0000-3000-000007000000}">
      <text>
        <r>
          <rPr>
            <b/>
            <sz val="9"/>
            <color indexed="81"/>
            <rFont val="Tahoma"/>
            <family val="2"/>
          </rPr>
          <t>George DeCourcy:</t>
        </r>
        <r>
          <rPr>
            <sz val="9"/>
            <color indexed="81"/>
            <rFont val="Tahoma"/>
            <family val="2"/>
          </rPr>
          <t xml:space="preserve">
Receives interest only payments - until Tranche A is paid out in full.</t>
        </r>
      </text>
    </comment>
    <comment ref="E63" authorId="0" shapeId="0" xr:uid="{00000000-0006-0000-3000-000008000000}">
      <text>
        <r>
          <rPr>
            <b/>
            <sz val="9"/>
            <color indexed="81"/>
            <rFont val="Tahoma"/>
            <family val="2"/>
          </rPr>
          <t>George DeCourcy:</t>
        </r>
        <r>
          <rPr>
            <sz val="9"/>
            <color indexed="81"/>
            <rFont val="Tahoma"/>
            <family val="2"/>
          </rPr>
          <t xml:space="preserve">
Once Tranche A is paid off, Tranche B starts receiving principal payments including the "notional" principal from Z's deferral of interest.</t>
        </r>
      </text>
    </comment>
    <comment ref="B74" authorId="1" shapeId="0" xr:uid="{00000000-0006-0000-3000-000009000000}">
      <text>
        <r>
          <rPr>
            <b/>
            <sz val="9"/>
            <color indexed="81"/>
            <rFont val="Tahoma"/>
            <family val="2"/>
          </rPr>
          <t>George:</t>
        </r>
        <r>
          <rPr>
            <sz val="9"/>
            <color indexed="81"/>
            <rFont val="Tahoma"/>
            <family val="2"/>
          </rPr>
          <t xml:space="preserve">
This class defers receipt of its interest payments (accrues) until A and B have been totally paid off.</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C62" authorId="0" shapeId="0" xr:uid="{00000000-0006-0000-3300-000001000000}">
      <text>
        <r>
          <rPr>
            <b/>
            <sz val="9"/>
            <color indexed="81"/>
            <rFont val="Tahoma"/>
            <charset val="1"/>
          </rPr>
          <t>George DeCourcy:</t>
        </r>
        <r>
          <rPr>
            <sz val="9"/>
            <color indexed="81"/>
            <rFont val="Tahoma"/>
            <charset val="1"/>
          </rPr>
          <t xml:space="preserve">
In this example, the interest of 1 million for the year is paid and the principal is auctioned at 8 million for a total of 9 m.</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D8" authorId="0" shapeId="0" xr:uid="{00000000-0006-0000-3500-000001000000}">
      <text>
        <r>
          <rPr>
            <b/>
            <sz val="9"/>
            <color indexed="81"/>
            <rFont val="Tahoma"/>
            <family val="2"/>
          </rPr>
          <t>George DeCourcy:</t>
        </r>
        <r>
          <rPr>
            <sz val="9"/>
            <color indexed="81"/>
            <rFont val="Tahoma"/>
            <family val="2"/>
          </rPr>
          <t xml:space="preserve">
This model uses hurdles set at the "deal" level (as opposed to the "return to the money" level. This matters for a multi-tier waterfall and is one of the key issues in negotiating a structure.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B3" authorId="0" shapeId="0" xr:uid="{00000000-0006-0000-1200-000001000000}">
      <text>
        <r>
          <rPr>
            <b/>
            <sz val="9"/>
            <color indexed="81"/>
            <rFont val="Tahoma"/>
            <family val="2"/>
          </rPr>
          <t>George DeCourcy:</t>
        </r>
        <r>
          <rPr>
            <sz val="9"/>
            <color indexed="81"/>
            <rFont val="Tahoma"/>
            <family val="2"/>
          </rPr>
          <t xml:space="preserve">
This spreadsheet is built based on assumptions in the 15th and16th edition of the textbook. The 14th edition and earlier had minor differences.
Changes beginning 15e include Year 1 rental rate changed to $1250, Real Estate Taxes escalate at 3% and credit loss is still 1% but of lease rents EXCLUDING laundry.</t>
        </r>
      </text>
    </comment>
    <comment ref="G34" authorId="0" shapeId="0" xr:uid="{00000000-0006-0000-1200-000002000000}">
      <text>
        <r>
          <rPr>
            <b/>
            <sz val="9"/>
            <color indexed="81"/>
            <rFont val="Tahoma"/>
            <family val="2"/>
          </rPr>
          <t>George DeCourcy:</t>
        </r>
        <r>
          <rPr>
            <sz val="9"/>
            <color indexed="81"/>
            <rFont val="Tahoma"/>
            <family val="2"/>
          </rPr>
          <t xml:space="preserve">
For 15/16th edition of text, this is 3%, but for prior editions this is 2.5%.</t>
        </r>
      </text>
    </comment>
    <comment ref="D49" authorId="0" shapeId="0" xr:uid="{00000000-0006-0000-1200-000003000000}">
      <text>
        <r>
          <rPr>
            <b/>
            <sz val="9"/>
            <color indexed="81"/>
            <rFont val="Tahoma"/>
            <family val="2"/>
          </rPr>
          <t>George DeCourcy:</t>
        </r>
        <r>
          <rPr>
            <sz val="9"/>
            <color indexed="81"/>
            <rFont val="Tahoma"/>
            <family val="2"/>
          </rPr>
          <t xml:space="preserve">
In 14e there was a difference between current rent and market rent. This required special line calculation here. This is no longer necessary in 15e version.
</t>
        </r>
      </text>
    </comment>
    <comment ref="E53" authorId="0" shapeId="0" xr:uid="{00000000-0006-0000-1200-000004000000}">
      <text>
        <r>
          <rPr>
            <b/>
            <sz val="9"/>
            <color indexed="81"/>
            <rFont val="Tahoma"/>
            <family val="2"/>
          </rPr>
          <t>George DeCourcy:</t>
        </r>
        <r>
          <rPr>
            <sz val="9"/>
            <color indexed="81"/>
            <rFont val="Tahoma"/>
            <family val="2"/>
          </rPr>
          <t xml:space="preserve">
Changed in 15e to exclude laundry income. (minor change)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D12" authorId="0" shapeId="0" xr:uid="{00000000-0006-0000-1400-000001000000}">
      <text>
        <r>
          <rPr>
            <b/>
            <sz val="9"/>
            <color indexed="81"/>
            <rFont val="Tahoma"/>
            <family val="2"/>
          </rPr>
          <t>George DeCourcy:</t>
        </r>
        <r>
          <rPr>
            <sz val="9"/>
            <color indexed="81"/>
            <rFont val="Tahoma"/>
            <family val="2"/>
          </rPr>
          <t xml:space="preserve">
Handled differently in 15e with a stairstep estimate.</t>
        </r>
      </text>
    </comment>
    <comment ref="F54" authorId="1" shapeId="0" xr:uid="{00000000-0006-0000-1400-000002000000}">
      <text>
        <r>
          <rPr>
            <b/>
            <sz val="9"/>
            <color indexed="81"/>
            <rFont val="Tahoma"/>
            <family val="2"/>
          </rPr>
          <t>George:</t>
        </r>
        <r>
          <rPr>
            <sz val="9"/>
            <color indexed="81"/>
            <rFont val="Tahoma"/>
            <family val="2"/>
          </rPr>
          <t xml:space="preserve">
One time 10% increase in property taxes.  14e version only.</t>
        </r>
      </text>
    </comment>
    <comment ref="D81" authorId="1" shapeId="0" xr:uid="{00000000-0006-0000-1400-000003000000}">
      <text>
        <r>
          <rPr>
            <b/>
            <sz val="9"/>
            <color indexed="81"/>
            <rFont val="Tahoma"/>
            <family val="2"/>
          </rPr>
          <t>George:</t>
        </r>
        <r>
          <rPr>
            <sz val="9"/>
            <color indexed="81"/>
            <rFont val="Tahoma"/>
            <family val="2"/>
          </rPr>
          <t xml:space="preserve">
Model implies inflation is just starting now as this is only a single year  of inflation adjustment. (see +0 adj to exponent).
This could easily be varied to show a CPI adj. assuming you are two years into the lease. I have NOT adjusted this so as to keep consistent with text book copy.</t>
        </r>
      </text>
    </comment>
    <comment ref="G88" authorId="0" shapeId="0" xr:uid="{00000000-0006-0000-1400-000004000000}">
      <text>
        <r>
          <rPr>
            <b/>
            <sz val="9"/>
            <color indexed="81"/>
            <rFont val="Tahoma"/>
            <family val="2"/>
          </rPr>
          <t>George DeCourcy:</t>
        </r>
        <r>
          <rPr>
            <sz val="9"/>
            <color indexed="81"/>
            <rFont val="Tahoma"/>
            <family val="2"/>
          </rPr>
          <t xml:space="preserve">
Formula changes here because new lease is signed.Thus expense stop "resets" to current expense level. Presumably the base rent has been increased to cover existing expense level and only the incremental expenses will be passed through under this "expense stop" structure.</t>
        </r>
      </text>
    </comment>
    <comment ref="G98" authorId="1" shapeId="0" xr:uid="{00000000-0006-0000-1400-000005000000}">
      <text>
        <r>
          <rPr>
            <b/>
            <sz val="9"/>
            <color indexed="81"/>
            <rFont val="Tahoma"/>
            <family val="2"/>
          </rPr>
          <t>George:</t>
        </r>
        <r>
          <rPr>
            <sz val="9"/>
            <color indexed="81"/>
            <rFont val="Tahoma"/>
            <family val="2"/>
          </rPr>
          <t xml:space="preserve">
Per assumptions, vacancy starts in Year 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C24" authorId="0" shapeId="0" xr:uid="{00000000-0006-0000-1500-000001000000}">
      <text>
        <r>
          <rPr>
            <b/>
            <sz val="9"/>
            <color indexed="81"/>
            <rFont val="Tahoma"/>
            <family val="2"/>
          </rPr>
          <t>George DeCourcy:</t>
        </r>
        <r>
          <rPr>
            <sz val="9"/>
            <color indexed="81"/>
            <rFont val="Tahoma"/>
            <family val="2"/>
          </rPr>
          <t xml:space="preserve">
Given in text example.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C20" authorId="0" shapeId="0" xr:uid="{00000000-0006-0000-1600-000001000000}">
      <text>
        <r>
          <rPr>
            <b/>
            <sz val="9"/>
            <color indexed="81"/>
            <rFont val="Tahoma"/>
            <family val="2"/>
          </rPr>
          <t>George DeCourcy:</t>
        </r>
        <r>
          <rPr>
            <sz val="9"/>
            <color indexed="81"/>
            <rFont val="Tahoma"/>
            <family val="2"/>
          </rPr>
          <t xml:space="preserve">
Not provided in text. This is subjective, but should be higher than unleveraged rate to reflect risk of adding debt.</t>
        </r>
      </text>
    </comment>
    <comment ref="C136" authorId="1" shapeId="0" xr:uid="{00000000-0006-0000-1600-000002000000}">
      <text>
        <r>
          <rPr>
            <b/>
            <sz val="9"/>
            <color indexed="81"/>
            <rFont val="Tahoma"/>
            <family val="2"/>
          </rPr>
          <t>George:</t>
        </r>
        <r>
          <rPr>
            <sz val="9"/>
            <color indexed="81"/>
            <rFont val="Tahoma"/>
            <family val="2"/>
          </rPr>
          <t xml:space="preserve">
Required rate of return for after tax cash flows would be less than for taxable flows.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D12" authorId="0" shapeId="0" xr:uid="{00000000-0006-0000-1700-000002000000}">
      <text>
        <r>
          <rPr>
            <b/>
            <sz val="9"/>
            <color indexed="81"/>
            <rFont val="Tahoma"/>
            <family val="2"/>
          </rPr>
          <t>George DeCourcy:</t>
        </r>
        <r>
          <rPr>
            <sz val="9"/>
            <color indexed="81"/>
            <rFont val="Tahoma"/>
            <family val="2"/>
          </rPr>
          <t xml:space="preserve">
This assumption used in 14e, but handled differently in 15/16/17e. See line 35 for stair step market estimates.
</t>
        </r>
      </text>
    </comment>
    <comment ref="G91" authorId="0" shapeId="0" xr:uid="{00000000-0006-0000-1700-000003000000}">
      <text>
        <r>
          <rPr>
            <b/>
            <sz val="9"/>
            <color indexed="81"/>
            <rFont val="Tahoma"/>
            <family val="2"/>
          </rPr>
          <t>George DeCourcy:</t>
        </r>
        <r>
          <rPr>
            <sz val="9"/>
            <color indexed="81"/>
            <rFont val="Tahoma"/>
            <family val="2"/>
          </rPr>
          <t xml:space="preserve">
Formula changes here because new lease is signed.Thus expense stop "resets" to current expense level. Presumably the base rent has been increased to cover existing expense level and only the incremental expenses will be passed through under this "expense stop" structure.</t>
        </r>
      </text>
    </comment>
    <comment ref="G101" authorId="1" shapeId="0" xr:uid="{00000000-0006-0000-1700-000004000000}">
      <text>
        <r>
          <rPr>
            <b/>
            <sz val="9"/>
            <color indexed="81"/>
            <rFont val="Tahoma"/>
            <family val="2"/>
          </rPr>
          <t>George:</t>
        </r>
        <r>
          <rPr>
            <sz val="9"/>
            <color indexed="81"/>
            <rFont val="Tahoma"/>
            <family val="2"/>
          </rPr>
          <t xml:space="preserve">
Per assumptions, vacancy starts in Year 4.</t>
        </r>
      </text>
    </comment>
    <comment ref="C152" authorId="0" shapeId="0" xr:uid="{00000000-0006-0000-1700-000005000000}">
      <text>
        <r>
          <rPr>
            <b/>
            <sz val="9"/>
            <color indexed="81"/>
            <rFont val="Tahoma"/>
            <family val="2"/>
          </rPr>
          <t>George DeCourcy:</t>
        </r>
        <r>
          <rPr>
            <sz val="9"/>
            <color indexed="81"/>
            <rFont val="Tahoma"/>
            <family val="2"/>
          </rPr>
          <t xml:space="preserve">
This modified IRR uses the 14% discount rate as the re-investment rate. This may not be appropriate but is done to coincide with the RealNex online model which may be referenced.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D12" authorId="0" shapeId="0" xr:uid="{784044A0-0915-4A13-8F43-A492CEE42D89}">
      <text>
        <r>
          <rPr>
            <b/>
            <sz val="9"/>
            <color indexed="81"/>
            <rFont val="Tahoma"/>
            <family val="2"/>
          </rPr>
          <t>George DeCourcy:</t>
        </r>
        <r>
          <rPr>
            <sz val="9"/>
            <color indexed="81"/>
            <rFont val="Tahoma"/>
            <family val="2"/>
          </rPr>
          <t xml:space="preserve">
This assumption used in 14e, but handled differently in 15/16/17e. See line 35 for stair step market estimates.
</t>
        </r>
      </text>
    </comment>
    <comment ref="G91" authorId="0" shapeId="0" xr:uid="{2CD468A6-E774-4580-8395-80797DEB538D}">
      <text>
        <r>
          <rPr>
            <b/>
            <sz val="9"/>
            <color indexed="81"/>
            <rFont val="Tahoma"/>
            <family val="2"/>
          </rPr>
          <t>George DeCourcy:</t>
        </r>
        <r>
          <rPr>
            <sz val="9"/>
            <color indexed="81"/>
            <rFont val="Tahoma"/>
            <family val="2"/>
          </rPr>
          <t xml:space="preserve">
Formula changes here because new lease is signed.Thus expense stop "resets" to current expense level. Presumably the base rent has been increased to cover existing expense level and only the incremental expenses will be passed through under this "expense stop" structure.</t>
        </r>
      </text>
    </comment>
    <comment ref="G101" authorId="1" shapeId="0" xr:uid="{C5E91570-D7B5-48B3-B2A1-4EB31392F034}">
      <text>
        <r>
          <rPr>
            <b/>
            <sz val="9"/>
            <color indexed="81"/>
            <rFont val="Tahoma"/>
            <family val="2"/>
          </rPr>
          <t>George:</t>
        </r>
        <r>
          <rPr>
            <sz val="9"/>
            <color indexed="81"/>
            <rFont val="Tahoma"/>
            <family val="2"/>
          </rPr>
          <t xml:space="preserve">
Per assumptions, vacancy starts in Year 4.</t>
        </r>
      </text>
    </comment>
    <comment ref="C152" authorId="0" shapeId="0" xr:uid="{1DFC0070-F131-4E4B-83E7-694CE2372DD0}">
      <text>
        <r>
          <rPr>
            <b/>
            <sz val="9"/>
            <color indexed="81"/>
            <rFont val="Tahoma"/>
            <family val="2"/>
          </rPr>
          <t>George DeCourcy:</t>
        </r>
        <r>
          <rPr>
            <sz val="9"/>
            <color indexed="81"/>
            <rFont val="Tahoma"/>
            <family val="2"/>
          </rPr>
          <t xml:space="preserve">
This modified IRR uses the 14% discount rate as the re-investment rate. This may not be appropriate but is done to coincide with the RealNex online model which may be referenced.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George</author>
  </authors>
  <commentList>
    <comment ref="C17" authorId="0" shapeId="0" xr:uid="{00000000-0006-0000-1800-000001000000}">
      <text>
        <r>
          <rPr>
            <b/>
            <sz val="9"/>
            <color indexed="81"/>
            <rFont val="Tahoma"/>
            <family val="2"/>
          </rPr>
          <t>George:</t>
        </r>
        <r>
          <rPr>
            <sz val="9"/>
            <color indexed="81"/>
            <rFont val="Tahoma"/>
            <family val="2"/>
          </rPr>
          <t xml:space="preserve">
interest only loan would show high number of years to avoid amortization.</t>
        </r>
      </text>
    </comment>
  </commentList>
</comments>
</file>

<file path=xl/sharedStrings.xml><?xml version="1.0" encoding="utf-8"?>
<sst xmlns="http://schemas.openxmlformats.org/spreadsheetml/2006/main" count="4702" uniqueCount="1758">
  <si>
    <t>Calc of tax savings if exchanged:</t>
  </si>
  <si>
    <t>Sale Price if sold today</t>
  </si>
  <si>
    <t>Adjusted Basis today</t>
  </si>
  <si>
    <t>Gain if sold today</t>
  </si>
  <si>
    <t>Capital Gain Tax Rate</t>
  </si>
  <si>
    <t>Tax if sold today</t>
  </si>
  <si>
    <t>Calc of add dep benefits if not exchanged:</t>
  </si>
  <si>
    <t>Add depreciation if sale &amp; purchase new</t>
  </si>
  <si>
    <t>Ord inc. tax rate</t>
  </si>
  <si>
    <t>Dep. tax savings if sale &amp; purchase new</t>
  </si>
  <si>
    <t>Calc of additioal tax at end of holding period if exchanged:</t>
  </si>
  <si>
    <t>Additional Gain at sale of exchanged prop</t>
  </si>
  <si>
    <t xml:space="preserve">     Deferred gain</t>
  </si>
  <si>
    <t xml:space="preserve">     Less: difference in accum dep</t>
  </si>
  <si>
    <t xml:space="preserve">     Net</t>
  </si>
  <si>
    <t>Cap gains tax rate at end of holding period</t>
  </si>
  <si>
    <t>Additional tax at sale of exchanged prop</t>
  </si>
  <si>
    <t>Calc of return on tax savings from exchange:</t>
  </si>
  <si>
    <t>If exchange done investor has in effect borrowed this amount</t>
  </si>
  <si>
    <t>PMT</t>
  </si>
  <si>
    <t>But loses this annual depreciation tax savings</t>
  </si>
  <si>
    <t>FV</t>
  </si>
  <si>
    <t>And pays additional capital gain tax at end</t>
  </si>
  <si>
    <t>N</t>
  </si>
  <si>
    <t>So over this number of years…</t>
  </si>
  <si>
    <t>This is what it cost to borrow the money (after tax)</t>
  </si>
  <si>
    <t>OR it is the return on money spent to go ahead and pay taxes today (not do the exchange)</t>
  </si>
  <si>
    <t>Installment Sale</t>
  </si>
  <si>
    <t>Exchange vs. Outright Sale</t>
  </si>
  <si>
    <t xml:space="preserve"> Yield based on annual cash flows (approximation):</t>
  </si>
  <si>
    <t>Initial Monthly payment</t>
  </si>
  <si>
    <t>Inflation</t>
  </si>
  <si>
    <t xml:space="preserve">        Price Level Adjusted Mortgage (PLAM)</t>
  </si>
  <si>
    <t>End Balance*</t>
  </si>
  <si>
    <t>*Ending balance is inflation adjusted at end of each year.</t>
  </si>
  <si>
    <t>Approx. with annual CF</t>
  </si>
  <si>
    <t>Yield based on monthly cash flows below.</t>
  </si>
  <si>
    <t>Assume $310,000 paid for the IO and $690,000 paid for the PO based on 15% prepayment.</t>
  </si>
  <si>
    <t xml:space="preserve"> (Refer to for data table below)</t>
  </si>
  <si>
    <t>Net Cash Flow from Owning Before Sale</t>
  </si>
  <si>
    <t>BT Cash Flow - Sale</t>
  </si>
  <si>
    <t>AT Cash Flow - Sale</t>
  </si>
  <si>
    <t>Less selling costs</t>
  </si>
  <si>
    <t>Less purchase price</t>
  </si>
  <si>
    <t>Gain on sale</t>
  </si>
  <si>
    <t>Exclusion</t>
  </si>
  <si>
    <t>Taxable gain</t>
  </si>
  <si>
    <t xml:space="preserve">Tax </t>
  </si>
  <si>
    <t>Purchase</t>
  </si>
  <si>
    <t>Total Cash Flow</t>
  </si>
  <si>
    <r>
      <t>P x (R-Expected R)</t>
    </r>
    <r>
      <rPr>
        <b/>
        <i/>
        <vertAlign val="superscript"/>
        <sz val="10"/>
        <rFont val="Arial"/>
        <family val="2"/>
      </rPr>
      <t>2</t>
    </r>
  </si>
  <si>
    <t>Loan to value</t>
  </si>
  <si>
    <t xml:space="preserve"> years </t>
  </si>
  <si>
    <t>Lender's Yield:</t>
  </si>
  <si>
    <t>Calculation of Lender's IRR:</t>
  </si>
  <si>
    <t>Accrual Loan</t>
  </si>
  <si>
    <t>Capital Gain Tax Rate assumed same as Ordinary Income Tax Rate</t>
  </si>
  <si>
    <t>Effective Cost of Sale-Leaseback of Land</t>
  </si>
  <si>
    <t>Calculation of Land purchaser's IRR:</t>
  </si>
  <si>
    <t>Land cash flows</t>
  </si>
  <si>
    <t xml:space="preserve">Sale Price </t>
  </si>
  <si>
    <t>Sale Price (net of portion transferred to lender)</t>
  </si>
  <si>
    <t>Conversion</t>
  </si>
  <si>
    <t>Chapter 4</t>
  </si>
  <si>
    <t>Building Name</t>
  </si>
  <si>
    <t>Oakwood</t>
  </si>
  <si>
    <t>Address</t>
  </si>
  <si>
    <t>1234 Elm Street</t>
  </si>
  <si>
    <t>City</t>
  </si>
  <si>
    <t>Anywhere</t>
  </si>
  <si>
    <t>State</t>
  </si>
  <si>
    <t>USA</t>
  </si>
  <si>
    <t>Total Units</t>
  </si>
  <si>
    <t xml:space="preserve">Unit Size </t>
  </si>
  <si>
    <t>Building Size (SF)</t>
  </si>
  <si>
    <t>Analysis Begin Date</t>
  </si>
  <si>
    <t>Discount Rate</t>
  </si>
  <si>
    <t>Selling Cost</t>
  </si>
  <si>
    <t>Inputs</t>
  </si>
  <si>
    <t>Apartment Unit</t>
  </si>
  <si>
    <t>Name</t>
  </si>
  <si>
    <t>Two Bedroom</t>
  </si>
  <si>
    <t>Monthly Rent</t>
  </si>
  <si>
    <t>Lease Term (Yrs)</t>
  </si>
  <si>
    <t>Market Monthly Rent</t>
  </si>
  <si>
    <t>Market Rent Increase</t>
  </si>
  <si>
    <t>Laundry Income/unit/year</t>
  </si>
  <si>
    <t>Laundry Income increase</t>
  </si>
  <si>
    <t>Market Vacancy Rate</t>
  </si>
  <si>
    <t>Credit Loss Rate</t>
  </si>
  <si>
    <t xml:space="preserve">% of EGI  </t>
  </si>
  <si>
    <t>$ Amount</t>
  </si>
  <si>
    <t>$ per Unit</t>
  </si>
  <si>
    <t>Change %</t>
  </si>
  <si>
    <t>Office Expenses</t>
  </si>
  <si>
    <t>Repairs &amp; Maintenance</t>
  </si>
  <si>
    <t>Miscellaneous Expenses</t>
  </si>
  <si>
    <t>Outputs</t>
  </si>
  <si>
    <t>Current Rent</t>
  </si>
  <si>
    <t>Market Rent from lease renewals</t>
  </si>
  <si>
    <t>Laundry Income</t>
  </si>
  <si>
    <t xml:space="preserve">Less: Vacancy </t>
  </si>
  <si>
    <t>Less: Credit Loss</t>
  </si>
  <si>
    <t>PV Factors</t>
  </si>
  <si>
    <t>Sum PV NOI</t>
  </si>
  <si>
    <t>PV Resale</t>
  </si>
  <si>
    <t>Net Resale</t>
  </si>
  <si>
    <t>Value</t>
  </si>
  <si>
    <t>PV Factor</t>
  </si>
  <si>
    <t>PVResale</t>
  </si>
  <si>
    <t>Implied Change in Value</t>
  </si>
  <si>
    <t xml:space="preserve">Anywhere </t>
  </si>
  <si>
    <t>Tenant Size</t>
  </si>
  <si>
    <t>Rent SF</t>
  </si>
  <si>
    <t>Market Rent</t>
  </si>
  <si>
    <t>Recoveries</t>
  </si>
  <si>
    <t>Lease Only</t>
  </si>
  <si>
    <t>Property Tax</t>
  </si>
  <si>
    <t>$ per SF</t>
  </si>
  <si>
    <t>Total Income</t>
  </si>
  <si>
    <t xml:space="preserve">Total </t>
  </si>
  <si>
    <t>Vacant Space</t>
  </si>
  <si>
    <t>Drug Store</t>
  </si>
  <si>
    <t>Restaurant</t>
  </si>
  <si>
    <t># Leases</t>
  </si>
  <si>
    <t>Space per Lease</t>
  </si>
  <si>
    <t>Sales Volume/SF</t>
  </si>
  <si>
    <t>Period 2nd Lease</t>
  </si>
  <si>
    <t>Sales Annual Change</t>
  </si>
  <si>
    <t>Breakpoint/SF</t>
  </si>
  <si>
    <t>Overage %</t>
  </si>
  <si>
    <t>MLA Lease Term</t>
  </si>
  <si>
    <t>MLA Tenant Improvement</t>
  </si>
  <si>
    <t>MLA Lease Commissions</t>
  </si>
  <si>
    <t>MLA TI Annual Change</t>
  </si>
  <si>
    <t>Restaurant Sales Volume</t>
  </si>
  <si>
    <t>Rental Income:</t>
  </si>
  <si>
    <t>Drug Store Rent</t>
  </si>
  <si>
    <t>Drug Store Renewal Rent</t>
  </si>
  <si>
    <t>Drug Store Recoveries</t>
  </si>
  <si>
    <t>Food Store Rent</t>
  </si>
  <si>
    <t>Food Store Renewal Rent</t>
  </si>
  <si>
    <t>Food Store Recoveries</t>
  </si>
  <si>
    <t>Restaurant Rent</t>
  </si>
  <si>
    <t>Restaurant Renewal Rent</t>
  </si>
  <si>
    <t>Restaurant Recoveries</t>
  </si>
  <si>
    <t>Vacant Space 1 Rent</t>
  </si>
  <si>
    <t>Vacant Space 1 Renewal Rent</t>
  </si>
  <si>
    <t>Vacant Space 1 Recoveries</t>
  </si>
  <si>
    <t>Vacant Space 2 Rent</t>
  </si>
  <si>
    <t>Vacant Space 2 Renewal Rent</t>
  </si>
  <si>
    <t>Vacant Space 2 Recoveries</t>
  </si>
  <si>
    <t>Vacant Space Vacancy</t>
  </si>
  <si>
    <t xml:space="preserve">General Vacancy </t>
  </si>
  <si>
    <t>CAM</t>
  </si>
  <si>
    <t>Vacant Space TIs</t>
  </si>
  <si>
    <t>In-Line Space TIs</t>
  </si>
  <si>
    <t>Total TIs</t>
  </si>
  <si>
    <t>Vacant Space Leasing Commissoins</t>
  </si>
  <si>
    <t>In-Line Space Leasing Commissions</t>
  </si>
  <si>
    <t>Total Leasing Commissions</t>
  </si>
  <si>
    <t>Cash Flow from Operations</t>
  </si>
  <si>
    <t>Cash flow from Resale</t>
  </si>
  <si>
    <t>Partitioning the IRR:</t>
  </si>
  <si>
    <t>Using IRR as a discount rate:</t>
  </si>
  <si>
    <t>PV of Cash flow from Operations</t>
  </si>
  <si>
    <t>PV of Cash Flow from Resale</t>
  </si>
  <si>
    <t>Worthington Distribution Center</t>
  </si>
  <si>
    <t>Electric Supply</t>
  </si>
  <si>
    <t>Sign Company</t>
  </si>
  <si>
    <t>Computer Dist.</t>
  </si>
  <si>
    <t>At Expiration</t>
  </si>
  <si>
    <t>Renew</t>
  </si>
  <si>
    <t>Vacate</t>
  </si>
  <si>
    <t>Market</t>
  </si>
  <si>
    <t>Market Leasing Assumption</t>
  </si>
  <si>
    <t>Rent Annual Change</t>
  </si>
  <si>
    <t>Tenant Improvement Annual Change</t>
  </si>
  <si>
    <t>Leasing</t>
  </si>
  <si>
    <t>Tenant</t>
  </si>
  <si>
    <t>Months Vacant</t>
  </si>
  <si>
    <t>Commissions</t>
  </si>
  <si>
    <t>Market Turnover</t>
  </si>
  <si>
    <t>Vacate Turnover</t>
  </si>
  <si>
    <t>TI</t>
  </si>
  <si>
    <t>LC</t>
  </si>
  <si>
    <t>Market Rent 1 - Electric Supply</t>
  </si>
  <si>
    <t>Market Rent 1 - Sign Co.</t>
  </si>
  <si>
    <t>Market Rent 1 - Computer Dist</t>
  </si>
  <si>
    <t>Roof Repair (year 1)</t>
  </si>
  <si>
    <t>Electric Supply Rent</t>
  </si>
  <si>
    <t>Electric Supply Market Rent</t>
  </si>
  <si>
    <t>Sign Company Rent</t>
  </si>
  <si>
    <t>Sign Company Market Rent</t>
  </si>
  <si>
    <t>Computer Dist. Rent</t>
  </si>
  <si>
    <t>Computer Dist. Market Rent</t>
  </si>
  <si>
    <t>Turnover Vacancy</t>
  </si>
  <si>
    <t>Cash Flow:</t>
  </si>
  <si>
    <t>Leasing Commissions</t>
  </si>
  <si>
    <t>Total TI and LC</t>
  </si>
  <si>
    <t>Capital Costs</t>
  </si>
  <si>
    <t>Present Value of Cash Flow</t>
  </si>
  <si>
    <t>Resale Calculations:</t>
  </si>
  <si>
    <t>Value:</t>
  </si>
  <si>
    <t>PV Cash flows</t>
  </si>
  <si>
    <t>Chapter 12</t>
  </si>
  <si>
    <t>Chapter 14 Exhibit 5</t>
  </si>
  <si>
    <t>Data Input Box:</t>
  </si>
  <si>
    <t>years</t>
  </si>
  <si>
    <t>Payment</t>
  </si>
  <si>
    <t>Interest</t>
  </si>
  <si>
    <t>Loan Amount</t>
  </si>
  <si>
    <t>Interest Rate</t>
  </si>
  <si>
    <t>Loan Term</t>
  </si>
  <si>
    <t>Points</t>
  </si>
  <si>
    <t>Balance</t>
  </si>
  <si>
    <t>Month</t>
  </si>
  <si>
    <t>Loan Balance on GPM</t>
  </si>
  <si>
    <t>Pmt Increase</t>
  </si>
  <si>
    <t>Inc. Years</t>
  </si>
  <si>
    <t>Lender's Yield (after 7 yrs)</t>
  </si>
  <si>
    <t>INITIAL PAYMENT CALCULATION:</t>
  </si>
  <si>
    <t>(1)</t>
  </si>
  <si>
    <t>(2)</t>
  </si>
  <si>
    <t>(3)</t>
  </si>
  <si>
    <t>(4)</t>
  </si>
  <si>
    <t>(5)</t>
  </si>
  <si>
    <t>Period</t>
  </si>
  <si>
    <t>MPVIFA</t>
  </si>
  <si>
    <t>MPVIF</t>
  </si>
  <si>
    <t>6-25</t>
  </si>
  <si>
    <t>Initial Payment:</t>
  </si>
  <si>
    <t>&lt;====</t>
  </si>
  <si>
    <t>Loan Amt</t>
  </si>
  <si>
    <t>/ Pmt Factor</t>
  </si>
  <si>
    <t>LOAN AMORTIZATION SCHEDULE:</t>
  </si>
  <si>
    <t>Principle</t>
  </si>
  <si>
    <t>CPM Payment</t>
  </si>
  <si>
    <t>&lt;==Amount Dispersed</t>
  </si>
  <si>
    <t>EOY 1</t>
  </si>
  <si>
    <t>EOY 2</t>
  </si>
  <si>
    <t>EOY 3</t>
  </si>
  <si>
    <t>EOY 4</t>
  </si>
  <si>
    <t>EOY 5</t>
  </si>
  <si>
    <t>EOY 6</t>
  </si>
  <si>
    <t>EOY 7</t>
  </si>
  <si>
    <t>Pmt factor =</t>
  </si>
  <si>
    <t>(2x3x4)</t>
  </si>
  <si>
    <t>Highest and Best Use Analysis</t>
  </si>
  <si>
    <t>Office</t>
  </si>
  <si>
    <t>Retail</t>
  </si>
  <si>
    <t>Apartment</t>
  </si>
  <si>
    <t>Warehouse</t>
  </si>
  <si>
    <t>NOI yr 1</t>
  </si>
  <si>
    <t>Building Costs</t>
  </si>
  <si>
    <t>HIGHEST and BEST USE ANALYSIS:</t>
  </si>
  <si>
    <t>Inerest Rate</t>
  </si>
  <si>
    <t>Adjustments</t>
  </si>
  <si>
    <t>per year</t>
  </si>
  <si>
    <t>Yr 1 Expenses</t>
  </si>
  <si>
    <t xml:space="preserve">Expense Growth </t>
  </si>
  <si>
    <t>Expense Stop</t>
  </si>
  <si>
    <t>Year</t>
  </si>
  <si>
    <t>Present Value</t>
  </si>
  <si>
    <t>Effective Rent</t>
  </si>
  <si>
    <t>-</t>
  </si>
  <si>
    <t>Gross Rent</t>
  </si>
  <si>
    <t>Asking Price</t>
  </si>
  <si>
    <t>Terminal Cap Rate</t>
  </si>
  <si>
    <t>Income:</t>
  </si>
  <si>
    <t>PGI</t>
  </si>
  <si>
    <t>EGI</t>
  </si>
  <si>
    <t>Expenses:</t>
  </si>
  <si>
    <t>Management Fee</t>
  </si>
  <si>
    <t>Utilities</t>
  </si>
  <si>
    <t>Real Estate Taxes</t>
  </si>
  <si>
    <t>Insurance</t>
  </si>
  <si>
    <t>Advertising</t>
  </si>
  <si>
    <t>Total Expenses</t>
  </si>
  <si>
    <t>Net Operating Income</t>
  </si>
  <si>
    <t>CASH FLOW SUMMARY:</t>
  </si>
  <si>
    <t>Cash Flow</t>
  </si>
  <si>
    <t>Reversion</t>
  </si>
  <si>
    <t>Property Value</t>
  </si>
  <si>
    <t>Purchase Price</t>
  </si>
  <si>
    <t>Overage</t>
  </si>
  <si>
    <t>Vacancy</t>
  </si>
  <si>
    <t>Operating Expenses</t>
  </si>
  <si>
    <t>Potential Gross Income (PGI)</t>
  </si>
  <si>
    <t>Effective Gross Income (EGI)</t>
  </si>
  <si>
    <t>Property taxes</t>
  </si>
  <si>
    <t>Equity</t>
  </si>
  <si>
    <t>Total</t>
  </si>
  <si>
    <t>Internal Rate of Return</t>
  </si>
  <si>
    <t>Current Market Rent</t>
  </si>
  <si>
    <t>per s.f.</t>
  </si>
  <si>
    <t>Gross square feet of building</t>
  </si>
  <si>
    <t>s.f.</t>
  </si>
  <si>
    <t>Net rentable square feet of building</t>
  </si>
  <si>
    <t>Projected Increase in Market Rent</t>
  </si>
  <si>
    <t>Management costs</t>
  </si>
  <si>
    <t>of Effective Gross Income</t>
  </si>
  <si>
    <t>Estimated increase in CPI</t>
  </si>
  <si>
    <t>Vacancy rate starting year 4</t>
  </si>
  <si>
    <t>SUMMARY LEASE INFORMATION</t>
  </si>
  <si>
    <t xml:space="preserve">  Tenant</t>
  </si>
  <si>
    <t>Sq. ft.</t>
  </si>
  <si>
    <t>Rent</t>
  </si>
  <si>
    <t>Remaining</t>
  </si>
  <si>
    <t xml:space="preserve"> Expense stop</t>
  </si>
  <si>
    <t>CPI adjustment</t>
  </si>
  <si>
    <t>term (yrs)</t>
  </si>
  <si>
    <t>Tenant 1</t>
  </si>
  <si>
    <t>Tenant 2</t>
  </si>
  <si>
    <t>Tenant 3</t>
  </si>
  <si>
    <t>Tenant 4</t>
  </si>
  <si>
    <t>Tenant 5</t>
  </si>
  <si>
    <t>Tenant 6</t>
  </si>
  <si>
    <t>Note: Expense stop excludes management expenses</t>
  </si>
  <si>
    <t>Dollars</t>
  </si>
  <si>
    <t>Property tax</t>
  </si>
  <si>
    <t xml:space="preserve"> Level for 2 years then 10% increase, then level</t>
  </si>
  <si>
    <t xml:space="preserve"> increase</t>
  </si>
  <si>
    <t xml:space="preserve"> per year</t>
  </si>
  <si>
    <t>Janitorial</t>
  </si>
  <si>
    <t>Maintenance</t>
  </si>
  <si>
    <t>Subtotal (before mgt)</t>
  </si>
  <si>
    <t xml:space="preserve"> (before management expenses)</t>
  </si>
  <si>
    <t>Management</t>
  </si>
  <si>
    <t xml:space="preserve"> of EGI</t>
  </si>
  <si>
    <t>Total before management</t>
  </si>
  <si>
    <t>per  s.f.</t>
  </si>
  <si>
    <t>Base income</t>
  </si>
  <si>
    <t>Plus Reimbursements</t>
  </si>
  <si>
    <t>Less Vacancy</t>
  </si>
  <si>
    <t>NOI</t>
  </si>
  <si>
    <t>Asking price</t>
  </si>
  <si>
    <t>Capitalization rate</t>
  </si>
  <si>
    <t xml:space="preserve"> (1st year NOI / Price)</t>
  </si>
  <si>
    <t>Partitioning the IRR</t>
  </si>
  <si>
    <r>
      <t>PV of BTCF</t>
    </r>
    <r>
      <rPr>
        <vertAlign val="subscript"/>
        <sz val="10"/>
        <rFont val="Arial"/>
        <family val="2"/>
      </rPr>
      <t>o</t>
    </r>
  </si>
  <si>
    <r>
      <t>PV of BTCF</t>
    </r>
    <r>
      <rPr>
        <vertAlign val="subscript"/>
        <sz val="10"/>
        <rFont val="Arial"/>
        <family val="2"/>
      </rPr>
      <t>s</t>
    </r>
  </si>
  <si>
    <t>Total Present Value</t>
  </si>
  <si>
    <t>Ratio of Present Values</t>
  </si>
  <si>
    <r>
      <t>BTCF</t>
    </r>
    <r>
      <rPr>
        <b/>
        <vertAlign val="subscript"/>
        <sz val="10"/>
        <rFont val="Arial"/>
        <family val="2"/>
      </rPr>
      <t>o</t>
    </r>
    <r>
      <rPr>
        <b/>
        <sz val="10"/>
        <rFont val="Arial"/>
        <family val="2"/>
      </rPr>
      <t xml:space="preserve"> to Total Present Value</t>
    </r>
  </si>
  <si>
    <r>
      <t>BTCF</t>
    </r>
    <r>
      <rPr>
        <b/>
        <vertAlign val="subscript"/>
        <sz val="10"/>
        <rFont val="Arial"/>
        <family val="2"/>
      </rPr>
      <t>s</t>
    </r>
    <r>
      <rPr>
        <b/>
        <sz val="10"/>
        <rFont val="Arial"/>
        <family val="2"/>
      </rPr>
      <t xml:space="preserve"> to Total Present Value</t>
    </r>
  </si>
  <si>
    <t>Office Building</t>
  </si>
  <si>
    <t>Scenario</t>
  </si>
  <si>
    <t>Return (or R)</t>
  </si>
  <si>
    <t>Probability (P)</t>
  </si>
  <si>
    <t xml:space="preserve"> (Return x Probability)</t>
  </si>
  <si>
    <t>R - Expected R</t>
  </si>
  <si>
    <t>Pessimistic</t>
  </si>
  <si>
    <t>Most Likely</t>
  </si>
  <si>
    <t>Optimistic</t>
  </si>
  <si>
    <t xml:space="preserve">Expected Return </t>
  </si>
  <si>
    <t>Variance</t>
  </si>
  <si>
    <t>Standard Deviation</t>
  </si>
  <si>
    <t>Apartment Building</t>
  </si>
  <si>
    <t>Expected Return</t>
  </si>
  <si>
    <t>Hotel</t>
  </si>
  <si>
    <t>SUMMARY</t>
  </si>
  <si>
    <t>Property</t>
  </si>
  <si>
    <t>Tax Considerations:</t>
  </si>
  <si>
    <t>Building Value</t>
  </si>
  <si>
    <t>Depreciation (in years)</t>
  </si>
  <si>
    <t>Ordinary income tax rate</t>
  </si>
  <si>
    <t>Capital gains tax rate</t>
  </si>
  <si>
    <t>Loan-to-Value</t>
  </si>
  <si>
    <t>Depreciation recapture</t>
  </si>
  <si>
    <t>Loan Interest</t>
  </si>
  <si>
    <t>Loan term</t>
  </si>
  <si>
    <t>Payments per year</t>
  </si>
  <si>
    <t>Gross</t>
  </si>
  <si>
    <t>Resale Price</t>
  </si>
  <si>
    <t>Net</t>
  </si>
  <si>
    <t>Holding Period</t>
  </si>
  <si>
    <t>Selling costs</t>
  </si>
  <si>
    <t>of sale price</t>
  </si>
  <si>
    <t>Equity discount rate</t>
  </si>
  <si>
    <t>Reinvestment rate</t>
  </si>
  <si>
    <t>Loan</t>
  </si>
  <si>
    <t>Annual Loan Payment</t>
  </si>
  <si>
    <t>Mortgage Balance</t>
  </si>
  <si>
    <t>year</t>
  </si>
  <si>
    <t>SUMMARY LOAN INFORMATION:</t>
  </si>
  <si>
    <t>End of Year</t>
  </si>
  <si>
    <t>Principal</t>
  </si>
  <si>
    <t>Taxable Income (Loss):</t>
  </si>
  <si>
    <t>Net Operating Income (NOI)</t>
  </si>
  <si>
    <t>Less: Interest</t>
  </si>
  <si>
    <t xml:space="preserve">         Depreciation</t>
  </si>
  <si>
    <t>Taxable Income (Loss)</t>
  </si>
  <si>
    <t>Less Tax</t>
  </si>
  <si>
    <t>After-tax Cash Flow</t>
  </si>
  <si>
    <t>Sales Price</t>
  </si>
  <si>
    <t>Sales costs</t>
  </si>
  <si>
    <t>Before-tax cash flow</t>
  </si>
  <si>
    <t>Original Cost Basis</t>
  </si>
  <si>
    <t>Accumulated Depreciation</t>
  </si>
  <si>
    <t>Adjusted Basis</t>
  </si>
  <si>
    <t>Capital Gain</t>
  </si>
  <si>
    <t>Price appreciation</t>
  </si>
  <si>
    <t>Tax on price appreciation</t>
  </si>
  <si>
    <t>Tax on depreciation recapture</t>
  </si>
  <si>
    <t>After-Tax Cash Flow from Sale</t>
  </si>
  <si>
    <t>CASH FLOW SUMMARY</t>
  </si>
  <si>
    <t>BTIRR on Equity</t>
  </si>
  <si>
    <t>Before-Tax Cash Flow</t>
  </si>
  <si>
    <t>After-Tax Cash Flow</t>
  </si>
  <si>
    <r>
      <t>PV of ATCF</t>
    </r>
    <r>
      <rPr>
        <vertAlign val="subscript"/>
        <sz val="10"/>
        <rFont val="Arial"/>
        <family val="2"/>
      </rPr>
      <t>o</t>
    </r>
  </si>
  <si>
    <r>
      <t>PV of ATCF</t>
    </r>
    <r>
      <rPr>
        <vertAlign val="subscript"/>
        <sz val="10"/>
        <rFont val="Arial"/>
        <family val="2"/>
      </rPr>
      <t>s</t>
    </r>
    <r>
      <rPr>
        <sz val="10"/>
        <rFont val="Arial"/>
        <family val="2"/>
      </rPr>
      <t xml:space="preserve"> </t>
    </r>
  </si>
  <si>
    <t>Less Original Equity Investment</t>
  </si>
  <si>
    <t>After-Tax Net Present Value</t>
  </si>
  <si>
    <t>Effective Tax Rate</t>
  </si>
  <si>
    <t>Price/Gross Square Foot</t>
  </si>
  <si>
    <t>Price/Net Square Foot</t>
  </si>
  <si>
    <t>Capitalization Rate</t>
  </si>
  <si>
    <t>BT Equivalent Yield</t>
  </si>
  <si>
    <t>No passive activity loss limitations (PALL) considered. Set all data cells that do not apply to zero.</t>
  </si>
  <si>
    <t>NOI year 1</t>
  </si>
  <si>
    <t>Growth-NOI</t>
  </si>
  <si>
    <t>Depreciation</t>
  </si>
  <si>
    <t>Tax rate</t>
  </si>
  <si>
    <t>Loan Interest (Payment)</t>
  </si>
  <si>
    <t>Loan Interest (Accural)</t>
  </si>
  <si>
    <t>Loan Amortization Term</t>
  </si>
  <si>
    <t>Loan Due</t>
  </si>
  <si>
    <t>Equity Participation</t>
  </si>
  <si>
    <t>of NOI</t>
  </si>
  <si>
    <t>Partic. on Excess over</t>
  </si>
  <si>
    <t>of sales gain</t>
  </si>
  <si>
    <t>Land Lease Payment</t>
  </si>
  <si>
    <t>Appreciation rate</t>
  </si>
  <si>
    <t>Lender's Equity Ownership</t>
  </si>
  <si>
    <t>Annual Accrual Amount</t>
  </si>
  <si>
    <t>SUMMARY CASH FLOW INFORMATION:</t>
  </si>
  <si>
    <t>Less Debt Service</t>
  </si>
  <si>
    <t>Less Land Lease Payment</t>
  </si>
  <si>
    <t>Before-tax Cash Flow</t>
  </si>
  <si>
    <t xml:space="preserve">         Participation</t>
  </si>
  <si>
    <t>Taxable Income</t>
  </si>
  <si>
    <t>Tax (Savings)</t>
  </si>
  <si>
    <t>CASH FLOW FROM SALE:</t>
  </si>
  <si>
    <t>Sale Price (received by investor)</t>
  </si>
  <si>
    <t>Participation in Gain</t>
  </si>
  <si>
    <t>Sale Price</t>
  </si>
  <si>
    <t>Sales Costs</t>
  </si>
  <si>
    <t>Participation</t>
  </si>
  <si>
    <t>Tax from Sale</t>
  </si>
  <si>
    <t>EQUITY ANALYSIS:</t>
  </si>
  <si>
    <t>BTCF after Participation</t>
  </si>
  <si>
    <t>ATCF</t>
  </si>
  <si>
    <t>ATIRR on Equity</t>
  </si>
  <si>
    <t>PROPERTY ANALYSIS:</t>
  </si>
  <si>
    <t>BTIRR on Property</t>
  </si>
  <si>
    <t>ATCF-no loan</t>
  </si>
  <si>
    <t>ATIRR on Property</t>
  </si>
  <si>
    <t>Debt service</t>
  </si>
  <si>
    <t>Loan balance</t>
  </si>
  <si>
    <t>Loan amount</t>
  </si>
  <si>
    <t>Cash flows to lender</t>
  </si>
  <si>
    <t>Lender's IRR</t>
  </si>
  <si>
    <t>Land</t>
  </si>
  <si>
    <t>Income Considerations:</t>
  </si>
  <si>
    <t>Improvements</t>
  </si>
  <si>
    <t>General Partner</t>
  </si>
  <si>
    <t>Funding Required</t>
  </si>
  <si>
    <t>Limited Partner</t>
  </si>
  <si>
    <t>PGI (year 2)</t>
  </si>
  <si>
    <t>Payments per Year</t>
  </si>
  <si>
    <t>Vacancy &amp; Loss</t>
  </si>
  <si>
    <t>(of PGI)</t>
  </si>
  <si>
    <t>Operating Expense (yr 2)</t>
  </si>
  <si>
    <t>(of EGI)</t>
  </si>
  <si>
    <t>Syndication Expense</t>
  </si>
  <si>
    <t>Income Growth</t>
  </si>
  <si>
    <t>Selling Costs</t>
  </si>
  <si>
    <t>Organization Fee</t>
  </si>
  <si>
    <t>years (S/L)</t>
  </si>
  <si>
    <t>Total:</t>
  </si>
  <si>
    <t>General Partner:</t>
  </si>
  <si>
    <t>Limited Partner:</t>
  </si>
  <si>
    <t>Potential Gross Income</t>
  </si>
  <si>
    <r>
      <t>Less</t>
    </r>
    <r>
      <rPr>
        <sz val="10"/>
        <rFont val="Arial"/>
        <family val="2"/>
      </rPr>
      <t>:  Vancancy &amp; Loss</t>
    </r>
  </si>
  <si>
    <t>Effective Gross Income</t>
  </si>
  <si>
    <r>
      <t>Less</t>
    </r>
    <r>
      <rPr>
        <sz val="10"/>
        <rFont val="Arial"/>
        <family val="2"/>
      </rPr>
      <t>:  Operationg Expenses</t>
    </r>
  </si>
  <si>
    <t xml:space="preserve">Net Operating Income </t>
  </si>
  <si>
    <r>
      <t>Less</t>
    </r>
    <r>
      <rPr>
        <sz val="10"/>
        <rFont val="Arial"/>
        <family val="2"/>
      </rPr>
      <t>:  Debt Service</t>
    </r>
  </si>
  <si>
    <t>Distribution:</t>
  </si>
  <si>
    <t>General Partner BTCF</t>
  </si>
  <si>
    <t>Limited Partner BTCF</t>
  </si>
  <si>
    <t xml:space="preserve">          Depreciation</t>
  </si>
  <si>
    <t>Taxable Income:</t>
  </si>
  <si>
    <t>Total Taxable Gain</t>
  </si>
  <si>
    <t>Genral Partner's Gain</t>
  </si>
  <si>
    <t>Limited Partners' Gain</t>
  </si>
  <si>
    <t>Limited Partners</t>
  </si>
  <si>
    <t>Total for Year</t>
  </si>
  <si>
    <t>Operation:</t>
  </si>
  <si>
    <t>Taxes</t>
  </si>
  <si>
    <t>Reversion:</t>
  </si>
  <si>
    <t>Capital Gains</t>
  </si>
  <si>
    <t>Total After-Tax Cash Flow</t>
  </si>
  <si>
    <t>After-Tax Internal Rate of Return</t>
  </si>
  <si>
    <t>Return if Property Held additional 5 years</t>
  </si>
  <si>
    <t>RETURN FOR PAST 5 YEARS</t>
  </si>
  <si>
    <t>RETURN FOR NEXT 5 YEARS</t>
  </si>
  <si>
    <t>Data Input Box for Yrs 6-10:</t>
  </si>
  <si>
    <t>Purchase Price / Property Value</t>
  </si>
  <si>
    <t>Current Value</t>
  </si>
  <si>
    <t>If Renovated:</t>
  </si>
  <si>
    <t xml:space="preserve">Land Value </t>
  </si>
  <si>
    <t>Depreciable Life (in years)</t>
  </si>
  <si>
    <t>Marginal Tax Rate</t>
  </si>
  <si>
    <t>NOI Yr 1 After Renovation</t>
  </si>
  <si>
    <t xml:space="preserve">Building Value </t>
  </si>
  <si>
    <t>Capital Gains Rate</t>
  </si>
  <si>
    <t>Building Value (original)</t>
  </si>
  <si>
    <t>NOI Growth</t>
  </si>
  <si>
    <t>Operating Expenses (% of NOI)</t>
  </si>
  <si>
    <t xml:space="preserve">Marginal Tax Rate </t>
  </si>
  <si>
    <t>Land Value (original)</t>
  </si>
  <si>
    <t>Depreciable Life (in yrs)</t>
  </si>
  <si>
    <t xml:space="preserve">NOI Growth </t>
  </si>
  <si>
    <t>Renovation Costs</t>
  </si>
  <si>
    <t>Property Growth</t>
  </si>
  <si>
    <t>Loan Amount on Renovations</t>
  </si>
  <si>
    <t>Total New Loan Amount</t>
  </si>
  <si>
    <t>Loan Amount / Current Balance</t>
  </si>
  <si>
    <t>Resale Value</t>
  </si>
  <si>
    <t>Loan Term (in years)</t>
  </si>
  <si>
    <t>Loan Term Remaining (in years)</t>
  </si>
  <si>
    <t>Dep. Life of Renovation</t>
  </si>
  <si>
    <t>Holding Period / Yrs. Since Purch.</t>
  </si>
  <si>
    <t>Years Since Purchase</t>
  </si>
  <si>
    <t>Resale Value Year 5</t>
  </si>
  <si>
    <t>Total Holding Period (in yrs)</t>
  </si>
  <si>
    <t>NO RENOVATION:</t>
  </si>
  <si>
    <t>IF RENOVATED:</t>
  </si>
  <si>
    <t>Additional Equity</t>
  </si>
  <si>
    <t>Annual  Pmt</t>
  </si>
  <si>
    <t>year 5</t>
  </si>
  <si>
    <t>Mortg Bal</t>
  </si>
  <si>
    <t xml:space="preserve">in year </t>
  </si>
  <si>
    <t>Yr of Ren.</t>
  </si>
  <si>
    <t>CASH FLOW FROM OPERATIONS:</t>
  </si>
  <si>
    <t>Rents</t>
  </si>
  <si>
    <t>Less Operating Expenses</t>
  </si>
  <si>
    <t>Less:  Interest</t>
  </si>
  <si>
    <t>Taxable Income (loss)</t>
  </si>
  <si>
    <t>Tax</t>
  </si>
  <si>
    <t>Org. Cost Basis</t>
  </si>
  <si>
    <t>Accum Dep</t>
  </si>
  <si>
    <t>Adj Basis</t>
  </si>
  <si>
    <t>ATCF assuming renovation</t>
  </si>
  <si>
    <t>ATCF assuming no renovation</t>
  </si>
  <si>
    <t>Incremental Cash Flow</t>
  </si>
  <si>
    <t>Before-Tax IRR</t>
  </si>
  <si>
    <t>After-Tax IRR</t>
  </si>
  <si>
    <t>IRR on Incremental Flows</t>
  </si>
  <si>
    <t>Marginal rate of return (MRR)</t>
  </si>
  <si>
    <t>Data Input Box</t>
  </si>
  <si>
    <t>Current property value</t>
  </si>
  <si>
    <t>Current NOI</t>
  </si>
  <si>
    <t>Original Building Value</t>
  </si>
  <si>
    <t>Original Land Value</t>
  </si>
  <si>
    <t>Years since purchased</t>
  </si>
  <si>
    <t>Current Depreciable life</t>
  </si>
  <si>
    <t>Financing information</t>
  </si>
  <si>
    <t>Current loan balance</t>
  </si>
  <si>
    <t>Interest rate</t>
  </si>
  <si>
    <t>Remaining term</t>
  </si>
  <si>
    <t>YEARS</t>
  </si>
  <si>
    <t>Growth rates for next 5 years:</t>
  </si>
  <si>
    <t>Loan constant</t>
  </si>
  <si>
    <t>End of year</t>
  </si>
  <si>
    <t>Mortgate balance</t>
  </si>
  <si>
    <t>Calulation of After Tax Cash Flow from Sale if Sold Today</t>
  </si>
  <si>
    <t>Sale Costs</t>
  </si>
  <si>
    <t>Mortgage balance</t>
  </si>
  <si>
    <t>Before tax cash flow</t>
  </si>
  <si>
    <t>Sale price</t>
  </si>
  <si>
    <t>Sale costs</t>
  </si>
  <si>
    <t>Original cost basis</t>
  </si>
  <si>
    <t>Accumulated depreciation</t>
  </si>
  <si>
    <t>Adjusted basis</t>
  </si>
  <si>
    <t>Capital gain</t>
  </si>
  <si>
    <t>After tax cash flow from reversion</t>
  </si>
  <si>
    <t>Calculation of After Tax Cash Flow from Operations if NOT sold</t>
  </si>
  <si>
    <t>YEAR</t>
  </si>
  <si>
    <t>Expenses</t>
  </si>
  <si>
    <t>Net operating income</t>
  </si>
  <si>
    <t>Before tax C.F.</t>
  </si>
  <si>
    <t>Depreciaiton</t>
  </si>
  <si>
    <t>Taxable income</t>
  </si>
  <si>
    <t>After tax cash flow</t>
  </si>
  <si>
    <t>Calculation of After Tax Cash Flow from Sale</t>
  </si>
  <si>
    <t>Morggage balance</t>
  </si>
  <si>
    <t>Selling expenses</t>
  </si>
  <si>
    <t>B.T.C.F.</t>
  </si>
  <si>
    <t>Orig. Cost basis</t>
  </si>
  <si>
    <t>Accum Deprec.</t>
  </si>
  <si>
    <t>Total taxable gain</t>
  </si>
  <si>
    <t>Capital gains tax</t>
  </si>
  <si>
    <t>ATCF - Rev.</t>
  </si>
  <si>
    <t>Cash Flow Summary</t>
  </si>
  <si>
    <t xml:space="preserve">   IRR</t>
  </si>
  <si>
    <t xml:space="preserve">   MRR</t>
  </si>
  <si>
    <t>Renovation versus no renovation</t>
  </si>
  <si>
    <t xml:space="preserve">AFTER TAX NET PRESENT VALUE: </t>
  </si>
  <si>
    <t>discount rate</t>
  </si>
  <si>
    <t>After-Tax Present Value from Operations</t>
  </si>
  <si>
    <t>After-Tax Present Value from Reversion</t>
  </si>
  <si>
    <t>Initial Loan Amount</t>
  </si>
  <si>
    <t>Original Equity Investment</t>
  </si>
  <si>
    <t xml:space="preserve"> Lease versus Own  and Sale-Leaseback Analysis</t>
  </si>
  <si>
    <t>Opening costs are accured at time of purchase.</t>
  </si>
  <si>
    <t>Sales Revenue</t>
  </si>
  <si>
    <t>Ownership Data:</t>
  </si>
  <si>
    <t>Cost of Goods Sold</t>
  </si>
  <si>
    <t xml:space="preserve"> of sales</t>
  </si>
  <si>
    <t>Property Value Today</t>
  </si>
  <si>
    <t>Additional Overhead</t>
  </si>
  <si>
    <t>Time Since Purchase</t>
  </si>
  <si>
    <t>Up-Front/Opening Costs</t>
  </si>
  <si>
    <t>Lease Data:</t>
  </si>
  <si>
    <t>Land Value</t>
  </si>
  <si>
    <t>Annual Payment</t>
  </si>
  <si>
    <t>Resale Value year 15</t>
  </si>
  <si>
    <t>Lease Term</t>
  </si>
  <si>
    <t>of payment</t>
  </si>
  <si>
    <t>Corporate tax rate</t>
  </si>
  <si>
    <t>Equity Investment</t>
  </si>
  <si>
    <t>*No value after 15 years.</t>
  </si>
  <si>
    <t>OPERATING CASH FLOW:</t>
  </si>
  <si>
    <t>Difference</t>
  </si>
  <si>
    <t>Own</t>
  </si>
  <si>
    <t>Lease</t>
  </si>
  <si>
    <t>Own - Lease</t>
  </si>
  <si>
    <t>Sales</t>
  </si>
  <si>
    <t>Less: Cost of Goods Sold</t>
  </si>
  <si>
    <t>Gross Income</t>
  </si>
  <si>
    <t>Less: Overhead</t>
  </si>
  <si>
    <r>
      <t xml:space="preserve">Net Income </t>
    </r>
    <r>
      <rPr>
        <sz val="8"/>
        <rFont val="Arial"/>
        <family val="2"/>
      </rPr>
      <t>(before real estate)</t>
    </r>
  </si>
  <si>
    <t xml:space="preserve">         </t>
  </si>
  <si>
    <t>Lease Payments</t>
  </si>
  <si>
    <t>Mortgage Interest Payment</t>
  </si>
  <si>
    <t>Tax Depreciation</t>
  </si>
  <si>
    <t>Less: Tax</t>
  </si>
  <si>
    <t>Income After-Tax</t>
  </si>
  <si>
    <t>Plus: Depreciation</t>
  </si>
  <si>
    <t>Less: Mortage Balance</t>
  </si>
  <si>
    <t>CASH FLOW FROM SALE IF OWNED &amp; SOLD AT END OF LEASE TERM:</t>
  </si>
  <si>
    <t>CASH FLOW IF SOLD TODAY:</t>
  </si>
  <si>
    <t>Resale</t>
  </si>
  <si>
    <t>Less: Mortgage Balance</t>
  </si>
  <si>
    <t>Less: Adjusted Basis</t>
  </si>
  <si>
    <t xml:space="preserve">After-Tax Cash Flow </t>
  </si>
  <si>
    <t>SUMMARY OF AFTER-TAX CASH FLOW DIFFERENCES OF OWN vs. LEASE:</t>
  </si>
  <si>
    <t>Outlay</t>
  </si>
  <si>
    <t>1 to 14</t>
  </si>
  <si>
    <t>Initial Investment</t>
  </si>
  <si>
    <t>Operations</t>
  </si>
  <si>
    <t>Sale</t>
  </si>
  <si>
    <t>IRR on ATCF differences</t>
  </si>
  <si>
    <t>SUMMARY AFTER-TAX CASH FLOWS OF OPTIONS:</t>
  </si>
  <si>
    <t xml:space="preserve">Own </t>
  </si>
  <si>
    <t>Lease / Sale-Leaseback</t>
  </si>
  <si>
    <t>Differnce of Own vs. Lease</t>
  </si>
  <si>
    <t>IRR on Own vs. Lease</t>
  </si>
  <si>
    <t>set the growth for "Yr2-Yr3" to zero.</t>
  </si>
  <si>
    <t>Property Appreciation</t>
  </si>
  <si>
    <t>Holding Pd. (after con)</t>
  </si>
  <si>
    <t>Permanent Financing</t>
  </si>
  <si>
    <t>Gross Building Area</t>
  </si>
  <si>
    <t>Loan Fee</t>
  </si>
  <si>
    <t>of loan</t>
  </si>
  <si>
    <t>Gross Leasable Area</t>
  </si>
  <si>
    <t>Loan Fee Amort</t>
  </si>
  <si>
    <t>Site Acq. &amp; Closing</t>
  </si>
  <si>
    <t>Loan Amortization</t>
  </si>
  <si>
    <t>On/Off Site Costs</t>
  </si>
  <si>
    <t>Hard Costs</t>
  </si>
  <si>
    <t>Soft Costs</t>
  </si>
  <si>
    <t>Leasing Comissions</t>
  </si>
  <si>
    <t>Construction Loan</t>
  </si>
  <si>
    <t xml:space="preserve">Rent </t>
  </si>
  <si>
    <t>per GLA</t>
  </si>
  <si>
    <t>Rent Growth</t>
  </si>
  <si>
    <t>Term</t>
  </si>
  <si>
    <t>months</t>
  </si>
  <si>
    <t>Overage Percentage</t>
  </si>
  <si>
    <t>on gross sales</t>
  </si>
  <si>
    <t>% drawn first 4 mos.</t>
  </si>
  <si>
    <t>Overage on Excess over</t>
  </si>
  <si>
    <t>% drawn last months</t>
  </si>
  <si>
    <t xml:space="preserve">Average Sales </t>
  </si>
  <si>
    <t>Sales Growth Yr 2 - Yr 3</t>
  </si>
  <si>
    <t>Sales Growth</t>
  </si>
  <si>
    <t>Tax Considerations</t>
  </si>
  <si>
    <t>Tenant Reinmbursement</t>
  </si>
  <si>
    <t>per GLA, yr 2</t>
  </si>
  <si>
    <t>Tenant Reinb. Growth</t>
  </si>
  <si>
    <t>Exp. Growth Yr 2 - Yr 3</t>
  </si>
  <si>
    <t>Capital Improvements</t>
  </si>
  <si>
    <t>years - S/L</t>
  </si>
  <si>
    <t>Expenses Growth</t>
  </si>
  <si>
    <t>of total</t>
  </si>
  <si>
    <t>Vacancy Yr 2</t>
  </si>
  <si>
    <t>Tenant Improvements</t>
  </si>
  <si>
    <t>years - DDB</t>
  </si>
  <si>
    <t>Vacancy beginning Yr 3</t>
  </si>
  <si>
    <t>Site Acq. &amp; Close</t>
  </si>
  <si>
    <t>Total Project Costs</t>
  </si>
  <si>
    <t>On/Off-Site Costs</t>
  </si>
  <si>
    <t>Equity Needed</t>
  </si>
  <si>
    <t>Perm Loan Fee Amount</t>
  </si>
  <si>
    <t>End of Month</t>
  </si>
  <si>
    <t>Ending Balance</t>
  </si>
  <si>
    <t>Year of Loan</t>
  </si>
  <si>
    <t>On/Off Site Improvements</t>
  </si>
  <si>
    <t>Total Depreciable Costs</t>
  </si>
  <si>
    <t xml:space="preserve">Site Acq. and Closing </t>
  </si>
  <si>
    <t>Site Improvements</t>
  </si>
  <si>
    <t>Soft Costs*</t>
  </si>
  <si>
    <t>*(less interest &amp; loan fees)</t>
  </si>
  <si>
    <t>Permanent Loan Fee</t>
  </si>
  <si>
    <t>Construction Loan Fee</t>
  </si>
  <si>
    <t>Construction Interest</t>
  </si>
  <si>
    <t>Total Constr. Outflow</t>
  </si>
  <si>
    <r>
      <t>Less</t>
    </r>
    <r>
      <rPr>
        <sz val="10"/>
        <rFont val="Arial"/>
        <family val="2"/>
      </rPr>
      <t>:  Total Draws</t>
    </r>
  </si>
  <si>
    <t xml:space="preserve">Total Equity Needed </t>
  </si>
  <si>
    <t>OPERATING PERIOD CASH FLOWS</t>
  </si>
  <si>
    <t>Tenant Reimbursements</t>
  </si>
  <si>
    <r>
      <t>Less</t>
    </r>
    <r>
      <rPr>
        <sz val="10"/>
        <rFont val="Arial"/>
        <family val="2"/>
      </rPr>
      <t>:  Vacancy</t>
    </r>
  </si>
  <si>
    <t>Less:</t>
  </si>
  <si>
    <t xml:space="preserve">         Interest</t>
  </si>
  <si>
    <t xml:space="preserve">              Capital Imprvmnt</t>
  </si>
  <si>
    <t xml:space="preserve">              Tenant Imprvmnt</t>
  </si>
  <si>
    <t xml:space="preserve">          Amortization:</t>
  </si>
  <si>
    <t xml:space="preserve">              Constr Loan Fee</t>
  </si>
  <si>
    <t xml:space="preserve">              Perm Loan Fee</t>
  </si>
  <si>
    <t xml:space="preserve">              Leasing comm.</t>
  </si>
  <si>
    <t>Accum Dep &amp; Amort</t>
  </si>
  <si>
    <t>BEFORE and AFTER-TAX CASH FLOW SUMMARY</t>
  </si>
  <si>
    <t>BTCF IRR</t>
  </si>
  <si>
    <t>ATCF IRR</t>
  </si>
  <si>
    <t>Note: The calculation of taxable income differs slightly from the book for the following reasons:</t>
  </si>
  <si>
    <t>2) The amount in the book for depreciation of tenant improvements in year 5 was wrong in the book.</t>
  </si>
  <si>
    <t>Type</t>
  </si>
  <si>
    <t>Price</t>
  </si>
  <si>
    <t>Number</t>
  </si>
  <si>
    <t>Land and Development Costs:</t>
  </si>
  <si>
    <t>Cluster</t>
  </si>
  <si>
    <t>Standard</t>
  </si>
  <si>
    <t>Direct Costs</t>
  </si>
  <si>
    <t>Creek</t>
  </si>
  <si>
    <t>Totals</t>
  </si>
  <si>
    <t>Const. Loan Fee</t>
  </si>
  <si>
    <t xml:space="preserve">     Total Direct Costs</t>
  </si>
  <si>
    <t>of land acquisition</t>
  </si>
  <si>
    <t>of improvement costs</t>
  </si>
  <si>
    <t>Operating Expenses:</t>
  </si>
  <si>
    <t>Total to be financed</t>
  </si>
  <si>
    <t>Selling Commissions</t>
  </si>
  <si>
    <t>points</t>
  </si>
  <si>
    <t>Property Taxes</t>
  </si>
  <si>
    <t>Total Loan Amount</t>
  </si>
  <si>
    <t>General &amp; Admin.</t>
  </si>
  <si>
    <t xml:space="preserve">     Total Indirect Costs</t>
  </si>
  <si>
    <t>- Loan Amount</t>
  </si>
  <si>
    <t xml:space="preserve">        Draws</t>
  </si>
  <si>
    <t>Cumulative</t>
  </si>
  <si>
    <t>Amount</t>
  </si>
  <si>
    <t>Months</t>
  </si>
  <si>
    <t>Units</t>
  </si>
  <si>
    <t>Percent Financed</t>
  </si>
  <si>
    <t>1-3</t>
  </si>
  <si>
    <t>4-6</t>
  </si>
  <si>
    <t>7-12</t>
  </si>
  <si>
    <t>13-18</t>
  </si>
  <si>
    <t>19-24</t>
  </si>
  <si>
    <t>PRESENT VALUES, ACCELERATION, &amp; RESALE PRICE:</t>
  </si>
  <si>
    <t>Monthly</t>
  </si>
  <si>
    <t>MPVIF @</t>
  </si>
  <si>
    <t>PV</t>
  </si>
  <si>
    <t>Draw</t>
  </si>
  <si>
    <t>Draws</t>
  </si>
  <si>
    <t>Monthly Sales</t>
  </si>
  <si>
    <t>PV Draws</t>
  </si>
  <si>
    <t>PV Revenue</t>
  </si>
  <si>
    <t>PV Rev / PV Draw</t>
  </si>
  <si>
    <t>Acceleration</t>
  </si>
  <si>
    <t>Release Price</t>
  </si>
  <si>
    <t>LOAN SCHEDULE AND LENDER'S IRR</t>
  </si>
  <si>
    <t>Payments</t>
  </si>
  <si>
    <t>Lender's Yield</t>
  </si>
  <si>
    <t>DEVELOPER'S CASH FLOW, NPV AND IRR</t>
  </si>
  <si>
    <t>Quarter</t>
  </si>
  <si>
    <t>Inflow:</t>
  </si>
  <si>
    <t>Interest Draw</t>
  </si>
  <si>
    <t>Total Inflow</t>
  </si>
  <si>
    <t>Outflows:</t>
  </si>
  <si>
    <t>Site Purch.</t>
  </si>
  <si>
    <t>Closing</t>
  </si>
  <si>
    <t>Loan Pmt.</t>
  </si>
  <si>
    <t>Interest Cost</t>
  </si>
  <si>
    <t>Gen &amp; Admin</t>
  </si>
  <si>
    <t>Prop. Tax</t>
  </si>
  <si>
    <t>Sales Exp.</t>
  </si>
  <si>
    <t>Total Outflow</t>
  </si>
  <si>
    <t>Net Cash</t>
  </si>
  <si>
    <t>Net Present Value</t>
  </si>
  <si>
    <t xml:space="preserve">        Effective Cost of a Loan with Points</t>
  </si>
  <si>
    <t xml:space="preserve">  1</t>
  </si>
  <si>
    <t xml:space="preserve"> years</t>
  </si>
  <si>
    <t>Monthly payment</t>
  </si>
  <si>
    <t>Annual constant</t>
  </si>
  <si>
    <t>Annual payment</t>
  </si>
  <si>
    <t>(Assuming monthly payments)</t>
  </si>
  <si>
    <t>Beg. Balance</t>
  </si>
  <si>
    <t>Rate</t>
  </si>
  <si>
    <t>End Balance</t>
  </si>
  <si>
    <t>Cash flow</t>
  </si>
  <si>
    <t>Initial Interest rate</t>
  </si>
  <si>
    <t>Effective Cost</t>
  </si>
  <si>
    <t>Input Assumptions</t>
  </si>
  <si>
    <t>Note: Do not change the payment and interest rate below unless you want to change from a standard fixed rate mortgage.</t>
  </si>
  <si>
    <t>Loan:</t>
  </si>
  <si>
    <t xml:space="preserve">    Interest</t>
  </si>
  <si>
    <t xml:space="preserve">    Payments per year</t>
  </si>
  <si>
    <t>Loan Balance</t>
  </si>
  <si>
    <t>Debt Service</t>
  </si>
  <si>
    <t>DCR</t>
  </si>
  <si>
    <t>Cash Flows from Sale in Year</t>
  </si>
  <si>
    <t>BTIRR</t>
  </si>
  <si>
    <t>Mortgage</t>
  </si>
  <si>
    <t>Mortgage-Equity Capitalization</t>
  </si>
  <si>
    <t>Projected Increase in NOI</t>
  </si>
  <si>
    <t xml:space="preserve">    Debt Coverage Ratio</t>
  </si>
  <si>
    <t xml:space="preserve"> </t>
  </si>
  <si>
    <t>in year</t>
  </si>
  <si>
    <t>Total Equity</t>
  </si>
  <si>
    <t>Initial mortgage pool balance</t>
  </si>
  <si>
    <t>Prepayment rate</t>
  </si>
  <si>
    <t>Servicing and Guarantee Fee</t>
  </si>
  <si>
    <t>Issuance of 100 Mortgage Pass Through Securities (MPT)</t>
  </si>
  <si>
    <t>(a)</t>
  </si>
  <si>
    <t>(b)</t>
  </si>
  <si>
    <t>(c)</t>
  </si>
  <si>
    <t>(d)</t>
  </si>
  <si>
    <t>(e)</t>
  </si>
  <si>
    <t>(f)</t>
  </si>
  <si>
    <t>(g)</t>
  </si>
  <si>
    <t>Guarantee</t>
  </si>
  <si>
    <t>and</t>
  </si>
  <si>
    <t>Pool</t>
  </si>
  <si>
    <t>due to</t>
  </si>
  <si>
    <t xml:space="preserve">Pmts to Issuer </t>
  </si>
  <si>
    <t>Service Fees</t>
  </si>
  <si>
    <t>to Investors</t>
  </si>
  <si>
    <t>Prepayment</t>
  </si>
  <si>
    <t xml:space="preserve">to Issuer </t>
  </si>
  <si>
    <t>(b)+(c)</t>
  </si>
  <si>
    <t>(a)x(0.5%)</t>
  </si>
  <si>
    <t>(d)-(e)</t>
  </si>
  <si>
    <t>Discount rate</t>
  </si>
  <si>
    <t>S &amp; P</t>
  </si>
  <si>
    <t>% S&amp;P</t>
  </si>
  <si>
    <t>Correlation</t>
  </si>
  <si>
    <t>Std. Dev.</t>
  </si>
  <si>
    <t>Return</t>
  </si>
  <si>
    <t>Efficient Frontier</t>
  </si>
  <si>
    <t>NCREIF</t>
  </si>
  <si>
    <t>Portfolio</t>
  </si>
  <si>
    <t>Stand. Dev</t>
  </si>
  <si>
    <t>% NCREIF</t>
  </si>
  <si>
    <t>Return x 100</t>
  </si>
  <si>
    <t>MORTGAGE POOL</t>
  </si>
  <si>
    <t xml:space="preserve"> ($000 omitted)</t>
  </si>
  <si>
    <t>TERM</t>
  </si>
  <si>
    <t>ANNUAL PAYMENT</t>
  </si>
  <si>
    <t>PREPAYMENT</t>
  </si>
  <si>
    <t>LOAN SCHEDULE FOR MORTGAGE POOL</t>
  </si>
  <si>
    <t>Beg. Bal</t>
  </si>
  <si>
    <t>End Bal</t>
  </si>
  <si>
    <t>Interest only and Principal only strips</t>
  </si>
  <si>
    <t>PV @ 11%</t>
  </si>
  <si>
    <t>Total PV</t>
  </si>
  <si>
    <t>Assuming no prepayment</t>
  </si>
  <si>
    <t>PV @ 10%</t>
  </si>
  <si>
    <t>PV @12%</t>
  </si>
  <si>
    <t>Assuming prepayment:</t>
  </si>
  <si>
    <t>AMOUNT</t>
  </si>
  <si>
    <t>INTEREST RATE</t>
  </si>
  <si>
    <t>Extra Calculations below</t>
  </si>
  <si>
    <t>Present values at 8 percent with</t>
  </si>
  <si>
    <t xml:space="preserve"> prepayment</t>
  </si>
  <si>
    <t>PV of interest</t>
  </si>
  <si>
    <t>PV of Principal</t>
  </si>
  <si>
    <t>PV of Interest</t>
  </si>
  <si>
    <t>What is the IRR for the IO and PO if  prepayment is actually 20%?</t>
  </si>
  <si>
    <t>IRR</t>
  </si>
  <si>
    <t>IRR of IO</t>
  </si>
  <si>
    <t>IRR of PO</t>
  </si>
  <si>
    <t>IO/PO</t>
  </si>
  <si>
    <t xml:space="preserve"> (ooo omitted)</t>
  </si>
  <si>
    <t>Cash</t>
  </si>
  <si>
    <t>Flow</t>
  </si>
  <si>
    <t xml:space="preserve">P V at </t>
  </si>
  <si>
    <t>Beginning</t>
  </si>
  <si>
    <t>Do not delete Class C above.  It is used for residual.</t>
  </si>
  <si>
    <t>Classes</t>
  </si>
  <si>
    <t>Residual</t>
  </si>
  <si>
    <t>Beginning Balance of Class</t>
  </si>
  <si>
    <t>A</t>
  </si>
  <si>
    <t>B</t>
  </si>
  <si>
    <t>Z</t>
  </si>
  <si>
    <t>WAC</t>
  </si>
  <si>
    <t>Coupon</t>
  </si>
  <si>
    <t>a) Weighted Average Coupon when issued (yr 0)</t>
  </si>
  <si>
    <t>b)  See above schedules for each class.</t>
  </si>
  <si>
    <t>Class A repaid in 3 years.  Class B repaid in 5 years.</t>
  </si>
  <si>
    <t>c) See above for WAC at end of each year.</t>
  </si>
  <si>
    <t>Information and Graphs below are extra material for use by instructor</t>
  </si>
  <si>
    <t>IRR on Residual</t>
  </si>
  <si>
    <t>Total amount of tranche</t>
  </si>
  <si>
    <t>Interest rate for tranche</t>
  </si>
  <si>
    <t>Total interest available</t>
  </si>
  <si>
    <t>Maximum</t>
  </si>
  <si>
    <t>Scale</t>
  </si>
  <si>
    <t>Rate change</t>
  </si>
  <si>
    <t>Rate limit</t>
  </si>
  <si>
    <t>Floater (F)</t>
  </si>
  <si>
    <t>Inverse floater (IF)</t>
  </si>
  <si>
    <t>F / IF Ratio</t>
  </si>
  <si>
    <t>Max Inverse Floater (IF) rate</t>
  </si>
  <si>
    <t>Libor</t>
  </si>
  <si>
    <t>(F) Rate</t>
  </si>
  <si>
    <t>(IF) Rate</t>
  </si>
  <si>
    <t>IF Interest</t>
  </si>
  <si>
    <t>Floater and Inverse Floater</t>
  </si>
  <si>
    <t>Loan assumptions</t>
  </si>
  <si>
    <t>Initial rate</t>
  </si>
  <si>
    <t>Margin</t>
  </si>
  <si>
    <t>Loan schedule</t>
  </si>
  <si>
    <t>Index</t>
  </si>
  <si>
    <t>Yield is based on monthly cash flows below.</t>
  </si>
  <si>
    <t>Yield</t>
  </si>
  <si>
    <t>Loan-to-value ratio</t>
  </si>
  <si>
    <t>First Year Debt Coverage Ratio (DCR)</t>
  </si>
  <si>
    <t>Less Debt Service (DS)</t>
  </si>
  <si>
    <t>Non reimbursable expenses</t>
  </si>
  <si>
    <t>Total expenses</t>
  </si>
  <si>
    <t>Total Potential Income</t>
  </si>
  <si>
    <t>Payoff</t>
  </si>
  <si>
    <t>Purchase price</t>
  </si>
  <si>
    <t>Total Reimbursements</t>
  </si>
  <si>
    <t>Reimbursable expenses</t>
  </si>
  <si>
    <t>Total base</t>
  </si>
  <si>
    <t>Total CPI</t>
  </si>
  <si>
    <t>Plus CPI Adjustment</t>
  </si>
  <si>
    <t xml:space="preserve">  Reimbursable expenses</t>
  </si>
  <si>
    <t xml:space="preserve">  Non reimbursable expenses</t>
  </si>
  <si>
    <t>Less operating expenses:</t>
  </si>
  <si>
    <t>Cash flow from operations:</t>
  </si>
  <si>
    <t>Rent versus Own Analysis of a Personal Residence</t>
  </si>
  <si>
    <t>Property information</t>
  </si>
  <si>
    <t>Loan Information:</t>
  </si>
  <si>
    <t>Initial Rent</t>
  </si>
  <si>
    <t>Rental growth rate</t>
  </si>
  <si>
    <t>Property growth rate</t>
  </si>
  <si>
    <t>Marginal tax rate</t>
  </si>
  <si>
    <t>Loan and equity calculations</t>
  </si>
  <si>
    <t xml:space="preserve"> Annual debt service (payment)</t>
  </si>
  <si>
    <t xml:space="preserve"> Annual loan constant</t>
  </si>
  <si>
    <t xml:space="preserve"> Equity investment</t>
  </si>
  <si>
    <t>Summary loan schedule</t>
  </si>
  <si>
    <t>Principal and Interest</t>
  </si>
  <si>
    <t>Tax deductions from owning</t>
  </si>
  <si>
    <t>Total tax deductions</t>
  </si>
  <si>
    <t>Tax savings</t>
  </si>
  <si>
    <t>Sales price</t>
  </si>
  <si>
    <t>Benefit from sale (own - rent)</t>
  </si>
  <si>
    <t>Cash savings and IRR summary</t>
  </si>
  <si>
    <t>Expense growth</t>
  </si>
  <si>
    <t>Property tax %</t>
  </si>
  <si>
    <t>Property Data</t>
  </si>
  <si>
    <t>Property value</t>
  </si>
  <si>
    <t>BTCF (owner)</t>
  </si>
  <si>
    <t>Cash Outflows before taxes</t>
  </si>
  <si>
    <t>After Tax Cash Flow Own vs Rent</t>
  </si>
  <si>
    <t>Cash flows</t>
  </si>
  <si>
    <t>Year Sold</t>
  </si>
  <si>
    <t>ATIRR</t>
  </si>
  <si>
    <t>Annual rate cap</t>
  </si>
  <si>
    <t>Lifetime rate cap</t>
  </si>
  <si>
    <t>Unrestricted</t>
  </si>
  <si>
    <t>Restricted</t>
  </si>
  <si>
    <t>Capped</t>
  </si>
  <si>
    <t>Annual Payment cap</t>
  </si>
  <si>
    <t>Effective cost (calculated below)</t>
  </si>
  <si>
    <t xml:space="preserve"> Also assumes land costs to be 15% of purchase price.  </t>
  </si>
  <si>
    <t>Chapter 5</t>
  </si>
  <si>
    <t>ARM with Payment Cap</t>
  </si>
  <si>
    <t>Chapter 10</t>
  </si>
  <si>
    <t>Chapter 13</t>
  </si>
  <si>
    <t>Chapter 14</t>
  </si>
  <si>
    <t>Chapter 15</t>
  </si>
  <si>
    <t>Chapter 18</t>
  </si>
  <si>
    <t>Chapter 19</t>
  </si>
  <si>
    <t>Chapter 20</t>
  </si>
  <si>
    <t>(Based on first month)</t>
  </si>
  <si>
    <t xml:space="preserve"> (If a CPM)</t>
  </si>
  <si>
    <t xml:space="preserve"> (Assuming monthly payments)</t>
  </si>
  <si>
    <t xml:space="preserve">        Effective Cost of a Constant Amortization Loan with Points</t>
  </si>
  <si>
    <t>Net cost of owning</t>
  </si>
  <si>
    <t>After tax cost</t>
  </si>
  <si>
    <t>Net cost of renting</t>
  </si>
  <si>
    <t>Cost of renting</t>
  </si>
  <si>
    <t>Cost of owning</t>
  </si>
  <si>
    <t xml:space="preserve"> LTV</t>
  </si>
  <si>
    <t xml:space="preserve"> (using payment function)</t>
  </si>
  <si>
    <t>Net Loan</t>
  </si>
  <si>
    <t xml:space="preserve"> (present value of remaining payments)</t>
  </si>
  <si>
    <t>Eff Cost</t>
  </si>
  <si>
    <t xml:space="preserve"> (using rate function)</t>
  </si>
  <si>
    <t>Incremental Cost</t>
  </si>
  <si>
    <t>Term*</t>
  </si>
  <si>
    <t>*Should be the same term for both loans</t>
  </si>
  <si>
    <t>Holding period</t>
  </si>
  <si>
    <t>Loan Proceeds</t>
  </si>
  <si>
    <t>Home price</t>
  </si>
  <si>
    <t>Resale price</t>
  </si>
  <si>
    <t>Home apprec.</t>
  </si>
  <si>
    <t>Appreciation</t>
  </si>
  <si>
    <t>Total to lender</t>
  </si>
  <si>
    <t>Investors Capital Inc.</t>
  </si>
  <si>
    <t>Property Developers Inc.</t>
  </si>
  <si>
    <t>Cash flow from Operations</t>
  </si>
  <si>
    <t>Cash flow from Sale</t>
  </si>
  <si>
    <t>Total Cash flow</t>
  </si>
  <si>
    <t>Investors Capital Inc. return from operations</t>
  </si>
  <si>
    <t>Property Developers Inc. return from operations</t>
  </si>
  <si>
    <t>Remaining operating cash flow to be split</t>
  </si>
  <si>
    <t>Investors Capital Inc. from sale for 12% IRR</t>
  </si>
  <si>
    <t>Investors Capital Inc. cash flow for 12% IRR</t>
  </si>
  <si>
    <t>Property Developers Inc. return of initial investment</t>
  </si>
  <si>
    <t>Remaining cash flow from sale to be split</t>
  </si>
  <si>
    <t>Investors Capital Inc. total cash flow</t>
  </si>
  <si>
    <t>Check</t>
  </si>
  <si>
    <t>Property Developers Inc. preferred return from operations</t>
  </si>
  <si>
    <t>Investors Capital Inc. cash flow from Operations</t>
  </si>
  <si>
    <t>Investors Capital Inc. return of initial investment</t>
  </si>
  <si>
    <t>Investors Capital Inc. additional cash flow from Sale</t>
  </si>
  <si>
    <t xml:space="preserve">Pool characteristics: </t>
  </si>
  <si>
    <t>Mortgages</t>
  </si>
  <si>
    <t>Maturity</t>
  </si>
  <si>
    <t>Assets</t>
  </si>
  <si>
    <t>Liabilities</t>
  </si>
  <si>
    <t>Commercial</t>
  </si>
  <si>
    <t>Senior Securities:</t>
  </si>
  <si>
    <t xml:space="preserve">    mortgages</t>
  </si>
  <si>
    <t>Class A bonds</t>
  </si>
  <si>
    <t>Subordinated</t>
  </si>
  <si>
    <t xml:space="preserve">    securities:</t>
  </si>
  <si>
    <t>Class B bonds</t>
  </si>
  <si>
    <t>IRR Calculations</t>
  </si>
  <si>
    <t xml:space="preserve">End of </t>
  </si>
  <si>
    <t xml:space="preserve">Cash Inflow </t>
  </si>
  <si>
    <t>to Pool</t>
  </si>
  <si>
    <t>Senior</t>
  </si>
  <si>
    <t>IRR =</t>
  </si>
  <si>
    <t>Panel B. Default Occurs at Maturity and Sale of Property is 80%</t>
  </si>
  <si>
    <t>of Outstanding Loan Balance</t>
  </si>
  <si>
    <r>
      <t>Spreadsheet Limitations</t>
    </r>
    <r>
      <rPr>
        <b/>
        <sz val="10"/>
        <color indexed="10"/>
        <rFont val="Arial"/>
        <family val="2"/>
      </rPr>
      <t>: Prepayment assumed in 5 years</t>
    </r>
  </si>
  <si>
    <r>
      <t>Spreadsheet Limitations</t>
    </r>
    <r>
      <rPr>
        <b/>
        <sz val="10"/>
        <color indexed="10"/>
        <rFont val="Arial"/>
        <family val="2"/>
      </rPr>
      <t>: Projections for 7 years</t>
    </r>
  </si>
  <si>
    <t>Chapter 6</t>
  </si>
  <si>
    <t>Chapter 7</t>
  </si>
  <si>
    <t>Loan term (years)</t>
  </si>
  <si>
    <t>Payments (per year)</t>
  </si>
  <si>
    <t xml:space="preserve"> $ Amount</t>
  </si>
  <si>
    <t>F Interest</t>
  </si>
  <si>
    <t>Total Interest</t>
  </si>
  <si>
    <t xml:space="preserve">are data input cells. Set all data input cells that do not apply equal to zero (i.e. if there is constant growth, </t>
  </si>
  <si>
    <t>Additional Cash Flow</t>
  </si>
  <si>
    <t>Additional cash flow from owning</t>
  </si>
  <si>
    <t xml:space="preserve">This is the return from owning;  </t>
  </si>
  <si>
    <r>
      <t>Spreadsheet Limitations</t>
    </r>
    <r>
      <rPr>
        <b/>
        <sz val="10"/>
        <color indexed="10"/>
        <rFont val="Arial"/>
        <family val="2"/>
      </rPr>
      <t>:</t>
    </r>
    <r>
      <rPr>
        <sz val="10"/>
        <color indexed="10"/>
        <rFont val="Arial"/>
        <family val="2"/>
      </rPr>
      <t xml:space="preserve">  15 years holding period.  Assumes a interest-only loan. Make sure cells that do not apply are set to zero.</t>
    </r>
  </si>
  <si>
    <t xml:space="preserve">Chapter 4 </t>
  </si>
  <si>
    <r>
      <t>Spreadsheet Limitations</t>
    </r>
    <r>
      <rPr>
        <b/>
        <sz val="10"/>
        <color indexed="10"/>
        <rFont val="Arial"/>
        <family val="2"/>
      </rPr>
      <t>: Five year Holding Period; loan based on DCR and resale based on terminal cap rate.</t>
    </r>
  </si>
  <si>
    <r>
      <t>Return or</t>
    </r>
    <r>
      <rPr>
        <i/>
        <sz val="10"/>
        <rFont val="Arial"/>
        <family val="2"/>
      </rPr>
      <t xml:space="preserve"> r</t>
    </r>
  </si>
  <si>
    <r>
      <t xml:space="preserve">Growth or </t>
    </r>
    <r>
      <rPr>
        <i/>
        <sz val="10"/>
        <rFont val="Arial"/>
        <family val="2"/>
      </rPr>
      <t>g</t>
    </r>
  </si>
  <si>
    <t>Input Data:</t>
  </si>
  <si>
    <t>Lease Calculations: Given Lease Data, Solve for NOI</t>
  </si>
  <si>
    <r>
      <t>Spreadsheet Assumption:</t>
    </r>
    <r>
      <rPr>
        <sz val="10"/>
        <color indexed="10"/>
        <rFont val="Arial"/>
        <family val="2"/>
      </rPr>
      <t xml:space="preserve">  Vacancy rate does not take effect until the beginning of year 4.</t>
    </r>
  </si>
  <si>
    <r>
      <t>Spreadsheet Assumptions</t>
    </r>
    <r>
      <rPr>
        <b/>
        <sz val="10"/>
        <color indexed="10"/>
        <rFont val="Arial"/>
        <family val="2"/>
      </rPr>
      <t>:</t>
    </r>
    <r>
      <rPr>
        <sz val="10"/>
        <color indexed="10"/>
        <rFont val="Arial"/>
        <family val="2"/>
      </rPr>
      <t xml:space="preserve"> 5 year holding period.</t>
    </r>
  </si>
  <si>
    <r>
      <t xml:space="preserve">Net Operating Income (NOI)                           </t>
    </r>
    <r>
      <rPr>
        <b/>
        <sz val="10"/>
        <color indexed="12"/>
        <rFont val="Arial"/>
        <family val="2"/>
      </rPr>
      <t>(from Ch11_Lease)</t>
    </r>
  </si>
  <si>
    <r>
      <t xml:space="preserve">Net Operating Income (NOI)   </t>
    </r>
    <r>
      <rPr>
        <b/>
        <sz val="10"/>
        <color indexed="12"/>
        <rFont val="Arial"/>
        <family val="2"/>
      </rPr>
      <t>(from Ch11_Lease)</t>
    </r>
  </si>
  <si>
    <r>
      <t>Spreadsheet Assumptions</t>
    </r>
    <r>
      <rPr>
        <b/>
        <sz val="10"/>
        <color indexed="10"/>
        <rFont val="Arial"/>
        <family val="2"/>
      </rPr>
      <t>:</t>
    </r>
    <r>
      <rPr>
        <sz val="10"/>
        <color indexed="10"/>
        <rFont val="Arial"/>
        <family val="2"/>
      </rPr>
      <t xml:space="preserve"> 5 year holding period.  Assumes passive losses used in year they are incurred.  No PAL limitations considered.</t>
    </r>
  </si>
  <si>
    <r>
      <t>Spreadsheet limitations</t>
    </r>
    <r>
      <rPr>
        <b/>
        <sz val="9"/>
        <color indexed="10"/>
        <rFont val="Arial"/>
        <family val="2"/>
      </rPr>
      <t xml:space="preserve">: </t>
    </r>
    <r>
      <rPr>
        <sz val="9"/>
        <color indexed="10"/>
        <rFont val="Arial"/>
        <family val="2"/>
      </rPr>
      <t xml:space="preserve">5 year holding period.  Assumes passive losses used in year they are incurred. </t>
    </r>
  </si>
  <si>
    <t xml:space="preserve">Chapter 12 </t>
  </si>
  <si>
    <t>Sale Leaseback of Land</t>
  </si>
  <si>
    <r>
      <t>Sale-Leaseback of Land</t>
    </r>
    <r>
      <rPr>
        <sz val="9"/>
        <color indexed="10"/>
        <rFont val="Arial"/>
        <family val="2"/>
      </rPr>
      <t>: loan is calculated off of building value.</t>
    </r>
  </si>
  <si>
    <t>Convertible Loan</t>
  </si>
  <si>
    <r>
      <t>Spreadsheet Limitations</t>
    </r>
    <r>
      <rPr>
        <b/>
        <sz val="10"/>
        <color indexed="10"/>
        <rFont val="Arial"/>
        <family val="2"/>
      </rPr>
      <t xml:space="preserve">: </t>
    </r>
    <r>
      <rPr>
        <sz val="10"/>
        <color indexed="10"/>
        <rFont val="Arial"/>
        <family val="2"/>
      </rPr>
      <t xml:space="preserve">Ten year holding period. </t>
    </r>
  </si>
  <si>
    <r>
      <t>Negative Amortization</t>
    </r>
    <r>
      <rPr>
        <sz val="9"/>
        <color indexed="10"/>
        <rFont val="Arial"/>
        <family val="2"/>
      </rPr>
      <t>:  requires a number greater than zero for "Loan Interest (Accural)".</t>
    </r>
  </si>
  <si>
    <r>
      <t>Present Value of Before-tax Cash Flow from Operations (BFTCF</t>
    </r>
    <r>
      <rPr>
        <b/>
        <vertAlign val="subscript"/>
        <sz val="10"/>
        <color indexed="9"/>
        <rFont val="Arial"/>
        <family val="2"/>
      </rPr>
      <t>o</t>
    </r>
    <r>
      <rPr>
        <b/>
        <sz val="10"/>
        <color indexed="9"/>
        <rFont val="Arial"/>
        <family val="2"/>
      </rPr>
      <t>)</t>
    </r>
  </si>
  <si>
    <r>
      <t>Present Value on Before-tax Cash Flow from Sale (BTCF</t>
    </r>
    <r>
      <rPr>
        <b/>
        <vertAlign val="subscript"/>
        <sz val="10"/>
        <color indexed="9"/>
        <rFont val="Arial"/>
        <family val="2"/>
      </rPr>
      <t>s</t>
    </r>
    <r>
      <rPr>
        <b/>
        <sz val="10"/>
        <color indexed="9"/>
        <rFont val="Arial"/>
        <family val="2"/>
      </rPr>
      <t>)</t>
    </r>
  </si>
  <si>
    <t>Data Input If Renovated:</t>
  </si>
  <si>
    <t>CASH FLOW SUMMARY (Past 5 years)</t>
  </si>
  <si>
    <t>CASH FLOW SUMMARY ( Next 5 years)</t>
  </si>
  <si>
    <t>in year 5</t>
  </si>
  <si>
    <t>Shared Appreciation Mortgage</t>
  </si>
  <si>
    <t>Combined Cost</t>
  </si>
  <si>
    <t>Part A</t>
  </si>
  <si>
    <t>Part B</t>
  </si>
  <si>
    <t>Part C - I</t>
  </si>
  <si>
    <t>Part C - II</t>
  </si>
  <si>
    <t>Home Appreciation is solved using Solver by setting Eff cost (C45) as target cell and Home Appreciation (C30) as changing cell</t>
  </si>
  <si>
    <t>Home Appreciation is solved using Solver by setting Eff cost (C78) as target cell and Home Appreciation (C72) as changing cell</t>
  </si>
  <si>
    <t>PART A</t>
  </si>
  <si>
    <t>PART B</t>
  </si>
  <si>
    <t>PART C</t>
  </si>
  <si>
    <t>Loan 1</t>
  </si>
  <si>
    <t>Loan 2</t>
  </si>
  <si>
    <t>PART C - II</t>
  </si>
  <si>
    <t>Chapter 12 Leverage Example</t>
  </si>
  <si>
    <t>Return if Property Refinanced and Held additional 5 years</t>
  </si>
  <si>
    <t>Loan Amount / New Loan</t>
  </si>
  <si>
    <t>Chapter 22</t>
  </si>
  <si>
    <t>End Year</t>
  </si>
  <si>
    <t>Beginning Year Office Employment</t>
  </si>
  <si>
    <t>Change in office Employment</t>
  </si>
  <si>
    <t>End Year Office Employment</t>
  </si>
  <si>
    <t>Chenge in Employment %</t>
  </si>
  <si>
    <t>Space per Employee (end of year)</t>
  </si>
  <si>
    <t>Beginning of Year Office Supply</t>
  </si>
  <si>
    <t>New Construction</t>
  </si>
  <si>
    <t>Demolition</t>
  </si>
  <si>
    <t>End of Year Office Supply</t>
  </si>
  <si>
    <t>Beginning of Year Occupied Space</t>
  </si>
  <si>
    <t>Absorption</t>
  </si>
  <si>
    <t>End of Year Occupied Space</t>
  </si>
  <si>
    <t>End of year Occupancy Rate (%)</t>
  </si>
  <si>
    <t>End of year Vacancy Rate (%)</t>
  </si>
  <si>
    <t>Normal Occupancy</t>
  </si>
  <si>
    <t>Expense per s.f.</t>
  </si>
  <si>
    <t>NOI per s.f.</t>
  </si>
  <si>
    <t>Predicted Rent Growth</t>
  </si>
  <si>
    <t>Random #</t>
  </si>
  <si>
    <t>Rent Growth Noise</t>
  </si>
  <si>
    <t>ave</t>
  </si>
  <si>
    <t>Change in Employment</t>
  </si>
  <si>
    <t>Demolotion</t>
  </si>
  <si>
    <t>SUMMARY OUTPUT</t>
  </si>
  <si>
    <t>Regression Statistics</t>
  </si>
  <si>
    <t>Multiple R</t>
  </si>
  <si>
    <t>R Square</t>
  </si>
  <si>
    <t>Adjusted R Square</t>
  </si>
  <si>
    <t>Standard Error</t>
  </si>
  <si>
    <t>Observations</t>
  </si>
  <si>
    <t>ANOVA</t>
  </si>
  <si>
    <t>df</t>
  </si>
  <si>
    <t>SS</t>
  </si>
  <si>
    <t>MS</t>
  </si>
  <si>
    <t>F</t>
  </si>
  <si>
    <t>Significance F</t>
  </si>
  <si>
    <t>Coefficients</t>
  </si>
  <si>
    <t>t Stat</t>
  </si>
  <si>
    <t>P-value</t>
  </si>
  <si>
    <t>Lower 95%</t>
  </si>
  <si>
    <t>Upper 95%</t>
  </si>
  <si>
    <t>Lower 95.0%</t>
  </si>
  <si>
    <t>Upper 95.0%</t>
  </si>
  <si>
    <t>Intercept</t>
  </si>
  <si>
    <t>X Variable 1</t>
  </si>
  <si>
    <t>Chapter 11 Market Analysis</t>
  </si>
  <si>
    <t xml:space="preserve"> assumed by seller</t>
  </si>
  <si>
    <t>Profit ratio</t>
  </si>
  <si>
    <t>Down  Payment</t>
  </si>
  <si>
    <t>Seller Financing</t>
  </si>
  <si>
    <t>Installment payments</t>
  </si>
  <si>
    <t>Capital gain tax rate</t>
  </si>
  <si>
    <t>Installment Payment</t>
  </si>
  <si>
    <t>x Profit Ratio</t>
  </si>
  <si>
    <t xml:space="preserve"> = Gain to report</t>
  </si>
  <si>
    <t>x Capital gain tax rate</t>
  </si>
  <si>
    <t xml:space="preserve"> = Capital gain tax</t>
  </si>
  <si>
    <t>End yr balance</t>
  </si>
  <si>
    <t>x Ordinary income tax rate</t>
  </si>
  <si>
    <t>Ord income tax</t>
  </si>
  <si>
    <t>Less ordinary income tax</t>
  </si>
  <si>
    <t>Less capital gain tax</t>
  </si>
  <si>
    <t>Cash Sale</t>
  </si>
  <si>
    <t>Gain to report</t>
  </si>
  <si>
    <t>After Tax Cash Flow</t>
  </si>
  <si>
    <t>Depreciable life</t>
  </si>
  <si>
    <t>Exchange versus Regular Sale and Purchase New Prop</t>
  </si>
  <si>
    <t>Expense Assumptions</t>
  </si>
  <si>
    <t>Exhibit 15-5 from text</t>
  </si>
  <si>
    <t>years (not used)</t>
  </si>
  <si>
    <t>IRR - Own</t>
  </si>
  <si>
    <t>IRR - Lease</t>
  </si>
  <si>
    <t>a)</t>
  </si>
  <si>
    <t>b)</t>
  </si>
  <si>
    <t>c)</t>
  </si>
  <si>
    <t>d)</t>
  </si>
  <si>
    <t>Other factors to consider in a lease vs. own decision include space requirements, amount of time space is needed, risk bearing, management expertise, maintenance, special purpose buildings, tax considerations, access to capital markets, control, and effect on financial statements</t>
  </si>
  <si>
    <t>Problem 1 (answers at bottom) (formula errors found in gray background cells)</t>
  </si>
  <si>
    <t>CF from Operations</t>
  </si>
  <si>
    <t xml:space="preserve">    Total</t>
  </si>
  <si>
    <t>Pre -Tax Internal Rate of Return</t>
  </si>
  <si>
    <t>Cash Flow to LP</t>
  </si>
  <si>
    <t>Loan Constant (/yr)</t>
  </si>
  <si>
    <t>*</t>
  </si>
  <si>
    <t>Before-tax Equity Yield Req'd</t>
  </si>
  <si>
    <t>(found by using PMT function on $1 loan to get a percent)</t>
  </si>
  <si>
    <t>Loan amount can be found using PV</t>
  </si>
  <si>
    <t>Present value of Reversion (Sale) at</t>
  </si>
  <si>
    <t>Determine Total Property Value</t>
  </si>
  <si>
    <t>NOT THE BEST SPREADSHEET FORMATTING TECHNQUES BUT OK</t>
  </si>
  <si>
    <t>Begin</t>
  </si>
  <si>
    <t>Yr 5</t>
  </si>
  <si>
    <t>Loan Analysis - Exhibit 12-1</t>
  </si>
  <si>
    <t>Loan Analysis Ex 12-11</t>
  </si>
  <si>
    <t>IRR:</t>
  </si>
  <si>
    <t>Ex. 13-5</t>
  </si>
  <si>
    <t>Ex. 13-6</t>
  </si>
  <si>
    <t>Rollover start (yr)</t>
  </si>
  <si>
    <t>New lease assumptions</t>
  </si>
  <si>
    <t>Renewal assumptions</t>
  </si>
  <si>
    <t>Weighted for "Market"</t>
  </si>
  <si>
    <t>Now Add Financing</t>
  </si>
  <si>
    <t>ALT</t>
  </si>
  <si>
    <t>1) Slight rounding errors compounding into last few years.</t>
  </si>
  <si>
    <t>release premium</t>
  </si>
  <si>
    <t xml:space="preserve"> - Cumulative</t>
  </si>
  <si>
    <t>Marketing/Other</t>
  </si>
  <si>
    <t>Other (Note 1)</t>
  </si>
  <si>
    <t>Note 1</t>
  </si>
  <si>
    <t xml:space="preserve">Text example budget estimates interest and fee. Actual am'ts differ by $3,030. </t>
  </si>
  <si>
    <t>n/a</t>
  </si>
  <si>
    <t>Reconciliation to Budget</t>
  </si>
  <si>
    <t>Grand Total</t>
  </si>
  <si>
    <t>Land &amp; closing</t>
  </si>
  <si>
    <t>Release terms. Acceleration refers to premium over a prorata release</t>
  </si>
  <si>
    <t>on parcel sales</t>
  </si>
  <si>
    <t>CLASS Z TRANCHE</t>
  </si>
  <si>
    <t>TRANCHE A</t>
  </si>
  <si>
    <t>CLASS B TRANCHE</t>
  </si>
  <si>
    <t>CLASS C TRANCHE</t>
  </si>
  <si>
    <t>Cells to notice</t>
  </si>
  <si>
    <t>UNLEVERAGED PROPERTY ANALYSIS:</t>
  </si>
  <si>
    <t>Exhibit 12-3 &amp; 12-4 in text</t>
  </si>
  <si>
    <t>TI+LC</t>
  </si>
  <si>
    <t>"Going-in" cap rate at this value:</t>
  </si>
  <si>
    <t>PV of Cash Flows (Unlev)</t>
  </si>
  <si>
    <t>NPV</t>
  </si>
  <si>
    <t>Mortgage Balance - end</t>
  </si>
  <si>
    <t>&lt;-- implied cap rate</t>
  </si>
  <si>
    <t>Sale Price (estimate assumptions)</t>
  </si>
  <si>
    <t>&lt;-- simplified taxation method</t>
  </si>
  <si>
    <t>Loan Amount (ex. interest)</t>
  </si>
  <si>
    <t>Points  Amortization</t>
  </si>
  <si>
    <t>Org Fee  Amortization</t>
  </si>
  <si>
    <t>Amortization</t>
  </si>
  <si>
    <t>Balance (Unamortized)</t>
  </si>
  <si>
    <t>Monthly Loan Payment</t>
  </si>
  <si>
    <t>SUMMARY OF LOAN POINTS AMORTIZATION:</t>
  </si>
  <si>
    <t>Less: Loan Payoff:</t>
  </si>
  <si>
    <t>Cash available for Distribution</t>
  </si>
  <si>
    <t xml:space="preserve">Genral Partner's </t>
  </si>
  <si>
    <t xml:space="preserve">Limited Partners' </t>
  </si>
  <si>
    <t>Total of Capital Accounts - before sale distribution</t>
  </si>
  <si>
    <t xml:space="preserve">What about </t>
  </si>
  <si>
    <t>Capital Accounts</t>
  </si>
  <si>
    <t>Less: Property Cost</t>
  </si>
  <si>
    <t>Less: Syndication Costs</t>
  </si>
  <si>
    <t>Real Gain</t>
  </si>
  <si>
    <t>Cash Flow Available from Sale</t>
  </si>
  <si>
    <t>Less allocation of real gain amounts</t>
  </si>
  <si>
    <t>Remainder allocated at regular percentages</t>
  </si>
  <si>
    <t xml:space="preserve">  - Gain</t>
  </si>
  <si>
    <t xml:space="preserve">  - Remainder</t>
  </si>
  <si>
    <t>Total Distribution</t>
  </si>
  <si>
    <t>SOME ISSUES WITH CAPITAL ACCOUNTS</t>
  </si>
  <si>
    <t xml:space="preserve">SUPPLEMENTARY </t>
  </si>
  <si>
    <t>Market interest rate for similar risk investments</t>
  </si>
  <si>
    <t>Principal &amp; interest assumptions use "annual" calculations though monthly is more standard.</t>
  </si>
  <si>
    <t>Mortgages are shown as being amortized over 10 years when 30 is more standard.</t>
  </si>
  <si>
    <t>Above also allows the pool to self liquidate in 10th year.</t>
  </si>
  <si>
    <t>Simplifying Assumptions:</t>
  </si>
  <si>
    <t>Summary box with rate sensitivity ignores "real world" convexity of pricing.</t>
  </si>
  <si>
    <t>versus rate of</t>
  </si>
  <si>
    <t>on underlying mortgages</t>
  </si>
  <si>
    <t>This model (like text) assumes all interest is paid at maturity - even if default on principal.</t>
  </si>
  <si>
    <t>Implied Value</t>
  </si>
  <si>
    <t>Less Cost</t>
  </si>
  <si>
    <t>Implied Land Value</t>
  </si>
  <si>
    <t>Cap @  r-g</t>
  </si>
  <si>
    <t xml:space="preserve"> (years 1 to 6) Info only to check reasonableness.</t>
  </si>
  <si>
    <t>Tax at 36%</t>
  </si>
  <si>
    <t xml:space="preserve"> @ year</t>
  </si>
  <si>
    <t>Mortgage Payoff</t>
  </si>
  <si>
    <t>Total Gain</t>
  </si>
  <si>
    <t>Total tax on gain</t>
  </si>
  <si>
    <t>&lt;--- two approaches</t>
  </si>
  <si>
    <t>Note: No CAPEX requirement</t>
  </si>
  <si>
    <t>Average compound increase in NOI (Info only)</t>
  </si>
  <si>
    <t>Property NOI</t>
  </si>
  <si>
    <t>Purchase/Sale</t>
  </si>
  <si>
    <t>Unlevered CF</t>
  </si>
  <si>
    <t>Unlevered IRR</t>
  </si>
  <si>
    <r>
      <t xml:space="preserve">IRR on </t>
    </r>
    <r>
      <rPr>
        <b/>
        <sz val="10"/>
        <color indexed="13"/>
        <rFont val="Arial"/>
        <family val="2"/>
      </rPr>
      <t>Unleveraged Property</t>
    </r>
  </si>
  <si>
    <t>Base Rents</t>
  </si>
  <si>
    <t>CPI rents</t>
  </si>
  <si>
    <t>Before-Tax IRR (BTIRRe)</t>
  </si>
  <si>
    <t>After-Tax IRR (ATIRRe)</t>
  </si>
  <si>
    <t>Partition the IRR (Operating versus Sale components)</t>
  </si>
  <si>
    <t>Unleveraged Analysis</t>
  </si>
  <si>
    <t>Net Operating Income NOI)</t>
  </si>
  <si>
    <t>Building Sq. Ft.</t>
  </si>
  <si>
    <t>Tax Items:</t>
  </si>
  <si>
    <t>Modified IRR with reinvestment @</t>
  </si>
  <si>
    <t>Levered CF After tax</t>
  </si>
  <si>
    <t>Levered CF before tax</t>
  </si>
  <si>
    <r>
      <t xml:space="preserve">IRR on </t>
    </r>
    <r>
      <rPr>
        <b/>
        <sz val="10"/>
        <color indexed="13"/>
        <rFont val="Arial"/>
        <family val="2"/>
      </rPr>
      <t>Equity</t>
    </r>
  </si>
  <si>
    <r>
      <t>PV of Unlevered CF</t>
    </r>
    <r>
      <rPr>
        <vertAlign val="subscript"/>
        <sz val="10"/>
        <rFont val="Arial"/>
        <family val="2"/>
      </rPr>
      <t>o</t>
    </r>
  </si>
  <si>
    <r>
      <t>PV of Unlevered CF</t>
    </r>
    <r>
      <rPr>
        <vertAlign val="subscript"/>
        <sz val="10"/>
        <rFont val="Arial"/>
        <family val="2"/>
      </rPr>
      <t>s</t>
    </r>
    <r>
      <rPr>
        <sz val="10"/>
        <rFont val="Arial"/>
        <family val="2"/>
      </rPr>
      <t xml:space="preserve"> </t>
    </r>
  </si>
  <si>
    <t>Unlevered Net Present Value</t>
  </si>
  <si>
    <r>
      <t>PV of levered CF</t>
    </r>
    <r>
      <rPr>
        <vertAlign val="subscript"/>
        <sz val="10"/>
        <rFont val="Arial"/>
        <family val="2"/>
      </rPr>
      <t>o</t>
    </r>
  </si>
  <si>
    <r>
      <t>PV of levered CF</t>
    </r>
    <r>
      <rPr>
        <vertAlign val="subscript"/>
        <sz val="10"/>
        <rFont val="Arial"/>
        <family val="2"/>
      </rPr>
      <t>s</t>
    </r>
    <r>
      <rPr>
        <sz val="10"/>
        <rFont val="Arial"/>
        <family val="2"/>
      </rPr>
      <t xml:space="preserve"> </t>
    </r>
  </si>
  <si>
    <t>Levered Analysis (After Tax)</t>
  </si>
  <si>
    <t>Leveraged Analysis (Before Tax)</t>
  </si>
  <si>
    <t>Risk and Leverage - Standard Deviation as Meaure of Risk</t>
  </si>
  <si>
    <t>Coeff of Var*</t>
  </si>
  <si>
    <t xml:space="preserve">   * Low values better</t>
  </si>
  <si>
    <t>Note: Formulas for expense recoveries are quite complex. Renewals do not show recoveries in order to simplify.</t>
  </si>
  <si>
    <t>Total Cash Flow (columns offset 1 year from above)</t>
  </si>
  <si>
    <t>alt formula--&gt;</t>
  </si>
  <si>
    <t>Resale/Terminal Value/Sales Price (using "going out" cap)</t>
  </si>
  <si>
    <t>Net Proceeds from Sale</t>
  </si>
  <si>
    <t>Market Leasing Assumptions</t>
  </si>
  <si>
    <t>Lease Term (Remaining Yrs)</t>
  </si>
  <si>
    <t>Upon Expiration Assumptions</t>
  </si>
  <si>
    <t>Market rent at rollover</t>
  </si>
  <si>
    <t>Resale*</t>
  </si>
  <si>
    <t>*Note the sensitivity of using a cap rate on NOI definition that excludes TI's and LC's.</t>
  </si>
  <si>
    <t>Westgate Retail Center</t>
  </si>
  <si>
    <t>Annually</t>
  </si>
  <si>
    <t>ICI</t>
  </si>
  <si>
    <t>PDI</t>
  </si>
  <si>
    <t>Initial Capital Accounts</t>
  </si>
  <si>
    <t>CF from Sale (eco effect)</t>
  </si>
  <si>
    <t>AFTER-TAX CASH FLOW &amp; INTERNAL RATE OF RETURN USING TAX CAPITAL ACCOUNTS</t>
  </si>
  <si>
    <t xml:space="preserve">SCHEDULES OF LIMITED VALUE - ESTIMATING AFTER TAX IRRs </t>
  </si>
  <si>
    <t>Following Schedules were part of original file. Left here for interest only.</t>
  </si>
  <si>
    <t>Limited Partners - Analysis of Pre-Tax Returns - Respecting Tax Capital Accounts</t>
  </si>
  <si>
    <t>General Partners - Analysis of Pre-Tax Returns - Respecting Tax Capital Accounts</t>
  </si>
  <si>
    <t>DISTRIBUTION OF BEFORE-TAX CASH FLOW: (REAL MONEY)</t>
  </si>
  <si>
    <t>ALLOCATION OF TAXABLE INCOME - Operations</t>
  </si>
  <si>
    <t>TAX CAPITAL ACCOUNTS PRIOR TO DISTRIBUTION OF CASH FLOW FROM SALE:</t>
  </si>
  <si>
    <t>Tax Capital Accounts</t>
  </si>
  <si>
    <t>Partnership driven distributions with final tax allocation adjustments</t>
  </si>
  <si>
    <t>CONCLUSION: Some very tricky concepts here. What  do we use?</t>
  </si>
  <si>
    <t>Quote Price</t>
  </si>
  <si>
    <t>* This is simply the increase in value (without compounding) over the 5 year holding period. Shown for common sense check.</t>
  </si>
  <si>
    <t>Value per Unit</t>
  </si>
  <si>
    <t>Before-tax Cash Flow (to equity)</t>
  </si>
  <si>
    <t>Total Present Value of Property</t>
  </si>
  <si>
    <t>Property Valuation</t>
  </si>
  <si>
    <t>Initial Valuation Equity (Year 0)</t>
  </si>
  <si>
    <t>Equity PV of Operations (BTCF) at</t>
  </si>
  <si>
    <r>
      <t xml:space="preserve">Total </t>
    </r>
    <r>
      <rPr>
        <i/>
        <sz val="10"/>
        <rFont val="Arial"/>
        <family val="2"/>
      </rPr>
      <t>Equity</t>
    </r>
    <r>
      <rPr>
        <sz val="10"/>
        <rFont val="Arial"/>
        <family val="2"/>
      </rPr>
      <t xml:space="preserve"> Value</t>
    </r>
  </si>
  <si>
    <t>Check:</t>
  </si>
  <si>
    <t>Equity CF</t>
  </si>
  <si>
    <t>The IRR works out to exactly our discount rate becauase we set the Purchase Price equal to the NPV</t>
  </si>
  <si>
    <t>PROJECTED NET OPERATING INCOME - SUMMARY</t>
  </si>
  <si>
    <t>GO TO NEXT TAB</t>
  </si>
  <si>
    <t>Allocation to building</t>
  </si>
  <si>
    <t xml:space="preserve">IRR </t>
  </si>
  <si>
    <t>TAXABLE INCOME &amp; TAX CALCULATION:</t>
  </si>
  <si>
    <t>AFTER-TAX CASH FLOW FROM OPERATIONS:</t>
  </si>
  <si>
    <t>Partic. on Excess NOI over</t>
  </si>
  <si>
    <t>Gain</t>
  </si>
  <si>
    <t>in Economic</t>
  </si>
  <si>
    <t>Participation in Gain (to lender)</t>
  </si>
  <si>
    <t>simple rate</t>
  </si>
  <si>
    <t>CASH FLOW FROM SALE (Year 5):</t>
  </si>
  <si>
    <t>Lender's approx IRR</t>
  </si>
  <si>
    <t>Calculation of Actual Lender's IRR:</t>
  </si>
  <si>
    <t>higher due to monthly payments</t>
  </si>
  <si>
    <r>
      <t>P x (R-Expected R)</t>
    </r>
    <r>
      <rPr>
        <i/>
        <vertAlign val="superscript"/>
        <sz val="10"/>
        <color indexed="9"/>
        <rFont val="Arial"/>
        <family val="2"/>
      </rPr>
      <t>2</t>
    </r>
  </si>
  <si>
    <t>Lender's Actual IRR (below)</t>
  </si>
  <si>
    <t>Going out Cap Rate</t>
  </si>
  <si>
    <t>Sensitivity Analysis - IRR Result Changing 2 Variables</t>
  </si>
  <si>
    <t>FoodStore</t>
  </si>
  <si>
    <t>Example uses strange concept of starting with year 2 instead of typical year 1. No effect.</t>
  </si>
  <si>
    <t>Points Term (amort)</t>
  </si>
  <si>
    <t>Org Fee Term (amort)</t>
  </si>
  <si>
    <t>Allocations</t>
  </si>
  <si>
    <r>
      <t xml:space="preserve">ALLOCATION OF </t>
    </r>
    <r>
      <rPr>
        <b/>
        <sz val="10"/>
        <color theme="9" tint="0.39997558519241921"/>
        <rFont val="Arial"/>
        <family val="2"/>
      </rPr>
      <t>TAXABLE</t>
    </r>
    <r>
      <rPr>
        <b/>
        <sz val="10"/>
        <color indexed="9"/>
        <rFont val="Arial"/>
        <family val="2"/>
      </rPr>
      <t xml:space="preserve"> </t>
    </r>
    <r>
      <rPr>
        <b/>
        <sz val="10"/>
        <color theme="9" tint="0.39997558519241921"/>
        <rFont val="Arial"/>
        <family val="2"/>
      </rPr>
      <t>GAIN</t>
    </r>
    <r>
      <rPr>
        <b/>
        <sz val="10"/>
        <color indexed="9"/>
        <rFont val="Arial"/>
        <family val="2"/>
      </rPr>
      <t xml:space="preserve"> FROM SALE:</t>
    </r>
  </si>
  <si>
    <r>
      <t xml:space="preserve">MEASURE OF IRRs </t>
    </r>
    <r>
      <rPr>
        <b/>
        <sz val="10"/>
        <color theme="9" tint="0.39997558519241921"/>
        <rFont val="Arial"/>
        <family val="2"/>
      </rPr>
      <t>If Tax Capital Accounts Used for Final Distribution</t>
    </r>
  </si>
  <si>
    <t>SUMMARY RECAP BY PARTNER</t>
  </si>
  <si>
    <t>IRR to ICI</t>
  </si>
  <si>
    <t>Special pref.</t>
  </si>
  <si>
    <t>ICI payback</t>
  </si>
  <si>
    <t>C/F pre final dist.</t>
  </si>
  <si>
    <t>50% to PDI</t>
  </si>
  <si>
    <t>50% to ICI</t>
  </si>
  <si>
    <t>4th</t>
  </si>
  <si>
    <t>To PDI</t>
  </si>
  <si>
    <t>(see below)</t>
  </si>
  <si>
    <t>ICI IRR pref</t>
  </si>
  <si>
    <t>3rd</t>
  </si>
  <si>
    <t>PDI payback</t>
  </si>
  <si>
    <t>2nd</t>
  </si>
  <si>
    <t>1st</t>
  </si>
  <si>
    <t>Cash Available</t>
  </si>
  <si>
    <t>Sale Proceeds Cash Flow Waterfall</t>
  </si>
  <si>
    <t>5% pref to PDI</t>
  </si>
  <si>
    <t>5% pref to ICI</t>
  </si>
  <si>
    <t>Deal IRR</t>
  </si>
  <si>
    <t>Sale Proceeds</t>
  </si>
  <si>
    <t>Operations C/F</t>
  </si>
  <si>
    <t>Investment</t>
  </si>
  <si>
    <t>Property Developers Inc. (PDI)</t>
  </si>
  <si>
    <t>Investors Capital Inc. (ICI)</t>
  </si>
  <si>
    <t>See add-on at bottom and on right.</t>
  </si>
  <si>
    <t>(incl. above)</t>
  </si>
  <si>
    <t>(incl. fees)</t>
  </si>
  <si>
    <t xml:space="preserve">          Org. Fee Amort.</t>
  </si>
  <si>
    <t xml:space="preserve">          Points Amort.</t>
  </si>
  <si>
    <t>IRR  ---&gt;</t>
  </si>
  <si>
    <t>Mortgage rate (on indiv. Mtgs)</t>
  </si>
  <si>
    <t>Quoted Coupon rate (to investors)</t>
  </si>
  <si>
    <t>Default auction Price</t>
  </si>
  <si>
    <t>PrePay Rate</t>
  </si>
  <si>
    <t>CMO with multiple classes (and an equity residual)</t>
  </si>
  <si>
    <t>RESIDUAL (Equity) CLASS</t>
  </si>
  <si>
    <t>Receipts</t>
  </si>
  <si>
    <t>by pool</t>
  </si>
  <si>
    <t>Payouts to</t>
  </si>
  <si>
    <t>OVERALL STUCTURE AND WAC (Weigted Average Coupon)</t>
  </si>
  <si>
    <t>Interest rate on mtgs (net)</t>
  </si>
  <si>
    <t>Class A</t>
  </si>
  <si>
    <t>Class B</t>
  </si>
  <si>
    <t>Class Z</t>
  </si>
  <si>
    <t>Class C</t>
  </si>
  <si>
    <t>resid</t>
  </si>
  <si>
    <t>SECURITIES STRUCTURE</t>
  </si>
  <si>
    <t>Ending Bal</t>
  </si>
  <si>
    <t>RETURN TO RESIDUAL EQUITY DEPENDS ON PREPAYMENT SPEED</t>
  </si>
  <si>
    <t>SAME DATA IN CHART FORM</t>
  </si>
  <si>
    <t>Net Present Value (Equity)</t>
  </si>
  <si>
    <t>Total Vacant</t>
  </si>
  <si>
    <t>Summary of Total Deal (This is UNLEVERAGED deal)</t>
  </si>
  <si>
    <t>Possible Allocation - Alt 2</t>
  </si>
  <si>
    <t>Gain Allocation</t>
  </si>
  <si>
    <t xml:space="preserve">PROCEEDS FROM SALE = REAL CASH </t>
  </si>
  <si>
    <t>ALT. 1  DISTRIBUTE FINAL PROCEEDS IN ACCORDANCE WITH CAPTIAL ACCOUNTS</t>
  </si>
  <si>
    <t>Gen Partner Gain Alloc.</t>
  </si>
  <si>
    <t>Lim Partner Gain Alloc.</t>
  </si>
  <si>
    <t>Proceeds</t>
  </si>
  <si>
    <t>Equity (residual)</t>
  </si>
  <si>
    <t>Base</t>
  </si>
  <si>
    <t>This tab brings in "Debt" and "Taxation" Concepts. See Analysis at end.</t>
  </si>
  <si>
    <t>Common Area Maint. (CAM)</t>
  </si>
  <si>
    <t>Restaurant Overage (%) Rent</t>
  </si>
  <si>
    <t>Interim Loan Fee</t>
  </si>
  <si>
    <t xml:space="preserve">Financing Proposed Projects with Construction Loan </t>
  </si>
  <si>
    <t>Sales Projections</t>
  </si>
  <si>
    <t>Miscellaneous Info</t>
  </si>
  <si>
    <t>Using complex PV methodology here, but simpler methods are also valid</t>
  </si>
  <si>
    <t>Costs Draw</t>
  </si>
  <si>
    <t>Financing</t>
  </si>
  <si>
    <t>Lender</t>
  </si>
  <si>
    <t>Financing Land Development Projects (Format needs re-work)</t>
  </si>
  <si>
    <r>
      <t>Spreadsheet Limitations</t>
    </r>
    <r>
      <rPr>
        <b/>
        <sz val="10"/>
        <color indexed="10"/>
        <rFont val="Arial"/>
        <family val="2"/>
      </rPr>
      <t>:</t>
    </r>
    <r>
      <rPr>
        <sz val="10"/>
        <color indexed="10"/>
        <rFont val="Arial"/>
        <family val="2"/>
      </rPr>
      <t xml:space="preserve">  Twelve month draw period, where first x% draw is only for 4 months.  All yellow colored cell </t>
    </r>
  </si>
  <si>
    <r>
      <t xml:space="preserve">   </t>
    </r>
    <r>
      <rPr>
        <b/>
        <i/>
        <sz val="10"/>
        <color theme="0"/>
        <rFont val="Arial"/>
        <family val="2"/>
      </rPr>
      <t>Release Prices (calculated below)</t>
    </r>
  </si>
  <si>
    <t>Yes</t>
  </si>
  <si>
    <t>Interest only:</t>
  </si>
  <si>
    <t>Default Assumption for Panel B</t>
  </si>
  <si>
    <t>Panel A. No Default on Mortgage Payment</t>
  </si>
  <si>
    <t>Property CF</t>
  </si>
  <si>
    <t xml:space="preserve"> - Recapture</t>
  </si>
  <si>
    <t xml:space="preserve"> - Appreciation</t>
  </si>
  <si>
    <t>Deal: Ops: 5% non-cumulative CF returns, then 50/50.  Sale: 12% IRR catchup to investor, then 50/50</t>
  </si>
  <si>
    <t>GAAP Capital Accounts (not shown)</t>
  </si>
  <si>
    <t>Chapter 17 Exhibits - Grayson Project (Overly complex release terms in this example)</t>
  </si>
  <si>
    <t>Total Cost Budget &amp; Breakdown</t>
  </si>
  <si>
    <t xml:space="preserve">May be depreciable. </t>
  </si>
  <si>
    <t>Per lot</t>
  </si>
  <si>
    <t>Loan Alloc</t>
  </si>
  <si>
    <t>Per Type</t>
  </si>
  <si>
    <t>Simplified Example - using a 10 year self-amortizing pool</t>
  </si>
  <si>
    <t>Interest only 5 year loan</t>
  </si>
  <si>
    <t xml:space="preserve">    Amortization Term</t>
  </si>
  <si>
    <t>Expenses % of EGI (info only)</t>
  </si>
  <si>
    <t>Present Value (each year ops)</t>
  </si>
  <si>
    <t>Operations Recap</t>
  </si>
  <si>
    <t>Sale of Property</t>
  </si>
  <si>
    <t>Summary Valuation</t>
  </si>
  <si>
    <t>Terminal (going-out) Cap Rate</t>
  </si>
  <si>
    <t>Reimbursable Expenses</t>
  </si>
  <si>
    <t>Non-reimbursable Expenses</t>
  </si>
  <si>
    <r>
      <t xml:space="preserve">IRR on </t>
    </r>
    <r>
      <rPr>
        <b/>
        <sz val="10"/>
        <color indexed="13"/>
        <rFont val="Arial"/>
        <family val="2"/>
      </rPr>
      <t>Equity (after tax)</t>
    </r>
  </si>
  <si>
    <t>Tax Analysis</t>
  </si>
  <si>
    <t>CASH FLOW FROM SALE IN YEAR 5:</t>
  </si>
  <si>
    <t>IMPORTANT</t>
  </si>
  <si>
    <t>Basic Investment Analysis - Unleveraged</t>
  </si>
  <si>
    <t>Present Value of Levered Equity</t>
  </si>
  <si>
    <t>Debt</t>
  </si>
  <si>
    <t>Total Value:</t>
  </si>
  <si>
    <t>NPV (inflows less investment)</t>
  </si>
  <si>
    <t>Present Value (of future Cash flows)</t>
  </si>
  <si>
    <t>NPV Excel formula</t>
  </si>
  <si>
    <t>Total Investment</t>
  </si>
  <si>
    <t>ALLOCATION OF TAX ITEMS</t>
  </si>
  <si>
    <t>Return of original capital - then some distribution structure (not shown)</t>
  </si>
  <si>
    <t>"Funded" Project Costs</t>
  </si>
  <si>
    <t>Year 1 (by month)</t>
  </si>
  <si>
    <t>SUMMARY OF PERMANENT LOAN (loan closes end of year 1 "taking out" Construction loan)</t>
  </si>
  <si>
    <t>Less: Loan Amount</t>
  </si>
  <si>
    <t>Other info:</t>
  </si>
  <si>
    <t>&lt;-- shown as negative amount so IRR will calculate</t>
  </si>
  <si>
    <t>* BTCF = Before Tax Cash Flow. Also referred to as "Cash Flow after Debt Service' or "Cash Flow to Equity"</t>
  </si>
  <si>
    <t>Mtg-Equity Capitalization - Value Build</t>
  </si>
  <si>
    <t>Participation (to lender) (deduction)</t>
  </si>
  <si>
    <t>Less:  Accumulated Depreciation</t>
  </si>
  <si>
    <t>Plus:  Tax Income allocated</t>
  </si>
  <si>
    <t>Less:  Tax Loss allocated</t>
  </si>
  <si>
    <t>Plus:  Tax Gain on Sale alloc.</t>
  </si>
  <si>
    <t>Less:  Real Cash Distribution</t>
  </si>
  <si>
    <t xml:space="preserve"> + interest  =</t>
  </si>
  <si>
    <t>Lender's Net Cash Flow</t>
  </si>
  <si>
    <t>Soft Costs Unfunded</t>
  </si>
  <si>
    <t xml:space="preserve">   Total Unfunded costs</t>
  </si>
  <si>
    <t>Soft Costs - funded</t>
  </si>
  <si>
    <t xml:space="preserve">   Total Funded Costs</t>
  </si>
  <si>
    <t>Interest carry built into loan</t>
  </si>
  <si>
    <t>(calc. below)</t>
  </si>
  <si>
    <t xml:space="preserve">Amortizing </t>
  </si>
  <si>
    <t>Loan Pmts</t>
  </si>
  <si>
    <t>Total Pymts</t>
  </si>
  <si>
    <t>incl. prepay</t>
  </si>
  <si>
    <t>Mortgage Pass Through Security - Simplified Example:   10 Yr Amort.</t>
  </si>
  <si>
    <t>Prepayment rate (% of pool prepaying ea yr.)</t>
  </si>
  <si>
    <t>Management*</t>
  </si>
  <si>
    <t>*Note: In this case, we are treating management expenses as "non-reimbursable". (Practices may vary in real leases).</t>
  </si>
  <si>
    <t>Debt Service Cov. Ratio</t>
  </si>
  <si>
    <t>SUMMARY OF OPERATING EXPENSE PROJECTIONS</t>
  </si>
  <si>
    <t>EXPENSE DATA INPUT &amp; ASSUMPTIONS</t>
  </si>
  <si>
    <t>PROJECTED REVENUE (GROSS INCOME)</t>
  </si>
  <si>
    <t>Expense Reimbursements</t>
  </si>
  <si>
    <t>Total Budget (Ex 17-6)</t>
  </si>
  <si>
    <t>Note: This model illustrates draw concept and need for initial equity. It is not the best however as it proceeds to an "after-tax" analysis.</t>
  </si>
  <si>
    <t>Accrual</t>
  </si>
  <si>
    <r>
      <t xml:space="preserve">Operations Cash Flow Waterfall </t>
    </r>
    <r>
      <rPr>
        <sz val="10"/>
        <rFont val="Arial"/>
        <family val="2"/>
      </rPr>
      <t>(non-cumulative pref)</t>
    </r>
  </si>
  <si>
    <t>ALT 1. - DISTRIBUTE IN ACCORDANCE WITH CAPITAL ACCOUNTS</t>
  </si>
  <si>
    <t>Sharpe**</t>
  </si>
  <si>
    <t>**Rf rate = 4%</t>
  </si>
  <si>
    <t>Non-cumulative Preference rate:</t>
  </si>
  <si>
    <t>IRR "catch up" (true-up) for ICI</t>
  </si>
  <si>
    <t>Residual split to ICI</t>
  </si>
  <si>
    <t>Residual split to PDI</t>
  </si>
  <si>
    <t>Calculation of ICI IRR (catch-up) preference to ICI</t>
  </si>
  <si>
    <t xml:space="preserve">        Unrestricted ARM - Paid off after 5 years</t>
  </si>
  <si>
    <t xml:space="preserve"> "True" caps here mean there is no negative amortization. Lender has economic risk.</t>
  </si>
  <si>
    <t xml:space="preserve">       ARM with Interest Rate Cap  ("True Caps")</t>
  </si>
  <si>
    <t>Monthly constant</t>
  </si>
  <si>
    <t>On a Financial Calculator</t>
  </si>
  <si>
    <t xml:space="preserve">  (5 years multiplied by 12 months)</t>
  </si>
  <si>
    <t>CPT  I/Y</t>
  </si>
  <si>
    <t xml:space="preserve"> (result has been multiplied by 12 to provide annual rate)</t>
  </si>
  <si>
    <t>BTCF* (CF after debt service)</t>
  </si>
  <si>
    <t>Gain on Sale</t>
  </si>
  <si>
    <t>IRR Lookback deal: Same CF, but this caps the investor return at 12%IRR with all residual going to Developer/Sponsor.</t>
  </si>
  <si>
    <r>
      <t xml:space="preserve">CONSTRUCTION LOAN </t>
    </r>
    <r>
      <rPr>
        <b/>
        <sz val="10"/>
        <color rgb="FFFFFF00"/>
        <rFont val="Arial"/>
        <family val="2"/>
      </rPr>
      <t>DRAWS</t>
    </r>
    <r>
      <rPr>
        <b/>
        <sz val="10"/>
        <color indexed="9"/>
        <rFont val="Arial"/>
        <family val="2"/>
      </rPr>
      <t xml:space="preserve"> &amp; REPAYMENT: </t>
    </r>
  </si>
  <si>
    <t>Loan Draw (costs)</t>
  </si>
  <si>
    <t>Risk (std dev)</t>
  </si>
  <si>
    <t>No Loan - Calculation of Variance &amp; Std Dev.</t>
  </si>
  <si>
    <t>Loan - Calculation of Variance &amp; Std. Dev.</t>
  </si>
  <si>
    <t>Oakwood Apartment Example (Unleveraged) (14th Edition numbers: See note)</t>
  </si>
  <si>
    <t>Chapter 11 - Monument Office Case  (Based on 14th edition)</t>
  </si>
  <si>
    <t>Chapter 10 14edition of text</t>
  </si>
  <si>
    <t>Base Rent + Reimbursements</t>
  </si>
  <si>
    <t>Additional Assumptions</t>
  </si>
  <si>
    <t>Present Value (future Cash flows)</t>
  </si>
  <si>
    <t>of Rents</t>
  </si>
  <si>
    <t>Text (14e) has an error on this rate.</t>
  </si>
  <si>
    <t xml:space="preserve">      Total Distribution</t>
  </si>
  <si>
    <t>Probability</t>
  </si>
  <si>
    <t>Industrial Example - Worthington: Illustrates Leasing Assumptions (TI's and Commissions) and Vacancy.</t>
  </si>
  <si>
    <t>BEFORE &amp; AFTER-TAX CASH FLOW FROM SALE Y6</t>
  </si>
  <si>
    <t>Quarters (3 month segments)  2 Year Project</t>
  </si>
  <si>
    <t>6 month construction with sell-off starting in Month 4 and 24 month project total</t>
  </si>
  <si>
    <t>Chapter 11 - Monument Office Continued    (14e)</t>
  </si>
  <si>
    <t>Chapter 11 Monument Office Case 3 of 3 tabs  (14e)</t>
  </si>
  <si>
    <t>Modified IRR (using discount rate)</t>
  </si>
  <si>
    <t>(both parties; but first to ICI then PDI)</t>
  </si>
  <si>
    <t>CASH FLOWS - CONSTRUCTION PERIOD</t>
  </si>
  <si>
    <t>(Excl. int.)</t>
  </si>
  <si>
    <t>Projected increase in "market"</t>
  </si>
  <si>
    <t>Valuation: PV of future cash flows</t>
  </si>
  <si>
    <t>Given a purchase price: Determin IRR and NPV</t>
  </si>
  <si>
    <t xml:space="preserve">  Less: Cost</t>
  </si>
  <si>
    <r>
      <rPr>
        <b/>
        <sz val="10"/>
        <rFont val="Arial"/>
        <family val="2"/>
      </rPr>
      <t>NPV</t>
    </r>
    <r>
      <rPr>
        <sz val="10"/>
        <rFont val="Arial"/>
        <family val="2"/>
      </rPr>
      <t xml:space="preserve"> (inflows less investment)</t>
    </r>
  </si>
  <si>
    <t>LOAN SCHEDULE FOR TOTAL POOL (assumes 10 year amortization for simplification)</t>
  </si>
  <si>
    <t>Note: No Class C in this problem but is included in template</t>
  </si>
  <si>
    <t>EQUITY ANALYSIS: (Leveraged Deal)</t>
  </si>
  <si>
    <t>PROPERTY ANALYSIS: (Unleveraged Deal)</t>
  </si>
  <si>
    <t>CPI rents (only in 14e)</t>
  </si>
  <si>
    <t>Note: Investor is getting 1st preference on returns, but it does not seem fair that PDI does not also get a 12% IRR catch up before the 50/50 residuals on sale.</t>
  </si>
  <si>
    <t>SUMMARY FUTURE MARKET RATE ESTIMATES  (15e,16e)</t>
  </si>
  <si>
    <t xml:space="preserve">Market Rent Projections </t>
  </si>
  <si>
    <t>None in 15e,16e</t>
  </si>
  <si>
    <t>GROSS LEASE - FLAT RENTS</t>
  </si>
  <si>
    <t>Less: Operating Costs</t>
  </si>
  <si>
    <t>Add: Recoveries</t>
  </si>
  <si>
    <t>Net Rent (to Landlord)</t>
  </si>
  <si>
    <t>Average Net Rent</t>
  </si>
  <si>
    <t>GROSS LEASE - FLAT RENTS with STOP</t>
  </si>
  <si>
    <t>Net Rent</t>
  </si>
  <si>
    <t>GROSS LEASE - STEP UPS, No Stop</t>
  </si>
  <si>
    <t>GROSS LEASE - STEP UPS, With STOP</t>
  </si>
  <si>
    <t>GROSS LEASE - CPI Adjusted, With STOP</t>
  </si>
  <si>
    <t>CPI</t>
  </si>
  <si>
    <t>Chapter 10 - 15e &amp; 16e editions of text</t>
  </si>
  <si>
    <t>"assumed" in text to be same as implied going in cap rate</t>
  </si>
  <si>
    <t>Implied "going-in Cap Rate:</t>
  </si>
  <si>
    <t>(n/a for 15/16e)</t>
  </si>
  <si>
    <t>given in text</t>
  </si>
  <si>
    <t>Partnership Analysis - with Tax &amp; Capital Accounts</t>
  </si>
  <si>
    <t>This is shown in base model at left</t>
  </si>
  <si>
    <t>ALT 2. -  POSSIBLE ALLOCATION OF CASH FLOW FROM SALE: 90/10</t>
  </si>
  <si>
    <t>@ special 90/10 %s</t>
  </si>
  <si>
    <t>@ 95/5</t>
  </si>
  <si>
    <t>ALLOCATION IN ACCORDANCE WITH REAL GAIN (INTENDED)</t>
  </si>
  <si>
    <t>"GAIN" vs RETURN OF CAPITAL</t>
  </si>
  <si>
    <t>ALT. 3 -  PARTNER INTENT ISOLATING REAL ECONOMIC "GAIN"</t>
  </si>
  <si>
    <t>(to ICI only in this example)</t>
  </si>
  <si>
    <t>DRAW ESTIMATES</t>
  </si>
  <si>
    <t>LOT SALES ESTIMATES</t>
  </si>
  <si>
    <t>Project Financing (Capital Stack)</t>
  </si>
  <si>
    <t>- Equity Required</t>
  </si>
  <si>
    <t>Total Financing</t>
  </si>
  <si>
    <t>Req'd rate (discount rate) = r</t>
  </si>
  <si>
    <t>Oakwood Apartment Example (Unleveraged) (15&amp;16th Edition numbers: See note)</t>
  </si>
  <si>
    <t xml:space="preserve">    Subtotal - funded costs</t>
  </si>
  <si>
    <t>SUMMARY OF DEPRECIABLE COSTS (Tax purposes)</t>
  </si>
  <si>
    <t>Sponsor IRR</t>
  </si>
  <si>
    <t>Sponsor Net Cash Flows</t>
  </si>
  <si>
    <t>Sponsor Distributions - as Promote</t>
  </si>
  <si>
    <t>Sponsor Distributions on Equity contribution</t>
  </si>
  <si>
    <t>Sponsor Equity Contributions</t>
  </si>
  <si>
    <t>Sponsor:</t>
  </si>
  <si>
    <t>Investor Equity Multiple</t>
  </si>
  <si>
    <t>Investor IRR</t>
  </si>
  <si>
    <t>Investor Net Cash Flows</t>
  </si>
  <si>
    <t>Investor Distributions on Equity Contribution</t>
  </si>
  <si>
    <t>Investor Equity Contributions</t>
  </si>
  <si>
    <t>Investor:</t>
  </si>
  <si>
    <t>Year 5</t>
  </si>
  <si>
    <t>Year 4</t>
  </si>
  <si>
    <t>Year 3</t>
  </si>
  <si>
    <t>Year 2</t>
  </si>
  <si>
    <t>Year 1</t>
  </si>
  <si>
    <t>Year 0</t>
  </si>
  <si>
    <t>Returns Summary</t>
  </si>
  <si>
    <t>Sponsor Promote Cash Flow</t>
  </si>
  <si>
    <t>"Money" Cash Flow</t>
  </si>
  <si>
    <t>Remaining Cash Available From Prior Tier</t>
  </si>
  <si>
    <t>Tier 2 Accrual Distribution</t>
  </si>
  <si>
    <t>Tier 2 Accrual</t>
  </si>
  <si>
    <t>Equity Contributions</t>
  </si>
  <si>
    <t>Beginning Balance</t>
  </si>
  <si>
    <t>Tier 1 Accrual Distribution</t>
  </si>
  <si>
    <t>Tier 1 Accrual</t>
  </si>
  <si>
    <t>Cash Available For Distribution</t>
  </si>
  <si>
    <t>Total Equity Contributions</t>
  </si>
  <si>
    <t>Investor Equity Contribution</t>
  </si>
  <si>
    <t>Sponsor Equity Contribution</t>
  </si>
  <si>
    <t>Cash Flow Before Tax</t>
  </si>
  <si>
    <t>Money %</t>
  </si>
  <si>
    <t>Promote %</t>
  </si>
  <si>
    <t>Up to</t>
  </si>
  <si>
    <t>From</t>
  </si>
  <si>
    <t>Promote Structure (IRR)</t>
  </si>
  <si>
    <t>Investor</t>
  </si>
  <si>
    <t xml:space="preserve">Sponsor </t>
  </si>
  <si>
    <t xml:space="preserve">Cash </t>
  </si>
  <si>
    <t>% Split</t>
  </si>
  <si>
    <t>Equity Contributions ('the Money")</t>
  </si>
  <si>
    <t>3 Tier Waterfall Model based on IRR return levels to the overall deal investment with isolated promote</t>
  </si>
  <si>
    <t>Tier 1</t>
  </si>
  <si>
    <t>Tier 2</t>
  </si>
  <si>
    <t>Tier 3</t>
  </si>
  <si>
    <t>Total Deal</t>
  </si>
  <si>
    <t>Tier 1:</t>
  </si>
  <si>
    <t>IRR to the deal at this tier</t>
  </si>
  <si>
    <t>CF attributable to this tier</t>
  </si>
  <si>
    <t>Allocation</t>
  </si>
  <si>
    <t>Remaining Cash to Distribute in Next Tier</t>
  </si>
  <si>
    <t xml:space="preserve">Tier 2: </t>
  </si>
  <si>
    <t>IRR to the deal at this Tier</t>
  </si>
  <si>
    <t xml:space="preserve">Tier 3: </t>
  </si>
  <si>
    <t>Allocation:</t>
  </si>
  <si>
    <t>Sponsor Equity Multiple</t>
  </si>
  <si>
    <t>Ch23 example only utilizes 2 or the tiers.</t>
  </si>
  <si>
    <t>3 Tier Waterfall Model based on IRR return levels to the investors with isolated promote</t>
  </si>
  <si>
    <t>IRR to "the Money"</t>
  </si>
  <si>
    <t>Beginning Balance - Money</t>
  </si>
  <si>
    <t>IRR and CF to the money at this tier</t>
  </si>
  <si>
    <t>Prior Tier Distributions</t>
  </si>
  <si>
    <t>NOTE:</t>
  </si>
  <si>
    <t>Retail Example with Sensitivity Analysis - See Table at Bottom</t>
  </si>
  <si>
    <t>Ignore tenants 2,3,5 -not used</t>
  </si>
  <si>
    <t>Non-reimbursable Expense Estimate</t>
  </si>
  <si>
    <t>*Note: In this case, we are treating management expenses as "non-reimbursable". (Practices may vary).</t>
  </si>
  <si>
    <t xml:space="preserve"> -Est. shown for complete concept.   Adj. below</t>
  </si>
  <si>
    <t xml:space="preserve">Partitioning the IRR </t>
  </si>
  <si>
    <t>Chapter 12 Participation Loan (Using 16th Edition)</t>
  </si>
  <si>
    <t>Chapter 12 Participation Loan (Using 17th Edition)</t>
  </si>
  <si>
    <t xml:space="preserve">   Ordinary</t>
  </si>
  <si>
    <t xml:space="preserve">   Dep'n Recap</t>
  </si>
  <si>
    <t xml:space="preserve">   Cap Gain</t>
  </si>
  <si>
    <t xml:space="preserve">   Tax on Dep'n Recap</t>
  </si>
  <si>
    <t xml:space="preserve">   Tax on Remaining Gain</t>
  </si>
  <si>
    <t>Chapter 11 - Monument Office Case  (Based on 15th, 16th editions)</t>
  </si>
  <si>
    <t>Chapter 11 - Monument Office Case  (Based 17th edition)</t>
  </si>
  <si>
    <t>"assumed" in text to be the implied going in cap rate plus 25 basis points (0.25%)</t>
  </si>
  <si>
    <t>Chapter 4   16th Edition</t>
  </si>
  <si>
    <t>Chapter 4  17th Edition</t>
  </si>
  <si>
    <t>Effective Cost of a Loan with Points &amp; Early Payment</t>
  </si>
  <si>
    <t>Chapter 5 Arm III Example   17e</t>
  </si>
  <si>
    <t>Chapter 5  ARM III example   16e</t>
  </si>
  <si>
    <t>Caps never kick in for this edition of text. This example has been removed from text.</t>
  </si>
  <si>
    <t>GROSS LEASE - 6 months free rent and STEP UP in Year 3</t>
  </si>
  <si>
    <t>Chapter 9 Text Example  16th edition</t>
  </si>
  <si>
    <t>Effective Rents - Refer to  Ex. 9-7A</t>
  </si>
  <si>
    <t>Chapter 9 Text Example:  17th Edition</t>
  </si>
  <si>
    <t xml:space="preserve">given </t>
  </si>
  <si>
    <t>given (originally from Monument case. See Ch11_ATIRR)</t>
  </si>
  <si>
    <t>Chapter 13   16th Edition</t>
  </si>
  <si>
    <t>Chapter 13   17th Edition</t>
  </si>
  <si>
    <t>Calculating Variance &amp; Std Dev. of Returns  (Re-ordered by risk)</t>
  </si>
  <si>
    <t>Chapter 13  (all editions)</t>
  </si>
  <si>
    <t>Chapter 16 Example (16th Edition)  - Exhibits 16-3 through 16-12</t>
  </si>
  <si>
    <t>Chapter 16 Example (17th Edition)  - Exhibits 16-3 through 16-12</t>
  </si>
  <si>
    <t>NUMBERS VARY BELOW DUE TO CONTROVERSIAL TAX TREATEMENT ON SOME ITEMS</t>
  </si>
  <si>
    <t>EDITIONS  15, 16, 17</t>
  </si>
  <si>
    <t>Chapter 18 - Waterfall Distributions: Pref returns with IRR catchup (Ver 14e, 15e, 16e &amp;17e)</t>
  </si>
  <si>
    <t>NOTE:  There are many ways to do "waterfalls". This is one method as illustrated in text.</t>
  </si>
  <si>
    <t>Chapter 18 - Capital Accounts Illustration - 16th Edition</t>
  </si>
  <si>
    <t>Chapter 20   Text Editions 15,16 &amp;17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</si>
</sst>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quot;$&quot;#,##0.00"/>
    <numFmt numFmtId="166" formatCode="_(* #,##0_);_(* \(#,##0\);_(* &quot;-&quot;??_);_(@_)"/>
    <numFmt numFmtId="167" formatCode="&quot;$&quot;#,##0"/>
    <numFmt numFmtId="168" formatCode="0.0000%"/>
    <numFmt numFmtId="169" formatCode="0_)"/>
    <numFmt numFmtId="170" formatCode=".00000"/>
    <numFmt numFmtId="171" formatCode="0.0%"/>
    <numFmt numFmtId="172" formatCode="#,##0.0_);\(#,##0.0\)"/>
    <numFmt numFmtId="173" formatCode="0.00000"/>
    <numFmt numFmtId="174" formatCode="0.00_)"/>
    <numFmt numFmtId="175" formatCode="0.00_);[Red]\(0.00\)"/>
    <numFmt numFmtId="176" formatCode="0.0000"/>
    <numFmt numFmtId="177" formatCode=";;;"/>
    <numFmt numFmtId="178" formatCode="_(* #,##0.00000_);_(* \(#,##0.00000\);_(* &quot;-&quot;??_);_(@_)"/>
    <numFmt numFmtId="179" formatCode="#,##0.00000_);\(#,##0.00000\)"/>
    <numFmt numFmtId="180" formatCode="&quot;$&quot;#,##0.0000_);[Red]\(&quot;$&quot;#,##0.0000\)"/>
    <numFmt numFmtId="181" formatCode="_(* #,##0.0000_);_(* \(#,##0.0000\);_(* &quot;-&quot;??_);_(@_)"/>
    <numFmt numFmtId="182" formatCode="[$$-409]#,##0;[Red]\-[$$-409]#,##0"/>
    <numFmt numFmtId="183" formatCode="mm/dd/yy"/>
  </numFmts>
  <fonts count="129">
    <font>
      <sz val="10"/>
      <name val="Arial"/>
    </font>
    <font>
      <sz val="11"/>
      <color theme="1"/>
      <name val="Calibri"/>
      <family val="2"/>
      <scheme val="minor"/>
    </font>
    <font>
      <sz val="10"/>
      <name val="Arial"/>
      <family val="2"/>
    </font>
    <font>
      <b/>
      <sz val="14"/>
      <name val="Arial"/>
      <family val="2"/>
    </font>
    <font>
      <b/>
      <sz val="12"/>
      <name val="Arial"/>
      <family val="2"/>
    </font>
    <font>
      <u/>
      <sz val="10"/>
      <name val="Arial"/>
      <family val="2"/>
    </font>
    <font>
      <sz val="10"/>
      <color indexed="20"/>
      <name val="Arial"/>
      <family val="2"/>
    </font>
    <font>
      <b/>
      <sz val="10"/>
      <name val="Arial"/>
      <family val="2"/>
    </font>
    <font>
      <b/>
      <sz val="10"/>
      <color indexed="18"/>
      <name val="Arial"/>
      <family val="2"/>
    </font>
    <font>
      <b/>
      <i/>
      <sz val="10"/>
      <name val="Arial"/>
      <family val="2"/>
    </font>
    <font>
      <b/>
      <sz val="10"/>
      <color indexed="17"/>
      <name val="Arial"/>
      <family val="2"/>
    </font>
    <font>
      <sz val="10"/>
      <name val="Arial"/>
      <family val="2"/>
    </font>
    <font>
      <b/>
      <u/>
      <sz val="10"/>
      <name val="Arial"/>
      <family val="2"/>
    </font>
    <font>
      <sz val="14"/>
      <name val="Arial"/>
      <family val="2"/>
    </font>
    <font>
      <sz val="12"/>
      <name val="Arial"/>
      <family val="2"/>
    </font>
    <font>
      <i/>
      <sz val="10"/>
      <name val="Arial"/>
      <family val="2"/>
    </font>
    <font>
      <sz val="10"/>
      <color indexed="10"/>
      <name val="Arial"/>
      <family val="2"/>
    </font>
    <font>
      <sz val="10"/>
      <color indexed="12"/>
      <name val="Arial"/>
      <family val="2"/>
    </font>
    <font>
      <vertAlign val="subscript"/>
      <sz val="10"/>
      <name val="Arial"/>
      <family val="2"/>
    </font>
    <font>
      <b/>
      <vertAlign val="subscript"/>
      <sz val="10"/>
      <name val="Arial"/>
      <family val="2"/>
    </font>
    <font>
      <sz val="8"/>
      <name val="Arial"/>
      <family val="2"/>
    </font>
    <font>
      <sz val="12"/>
      <name val="Arial MT"/>
    </font>
    <font>
      <sz val="9"/>
      <name val="Arial"/>
      <family val="2"/>
    </font>
    <font>
      <i/>
      <sz val="9"/>
      <name val="Arial"/>
      <family val="2"/>
    </font>
    <font>
      <b/>
      <sz val="10"/>
      <color indexed="8"/>
      <name val="Arial"/>
      <family val="2"/>
    </font>
    <font>
      <b/>
      <sz val="10"/>
      <name val="Arial"/>
      <family val="2"/>
    </font>
    <font>
      <b/>
      <i/>
      <sz val="10"/>
      <name val="Arial"/>
      <family val="2"/>
    </font>
    <font>
      <b/>
      <i/>
      <sz val="10"/>
      <color indexed="12"/>
      <name val="Arial"/>
      <family val="2"/>
    </font>
    <font>
      <u/>
      <sz val="10"/>
      <color indexed="12"/>
      <name val="Arial"/>
      <family val="2"/>
    </font>
    <font>
      <b/>
      <sz val="10"/>
      <color indexed="12"/>
      <name val="Arial"/>
      <family val="2"/>
    </font>
    <font>
      <b/>
      <sz val="10"/>
      <color indexed="10"/>
      <name val="Arial"/>
      <family val="2"/>
    </font>
    <font>
      <sz val="9"/>
      <name val="Arial"/>
      <family val="2"/>
    </font>
    <font>
      <u/>
      <sz val="10"/>
      <name val="Arial"/>
      <family val="2"/>
    </font>
    <font>
      <u/>
      <sz val="12"/>
      <name val="Arial"/>
      <family val="2"/>
    </font>
    <font>
      <b/>
      <sz val="12"/>
      <name val="Arial"/>
      <family val="2"/>
    </font>
    <font>
      <sz val="12"/>
      <name val="Arial"/>
      <family val="2"/>
    </font>
    <font>
      <b/>
      <i/>
      <vertAlign val="superscript"/>
      <sz val="10"/>
      <name val="Arial"/>
      <family val="2"/>
    </font>
    <font>
      <b/>
      <sz val="10"/>
      <color indexed="62"/>
      <name val="Arial"/>
      <family val="2"/>
    </font>
    <font>
      <b/>
      <sz val="10"/>
      <color indexed="60"/>
      <name val="Arial"/>
      <family val="2"/>
    </font>
    <font>
      <sz val="8"/>
      <name val="Arial"/>
      <family val="2"/>
    </font>
    <font>
      <b/>
      <sz val="10"/>
      <color indexed="9"/>
      <name val="Arial"/>
      <family val="2"/>
    </font>
    <font>
      <sz val="10"/>
      <color indexed="9"/>
      <name val="Arial"/>
      <family val="2"/>
    </font>
    <font>
      <b/>
      <sz val="14"/>
      <color indexed="9"/>
      <name val="Arial"/>
      <family val="2"/>
    </font>
    <font>
      <b/>
      <sz val="12"/>
      <color indexed="9"/>
      <name val="Arial"/>
      <family val="2"/>
    </font>
    <font>
      <sz val="12"/>
      <color indexed="9"/>
      <name val="Arial"/>
      <family val="2"/>
    </font>
    <font>
      <b/>
      <u/>
      <sz val="10"/>
      <color indexed="10"/>
      <name val="Arial"/>
      <family val="2"/>
    </font>
    <font>
      <b/>
      <i/>
      <sz val="10"/>
      <color indexed="9"/>
      <name val="Arial"/>
      <family val="2"/>
    </font>
    <font>
      <b/>
      <sz val="11"/>
      <color indexed="9"/>
      <name val="Arial"/>
      <family val="2"/>
    </font>
    <font>
      <b/>
      <sz val="12"/>
      <color indexed="12"/>
      <name val="Arial"/>
      <family val="2"/>
    </font>
    <font>
      <sz val="10"/>
      <color indexed="9"/>
      <name val="Arial"/>
      <family val="2"/>
    </font>
    <font>
      <b/>
      <sz val="12"/>
      <color indexed="10"/>
      <name val="Arial"/>
      <family val="2"/>
    </font>
    <font>
      <b/>
      <sz val="11"/>
      <color indexed="12"/>
      <name val="Arial"/>
      <family val="2"/>
    </font>
    <font>
      <b/>
      <sz val="10"/>
      <color indexed="9"/>
      <name val="Arial"/>
      <family val="2"/>
    </font>
    <font>
      <u/>
      <sz val="10"/>
      <color indexed="10"/>
      <name val="Arial"/>
      <family val="2"/>
    </font>
    <font>
      <sz val="11"/>
      <color indexed="9"/>
      <name val="Arial"/>
      <family val="2"/>
    </font>
    <font>
      <b/>
      <sz val="11"/>
      <color indexed="9"/>
      <name val="Arial"/>
      <family val="2"/>
    </font>
    <font>
      <b/>
      <u/>
      <sz val="9"/>
      <color indexed="10"/>
      <name val="Arial"/>
      <family val="2"/>
    </font>
    <font>
      <b/>
      <sz val="9"/>
      <color indexed="10"/>
      <name val="Arial"/>
      <family val="2"/>
    </font>
    <font>
      <sz val="9"/>
      <color indexed="10"/>
      <name val="Arial"/>
      <family val="2"/>
    </font>
    <font>
      <u/>
      <sz val="9"/>
      <color indexed="10"/>
      <name val="Arial"/>
      <family val="2"/>
    </font>
    <font>
      <i/>
      <sz val="9"/>
      <color indexed="10"/>
      <name val="Arial"/>
      <family val="2"/>
    </font>
    <font>
      <b/>
      <vertAlign val="subscript"/>
      <sz val="10"/>
      <color indexed="9"/>
      <name val="Arial"/>
      <family val="2"/>
    </font>
    <font>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Calibri"/>
      <family val="2"/>
    </font>
    <font>
      <sz val="10"/>
      <color indexed="8"/>
      <name val="Calibri"/>
      <family val="2"/>
    </font>
    <font>
      <b/>
      <sz val="10"/>
      <color indexed="8"/>
      <name val="Calibri"/>
      <family val="2"/>
    </font>
    <font>
      <sz val="10"/>
      <color indexed="10"/>
      <name val="Calibri"/>
      <family val="2"/>
    </font>
    <font>
      <i/>
      <sz val="11"/>
      <color indexed="8"/>
      <name val="Calibri"/>
      <family val="2"/>
    </font>
    <font>
      <b/>
      <sz val="18"/>
      <color indexed="8"/>
      <name val="Calibri"/>
      <family val="2"/>
    </font>
    <font>
      <sz val="10"/>
      <color indexed="12"/>
      <name val="Arial"/>
      <family val="2"/>
    </font>
    <font>
      <u/>
      <sz val="10"/>
      <color indexed="12"/>
      <name val="Arial"/>
      <family val="2"/>
    </font>
    <font>
      <sz val="16"/>
      <name val="Arial"/>
      <family val="2"/>
    </font>
    <font>
      <b/>
      <sz val="16"/>
      <name val="Arial"/>
      <family val="2"/>
    </font>
    <font>
      <sz val="10"/>
      <name val="Times New Roman"/>
      <family val="1"/>
    </font>
    <font>
      <b/>
      <sz val="10"/>
      <color indexed="20"/>
      <name val="Arial"/>
      <family val="2"/>
    </font>
    <font>
      <sz val="9"/>
      <color indexed="81"/>
      <name val="Tahoma"/>
      <family val="2"/>
    </font>
    <font>
      <b/>
      <sz val="9"/>
      <color indexed="81"/>
      <name val="Tahoma"/>
      <family val="2"/>
    </font>
    <font>
      <sz val="10"/>
      <name val="Arial"/>
      <family val="2"/>
    </font>
    <font>
      <b/>
      <i/>
      <u/>
      <sz val="10"/>
      <name val="Arial"/>
      <family val="2"/>
    </font>
    <font>
      <b/>
      <sz val="10"/>
      <color indexed="13"/>
      <name val="Arial"/>
      <family val="2"/>
    </font>
    <font>
      <sz val="10"/>
      <name val="Arial"/>
      <family val="2"/>
    </font>
    <font>
      <sz val="10"/>
      <color indexed="8"/>
      <name val="Arial"/>
      <family val="2"/>
    </font>
    <font>
      <sz val="10"/>
      <name val="Arial"/>
      <family val="2"/>
    </font>
    <font>
      <i/>
      <vertAlign val="superscript"/>
      <sz val="10"/>
      <color indexed="9"/>
      <name val="Arial"/>
      <family val="2"/>
    </font>
    <font>
      <sz val="10"/>
      <name val="Arial"/>
      <family val="2"/>
    </font>
    <font>
      <b/>
      <sz val="10"/>
      <color theme="0"/>
      <name val="Arial"/>
      <family val="2"/>
    </font>
    <font>
      <b/>
      <sz val="10"/>
      <color rgb="FFFF0000"/>
      <name val="Arial"/>
      <family val="2"/>
    </font>
    <font>
      <sz val="10"/>
      <color rgb="FFC00000"/>
      <name val="Arial"/>
      <family val="2"/>
    </font>
    <font>
      <sz val="10"/>
      <color theme="3"/>
      <name val="Arial"/>
      <family val="2"/>
    </font>
    <font>
      <b/>
      <sz val="10"/>
      <color rgb="FFC00000"/>
      <name val="Arial"/>
      <family val="2"/>
    </font>
    <font>
      <sz val="10"/>
      <color theme="0"/>
      <name val="Arial"/>
      <family val="2"/>
    </font>
    <font>
      <b/>
      <sz val="10"/>
      <color rgb="FFFFFF00"/>
      <name val="Arial"/>
      <family val="2"/>
    </font>
    <font>
      <b/>
      <sz val="10"/>
      <color theme="9" tint="0.39997558519241921"/>
      <name val="Arial"/>
      <family val="2"/>
    </font>
    <font>
      <b/>
      <i/>
      <sz val="10"/>
      <color theme="0"/>
      <name val="Arial"/>
      <family val="2"/>
    </font>
    <font>
      <b/>
      <sz val="10"/>
      <color theme="1"/>
      <name val="Arial"/>
      <family val="2"/>
    </font>
    <font>
      <sz val="10"/>
      <color rgb="FFFFFF00"/>
      <name val="Arial"/>
      <family val="2"/>
    </font>
    <font>
      <sz val="10"/>
      <color theme="2" tint="-0.499984740745262"/>
      <name val="Arial"/>
      <family val="2"/>
    </font>
    <font>
      <sz val="10"/>
      <color theme="1"/>
      <name val="Arial"/>
      <family val="2"/>
    </font>
    <font>
      <sz val="10"/>
      <color rgb="FFFF0000"/>
      <name val="Arial"/>
      <family val="2"/>
    </font>
    <font>
      <i/>
      <sz val="10"/>
      <color indexed="9"/>
      <name val="Arial"/>
      <family val="2"/>
    </font>
    <font>
      <b/>
      <i/>
      <sz val="10"/>
      <color indexed="18"/>
      <name val="Arial"/>
      <family val="2"/>
    </font>
    <font>
      <sz val="10"/>
      <color theme="0" tint="-0.34998626667073579"/>
      <name val="Arial"/>
      <family val="2"/>
    </font>
    <font>
      <sz val="9"/>
      <color indexed="81"/>
      <name val="Tahoma"/>
      <charset val="1"/>
    </font>
    <font>
      <b/>
      <sz val="9"/>
      <color indexed="81"/>
      <name val="Tahoma"/>
      <charset val="1"/>
    </font>
    <font>
      <sz val="12"/>
      <color theme="1"/>
      <name val="Calibri"/>
      <family val="2"/>
      <charset val="136"/>
      <scheme val="minor"/>
    </font>
    <font>
      <b/>
      <sz val="12"/>
      <color theme="1"/>
      <name val="Calibri"/>
      <family val="2"/>
      <scheme val="minor"/>
    </font>
    <font>
      <sz val="12"/>
      <color theme="0" tint="-0.249977111117893"/>
      <name val="Calibri"/>
      <family val="2"/>
      <charset val="136"/>
      <scheme val="minor"/>
    </font>
    <font>
      <sz val="10"/>
      <color theme="0" tint="-0.249977111117893"/>
      <name val="Arial"/>
      <family val="2"/>
    </font>
    <font>
      <u/>
      <sz val="12"/>
      <color theme="1"/>
      <name val="Calibri"/>
      <family val="2"/>
      <charset val="136"/>
      <scheme val="minor"/>
    </font>
    <font>
      <sz val="12"/>
      <name val="Calibri"/>
      <family val="2"/>
      <charset val="136"/>
      <scheme val="minor"/>
    </font>
    <font>
      <u/>
      <sz val="12"/>
      <color theme="0" tint="-0.499984740745262"/>
      <name val="Calibri"/>
      <family val="2"/>
      <charset val="136"/>
      <scheme val="minor"/>
    </font>
    <font>
      <sz val="12"/>
      <color theme="0" tint="-0.499984740745262"/>
      <name val="Calibri"/>
      <family val="2"/>
      <charset val="136"/>
      <scheme val="minor"/>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12"/>
        <bgColor indexed="64"/>
      </patternFill>
    </fill>
    <fill>
      <patternFill patternType="solid">
        <fgColor indexed="21"/>
        <bgColor indexed="64"/>
      </patternFill>
    </fill>
    <fill>
      <patternFill patternType="solid">
        <fgColor indexed="52"/>
        <bgColor indexed="64"/>
      </patternFill>
    </fill>
    <fill>
      <patternFill patternType="solid">
        <fgColor indexed="17"/>
        <bgColor indexed="64"/>
      </patternFill>
    </fill>
    <fill>
      <patternFill patternType="solid">
        <fgColor indexed="23"/>
        <bgColor indexed="64"/>
      </patternFill>
    </fill>
    <fill>
      <patternFill patternType="solid">
        <fgColor indexed="48"/>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99"/>
        <bgColor indexed="64"/>
      </patternFill>
    </fill>
    <fill>
      <patternFill patternType="solid">
        <fgColor rgb="FFFFFFCC"/>
        <bgColor indexed="64"/>
      </patternFill>
    </fill>
    <fill>
      <patternFill patternType="solid">
        <fgColor rgb="FFFFC000"/>
        <bgColor indexed="64"/>
      </patternFill>
    </fill>
    <fill>
      <patternFill patternType="solid">
        <fgColor rgb="FF0000CC"/>
        <bgColor indexed="64"/>
      </patternFill>
    </fill>
    <fill>
      <patternFill patternType="solid">
        <fgColor rgb="FF0070C0"/>
        <bgColor indexed="64"/>
      </patternFill>
    </fill>
    <fill>
      <patternFill patternType="solid">
        <fgColor theme="1" tint="0.499984740745262"/>
        <bgColor indexed="64"/>
      </patternFill>
    </fill>
    <fill>
      <patternFill patternType="solid">
        <fgColor rgb="FF92D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6" tint="-0.49998474074526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4"/>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FF00"/>
        <bgColor indexed="9"/>
      </patternFill>
    </fill>
    <fill>
      <patternFill patternType="solid">
        <fgColor theme="3" tint="0.79998168889431442"/>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79998168889431442"/>
        <bgColor indexed="64"/>
      </patternFill>
    </fill>
  </fills>
  <borders count="9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thin">
        <color indexed="64"/>
      </bottom>
      <diagonal/>
    </border>
    <border>
      <left/>
      <right style="medium">
        <color indexed="64"/>
      </right>
      <top style="thin">
        <color indexed="64"/>
      </top>
      <bottom style="double">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double">
        <color indexed="64"/>
      </bottom>
      <diagonal/>
    </border>
    <border>
      <left style="thick">
        <color indexed="64"/>
      </left>
      <right/>
      <top/>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8"/>
      </right>
      <top/>
      <bottom style="thin">
        <color indexed="8"/>
      </bottom>
      <diagonal/>
    </border>
    <border>
      <left/>
      <right/>
      <top/>
      <bottom style="thin">
        <color indexed="8"/>
      </bottom>
      <diagonal/>
    </border>
    <border>
      <left style="thin">
        <color indexed="8"/>
      </left>
      <right/>
      <top/>
      <bottom style="thin">
        <color indexed="8"/>
      </bottom>
      <diagonal/>
    </border>
    <border>
      <left/>
      <right style="thin">
        <color indexed="8"/>
      </right>
      <top/>
      <bottom/>
      <diagonal/>
    </border>
    <border>
      <left style="thin">
        <color indexed="8"/>
      </left>
      <right/>
      <top/>
      <bottom/>
      <diagonal/>
    </border>
    <border>
      <left/>
      <right/>
      <top/>
      <bottom style="hair">
        <color indexed="8"/>
      </bottom>
      <diagonal/>
    </border>
    <border>
      <left style="thin">
        <color indexed="8"/>
      </left>
      <right/>
      <top style="thin">
        <color indexed="8"/>
      </top>
      <bottom/>
      <diagonal/>
    </border>
    <border>
      <left/>
      <right style="thin">
        <color indexed="8"/>
      </right>
      <top style="thin">
        <color indexed="8"/>
      </top>
      <bottom style="thin">
        <color indexed="64"/>
      </bottom>
      <diagonal/>
    </border>
    <border>
      <left/>
      <right/>
      <top style="thin">
        <color indexed="8"/>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right style="thin">
        <color indexed="64"/>
      </right>
      <top style="thin">
        <color indexed="8"/>
      </top>
      <bottom style="thin">
        <color indexed="64"/>
      </bottom>
      <diagonal/>
    </border>
    <border>
      <left style="thin">
        <color indexed="64"/>
      </left>
      <right/>
      <top style="thin">
        <color indexed="8"/>
      </top>
      <bottom style="thin">
        <color indexed="64"/>
      </bottom>
      <diagonal/>
    </border>
    <border>
      <left style="thin">
        <color indexed="8"/>
      </left>
      <right style="thin">
        <color indexed="8"/>
      </right>
      <top style="thin">
        <color indexed="8"/>
      </top>
      <bottom/>
      <diagonal/>
    </border>
    <border>
      <left/>
      <right style="thin">
        <color indexed="8"/>
      </right>
      <top/>
      <bottom style="thin">
        <color indexed="64"/>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style="medium">
        <color indexed="64"/>
      </left>
      <right/>
      <top/>
      <bottom style="hair">
        <color indexed="8"/>
      </bottom>
      <diagonal/>
    </border>
    <border>
      <left/>
      <right style="medium">
        <color indexed="64"/>
      </right>
      <top/>
      <bottom style="hair">
        <color indexed="8"/>
      </bottom>
      <diagonal/>
    </border>
    <border>
      <left style="thin">
        <color indexed="64"/>
      </left>
      <right style="thin">
        <color indexed="8"/>
      </right>
      <top style="thin">
        <color indexed="64"/>
      </top>
      <bottom/>
      <diagonal/>
    </border>
    <border>
      <left style="thin">
        <color indexed="8"/>
      </left>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8"/>
      </left>
      <right/>
      <top/>
      <bottom style="thin">
        <color indexed="64"/>
      </bottom>
      <diagonal/>
    </border>
  </borders>
  <cellStyleXfs count="54">
    <xf numFmtId="0" fontId="0" fillId="0" borderId="0"/>
    <xf numFmtId="0" fontId="63" fillId="2" borderId="0" applyNumberFormat="0" applyBorder="0" applyAlignment="0" applyProtection="0"/>
    <xf numFmtId="0" fontId="63" fillId="3" borderId="0" applyNumberFormat="0" applyBorder="0" applyAlignment="0" applyProtection="0"/>
    <xf numFmtId="0" fontId="63" fillId="4" borderId="0" applyNumberFormat="0" applyBorder="0" applyAlignment="0" applyProtection="0"/>
    <xf numFmtId="0" fontId="63" fillId="5" borderId="0" applyNumberFormat="0" applyBorder="0" applyAlignment="0" applyProtection="0"/>
    <xf numFmtId="0" fontId="63" fillId="6" borderId="0" applyNumberFormat="0" applyBorder="0" applyAlignment="0" applyProtection="0"/>
    <xf numFmtId="0" fontId="63" fillId="7" borderId="0" applyNumberFormat="0" applyBorder="0" applyAlignment="0" applyProtection="0"/>
    <xf numFmtId="0" fontId="63" fillId="8" borderId="0" applyNumberFormat="0" applyBorder="0" applyAlignment="0" applyProtection="0"/>
    <xf numFmtId="0" fontId="63" fillId="9" borderId="0" applyNumberFormat="0" applyBorder="0" applyAlignment="0" applyProtection="0"/>
    <xf numFmtId="0" fontId="63" fillId="10" borderId="0" applyNumberFormat="0" applyBorder="0" applyAlignment="0" applyProtection="0"/>
    <xf numFmtId="0" fontId="63" fillId="5" borderId="0" applyNumberFormat="0" applyBorder="0" applyAlignment="0" applyProtection="0"/>
    <xf numFmtId="0" fontId="63" fillId="8" borderId="0" applyNumberFormat="0" applyBorder="0" applyAlignment="0" applyProtection="0"/>
    <xf numFmtId="0" fontId="63" fillId="11" borderId="0" applyNumberFormat="0" applyBorder="0" applyAlignment="0" applyProtection="0"/>
    <xf numFmtId="0" fontId="64" fillId="12" borderId="0" applyNumberFormat="0" applyBorder="0" applyAlignment="0" applyProtection="0"/>
    <xf numFmtId="0" fontId="64" fillId="9" borderId="0" applyNumberFormat="0" applyBorder="0" applyAlignment="0" applyProtection="0"/>
    <xf numFmtId="0" fontId="64" fillId="10" borderId="0" applyNumberFormat="0" applyBorder="0" applyAlignment="0" applyProtection="0"/>
    <xf numFmtId="0" fontId="64" fillId="13" borderId="0" applyNumberFormat="0" applyBorder="0" applyAlignment="0" applyProtection="0"/>
    <xf numFmtId="0" fontId="64" fillId="14" borderId="0" applyNumberFormat="0" applyBorder="0" applyAlignment="0" applyProtection="0"/>
    <xf numFmtId="0" fontId="64" fillId="15" borderId="0" applyNumberFormat="0" applyBorder="0" applyAlignment="0" applyProtection="0"/>
    <xf numFmtId="0" fontId="64" fillId="16" borderId="0" applyNumberFormat="0" applyBorder="0" applyAlignment="0" applyProtection="0"/>
    <xf numFmtId="0" fontId="64" fillId="17" borderId="0" applyNumberFormat="0" applyBorder="0" applyAlignment="0" applyProtection="0"/>
    <xf numFmtId="0" fontId="64" fillId="18" borderId="0" applyNumberFormat="0" applyBorder="0" applyAlignment="0" applyProtection="0"/>
    <xf numFmtId="0" fontId="64" fillId="13" borderId="0" applyNumberFormat="0" applyBorder="0" applyAlignment="0" applyProtection="0"/>
    <xf numFmtId="0" fontId="64" fillId="14" borderId="0" applyNumberFormat="0" applyBorder="0" applyAlignment="0" applyProtection="0"/>
    <xf numFmtId="0" fontId="64" fillId="19" borderId="0" applyNumberFormat="0" applyBorder="0" applyAlignment="0" applyProtection="0"/>
    <xf numFmtId="0" fontId="65" fillId="3" borderId="0" applyNumberFormat="0" applyBorder="0" applyAlignment="0" applyProtection="0"/>
    <xf numFmtId="0" fontId="66" fillId="20" borderId="1" applyNumberFormat="0" applyAlignment="0" applyProtection="0"/>
    <xf numFmtId="0" fontId="67" fillId="21" borderId="2" applyNumberFormat="0" applyAlignment="0" applyProtection="0"/>
    <xf numFmtId="43" fontId="2" fillId="0" borderId="0" applyFont="0" applyFill="0" applyBorder="0" applyAlignment="0" applyProtection="0"/>
    <xf numFmtId="44" fontId="2" fillId="0" borderId="0" applyFont="0" applyFill="0" applyBorder="0" applyAlignment="0" applyProtection="0"/>
    <xf numFmtId="0" fontId="68" fillId="0" borderId="0" applyNumberFormat="0" applyFill="0" applyBorder="0" applyAlignment="0" applyProtection="0"/>
    <xf numFmtId="0" fontId="69" fillId="4" borderId="0" applyNumberFormat="0" applyBorder="0" applyAlignment="0" applyProtection="0"/>
    <xf numFmtId="0" fontId="70" fillId="0" borderId="3" applyNumberFormat="0" applyFill="0" applyAlignment="0" applyProtection="0"/>
    <xf numFmtId="0" fontId="71" fillId="0" borderId="4" applyNumberFormat="0" applyFill="0" applyAlignment="0" applyProtection="0"/>
    <xf numFmtId="0" fontId="72" fillId="0" borderId="5" applyNumberFormat="0" applyFill="0" applyAlignment="0" applyProtection="0"/>
    <xf numFmtId="0" fontId="72" fillId="0" borderId="0" applyNumberFormat="0" applyFill="0" applyBorder="0" applyAlignment="0" applyProtection="0"/>
    <xf numFmtId="0" fontId="28" fillId="0" borderId="0" applyNumberFormat="0" applyFill="0" applyBorder="0" applyAlignment="0" applyProtection="0">
      <alignment vertical="top"/>
      <protection locked="0"/>
    </xf>
    <xf numFmtId="0" fontId="73" fillId="7" borderId="1" applyNumberFormat="0" applyAlignment="0" applyProtection="0"/>
    <xf numFmtId="0" fontId="74" fillId="0" borderId="6" applyNumberFormat="0" applyFill="0" applyAlignment="0" applyProtection="0"/>
    <xf numFmtId="0" fontId="75" fillId="22" borderId="0" applyNumberFormat="0" applyBorder="0" applyAlignment="0" applyProtection="0"/>
    <xf numFmtId="0" fontId="31" fillId="0" borderId="0"/>
    <xf numFmtId="0" fontId="63" fillId="0" borderId="0"/>
    <xf numFmtId="0" fontId="63" fillId="23" borderId="7" applyNumberFormat="0" applyFont="0" applyAlignment="0" applyProtection="0"/>
    <xf numFmtId="0" fontId="76" fillId="20" borderId="8" applyNumberFormat="0" applyAlignment="0" applyProtection="0"/>
    <xf numFmtId="9" fontId="2" fillId="0" borderId="0" applyFont="0" applyFill="0" applyBorder="0" applyAlignment="0" applyProtection="0"/>
    <xf numFmtId="0" fontId="77" fillId="0" borderId="0" applyNumberFormat="0" applyFill="0" applyBorder="0" applyAlignment="0" applyProtection="0"/>
    <xf numFmtId="0" fontId="78" fillId="0" borderId="9" applyNumberFormat="0" applyFill="0" applyAlignment="0" applyProtection="0"/>
    <xf numFmtId="0" fontId="79" fillId="0" borderId="0" applyNumberForma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21" fillId="0" borderId="0"/>
  </cellStyleXfs>
  <cellXfs count="1770">
    <xf numFmtId="0" fontId="0" fillId="0" borderId="0" xfId="0"/>
    <xf numFmtId="0" fontId="7" fillId="0" borderId="0" xfId="0" applyFont="1"/>
    <xf numFmtId="0" fontId="8" fillId="0" borderId="0" xfId="0" applyFont="1"/>
    <xf numFmtId="0" fontId="9" fillId="0" borderId="0" xfId="0" applyFont="1"/>
    <xf numFmtId="0" fontId="0" fillId="0" borderId="10" xfId="0" applyBorder="1"/>
    <xf numFmtId="0" fontId="10" fillId="0" borderId="0" xfId="0" applyFont="1"/>
    <xf numFmtId="0" fontId="0" fillId="0" borderId="0" xfId="0" applyAlignment="1">
      <alignment horizontal="center"/>
    </xf>
    <xf numFmtId="173" fontId="0" fillId="0" borderId="11" xfId="0" applyNumberFormat="1" applyBorder="1"/>
    <xf numFmtId="5" fontId="0" fillId="0" borderId="0" xfId="0" applyNumberFormat="1"/>
    <xf numFmtId="0" fontId="8" fillId="0" borderId="0" xfId="0" applyFont="1" applyAlignment="1">
      <alignment horizontal="centerContinuous"/>
    </xf>
    <xf numFmtId="0" fontId="9" fillId="0" borderId="0" xfId="0" applyFont="1" applyAlignment="1">
      <alignment horizontal="center"/>
    </xf>
    <xf numFmtId="7" fontId="0" fillId="0" borderId="0" xfId="0" applyNumberFormat="1"/>
    <xf numFmtId="8" fontId="0" fillId="0" borderId="0" xfId="0" applyNumberFormat="1"/>
    <xf numFmtId="7" fontId="11" fillId="0" borderId="12" xfId="0" applyNumberFormat="1" applyFont="1" applyBorder="1"/>
    <xf numFmtId="5" fontId="11" fillId="0" borderId="12" xfId="0" applyNumberFormat="1" applyFont="1" applyBorder="1"/>
    <xf numFmtId="8" fontId="11" fillId="0" borderId="12" xfId="0" applyNumberFormat="1" applyFont="1" applyBorder="1"/>
    <xf numFmtId="7" fontId="0" fillId="0" borderId="12" xfId="0" applyNumberFormat="1" applyBorder="1"/>
    <xf numFmtId="5" fontId="0" fillId="0" borderId="12" xfId="0" applyNumberFormat="1" applyBorder="1"/>
    <xf numFmtId="8" fontId="0" fillId="0" borderId="12" xfId="0" applyNumberFormat="1" applyBorder="1"/>
    <xf numFmtId="0" fontId="3" fillId="0" borderId="0" xfId="0" applyFont="1"/>
    <xf numFmtId="0" fontId="4" fillId="0" borderId="0" xfId="0" applyFont="1"/>
    <xf numFmtId="0" fontId="0" fillId="0" borderId="12" xfId="0" applyBorder="1"/>
    <xf numFmtId="0" fontId="0" fillId="0" borderId="0" xfId="0" applyAlignment="1">
      <alignment horizontal="left"/>
    </xf>
    <xf numFmtId="10" fontId="0" fillId="0" borderId="0" xfId="0" applyNumberFormat="1"/>
    <xf numFmtId="37" fontId="0" fillId="0" borderId="0" xfId="0" applyNumberFormat="1"/>
    <xf numFmtId="0" fontId="13" fillId="0" borderId="0" xfId="0" applyFont="1"/>
    <xf numFmtId="0" fontId="14" fillId="0" borderId="0" xfId="0" applyFont="1"/>
    <xf numFmtId="10" fontId="8" fillId="0" borderId="0" xfId="44" applyNumberFormat="1" applyFont="1" applyBorder="1"/>
    <xf numFmtId="0" fontId="15" fillId="0" borderId="0" xfId="0" applyFont="1"/>
    <xf numFmtId="0" fontId="15" fillId="0" borderId="0" xfId="0" applyFont="1" applyAlignment="1">
      <alignment horizontal="center"/>
    </xf>
    <xf numFmtId="37" fontId="0" fillId="0" borderId="12" xfId="0" applyNumberFormat="1" applyBorder="1"/>
    <xf numFmtId="37" fontId="0" fillId="0" borderId="10" xfId="0" applyNumberFormat="1" applyBorder="1"/>
    <xf numFmtId="164" fontId="7" fillId="0" borderId="13" xfId="29" applyNumberFormat="1" applyFont="1" applyBorder="1"/>
    <xf numFmtId="10" fontId="0" fillId="0" borderId="0" xfId="44" applyNumberFormat="1" applyFont="1"/>
    <xf numFmtId="37" fontId="11" fillId="0" borderId="0" xfId="0" applyNumberFormat="1" applyFont="1"/>
    <xf numFmtId="37" fontId="7" fillId="0" borderId="13" xfId="0" applyNumberFormat="1" applyFont="1" applyBorder="1"/>
    <xf numFmtId="37" fontId="0" fillId="0" borderId="13" xfId="0" applyNumberFormat="1" applyBorder="1"/>
    <xf numFmtId="0" fontId="11" fillId="0" borderId="0" xfId="0" applyFont="1" applyAlignment="1">
      <alignment horizontal="center"/>
    </xf>
    <xf numFmtId="37" fontId="8" fillId="0" borderId="0" xfId="0" applyNumberFormat="1" applyFont="1"/>
    <xf numFmtId="0" fontId="11" fillId="0" borderId="0" xfId="0" applyFont="1"/>
    <xf numFmtId="167" fontId="0" fillId="0" borderId="0" xfId="0" applyNumberFormat="1"/>
    <xf numFmtId="37" fontId="7" fillId="0" borderId="0" xfId="0" applyNumberFormat="1" applyFont="1"/>
    <xf numFmtId="164" fontId="7" fillId="0" borderId="0" xfId="29" applyNumberFormat="1" applyFont="1"/>
    <xf numFmtId="1" fontId="0" fillId="0" borderId="0" xfId="0" applyNumberFormat="1"/>
    <xf numFmtId="0" fontId="7" fillId="0" borderId="0" xfId="0" applyFont="1" applyAlignment="1">
      <alignment horizontal="center"/>
    </xf>
    <xf numFmtId="3" fontId="0" fillId="0" borderId="0" xfId="29" applyNumberFormat="1" applyFont="1" applyAlignment="1">
      <alignment horizontal="center" vertical="center"/>
    </xf>
    <xf numFmtId="9" fontId="0" fillId="0" borderId="0" xfId="44" applyFont="1"/>
    <xf numFmtId="10" fontId="0" fillId="0" borderId="0" xfId="44" applyNumberFormat="1" applyFont="1" applyAlignment="1">
      <alignment horizontal="right"/>
    </xf>
    <xf numFmtId="0" fontId="8" fillId="0" borderId="0" xfId="0" applyFont="1" applyProtection="1">
      <protection locked="0"/>
    </xf>
    <xf numFmtId="0" fontId="11" fillId="0" borderId="14" xfId="0" applyFont="1" applyBorder="1"/>
    <xf numFmtId="0" fontId="11" fillId="0" borderId="15" xfId="0" applyFont="1" applyBorder="1"/>
    <xf numFmtId="0" fontId="11" fillId="0" borderId="12" xfId="0" applyFont="1" applyBorder="1"/>
    <xf numFmtId="37" fontId="11" fillId="0" borderId="12" xfId="0" applyNumberFormat="1" applyFont="1" applyBorder="1"/>
    <xf numFmtId="0" fontId="10" fillId="0" borderId="0" xfId="0" applyFont="1" applyAlignment="1">
      <alignment horizontal="center"/>
    </xf>
    <xf numFmtId="0" fontId="11" fillId="0" borderId="0" xfId="0" applyFont="1" applyAlignment="1">
      <alignment horizontal="right"/>
    </xf>
    <xf numFmtId="10" fontId="11" fillId="0" borderId="0" xfId="0" applyNumberFormat="1" applyFont="1"/>
    <xf numFmtId="10" fontId="7" fillId="0" borderId="0" xfId="0" applyNumberFormat="1" applyFont="1"/>
    <xf numFmtId="38" fontId="11" fillId="0" borderId="0" xfId="0" applyNumberFormat="1" applyFont="1"/>
    <xf numFmtId="49" fontId="7" fillId="0" borderId="0" xfId="0" applyNumberFormat="1" applyFont="1" applyAlignment="1">
      <alignment horizontal="left"/>
    </xf>
    <xf numFmtId="38" fontId="7" fillId="0" borderId="13" xfId="0" applyNumberFormat="1" applyFont="1" applyBorder="1"/>
    <xf numFmtId="38" fontId="7" fillId="0" borderId="0" xfId="0" applyNumberFormat="1" applyFont="1"/>
    <xf numFmtId="38" fontId="11" fillId="0" borderId="12" xfId="0" applyNumberFormat="1" applyFont="1" applyBorder="1"/>
    <xf numFmtId="0" fontId="25" fillId="0" borderId="0" xfId="0" applyFont="1"/>
    <xf numFmtId="0" fontId="11" fillId="0" borderId="10" xfId="0" applyFont="1" applyBorder="1"/>
    <xf numFmtId="37" fontId="11" fillId="0" borderId="10" xfId="0" applyNumberFormat="1" applyFont="1" applyBorder="1"/>
    <xf numFmtId="0" fontId="7" fillId="0" borderId="10" xfId="0" applyFont="1" applyBorder="1"/>
    <xf numFmtId="164" fontId="0" fillId="0" borderId="10" xfId="0" applyNumberFormat="1" applyBorder="1"/>
    <xf numFmtId="164" fontId="0" fillId="0" borderId="0" xfId="29" applyNumberFormat="1" applyFont="1" applyBorder="1"/>
    <xf numFmtId="164" fontId="7" fillId="0" borderId="13" xfId="0" applyNumberFormat="1" applyFont="1" applyBorder="1"/>
    <xf numFmtId="169" fontId="11" fillId="0" borderId="0" xfId="0" applyNumberFormat="1" applyFont="1"/>
    <xf numFmtId="164" fontId="7" fillId="0" borderId="13" xfId="29" applyNumberFormat="1" applyFont="1" applyBorder="1" applyProtection="1"/>
    <xf numFmtId="164" fontId="7" fillId="0" borderId="0" xfId="29" applyNumberFormat="1" applyFont="1" applyBorder="1" applyProtection="1"/>
    <xf numFmtId="37" fontId="11" fillId="0" borderId="15" xfId="0" applyNumberFormat="1" applyFont="1" applyBorder="1"/>
    <xf numFmtId="37" fontId="11" fillId="0" borderId="14" xfId="0" applyNumberFormat="1" applyFont="1" applyBorder="1"/>
    <xf numFmtId="37" fontId="11" fillId="0" borderId="0" xfId="0" applyNumberFormat="1" applyFont="1" applyAlignment="1">
      <alignment horizontal="center"/>
    </xf>
    <xf numFmtId="0" fontId="11" fillId="0" borderId="16" xfId="0" applyFont="1" applyBorder="1"/>
    <xf numFmtId="0" fontId="7" fillId="0" borderId="0" xfId="0" applyFont="1" applyAlignment="1">
      <alignment horizontal="right"/>
    </xf>
    <xf numFmtId="10" fontId="7" fillId="0" borderId="0" xfId="0" applyNumberFormat="1" applyFont="1" applyAlignment="1">
      <alignment horizontal="right"/>
    </xf>
    <xf numFmtId="3" fontId="11" fillId="0" borderId="0" xfId="0" applyNumberFormat="1" applyFont="1"/>
    <xf numFmtId="169" fontId="0" fillId="0" borderId="0" xfId="0" applyNumberFormat="1"/>
    <xf numFmtId="0" fontId="11" fillId="0" borderId="12" xfId="0" applyFont="1" applyBorder="1" applyAlignment="1">
      <alignment horizontal="fill"/>
    </xf>
    <xf numFmtId="0" fontId="11" fillId="0" borderId="0" xfId="0" applyFont="1" applyAlignment="1">
      <alignment horizontal="fill"/>
    </xf>
    <xf numFmtId="37" fontId="5" fillId="0" borderId="0" xfId="0" applyNumberFormat="1" applyFont="1"/>
    <xf numFmtId="0" fontId="0" fillId="0" borderId="0" xfId="0" applyAlignment="1">
      <alignment horizontal="right"/>
    </xf>
    <xf numFmtId="164" fontId="7" fillId="0" borderId="13" xfId="0" applyNumberFormat="1" applyFont="1" applyBorder="1" applyAlignment="1">
      <alignment horizontal="center"/>
    </xf>
    <xf numFmtId="0" fontId="7" fillId="0" borderId="12" xfId="0" applyFont="1" applyBorder="1" applyAlignment="1">
      <alignment horizontal="center"/>
    </xf>
    <xf numFmtId="10" fontId="0" fillId="0" borderId="12" xfId="0" applyNumberFormat="1" applyBorder="1"/>
    <xf numFmtId="0" fontId="16" fillId="0" borderId="0" xfId="0" applyFont="1"/>
    <xf numFmtId="164" fontId="7" fillId="0" borderId="0" xfId="29" applyNumberFormat="1" applyFont="1" applyBorder="1"/>
    <xf numFmtId="164" fontId="7" fillId="0" borderId="12" xfId="29" applyNumberFormat="1" applyFont="1" applyBorder="1"/>
    <xf numFmtId="10" fontId="7" fillId="0" borderId="12" xfId="29" applyNumberFormat="1" applyFont="1" applyBorder="1"/>
    <xf numFmtId="166" fontId="0" fillId="0" borderId="0" xfId="28" applyNumberFormat="1" applyFont="1" applyBorder="1"/>
    <xf numFmtId="166" fontId="11" fillId="0" borderId="0" xfId="28" applyNumberFormat="1" applyFont="1" applyBorder="1"/>
    <xf numFmtId="166" fontId="0" fillId="0" borderId="12" xfId="28" applyNumberFormat="1" applyFont="1" applyBorder="1"/>
    <xf numFmtId="166" fontId="11" fillId="0" borderId="12" xfId="28" applyNumberFormat="1" applyFont="1" applyBorder="1"/>
    <xf numFmtId="166" fontId="0" fillId="0" borderId="10" xfId="28" applyNumberFormat="1" applyFont="1" applyBorder="1"/>
    <xf numFmtId="166" fontId="7" fillId="0" borderId="0" xfId="28" applyNumberFormat="1" applyFont="1" applyBorder="1"/>
    <xf numFmtId="0" fontId="5" fillId="24" borderId="17" xfId="0" applyFont="1" applyFill="1" applyBorder="1" applyAlignment="1">
      <alignment horizontal="center"/>
    </xf>
    <xf numFmtId="0" fontId="5" fillId="24" borderId="0" xfId="0" applyFont="1" applyFill="1" applyAlignment="1">
      <alignment horizontal="center"/>
    </xf>
    <xf numFmtId="0" fontId="5" fillId="24" borderId="18" xfId="0" applyFont="1" applyFill="1" applyBorder="1" applyAlignment="1">
      <alignment horizontal="center"/>
    </xf>
    <xf numFmtId="39" fontId="26" fillId="24" borderId="17" xfId="0" applyNumberFormat="1" applyFont="1" applyFill="1" applyBorder="1"/>
    <xf numFmtId="39" fontId="26" fillId="24" borderId="0" xfId="0" applyNumberFormat="1" applyFont="1" applyFill="1"/>
    <xf numFmtId="39" fontId="26" fillId="24" borderId="18" xfId="0" applyNumberFormat="1" applyFont="1" applyFill="1" applyBorder="1"/>
    <xf numFmtId="0" fontId="0" fillId="24" borderId="19" xfId="0" applyFill="1" applyBorder="1"/>
    <xf numFmtId="0" fontId="0" fillId="24" borderId="11" xfId="0" applyFill="1" applyBorder="1"/>
    <xf numFmtId="0" fontId="0" fillId="24" borderId="20" xfId="0" applyFill="1" applyBorder="1"/>
    <xf numFmtId="1" fontId="0" fillId="0" borderId="13" xfId="0" applyNumberFormat="1" applyBorder="1"/>
    <xf numFmtId="0" fontId="0" fillId="0" borderId="13" xfId="0" applyBorder="1"/>
    <xf numFmtId="168" fontId="0" fillId="0" borderId="0" xfId="0" applyNumberFormat="1" applyAlignment="1">
      <alignment horizontal="right"/>
    </xf>
    <xf numFmtId="0" fontId="5" fillId="0" borderId="0" xfId="0" applyFont="1" applyAlignment="1">
      <alignment horizontal="left"/>
    </xf>
    <xf numFmtId="0" fontId="28" fillId="0" borderId="0" xfId="36" applyAlignment="1" applyProtection="1"/>
    <xf numFmtId="49" fontId="11" fillId="0" borderId="12" xfId="0" applyNumberFormat="1" applyFont="1" applyBorder="1" applyAlignment="1">
      <alignment horizontal="right"/>
    </xf>
    <xf numFmtId="0" fontId="31" fillId="0" borderId="0" xfId="40"/>
    <xf numFmtId="0" fontId="11" fillId="0" borderId="0" xfId="0" applyFont="1" applyAlignment="1">
      <alignment horizontal="left"/>
    </xf>
    <xf numFmtId="0" fontId="29" fillId="0" borderId="0" xfId="0" applyFont="1"/>
    <xf numFmtId="5" fontId="11" fillId="0" borderId="0" xfId="29" applyNumberFormat="1" applyFont="1" applyAlignment="1">
      <alignment horizontal="right"/>
    </xf>
    <xf numFmtId="167" fontId="0" fillId="0" borderId="0" xfId="0" applyNumberFormat="1" applyAlignment="1">
      <alignment horizontal="right"/>
    </xf>
    <xf numFmtId="5" fontId="38" fillId="0" borderId="0" xfId="29" applyNumberFormat="1" applyFont="1" applyAlignment="1">
      <alignment horizontal="right"/>
    </xf>
    <xf numFmtId="178" fontId="11" fillId="0" borderId="0" xfId="28" applyNumberFormat="1" applyFont="1" applyAlignment="1">
      <alignment horizontal="right"/>
    </xf>
    <xf numFmtId="167" fontId="11" fillId="0" borderId="0" xfId="29" applyNumberFormat="1" applyFont="1" applyAlignment="1">
      <alignment horizontal="right"/>
    </xf>
    <xf numFmtId="6" fontId="16" fillId="0" borderId="0" xfId="0" applyNumberFormat="1" applyFont="1"/>
    <xf numFmtId="10" fontId="16" fillId="0" borderId="0" xfId="0" applyNumberFormat="1" applyFont="1"/>
    <xf numFmtId="0" fontId="0" fillId="0" borderId="21" xfId="0" applyBorder="1"/>
    <xf numFmtId="0" fontId="0" fillId="0" borderId="22" xfId="0" applyBorder="1"/>
    <xf numFmtId="0" fontId="0" fillId="0" borderId="23" xfId="0" applyBorder="1"/>
    <xf numFmtId="6" fontId="0" fillId="24" borderId="0" xfId="0" applyNumberFormat="1" applyFill="1"/>
    <xf numFmtId="0" fontId="0" fillId="0" borderId="24" xfId="0" applyBorder="1"/>
    <xf numFmtId="9" fontId="0" fillId="24" borderId="0" xfId="0" applyNumberFormat="1" applyFill="1"/>
    <xf numFmtId="0" fontId="0" fillId="24" borderId="0" xfId="0" applyFill="1"/>
    <xf numFmtId="0" fontId="32" fillId="0" borderId="0" xfId="0" applyFont="1" applyAlignment="1">
      <alignment horizontal="center"/>
    </xf>
    <xf numFmtId="6" fontId="0" fillId="0" borderId="24" xfId="0" applyNumberFormat="1" applyBorder="1"/>
    <xf numFmtId="9" fontId="0" fillId="24" borderId="0" xfId="0" applyNumberFormat="1" applyFill="1" applyAlignment="1">
      <alignment horizontal="center"/>
    </xf>
    <xf numFmtId="6" fontId="0" fillId="24" borderId="24" xfId="0" applyNumberFormat="1" applyFill="1" applyBorder="1"/>
    <xf numFmtId="6" fontId="2" fillId="0" borderId="24" xfId="0" applyNumberFormat="1" applyFont="1" applyBorder="1"/>
    <xf numFmtId="0" fontId="0" fillId="0" borderId="25" xfId="0" applyBorder="1"/>
    <xf numFmtId="0" fontId="0" fillId="0" borderId="26" xfId="0" applyBorder="1"/>
    <xf numFmtId="0" fontId="40" fillId="25" borderId="27" xfId="0" applyFont="1" applyFill="1" applyBorder="1"/>
    <xf numFmtId="0" fontId="40" fillId="25" borderId="28" xfId="0" applyFont="1" applyFill="1" applyBorder="1"/>
    <xf numFmtId="6" fontId="0" fillId="0" borderId="23" xfId="0" applyNumberFormat="1" applyBorder="1"/>
    <xf numFmtId="6" fontId="0" fillId="0" borderId="0" xfId="0" applyNumberFormat="1"/>
    <xf numFmtId="0" fontId="0" fillId="0" borderId="23" xfId="0" applyBorder="1" applyAlignment="1">
      <alignment horizontal="center"/>
    </xf>
    <xf numFmtId="10" fontId="0" fillId="0" borderId="25" xfId="0" applyNumberFormat="1" applyBorder="1"/>
    <xf numFmtId="10" fontId="0" fillId="0" borderId="10" xfId="0" applyNumberFormat="1" applyBorder="1"/>
    <xf numFmtId="10" fontId="0" fillId="0" borderId="26" xfId="0" applyNumberFormat="1" applyBorder="1"/>
    <xf numFmtId="0" fontId="0" fillId="0" borderId="25" xfId="0" applyBorder="1" applyAlignment="1">
      <alignment horizontal="center"/>
    </xf>
    <xf numFmtId="0" fontId="11" fillId="0" borderId="23" xfId="0" applyFont="1" applyBorder="1" applyAlignment="1">
      <alignment horizontal="left"/>
    </xf>
    <xf numFmtId="0" fontId="11" fillId="0" borderId="24" xfId="0" applyFont="1" applyBorder="1"/>
    <xf numFmtId="0" fontId="11" fillId="0" borderId="24" xfId="0" applyFont="1" applyBorder="1" applyAlignment="1">
      <alignment horizontal="left"/>
    </xf>
    <xf numFmtId="0" fontId="11" fillId="0" borderId="25" xfId="0" applyFont="1" applyBorder="1" applyAlignment="1">
      <alignment horizontal="left"/>
    </xf>
    <xf numFmtId="0" fontId="11" fillId="0" borderId="26" xfId="0" applyFont="1" applyBorder="1"/>
    <xf numFmtId="5" fontId="11" fillId="24" borderId="0" xfId="0" applyNumberFormat="1" applyFont="1" applyFill="1"/>
    <xf numFmtId="10" fontId="11" fillId="24" borderId="0" xfId="0" applyNumberFormat="1" applyFont="1" applyFill="1"/>
    <xf numFmtId="0" fontId="11" fillId="24" borderId="0" xfId="0" applyFont="1" applyFill="1"/>
    <xf numFmtId="0" fontId="11" fillId="24" borderId="10" xfId="0" applyFont="1" applyFill="1" applyBorder="1"/>
    <xf numFmtId="174" fontId="40" fillId="26" borderId="29" xfId="0" applyNumberFormat="1" applyFont="1" applyFill="1" applyBorder="1" applyAlignment="1">
      <alignment horizontal="left"/>
    </xf>
    <xf numFmtId="10" fontId="40" fillId="26" borderId="29" xfId="0" applyNumberFormat="1" applyFont="1" applyFill="1" applyBorder="1"/>
    <xf numFmtId="0" fontId="40" fillId="25" borderId="30" xfId="0" applyFont="1" applyFill="1" applyBorder="1" applyAlignment="1">
      <alignment horizontal="center"/>
    </xf>
    <xf numFmtId="0" fontId="40" fillId="25" borderId="29" xfId="0" applyFont="1" applyFill="1" applyBorder="1" applyAlignment="1">
      <alignment horizontal="center"/>
    </xf>
    <xf numFmtId="5" fontId="0" fillId="0" borderId="24" xfId="0" applyNumberFormat="1" applyBorder="1"/>
    <xf numFmtId="0" fontId="0" fillId="0" borderId="23" xfId="0" applyBorder="1" applyAlignment="1">
      <alignment horizontal="right"/>
    </xf>
    <xf numFmtId="174" fontId="0" fillId="0" borderId="0" xfId="0" applyNumberFormat="1"/>
    <xf numFmtId="39" fontId="0" fillId="0" borderId="0" xfId="0" applyNumberFormat="1"/>
    <xf numFmtId="39" fontId="0" fillId="0" borderId="24" xfId="0" applyNumberFormat="1" applyBorder="1"/>
    <xf numFmtId="37" fontId="0" fillId="0" borderId="24" xfId="0" applyNumberFormat="1" applyBorder="1"/>
    <xf numFmtId="174" fontId="7" fillId="0" borderId="0" xfId="0" applyNumberFormat="1" applyFont="1"/>
    <xf numFmtId="0" fontId="0" fillId="0" borderId="25" xfId="0" applyBorder="1" applyAlignment="1">
      <alignment horizontal="right"/>
    </xf>
    <xf numFmtId="174" fontId="0" fillId="0" borderId="10" xfId="0" applyNumberFormat="1" applyBorder="1"/>
    <xf numFmtId="9" fontId="0" fillId="0" borderId="0" xfId="0" applyNumberFormat="1"/>
    <xf numFmtId="0" fontId="7" fillId="0" borderId="23" xfId="0" applyFont="1" applyBorder="1"/>
    <xf numFmtId="10" fontId="40" fillId="26" borderId="30" xfId="0" applyNumberFormat="1" applyFont="1" applyFill="1" applyBorder="1"/>
    <xf numFmtId="0" fontId="40" fillId="26" borderId="29" xfId="0" applyFont="1" applyFill="1" applyBorder="1"/>
    <xf numFmtId="0" fontId="11" fillId="0" borderId="23" xfId="0" applyFont="1" applyBorder="1"/>
    <xf numFmtId="6" fontId="11" fillId="24" borderId="0" xfId="0" applyNumberFormat="1" applyFont="1" applyFill="1"/>
    <xf numFmtId="0" fontId="42" fillId="27" borderId="31" xfId="0" applyFont="1" applyFill="1" applyBorder="1" applyAlignment="1">
      <alignment horizontal="centerContinuous"/>
    </xf>
    <xf numFmtId="0" fontId="42" fillId="27" borderId="32" xfId="0" applyFont="1" applyFill="1" applyBorder="1" applyAlignment="1">
      <alignment horizontal="centerContinuous"/>
    </xf>
    <xf numFmtId="0" fontId="42" fillId="27" borderId="30" xfId="0" applyFont="1" applyFill="1" applyBorder="1" applyAlignment="1">
      <alignment horizontal="centerContinuous"/>
    </xf>
    <xf numFmtId="0" fontId="43" fillId="28" borderId="31" xfId="0" applyFont="1" applyFill="1" applyBorder="1" applyAlignment="1">
      <alignment horizontal="centerContinuous"/>
    </xf>
    <xf numFmtId="0" fontId="43" fillId="28" borderId="32" xfId="0" applyFont="1" applyFill="1" applyBorder="1" applyAlignment="1">
      <alignment horizontal="centerContinuous"/>
    </xf>
    <xf numFmtId="0" fontId="43" fillId="28" borderId="30" xfId="0" applyFont="1" applyFill="1" applyBorder="1" applyAlignment="1">
      <alignment horizontal="centerContinuous"/>
    </xf>
    <xf numFmtId="0" fontId="11" fillId="24" borderId="12" xfId="0" applyFont="1" applyFill="1" applyBorder="1"/>
    <xf numFmtId="10" fontId="46" fillId="26" borderId="29" xfId="0" applyNumberFormat="1" applyFont="1" applyFill="1" applyBorder="1"/>
    <xf numFmtId="0" fontId="10" fillId="0" borderId="23" xfId="0" applyFont="1" applyBorder="1"/>
    <xf numFmtId="0" fontId="8" fillId="0" borderId="23" xfId="0" applyFont="1" applyBorder="1" applyAlignment="1">
      <alignment horizontal="centerContinuous"/>
    </xf>
    <xf numFmtId="0" fontId="0" fillId="0" borderId="0" xfId="0" quotePrefix="1" applyAlignment="1">
      <alignment horizontal="center"/>
    </xf>
    <xf numFmtId="173" fontId="0" fillId="0" borderId="0" xfId="0" applyNumberFormat="1"/>
    <xf numFmtId="0" fontId="9" fillId="0" borderId="23" xfId="0" applyFont="1" applyBorder="1"/>
    <xf numFmtId="0" fontId="0" fillId="0" borderId="0" xfId="0" quotePrefix="1"/>
    <xf numFmtId="0" fontId="2" fillId="0" borderId="23" xfId="0" applyFont="1" applyBorder="1" applyAlignment="1">
      <alignment horizontal="center"/>
    </xf>
    <xf numFmtId="5" fontId="11" fillId="0" borderId="0" xfId="0" applyNumberFormat="1" applyFont="1" applyAlignment="1">
      <alignment horizontal="right"/>
    </xf>
    <xf numFmtId="0" fontId="12" fillId="0" borderId="0" xfId="0" applyFont="1" applyAlignment="1">
      <alignment horizontal="center"/>
    </xf>
    <xf numFmtId="5" fontId="2" fillId="0" borderId="0" xfId="0" applyNumberFormat="1" applyFont="1"/>
    <xf numFmtId="0" fontId="11" fillId="0" borderId="33" xfId="0" applyFont="1" applyBorder="1" applyAlignment="1">
      <alignment horizontal="center"/>
    </xf>
    <xf numFmtId="0" fontId="7" fillId="0" borderId="24" xfId="0" applyFont="1" applyBorder="1"/>
    <xf numFmtId="0" fontId="0" fillId="0" borderId="33" xfId="0" applyBorder="1" applyAlignment="1">
      <alignment horizontal="center"/>
    </xf>
    <xf numFmtId="0" fontId="7" fillId="0" borderId="24" xfId="0" quotePrefix="1" applyFont="1" applyBorder="1"/>
    <xf numFmtId="0" fontId="7" fillId="0" borderId="26" xfId="0" applyFont="1" applyBorder="1"/>
    <xf numFmtId="0" fontId="46" fillId="25" borderId="29" xfId="0" applyFont="1" applyFill="1" applyBorder="1" applyAlignment="1">
      <alignment horizontal="center"/>
    </xf>
    <xf numFmtId="0" fontId="40" fillId="25" borderId="27" xfId="0" applyFont="1" applyFill="1" applyBorder="1" applyAlignment="1">
      <alignment horizontal="center"/>
    </xf>
    <xf numFmtId="0" fontId="40" fillId="25" borderId="28" xfId="0" applyFont="1" applyFill="1" applyBorder="1" applyAlignment="1">
      <alignment horizontal="center"/>
    </xf>
    <xf numFmtId="7" fontId="46" fillId="26" borderId="29" xfId="0" applyNumberFormat="1" applyFont="1" applyFill="1" applyBorder="1"/>
    <xf numFmtId="0" fontId="40" fillId="25" borderId="28" xfId="0" quotePrefix="1" applyFont="1" applyFill="1" applyBorder="1" applyAlignment="1">
      <alignment horizontal="center"/>
    </xf>
    <xf numFmtId="10" fontId="11" fillId="24" borderId="10" xfId="0" applyNumberFormat="1" applyFont="1" applyFill="1" applyBorder="1"/>
    <xf numFmtId="0" fontId="47" fillId="25" borderId="29" xfId="0" applyFont="1" applyFill="1" applyBorder="1" applyAlignment="1">
      <alignment horizontal="center"/>
    </xf>
    <xf numFmtId="0" fontId="40" fillId="29" borderId="27" xfId="0" applyFont="1" applyFill="1" applyBorder="1"/>
    <xf numFmtId="0" fontId="40" fillId="29" borderId="28" xfId="0" applyFont="1" applyFill="1" applyBorder="1" applyAlignment="1">
      <alignment horizontal="center"/>
    </xf>
    <xf numFmtId="0" fontId="40" fillId="29" borderId="27" xfId="0" applyFont="1" applyFill="1" applyBorder="1" applyAlignment="1">
      <alignment horizontal="center"/>
    </xf>
    <xf numFmtId="0" fontId="47" fillId="25" borderId="30" xfId="0" applyFont="1" applyFill="1" applyBorder="1" applyAlignment="1">
      <alignment horizontal="center"/>
    </xf>
    <xf numFmtId="37" fontId="0" fillId="0" borderId="26" xfId="0" applyNumberFormat="1" applyBorder="1"/>
    <xf numFmtId="2" fontId="0" fillId="0" borderId="0" xfId="0" applyNumberFormat="1"/>
    <xf numFmtId="0" fontId="5" fillId="0" borderId="0" xfId="0" applyFont="1" applyAlignment="1">
      <alignment horizontal="centerContinuous"/>
    </xf>
    <xf numFmtId="0" fontId="45" fillId="0" borderId="23" xfId="0" applyFont="1" applyBorder="1" applyAlignment="1">
      <alignment horizontal="centerContinuous"/>
    </xf>
    <xf numFmtId="0" fontId="45" fillId="0" borderId="0" xfId="0" applyFont="1" applyAlignment="1">
      <alignment horizontal="centerContinuous"/>
    </xf>
    <xf numFmtId="0" fontId="6" fillId="0" borderId="0" xfId="0" applyFont="1" applyAlignment="1">
      <alignment horizontal="center"/>
    </xf>
    <xf numFmtId="0" fontId="0" fillId="0" borderId="23" xfId="0" applyBorder="1" applyAlignment="1">
      <alignment horizontal="left"/>
    </xf>
    <xf numFmtId="7" fontId="0" fillId="26" borderId="0" xfId="0" applyNumberFormat="1" applyFill="1"/>
    <xf numFmtId="10" fontId="0" fillId="26" borderId="0" xfId="0" applyNumberFormat="1" applyFill="1"/>
    <xf numFmtId="0" fontId="30" fillId="0" borderId="23" xfId="0" applyFont="1" applyBorder="1"/>
    <xf numFmtId="0" fontId="30" fillId="0" borderId="0" xfId="0" applyFont="1" applyAlignment="1">
      <alignment horizontal="left"/>
    </xf>
    <xf numFmtId="0" fontId="30" fillId="0" borderId="0" xfId="0" applyFont="1"/>
    <xf numFmtId="0" fontId="5" fillId="0" borderId="24" xfId="0" applyFont="1" applyBorder="1" applyAlignment="1">
      <alignment horizontal="centerContinuous"/>
    </xf>
    <xf numFmtId="0" fontId="45" fillId="0" borderId="23" xfId="0" applyFont="1" applyBorder="1" applyAlignment="1">
      <alignment horizontal="left"/>
    </xf>
    <xf numFmtId="0" fontId="6" fillId="0" borderId="0" xfId="0" applyFont="1" applyAlignment="1">
      <alignment horizontal="centerContinuous"/>
    </xf>
    <xf numFmtId="0" fontId="6" fillId="0" borderId="24" xfId="0" applyFont="1" applyBorder="1" applyAlignment="1">
      <alignment horizontal="centerContinuous"/>
    </xf>
    <xf numFmtId="0" fontId="6" fillId="0" borderId="23" xfId="0" applyFont="1" applyBorder="1" applyAlignment="1">
      <alignment horizontal="center"/>
    </xf>
    <xf numFmtId="0" fontId="6" fillId="0" borderId="24" xfId="0" applyFont="1" applyBorder="1" applyAlignment="1">
      <alignment horizontal="center"/>
    </xf>
    <xf numFmtId="0" fontId="11" fillId="0" borderId="33" xfId="0" applyFont="1" applyBorder="1"/>
    <xf numFmtId="0" fontId="8" fillId="0" borderId="23" xfId="0" applyFont="1" applyBorder="1"/>
    <xf numFmtId="0" fontId="29" fillId="0" borderId="23" xfId="0" applyFont="1" applyBorder="1"/>
    <xf numFmtId="0" fontId="11" fillId="0" borderId="25" xfId="0" applyFont="1" applyBorder="1"/>
    <xf numFmtId="167" fontId="11" fillId="24" borderId="0" xfId="0" applyNumberFormat="1" applyFont="1" applyFill="1"/>
    <xf numFmtId="0" fontId="0" fillId="0" borderId="34" xfId="0" applyBorder="1"/>
    <xf numFmtId="3" fontId="0" fillId="0" borderId="0" xfId="0" applyNumberFormat="1"/>
    <xf numFmtId="9" fontId="0" fillId="0" borderId="10" xfId="0" applyNumberFormat="1" applyBorder="1"/>
    <xf numFmtId="167" fontId="11" fillId="24" borderId="23" xfId="0" applyNumberFormat="1" applyFont="1" applyFill="1" applyBorder="1"/>
    <xf numFmtId="4" fontId="0" fillId="0" borderId="0" xfId="0" applyNumberFormat="1"/>
    <xf numFmtId="8" fontId="0" fillId="0" borderId="24" xfId="0" applyNumberFormat="1" applyBorder="1"/>
    <xf numFmtId="167" fontId="5" fillId="24" borderId="23" xfId="0" applyNumberFormat="1" applyFont="1" applyFill="1" applyBorder="1"/>
    <xf numFmtId="167" fontId="5" fillId="0" borderId="0" xfId="0" applyNumberFormat="1" applyFont="1"/>
    <xf numFmtId="4" fontId="5" fillId="0" borderId="0" xfId="0" applyNumberFormat="1" applyFont="1"/>
    <xf numFmtId="167" fontId="0" fillId="0" borderId="23" xfId="0" applyNumberFormat="1" applyBorder="1"/>
    <xf numFmtId="4" fontId="0" fillId="0" borderId="24" xfId="0" applyNumberFormat="1" applyBorder="1"/>
    <xf numFmtId="0" fontId="40" fillId="25" borderId="32" xfId="0" applyFont="1" applyFill="1" applyBorder="1"/>
    <xf numFmtId="0" fontId="40" fillId="25" borderId="30" xfId="0" applyFont="1" applyFill="1" applyBorder="1"/>
    <xf numFmtId="0" fontId="40" fillId="25" borderId="29" xfId="0" applyFont="1" applyFill="1" applyBorder="1"/>
    <xf numFmtId="167" fontId="0" fillId="0" borderId="24" xfId="0" applyNumberFormat="1" applyBorder="1"/>
    <xf numFmtId="0" fontId="35" fillId="0" borderId="23" xfId="0" applyFont="1" applyBorder="1"/>
    <xf numFmtId="10" fontId="11" fillId="24" borderId="24" xfId="0" applyNumberFormat="1" applyFont="1" applyFill="1" applyBorder="1"/>
    <xf numFmtId="5" fontId="11" fillId="24" borderId="24" xfId="0" applyNumberFormat="1" applyFont="1" applyFill="1" applyBorder="1"/>
    <xf numFmtId="0" fontId="11" fillId="24" borderId="24" xfId="0" applyFont="1" applyFill="1" applyBorder="1"/>
    <xf numFmtId="0" fontId="11" fillId="24" borderId="26" xfId="0" applyFont="1" applyFill="1" applyBorder="1"/>
    <xf numFmtId="167" fontId="11" fillId="24" borderId="24" xfId="0" applyNumberFormat="1" applyFont="1" applyFill="1" applyBorder="1"/>
    <xf numFmtId="10" fontId="11" fillId="24" borderId="26" xfId="0" applyNumberFormat="1" applyFont="1" applyFill="1" applyBorder="1"/>
    <xf numFmtId="10" fontId="0" fillId="0" borderId="24" xfId="0" applyNumberFormat="1" applyBorder="1"/>
    <xf numFmtId="5" fontId="0" fillId="0" borderId="26" xfId="0" applyNumberFormat="1" applyBorder="1"/>
    <xf numFmtId="3" fontId="0" fillId="0" borderId="10" xfId="0" applyNumberFormat="1" applyBorder="1"/>
    <xf numFmtId="3" fontId="0" fillId="0" borderId="26" xfId="0" applyNumberFormat="1" applyBorder="1"/>
    <xf numFmtId="3" fontId="0" fillId="0" borderId="24" xfId="0" applyNumberFormat="1" applyBorder="1"/>
    <xf numFmtId="3" fontId="11" fillId="0" borderId="24" xfId="0" applyNumberFormat="1" applyFont="1" applyBorder="1"/>
    <xf numFmtId="3" fontId="5" fillId="0" borderId="0" xfId="0" applyNumberFormat="1" applyFont="1"/>
    <xf numFmtId="3" fontId="5" fillId="0" borderId="24" xfId="0" applyNumberFormat="1" applyFont="1" applyBorder="1"/>
    <xf numFmtId="3" fontId="11" fillId="0" borderId="10" xfId="0" applyNumberFormat="1" applyFont="1" applyBorder="1"/>
    <xf numFmtId="3" fontId="11" fillId="0" borderId="26" xfId="0" applyNumberFormat="1" applyFont="1" applyBorder="1"/>
    <xf numFmtId="37" fontId="5" fillId="0" borderId="24" xfId="0" applyNumberFormat="1" applyFont="1" applyBorder="1"/>
    <xf numFmtId="5" fontId="0" fillId="0" borderId="10" xfId="0" applyNumberFormat="1" applyBorder="1"/>
    <xf numFmtId="0" fontId="40" fillId="29" borderId="28" xfId="0" applyFont="1" applyFill="1" applyBorder="1"/>
    <xf numFmtId="10" fontId="40" fillId="26" borderId="24" xfId="0" applyNumberFormat="1" applyFont="1" applyFill="1" applyBorder="1"/>
    <xf numFmtId="0" fontId="34" fillId="0" borderId="0" xfId="0" applyFont="1"/>
    <xf numFmtId="3" fontId="33" fillId="0" borderId="0" xfId="0" applyNumberFormat="1" applyFont="1"/>
    <xf numFmtId="0" fontId="2" fillId="0" borderId="0" xfId="0" applyFont="1"/>
    <xf numFmtId="10" fontId="40" fillId="26" borderId="29" xfId="0" applyNumberFormat="1" applyFont="1" applyFill="1" applyBorder="1" applyAlignment="1">
      <alignment horizontal="center"/>
    </xf>
    <xf numFmtId="10" fontId="0" fillId="0" borderId="23" xfId="0" applyNumberFormat="1" applyBorder="1"/>
    <xf numFmtId="174" fontId="0" fillId="0" borderId="24" xfId="0" applyNumberFormat="1" applyBorder="1"/>
    <xf numFmtId="174" fontId="0" fillId="0" borderId="26" xfId="0" applyNumberFormat="1" applyBorder="1"/>
    <xf numFmtId="176" fontId="11" fillId="0" borderId="0" xfId="0" applyNumberFormat="1" applyFont="1"/>
    <xf numFmtId="176" fontId="0" fillId="0" borderId="0" xfId="0" applyNumberFormat="1"/>
    <xf numFmtId="0" fontId="17" fillId="0" borderId="0" xfId="0" applyFont="1"/>
    <xf numFmtId="0" fontId="11" fillId="0" borderId="34" xfId="0" applyFont="1" applyBorder="1"/>
    <xf numFmtId="0" fontId="11" fillId="0" borderId="21" xfId="0" applyFont="1" applyBorder="1"/>
    <xf numFmtId="0" fontId="11" fillId="0" borderId="22" xfId="0" applyFont="1" applyBorder="1"/>
    <xf numFmtId="5" fontId="11" fillId="24" borderId="21" xfId="0" applyNumberFormat="1" applyFont="1" applyFill="1" applyBorder="1"/>
    <xf numFmtId="7" fontId="40" fillId="26" borderId="29" xfId="0" applyNumberFormat="1" applyFont="1" applyFill="1" applyBorder="1"/>
    <xf numFmtId="0" fontId="43" fillId="25" borderId="29" xfId="0" applyFont="1" applyFill="1" applyBorder="1" applyAlignment="1">
      <alignment horizontal="center"/>
    </xf>
    <xf numFmtId="1" fontId="0" fillId="0" borderId="10" xfId="0" applyNumberFormat="1" applyBorder="1"/>
    <xf numFmtId="5" fontId="43" fillId="26" borderId="29" xfId="0" applyNumberFormat="1" applyFont="1" applyFill="1" applyBorder="1"/>
    <xf numFmtId="5" fontId="0" fillId="24" borderId="0" xfId="0" applyNumberFormat="1" applyFill="1"/>
    <xf numFmtId="10" fontId="0" fillId="24" borderId="0" xfId="0" applyNumberFormat="1" applyFill="1"/>
    <xf numFmtId="0" fontId="0" fillId="24" borderId="10" xfId="0" applyFill="1" applyBorder="1"/>
    <xf numFmtId="1" fontId="0" fillId="0" borderId="24" xfId="0" applyNumberFormat="1" applyBorder="1"/>
    <xf numFmtId="1" fontId="0" fillId="0" borderId="26" xfId="0" applyNumberFormat="1" applyBorder="1"/>
    <xf numFmtId="177" fontId="0" fillId="0" borderId="0" xfId="0" applyNumberFormat="1"/>
    <xf numFmtId="177" fontId="0" fillId="0" borderId="24" xfId="0" applyNumberFormat="1" applyBorder="1"/>
    <xf numFmtId="10" fontId="40" fillId="26" borderId="31" xfId="0" applyNumberFormat="1" applyFont="1" applyFill="1" applyBorder="1"/>
    <xf numFmtId="0" fontId="4" fillId="0" borderId="23" xfId="0" applyFont="1" applyBorder="1"/>
    <xf numFmtId="5" fontId="4" fillId="0" borderId="0" xfId="0" applyNumberFormat="1" applyFont="1"/>
    <xf numFmtId="5" fontId="48" fillId="0" borderId="0" xfId="0" applyNumberFormat="1" applyFont="1"/>
    <xf numFmtId="5" fontId="29" fillId="0" borderId="0" xfId="0" applyNumberFormat="1" applyFont="1"/>
    <xf numFmtId="10" fontId="29" fillId="0" borderId="0" xfId="0" applyNumberFormat="1" applyFont="1"/>
    <xf numFmtId="0" fontId="48" fillId="0" borderId="0" xfId="0" applyFont="1" applyAlignment="1">
      <alignment horizontal="left"/>
    </xf>
    <xf numFmtId="0" fontId="48" fillId="0" borderId="0" xfId="0" applyFont="1"/>
    <xf numFmtId="5" fontId="11" fillId="0" borderId="0" xfId="0" applyNumberFormat="1" applyFont="1"/>
    <xf numFmtId="10" fontId="11" fillId="0" borderId="24" xfId="0" applyNumberFormat="1" applyFont="1" applyBorder="1"/>
    <xf numFmtId="174" fontId="11" fillId="0" borderId="10" xfId="0" applyNumberFormat="1" applyFont="1" applyBorder="1"/>
    <xf numFmtId="5" fontId="11" fillId="24" borderId="26" xfId="0" applyNumberFormat="1" applyFont="1" applyFill="1" applyBorder="1"/>
    <xf numFmtId="174" fontId="11" fillId="0" borderId="0" xfId="0" applyNumberFormat="1" applyFont="1"/>
    <xf numFmtId="174" fontId="11" fillId="24" borderId="0" xfId="0" applyNumberFormat="1" applyFont="1" applyFill="1"/>
    <xf numFmtId="174" fontId="5" fillId="24" borderId="0" xfId="0" applyNumberFormat="1" applyFont="1" applyFill="1"/>
    <xf numFmtId="174" fontId="40" fillId="26" borderId="27" xfId="0" applyNumberFormat="1" applyFont="1" applyFill="1" applyBorder="1"/>
    <xf numFmtId="9" fontId="11" fillId="0" borderId="23" xfId="0" applyNumberFormat="1" applyFont="1" applyBorder="1"/>
    <xf numFmtId="5" fontId="11" fillId="0" borderId="24" xfId="0" applyNumberFormat="1" applyFont="1" applyBorder="1"/>
    <xf numFmtId="37" fontId="11" fillId="0" borderId="24" xfId="0" applyNumberFormat="1" applyFont="1" applyBorder="1"/>
    <xf numFmtId="169" fontId="11" fillId="0" borderId="10" xfId="0" applyNumberFormat="1" applyFont="1" applyBorder="1"/>
    <xf numFmtId="10" fontId="11" fillId="0" borderId="26" xfId="0" applyNumberFormat="1" applyFont="1" applyBorder="1"/>
    <xf numFmtId="7" fontId="11" fillId="0" borderId="24" xfId="0" applyNumberFormat="1" applyFont="1" applyBorder="1"/>
    <xf numFmtId="7" fontId="11" fillId="0" borderId="0" xfId="0" applyNumberFormat="1" applyFont="1"/>
    <xf numFmtId="39" fontId="11" fillId="0" borderId="24" xfId="0" applyNumberFormat="1" applyFont="1" applyBorder="1"/>
    <xf numFmtId="39" fontId="11" fillId="0" borderId="0" xfId="0" applyNumberFormat="1" applyFont="1"/>
    <xf numFmtId="0" fontId="0" fillId="0" borderId="10" xfId="0" applyBorder="1" applyAlignment="1">
      <alignment horizontal="center"/>
    </xf>
    <xf numFmtId="7" fontId="0" fillId="0" borderId="24" xfId="0" applyNumberFormat="1" applyBorder="1"/>
    <xf numFmtId="39" fontId="0" fillId="0" borderId="10" xfId="0" applyNumberFormat="1" applyBorder="1"/>
    <xf numFmtId="39" fontId="0" fillId="0" borderId="26" xfId="0" applyNumberFormat="1" applyBorder="1"/>
    <xf numFmtId="5" fontId="40" fillId="26" borderId="29" xfId="0" applyNumberFormat="1" applyFont="1" applyFill="1" applyBorder="1"/>
    <xf numFmtId="10" fontId="11" fillId="0" borderId="10" xfId="0" applyNumberFormat="1" applyFont="1" applyBorder="1"/>
    <xf numFmtId="174" fontId="11" fillId="0" borderId="24" xfId="0" applyNumberFormat="1" applyFont="1" applyBorder="1"/>
    <xf numFmtId="39" fontId="11" fillId="0" borderId="10" xfId="0" applyNumberFormat="1" applyFont="1" applyBorder="1"/>
    <xf numFmtId="7" fontId="11" fillId="0" borderId="10" xfId="0" applyNumberFormat="1" applyFont="1" applyBorder="1"/>
    <xf numFmtId="174" fontId="11" fillId="0" borderId="26" xfId="0" applyNumberFormat="1" applyFont="1" applyBorder="1"/>
    <xf numFmtId="0" fontId="3" fillId="0" borderId="23" xfId="0" applyFont="1" applyBorder="1" applyAlignment="1">
      <alignment horizontal="center"/>
    </xf>
    <xf numFmtId="0" fontId="3" fillId="0" borderId="0" xfId="0" applyFont="1" applyAlignment="1">
      <alignment horizontal="center"/>
    </xf>
    <xf numFmtId="0" fontId="51" fillId="0" borderId="0" xfId="0" applyFont="1"/>
    <xf numFmtId="0" fontId="50" fillId="0" borderId="0" xfId="0" applyFont="1"/>
    <xf numFmtId="10" fontId="11" fillId="0" borderId="23" xfId="0" applyNumberFormat="1" applyFont="1" applyBorder="1"/>
    <xf numFmtId="10" fontId="11" fillId="0" borderId="25" xfId="0" applyNumberFormat="1" applyFont="1" applyBorder="1"/>
    <xf numFmtId="0" fontId="2" fillId="0" borderId="23" xfId="40" applyFont="1" applyBorder="1"/>
    <xf numFmtId="0" fontId="2" fillId="0" borderId="0" xfId="40" applyFont="1"/>
    <xf numFmtId="0" fontId="2" fillId="0" borderId="10" xfId="40" applyFont="1" applyBorder="1"/>
    <xf numFmtId="49" fontId="40" fillId="29" borderId="29" xfId="40" applyNumberFormat="1" applyFont="1" applyFill="1" applyBorder="1" applyAlignment="1">
      <alignment horizontal="center"/>
    </xf>
    <xf numFmtId="0" fontId="40" fillId="30" borderId="27" xfId="40" applyFont="1" applyFill="1" applyBorder="1"/>
    <xf numFmtId="0" fontId="40" fillId="30" borderId="35" xfId="40" applyFont="1" applyFill="1" applyBorder="1"/>
    <xf numFmtId="0" fontId="40" fillId="30" borderId="28" xfId="40" applyFont="1" applyFill="1" applyBorder="1" applyAlignment="1">
      <alignment horizontal="right"/>
    </xf>
    <xf numFmtId="0" fontId="2" fillId="0" borderId="24" xfId="40" applyFont="1" applyBorder="1"/>
    <xf numFmtId="6" fontId="2" fillId="0" borderId="0" xfId="40" applyNumberFormat="1" applyFont="1"/>
    <xf numFmtId="38" fontId="2" fillId="0" borderId="0" xfId="40" applyNumberFormat="1" applyFont="1"/>
    <xf numFmtId="37" fontId="2" fillId="0" borderId="0" xfId="40" applyNumberFormat="1" applyFont="1"/>
    <xf numFmtId="0" fontId="31" fillId="0" borderId="23" xfId="40" applyBorder="1"/>
    <xf numFmtId="10" fontId="31" fillId="0" borderId="0" xfId="40" applyNumberFormat="1"/>
    <xf numFmtId="0" fontId="31" fillId="0" borderId="24" xfId="40" applyBorder="1"/>
    <xf numFmtId="0" fontId="31" fillId="0" borderId="25" xfId="40" applyBorder="1"/>
    <xf numFmtId="0" fontId="31" fillId="0" borderId="10" xfId="40" applyBorder="1"/>
    <xf numFmtId="0" fontId="31" fillId="0" borderId="26" xfId="40" applyBorder="1"/>
    <xf numFmtId="0" fontId="40" fillId="25" borderId="29" xfId="40" applyFont="1" applyFill="1" applyBorder="1"/>
    <xf numFmtId="10" fontId="31" fillId="24" borderId="23" xfId="40" applyNumberFormat="1" applyFill="1" applyBorder="1"/>
    <xf numFmtId="6" fontId="11" fillId="24" borderId="36" xfId="40" applyNumberFormat="1" applyFont="1" applyFill="1" applyBorder="1"/>
    <xf numFmtId="10" fontId="11" fillId="24" borderId="36" xfId="40" applyNumberFormat="1" applyFont="1" applyFill="1" applyBorder="1"/>
    <xf numFmtId="171" fontId="11" fillId="24" borderId="36" xfId="40" applyNumberFormat="1" applyFont="1" applyFill="1" applyBorder="1"/>
    <xf numFmtId="10" fontId="11" fillId="24" borderId="37" xfId="40" applyNumberFormat="1" applyFont="1" applyFill="1" applyBorder="1"/>
    <xf numFmtId="6" fontId="40" fillId="26" borderId="29" xfId="40" applyNumberFormat="1" applyFont="1" applyFill="1" applyBorder="1"/>
    <xf numFmtId="49" fontId="2" fillId="0" borderId="23" xfId="40" applyNumberFormat="1" applyFont="1" applyBorder="1"/>
    <xf numFmtId="49" fontId="2" fillId="0" borderId="0" xfId="40" applyNumberFormat="1" applyFont="1"/>
    <xf numFmtId="49" fontId="2" fillId="0" borderId="23" xfId="40" applyNumberFormat="1" applyFont="1" applyBorder="1" applyAlignment="1">
      <alignment horizontal="left"/>
    </xf>
    <xf numFmtId="0" fontId="8" fillId="0" borderId="24" xfId="0" applyFont="1" applyBorder="1"/>
    <xf numFmtId="0" fontId="11" fillId="0" borderId="38" xfId="0" applyFont="1" applyBorder="1"/>
    <xf numFmtId="0" fontId="11" fillId="0" borderId="39" xfId="0" applyFont="1" applyBorder="1"/>
    <xf numFmtId="37" fontId="11" fillId="24" borderId="0" xfId="0" applyNumberFormat="1" applyFont="1" applyFill="1"/>
    <xf numFmtId="164" fontId="11" fillId="24" borderId="0" xfId="29" applyNumberFormat="1" applyFont="1" applyFill="1" applyBorder="1"/>
    <xf numFmtId="10" fontId="11" fillId="24" borderId="0" xfId="44" applyNumberFormat="1" applyFont="1" applyFill="1" applyBorder="1"/>
    <xf numFmtId="37" fontId="11" fillId="24" borderId="10" xfId="0" applyNumberFormat="1" applyFont="1" applyFill="1" applyBorder="1"/>
    <xf numFmtId="0" fontId="46" fillId="25" borderId="29" xfId="0" applyFont="1" applyFill="1" applyBorder="1"/>
    <xf numFmtId="10" fontId="11" fillId="24" borderId="10" xfId="44" applyNumberFormat="1" applyFont="1" applyFill="1" applyBorder="1"/>
    <xf numFmtId="5" fontId="7" fillId="0" borderId="0" xfId="0" applyNumberFormat="1" applyFont="1"/>
    <xf numFmtId="49" fontId="11" fillId="0" borderId="23" xfId="0" applyNumberFormat="1" applyFont="1" applyBorder="1" applyAlignment="1">
      <alignment horizontal="left"/>
    </xf>
    <xf numFmtId="38" fontId="11" fillId="0" borderId="24" xfId="0" applyNumberFormat="1" applyFont="1" applyBorder="1"/>
    <xf numFmtId="49" fontId="11" fillId="0" borderId="25" xfId="0" applyNumberFormat="1" applyFont="1" applyBorder="1" applyAlignment="1">
      <alignment horizontal="left"/>
    </xf>
    <xf numFmtId="38" fontId="11" fillId="0" borderId="10" xfId="0" applyNumberFormat="1" applyFont="1" applyBorder="1"/>
    <xf numFmtId="38" fontId="11" fillId="0" borderId="26" xfId="0" applyNumberFormat="1" applyFont="1" applyBorder="1"/>
    <xf numFmtId="0" fontId="15" fillId="0" borderId="23" xfId="0" applyFont="1" applyBorder="1"/>
    <xf numFmtId="0" fontId="7" fillId="0" borderId="25" xfId="0" applyFont="1" applyBorder="1"/>
    <xf numFmtId="37" fontId="7" fillId="0" borderId="10" xfId="0" applyNumberFormat="1" applyFont="1" applyBorder="1"/>
    <xf numFmtId="37" fontId="7" fillId="0" borderId="26" xfId="0" applyNumberFormat="1" applyFont="1" applyBorder="1"/>
    <xf numFmtId="164" fontId="0" fillId="0" borderId="0" xfId="0" applyNumberFormat="1"/>
    <xf numFmtId="37" fontId="11" fillId="0" borderId="26" xfId="0" applyNumberFormat="1" applyFont="1" applyBorder="1"/>
    <xf numFmtId="0" fontId="8" fillId="0" borderId="0" xfId="0" applyFont="1" applyAlignment="1">
      <alignment horizontal="center"/>
    </xf>
    <xf numFmtId="164" fontId="0" fillId="0" borderId="24" xfId="29" applyNumberFormat="1" applyFont="1" applyBorder="1"/>
    <xf numFmtId="164" fontId="7" fillId="0" borderId="41" xfId="0" applyNumberFormat="1" applyFont="1" applyBorder="1"/>
    <xf numFmtId="164" fontId="7" fillId="0" borderId="41" xfId="29" applyNumberFormat="1" applyFont="1" applyBorder="1"/>
    <xf numFmtId="49" fontId="11" fillId="0" borderId="23" xfId="0" applyNumberFormat="1" applyFont="1" applyBorder="1"/>
    <xf numFmtId="0" fontId="0" fillId="0" borderId="33" xfId="0" applyBorder="1"/>
    <xf numFmtId="0" fontId="7" fillId="0" borderId="21" xfId="0" applyFont="1" applyBorder="1"/>
    <xf numFmtId="37" fontId="11" fillId="0" borderId="23" xfId="0" applyNumberFormat="1" applyFont="1" applyBorder="1"/>
    <xf numFmtId="37" fontId="0" fillId="0" borderId="23" xfId="0" applyNumberFormat="1" applyBorder="1"/>
    <xf numFmtId="167" fontId="0" fillId="0" borderId="26" xfId="0" applyNumberFormat="1" applyBorder="1"/>
    <xf numFmtId="0" fontId="40" fillId="30" borderId="29" xfId="0" applyFont="1" applyFill="1" applyBorder="1" applyAlignment="1">
      <alignment horizontal="center" wrapText="1"/>
    </xf>
    <xf numFmtId="167" fontId="0" fillId="0" borderId="0" xfId="0" applyNumberFormat="1" applyAlignment="1">
      <alignment horizontal="center"/>
    </xf>
    <xf numFmtId="10" fontId="7" fillId="0" borderId="10" xfId="0" applyNumberFormat="1" applyFont="1" applyBorder="1"/>
    <xf numFmtId="0" fontId="0" fillId="0" borderId="0" xfId="0" applyAlignment="1">
      <alignment wrapText="1"/>
    </xf>
    <xf numFmtId="0" fontId="53" fillId="0" borderId="0" xfId="0" applyFont="1" applyAlignment="1">
      <alignment horizontal="left"/>
    </xf>
    <xf numFmtId="0" fontId="53" fillId="0" borderId="24" xfId="0" applyFont="1" applyBorder="1" applyAlignment="1">
      <alignment horizontal="left"/>
    </xf>
    <xf numFmtId="0" fontId="46" fillId="30" borderId="27" xfId="0" applyFont="1" applyFill="1" applyBorder="1"/>
    <xf numFmtId="0" fontId="46" fillId="30" borderId="28" xfId="0" applyFont="1" applyFill="1" applyBorder="1" applyAlignment="1">
      <alignment horizontal="center"/>
    </xf>
    <xf numFmtId="37" fontId="11" fillId="0" borderId="40" xfId="0" applyNumberFormat="1" applyFont="1" applyBorder="1"/>
    <xf numFmtId="0" fontId="7" fillId="0" borderId="10" xfId="0" applyFont="1" applyBorder="1" applyAlignment="1">
      <alignment horizontal="right"/>
    </xf>
    <xf numFmtId="0" fontId="7" fillId="0" borderId="25" xfId="0" applyFont="1" applyBorder="1" applyAlignment="1">
      <alignment horizontal="center"/>
    </xf>
    <xf numFmtId="0" fontId="7" fillId="0" borderId="10" xfId="0" applyFont="1" applyBorder="1" applyAlignment="1">
      <alignment horizontal="center"/>
    </xf>
    <xf numFmtId="0" fontId="11" fillId="0" borderId="23" xfId="0" applyFont="1" applyBorder="1" applyAlignment="1">
      <alignment horizontal="center"/>
    </xf>
    <xf numFmtId="37" fontId="0" fillId="0" borderId="41" xfId="0" applyNumberFormat="1" applyBorder="1"/>
    <xf numFmtId="37" fontId="15" fillId="0" borderId="23" xfId="0" applyNumberFormat="1" applyFont="1" applyBorder="1" applyAlignment="1">
      <alignment horizontal="left"/>
    </xf>
    <xf numFmtId="0" fontId="15" fillId="0" borderId="24" xfId="0" applyFont="1" applyBorder="1" applyAlignment="1">
      <alignment horizontal="center"/>
    </xf>
    <xf numFmtId="37" fontId="5" fillId="0" borderId="23" xfId="0" applyNumberFormat="1" applyFont="1" applyBorder="1"/>
    <xf numFmtId="37" fontId="0" fillId="0" borderId="23" xfId="0" applyNumberFormat="1" applyBorder="1" applyAlignment="1">
      <alignment horizontal="left"/>
    </xf>
    <xf numFmtId="37" fontId="7" fillId="0" borderId="23" xfId="0" applyNumberFormat="1" applyFont="1" applyBorder="1"/>
    <xf numFmtId="5" fontId="7" fillId="0" borderId="24" xfId="0" applyNumberFormat="1" applyFont="1" applyBorder="1"/>
    <xf numFmtId="0" fontId="40" fillId="26" borderId="34" xfId="0" applyFont="1" applyFill="1" applyBorder="1"/>
    <xf numFmtId="37" fontId="40" fillId="26" borderId="22" xfId="0" applyNumberFormat="1" applyFont="1" applyFill="1" applyBorder="1" applyAlignment="1">
      <alignment horizontal="right"/>
    </xf>
    <xf numFmtId="0" fontId="40" fillId="26" borderId="23" xfId="0" applyFont="1" applyFill="1" applyBorder="1"/>
    <xf numFmtId="37" fontId="40" fillId="26" borderId="24" xfId="0" applyNumberFormat="1" applyFont="1" applyFill="1" applyBorder="1" applyAlignment="1">
      <alignment horizontal="right"/>
    </xf>
    <xf numFmtId="168" fontId="40" fillId="26" borderId="24" xfId="0" applyNumberFormat="1" applyFont="1" applyFill="1" applyBorder="1" applyAlignment="1">
      <alignment horizontal="right"/>
    </xf>
    <xf numFmtId="10" fontId="40" fillId="26" borderId="24" xfId="0" applyNumberFormat="1" applyFont="1" applyFill="1" applyBorder="1" applyAlignment="1">
      <alignment horizontal="right"/>
    </xf>
    <xf numFmtId="0" fontId="40" fillId="26" borderId="25" xfId="0" applyFont="1" applyFill="1" applyBorder="1"/>
    <xf numFmtId="168" fontId="40" fillId="26" borderId="26" xfId="0" applyNumberFormat="1" applyFont="1" applyFill="1" applyBorder="1" applyAlignment="1">
      <alignment horizontal="right"/>
    </xf>
    <xf numFmtId="10" fontId="52" fillId="26" borderId="29" xfId="0" applyNumberFormat="1" applyFont="1" applyFill="1" applyBorder="1"/>
    <xf numFmtId="37" fontId="40" fillId="26" borderId="29" xfId="0" applyNumberFormat="1" applyFont="1" applyFill="1" applyBorder="1"/>
    <xf numFmtId="9" fontId="11" fillId="24" borderId="0" xfId="0" applyNumberFormat="1" applyFont="1" applyFill="1" applyAlignment="1">
      <alignment horizontal="right"/>
    </xf>
    <xf numFmtId="9" fontId="0" fillId="0" borderId="23" xfId="0" applyNumberFormat="1" applyBorder="1"/>
    <xf numFmtId="166" fontId="11" fillId="24" borderId="0" xfId="28" applyNumberFormat="1" applyFont="1" applyFill="1" applyBorder="1"/>
    <xf numFmtId="39" fontId="11" fillId="24" borderId="0" xfId="0" applyNumberFormat="1" applyFont="1" applyFill="1"/>
    <xf numFmtId="9" fontId="11" fillId="24" borderId="0" xfId="44" applyFont="1" applyFill="1" applyBorder="1"/>
    <xf numFmtId="10" fontId="11" fillId="24" borderId="21" xfId="44" applyNumberFormat="1" applyFont="1" applyFill="1" applyBorder="1"/>
    <xf numFmtId="42" fontId="0" fillId="0" borderId="26" xfId="0" applyNumberFormat="1" applyBorder="1"/>
    <xf numFmtId="164" fontId="0" fillId="0" borderId="0" xfId="29" applyNumberFormat="1" applyFont="1" applyBorder="1" applyAlignment="1">
      <alignment horizontal="right"/>
    </xf>
    <xf numFmtId="37" fontId="0" fillId="0" borderId="0" xfId="29" applyNumberFormat="1" applyFont="1" applyBorder="1" applyAlignment="1">
      <alignment horizontal="right"/>
    </xf>
    <xf numFmtId="37" fontId="0" fillId="0" borderId="0" xfId="0" applyNumberFormat="1" applyAlignment="1">
      <alignment horizontal="right"/>
    </xf>
    <xf numFmtId="0" fontId="7" fillId="0" borderId="23" xfId="0" applyFont="1" applyBorder="1" applyAlignment="1">
      <alignment horizontal="center"/>
    </xf>
    <xf numFmtId="0" fontId="40" fillId="25" borderId="30" xfId="0" applyFont="1" applyFill="1" applyBorder="1" applyAlignment="1">
      <alignment horizontal="center" wrapText="1"/>
    </xf>
    <xf numFmtId="37" fontId="0" fillId="0" borderId="42" xfId="0" applyNumberFormat="1" applyBorder="1"/>
    <xf numFmtId="0" fontId="20" fillId="0" borderId="23" xfId="0" applyFont="1" applyBorder="1"/>
    <xf numFmtId="164" fontId="7" fillId="0" borderId="42" xfId="29" applyNumberFormat="1" applyFont="1" applyBorder="1"/>
    <xf numFmtId="164" fontId="7" fillId="0" borderId="10" xfId="29" applyNumberFormat="1" applyFont="1" applyBorder="1"/>
    <xf numFmtId="166" fontId="0" fillId="0" borderId="24" xfId="28" applyNumberFormat="1" applyFont="1" applyBorder="1"/>
    <xf numFmtId="166" fontId="0" fillId="0" borderId="40" xfId="28" applyNumberFormat="1" applyFont="1" applyBorder="1"/>
    <xf numFmtId="166" fontId="11" fillId="0" borderId="40" xfId="28" applyNumberFormat="1" applyFont="1" applyBorder="1"/>
    <xf numFmtId="166" fontId="0" fillId="0" borderId="26" xfId="28" applyNumberFormat="1" applyFont="1" applyBorder="1"/>
    <xf numFmtId="166" fontId="11" fillId="0" borderId="24" xfId="28" applyNumberFormat="1" applyFont="1" applyBorder="1"/>
    <xf numFmtId="166" fontId="16" fillId="0" borderId="24" xfId="28" applyNumberFormat="1" applyFont="1" applyBorder="1"/>
    <xf numFmtId="38" fontId="7" fillId="0" borderId="24" xfId="0" applyNumberFormat="1" applyFont="1" applyBorder="1"/>
    <xf numFmtId="38" fontId="11" fillId="0" borderId="24" xfId="0" applyNumberFormat="1" applyFont="1" applyBorder="1" applyAlignment="1">
      <alignment horizontal="center"/>
    </xf>
    <xf numFmtId="49" fontId="7" fillId="0" borderId="23" xfId="0" applyNumberFormat="1" applyFont="1" applyBorder="1" applyAlignment="1">
      <alignment horizontal="left"/>
    </xf>
    <xf numFmtId="38" fontId="7" fillId="0" borderId="41" xfId="0" applyNumberFormat="1" applyFont="1" applyBorder="1" applyAlignment="1">
      <alignment horizontal="center"/>
    </xf>
    <xf numFmtId="10" fontId="40" fillId="26" borderId="28" xfId="0" applyNumberFormat="1" applyFont="1" applyFill="1" applyBorder="1"/>
    <xf numFmtId="166" fontId="0" fillId="0" borderId="0" xfId="0" applyNumberFormat="1"/>
    <xf numFmtId="0" fontId="16" fillId="0" borderId="24" xfId="0" applyFont="1" applyBorder="1"/>
    <xf numFmtId="0" fontId="7" fillId="0" borderId="33" xfId="0" applyFont="1" applyBorder="1"/>
    <xf numFmtId="0" fontId="17" fillId="0" borderId="23" xfId="0" applyFont="1" applyBorder="1"/>
    <xf numFmtId="37" fontId="11" fillId="24" borderId="0" xfId="0" applyNumberFormat="1" applyFont="1" applyFill="1" applyAlignment="1">
      <alignment horizontal="right"/>
    </xf>
    <xf numFmtId="10" fontId="11" fillId="24" borderId="0" xfId="44" applyNumberFormat="1" applyFont="1" applyFill="1" applyBorder="1" applyProtection="1"/>
    <xf numFmtId="1" fontId="11" fillId="24" borderId="0" xfId="0" applyNumberFormat="1" applyFont="1" applyFill="1"/>
    <xf numFmtId="0" fontId="46" fillId="30" borderId="27" xfId="0" applyFont="1" applyFill="1" applyBorder="1" applyAlignment="1">
      <alignment horizontal="center"/>
    </xf>
    <xf numFmtId="37" fontId="11" fillId="0" borderId="24" xfId="0" applyNumberFormat="1" applyFont="1" applyBorder="1" applyAlignment="1">
      <alignment horizontal="center"/>
    </xf>
    <xf numFmtId="5" fontId="7" fillId="0" borderId="42" xfId="0" applyNumberFormat="1" applyFont="1" applyBorder="1"/>
    <xf numFmtId="5" fontId="7" fillId="0" borderId="43" xfId="0" applyNumberFormat="1" applyFont="1" applyBorder="1"/>
    <xf numFmtId="5" fontId="7" fillId="0" borderId="41" xfId="0" applyNumberFormat="1" applyFont="1" applyBorder="1"/>
    <xf numFmtId="37" fontId="11" fillId="0" borderId="29" xfId="0" applyNumberFormat="1" applyFont="1" applyBorder="1" applyAlignment="1">
      <alignment wrapText="1"/>
    </xf>
    <xf numFmtId="0" fontId="11" fillId="0" borderId="23" xfId="0" applyFont="1" applyBorder="1" applyAlignment="1">
      <alignment horizontal="fill"/>
    </xf>
    <xf numFmtId="0" fontId="20" fillId="0" borderId="23" xfId="0" applyFont="1" applyBorder="1" applyAlignment="1">
      <alignment horizontal="fill"/>
    </xf>
    <xf numFmtId="0" fontId="11" fillId="0" borderId="33" xfId="0" applyFont="1" applyBorder="1" applyAlignment="1">
      <alignment horizontal="fill"/>
    </xf>
    <xf numFmtId="0" fontId="7" fillId="0" borderId="29" xfId="0" quotePrefix="1" applyFont="1" applyBorder="1" applyAlignment="1">
      <alignment horizontal="center"/>
    </xf>
    <xf numFmtId="44" fontId="0" fillId="0" borderId="0" xfId="0" applyNumberFormat="1"/>
    <xf numFmtId="49" fontId="41" fillId="25" borderId="29" xfId="0" applyNumberFormat="1" applyFont="1" applyFill="1" applyBorder="1" applyAlignment="1">
      <alignment horizontal="center"/>
    </xf>
    <xf numFmtId="168" fontId="11" fillId="0" borderId="21" xfId="0" applyNumberFormat="1" applyFont="1" applyBorder="1"/>
    <xf numFmtId="49" fontId="11" fillId="0" borderId="33" xfId="0" applyNumberFormat="1" applyFont="1" applyBorder="1" applyAlignment="1">
      <alignment horizontal="left"/>
    </xf>
    <xf numFmtId="49" fontId="25" fillId="0" borderId="25" xfId="0" applyNumberFormat="1" applyFont="1" applyBorder="1" applyAlignment="1">
      <alignment horizontal="left"/>
    </xf>
    <xf numFmtId="175" fontId="25" fillId="0" borderId="10" xfId="0" applyNumberFormat="1" applyFont="1" applyBorder="1"/>
    <xf numFmtId="37" fontId="11" fillId="0" borderId="21" xfId="0" applyNumberFormat="1" applyFont="1" applyBorder="1"/>
    <xf numFmtId="0" fontId="11" fillId="0" borderId="40" xfId="0" applyFont="1" applyBorder="1"/>
    <xf numFmtId="49" fontId="11" fillId="0" borderId="25" xfId="0" applyNumberFormat="1" applyFont="1" applyBorder="1"/>
    <xf numFmtId="37" fontId="7" fillId="0" borderId="10" xfId="0" applyNumberFormat="1" applyFont="1" applyBorder="1" applyAlignment="1">
      <alignment horizontal="left"/>
    </xf>
    <xf numFmtId="49" fontId="30" fillId="0" borderId="23" xfId="0" applyNumberFormat="1" applyFont="1" applyBorder="1" applyAlignment="1">
      <alignment horizontal="left"/>
    </xf>
    <xf numFmtId="38" fontId="30" fillId="0" borderId="0" xfId="0" applyNumberFormat="1" applyFont="1"/>
    <xf numFmtId="5" fontId="0" fillId="0" borderId="0" xfId="0" applyNumberFormat="1" applyAlignment="1">
      <alignment horizontal="right"/>
    </xf>
    <xf numFmtId="0" fontId="37" fillId="0" borderId="0" xfId="0" applyFont="1"/>
    <xf numFmtId="166" fontId="37" fillId="0" borderId="0" xfId="28" applyNumberFormat="1" applyFont="1" applyBorder="1"/>
    <xf numFmtId="0" fontId="37" fillId="0" borderId="0" xfId="0" applyFont="1" applyAlignment="1">
      <alignment horizontal="center"/>
    </xf>
    <xf numFmtId="8" fontId="37" fillId="0" borderId="0" xfId="0" applyNumberFormat="1" applyFont="1" applyAlignment="1">
      <alignment horizontal="right"/>
    </xf>
    <xf numFmtId="166" fontId="37" fillId="0" borderId="0" xfId="28" applyNumberFormat="1" applyFont="1" applyBorder="1" applyAlignment="1">
      <alignment horizontal="right"/>
    </xf>
    <xf numFmtId="8" fontId="37" fillId="0" borderId="0" xfId="0" applyNumberFormat="1" applyFont="1"/>
    <xf numFmtId="10" fontId="37" fillId="0" borderId="0" xfId="44" applyNumberFormat="1" applyFont="1" applyBorder="1"/>
    <xf numFmtId="165" fontId="37" fillId="0" borderId="0" xfId="0" applyNumberFormat="1" applyFont="1"/>
    <xf numFmtId="166" fontId="7" fillId="0" borderId="0" xfId="28" applyNumberFormat="1" applyFont="1" applyBorder="1" applyAlignment="1">
      <alignment horizontal="center"/>
    </xf>
    <xf numFmtId="5" fontId="11" fillId="0" borderId="0" xfId="29" applyNumberFormat="1" applyFont="1" applyBorder="1" applyAlignment="1">
      <alignment horizontal="right"/>
    </xf>
    <xf numFmtId="10" fontId="11" fillId="0" borderId="0" xfId="44" applyNumberFormat="1" applyFont="1" applyBorder="1" applyAlignment="1">
      <alignment horizontal="right"/>
    </xf>
    <xf numFmtId="178" fontId="11" fillId="0" borderId="0" xfId="28" applyNumberFormat="1" applyFont="1" applyBorder="1" applyAlignment="1">
      <alignment horizontal="right"/>
    </xf>
    <xf numFmtId="179" fontId="11" fillId="0" borderId="0" xfId="28" applyNumberFormat="1" applyFont="1" applyBorder="1" applyAlignment="1">
      <alignment horizontal="right"/>
    </xf>
    <xf numFmtId="6" fontId="38" fillId="0" borderId="0" xfId="0" applyNumberFormat="1" applyFont="1" applyAlignment="1">
      <alignment horizontal="right"/>
    </xf>
    <xf numFmtId="8" fontId="11" fillId="24" borderId="0" xfId="0" applyNumberFormat="1" applyFont="1" applyFill="1" applyAlignment="1">
      <alignment horizontal="right"/>
    </xf>
    <xf numFmtId="10" fontId="11" fillId="24" borderId="24" xfId="44" applyNumberFormat="1" applyFont="1" applyFill="1" applyBorder="1"/>
    <xf numFmtId="8" fontId="11" fillId="24" borderId="10" xfId="0" applyNumberFormat="1" applyFont="1" applyFill="1" applyBorder="1" applyAlignment="1">
      <alignment horizontal="right"/>
    </xf>
    <xf numFmtId="10" fontId="11" fillId="24" borderId="26" xfId="44" applyNumberFormat="1" applyFont="1" applyFill="1" applyBorder="1"/>
    <xf numFmtId="0" fontId="37" fillId="24" borderId="22" xfId="0" applyFont="1" applyFill="1" applyBorder="1"/>
    <xf numFmtId="166" fontId="11" fillId="24" borderId="24" xfId="28" applyNumberFormat="1" applyFont="1" applyFill="1" applyBorder="1"/>
    <xf numFmtId="0" fontId="37" fillId="0" borderId="24" xfId="0" applyFont="1" applyBorder="1"/>
    <xf numFmtId="14" fontId="11" fillId="24" borderId="24" xfId="0" applyNumberFormat="1" applyFont="1" applyFill="1" applyBorder="1"/>
    <xf numFmtId="10" fontId="11" fillId="24" borderId="24" xfId="44" applyNumberFormat="1" applyFont="1" applyFill="1" applyBorder="1" applyAlignment="1">
      <alignment horizontal="right"/>
    </xf>
    <xf numFmtId="10" fontId="11" fillId="24" borderId="26" xfId="44" applyNumberFormat="1" applyFont="1" applyFill="1" applyBorder="1" applyAlignment="1">
      <alignment horizontal="right"/>
    </xf>
    <xf numFmtId="0" fontId="11" fillId="24" borderId="24" xfId="0" applyFont="1" applyFill="1" applyBorder="1" applyAlignment="1">
      <alignment horizontal="center"/>
    </xf>
    <xf numFmtId="3" fontId="11" fillId="24" borderId="24" xfId="0" applyNumberFormat="1" applyFont="1" applyFill="1" applyBorder="1" applyAlignment="1">
      <alignment horizontal="right"/>
    </xf>
    <xf numFmtId="8" fontId="11" fillId="24" borderId="24" xfId="0" applyNumberFormat="1" applyFont="1" applyFill="1" applyBorder="1" applyAlignment="1">
      <alignment horizontal="right"/>
    </xf>
    <xf numFmtId="166" fontId="11" fillId="24" borderId="24" xfId="28" applyNumberFormat="1" applyFont="1" applyFill="1" applyBorder="1" applyAlignment="1">
      <alignment horizontal="right"/>
    </xf>
    <xf numFmtId="8" fontId="11" fillId="24" borderId="24" xfId="0" applyNumberFormat="1" applyFont="1" applyFill="1" applyBorder="1"/>
    <xf numFmtId="5" fontId="11" fillId="0" borderId="24" xfId="29" applyNumberFormat="1" applyFont="1" applyBorder="1" applyAlignment="1">
      <alignment horizontal="right"/>
    </xf>
    <xf numFmtId="167" fontId="0" fillId="0" borderId="24" xfId="0" applyNumberFormat="1" applyBorder="1" applyAlignment="1">
      <alignment horizontal="right"/>
    </xf>
    <xf numFmtId="0" fontId="0" fillId="0" borderId="24" xfId="0" applyBorder="1" applyAlignment="1">
      <alignment horizontal="right"/>
    </xf>
    <xf numFmtId="5" fontId="38" fillId="0" borderId="24" xfId="29" applyNumberFormat="1" applyFont="1" applyBorder="1" applyAlignment="1">
      <alignment horizontal="right"/>
    </xf>
    <xf numFmtId="178" fontId="11" fillId="0" borderId="24" xfId="28" applyNumberFormat="1" applyFont="1" applyBorder="1" applyAlignment="1">
      <alignment horizontal="right"/>
    </xf>
    <xf numFmtId="0" fontId="0" fillId="0" borderId="10" xfId="0" applyBorder="1" applyAlignment="1">
      <alignment horizontal="right"/>
    </xf>
    <xf numFmtId="0" fontId="0" fillId="0" borderId="10" xfId="0" applyBorder="1" applyAlignment="1">
      <alignment horizontal="left"/>
    </xf>
    <xf numFmtId="5" fontId="7" fillId="0" borderId="0" xfId="29" applyNumberFormat="1" applyFont="1" applyBorder="1" applyAlignment="1">
      <alignment horizontal="right"/>
    </xf>
    <xf numFmtId="10" fontId="40" fillId="26" borderId="29" xfId="44" applyNumberFormat="1" applyFont="1" applyFill="1" applyBorder="1" applyAlignment="1">
      <alignment horizontal="right"/>
    </xf>
    <xf numFmtId="5" fontId="7" fillId="0" borderId="24" xfId="29" applyNumberFormat="1" applyFont="1" applyBorder="1" applyAlignment="1">
      <alignment horizontal="right"/>
    </xf>
    <xf numFmtId="7" fontId="11" fillId="24" borderId="0" xfId="0" applyNumberFormat="1" applyFont="1" applyFill="1"/>
    <xf numFmtId="0" fontId="54" fillId="30" borderId="27" xfId="0" applyFont="1" applyFill="1" applyBorder="1" applyAlignment="1">
      <alignment horizontal="center"/>
    </xf>
    <xf numFmtId="0" fontId="55" fillId="30" borderId="35" xfId="0" applyFont="1" applyFill="1" applyBorder="1" applyAlignment="1">
      <alignment horizontal="center"/>
    </xf>
    <xf numFmtId="0" fontId="54" fillId="30" borderId="28" xfId="0" applyFont="1" applyFill="1" applyBorder="1" applyAlignment="1">
      <alignment horizontal="center"/>
    </xf>
    <xf numFmtId="0" fontId="47" fillId="30" borderId="27" xfId="0" applyFont="1" applyFill="1" applyBorder="1" applyAlignment="1">
      <alignment horizontal="center"/>
    </xf>
    <xf numFmtId="0" fontId="47" fillId="30" borderId="35" xfId="0" applyFont="1" applyFill="1" applyBorder="1" applyAlignment="1">
      <alignment horizontal="center"/>
    </xf>
    <xf numFmtId="0" fontId="47" fillId="30" borderId="28" xfId="0" applyFont="1" applyFill="1" applyBorder="1" applyAlignment="1">
      <alignment horizontal="center"/>
    </xf>
    <xf numFmtId="0" fontId="27" fillId="0" borderId="10" xfId="0" applyFont="1" applyBorder="1"/>
    <xf numFmtId="0" fontId="11" fillId="0" borderId="24" xfId="0" applyFont="1" applyBorder="1" applyAlignment="1">
      <alignment horizontal="center"/>
    </xf>
    <xf numFmtId="0" fontId="11" fillId="0" borderId="34" xfId="0" applyFont="1" applyBorder="1" applyProtection="1">
      <protection locked="0"/>
    </xf>
    <xf numFmtId="0" fontId="11" fillId="0" borderId="22" xfId="0" applyFont="1" applyBorder="1" applyProtection="1">
      <protection locked="0"/>
    </xf>
    <xf numFmtId="0" fontId="11" fillId="0" borderId="23" xfId="0" applyFont="1" applyBorder="1" applyProtection="1">
      <protection locked="0"/>
    </xf>
    <xf numFmtId="0" fontId="11" fillId="0" borderId="24" xfId="0" applyFont="1" applyBorder="1" applyProtection="1">
      <protection locked="0"/>
    </xf>
    <xf numFmtId="0" fontId="11" fillId="0" borderId="25" xfId="0" applyFont="1" applyBorder="1" applyProtection="1">
      <protection locked="0"/>
    </xf>
    <xf numFmtId="10" fontId="11" fillId="0" borderId="10" xfId="0" applyNumberFormat="1" applyFont="1" applyBorder="1" applyProtection="1">
      <protection locked="0"/>
    </xf>
    <xf numFmtId="0" fontId="11" fillId="0" borderId="26" xfId="0" applyFont="1" applyBorder="1" applyProtection="1">
      <protection locked="0"/>
    </xf>
    <xf numFmtId="0" fontId="11" fillId="0" borderId="23" xfId="0" applyFont="1" applyBorder="1" applyAlignment="1">
      <alignment wrapText="1"/>
    </xf>
    <xf numFmtId="8" fontId="40" fillId="26" borderId="29" xfId="0" applyNumberFormat="1" applyFont="1" applyFill="1" applyBorder="1"/>
    <xf numFmtId="0" fontId="5" fillId="0" borderId="24" xfId="0" applyFont="1" applyBorder="1" applyAlignment="1">
      <alignment horizontal="left"/>
    </xf>
    <xf numFmtId="37" fontId="11" fillId="0" borderId="22" xfId="0" applyNumberFormat="1" applyFont="1" applyBorder="1"/>
    <xf numFmtId="0" fontId="11" fillId="0" borderId="10" xfId="0" applyFont="1" applyBorder="1" applyAlignment="1">
      <alignment horizontal="right"/>
    </xf>
    <xf numFmtId="37" fontId="8" fillId="0" borderId="24" xfId="0" applyNumberFormat="1" applyFont="1" applyBorder="1"/>
    <xf numFmtId="37" fontId="7" fillId="0" borderId="41" xfId="0" applyNumberFormat="1" applyFont="1" applyBorder="1"/>
    <xf numFmtId="37" fontId="7" fillId="0" borderId="24" xfId="0" applyNumberFormat="1" applyFont="1" applyBorder="1"/>
    <xf numFmtId="37" fontId="7" fillId="0" borderId="43" xfId="0" applyNumberFormat="1" applyFont="1" applyBorder="1"/>
    <xf numFmtId="0" fontId="7" fillId="0" borderId="23" xfId="0" applyFont="1" applyBorder="1" applyAlignment="1">
      <alignment horizontal="left"/>
    </xf>
    <xf numFmtId="0" fontId="15" fillId="0" borderId="10" xfId="0" applyFont="1" applyBorder="1"/>
    <xf numFmtId="6" fontId="11" fillId="0" borderId="24" xfId="0" applyNumberFormat="1" applyFont="1" applyBorder="1" applyAlignment="1">
      <alignment horizontal="right"/>
    </xf>
    <xf numFmtId="37" fontId="11" fillId="0" borderId="40" xfId="0" applyNumberFormat="1" applyFont="1" applyBorder="1" applyAlignment="1">
      <alignment horizontal="right"/>
    </xf>
    <xf numFmtId="38" fontId="11" fillId="0" borderId="24" xfId="0" applyNumberFormat="1" applyFont="1" applyBorder="1" applyAlignment="1">
      <alignment horizontal="right"/>
    </xf>
    <xf numFmtId="0" fontId="7" fillId="0" borderId="25" xfId="0" applyFont="1" applyBorder="1" applyAlignment="1">
      <alignment horizontal="left"/>
    </xf>
    <xf numFmtId="38" fontId="7" fillId="0" borderId="43" xfId="0" applyNumberFormat="1" applyFont="1" applyBorder="1" applyAlignment="1">
      <alignment horizontal="right"/>
    </xf>
    <xf numFmtId="10" fontId="11" fillId="0" borderId="24" xfId="44" applyNumberFormat="1" applyFont="1" applyBorder="1"/>
    <xf numFmtId="0" fontId="16" fillId="0" borderId="0" xfId="0" applyFont="1" applyAlignment="1">
      <alignment horizontal="left"/>
    </xf>
    <xf numFmtId="0" fontId="16" fillId="0" borderId="23" xfId="0" applyFont="1" applyBorder="1" applyAlignment="1">
      <alignment horizontal="left"/>
    </xf>
    <xf numFmtId="0" fontId="16" fillId="0" borderId="24" xfId="0" applyFont="1" applyBorder="1" applyAlignment="1">
      <alignment horizontal="left"/>
    </xf>
    <xf numFmtId="49" fontId="11" fillId="0" borderId="34" xfId="0" applyNumberFormat="1" applyFont="1" applyBorder="1" applyAlignment="1">
      <alignment horizontal="left"/>
    </xf>
    <xf numFmtId="6" fontId="11" fillId="0" borderId="21" xfId="0" applyNumberFormat="1" applyFont="1" applyBorder="1"/>
    <xf numFmtId="49" fontId="11" fillId="0" borderId="10" xfId="0" applyNumberFormat="1" applyFont="1" applyBorder="1" applyAlignment="1">
      <alignment horizontal="right"/>
    </xf>
    <xf numFmtId="49" fontId="15" fillId="0" borderId="23" xfId="0" applyNumberFormat="1" applyFont="1" applyBorder="1" applyAlignment="1">
      <alignment horizontal="left"/>
    </xf>
    <xf numFmtId="38" fontId="7" fillId="0" borderId="41" xfId="0" applyNumberFormat="1" applyFont="1" applyBorder="1"/>
    <xf numFmtId="49" fontId="7" fillId="0" borderId="25" xfId="0" applyNumberFormat="1" applyFont="1" applyBorder="1" applyAlignment="1">
      <alignment horizontal="left"/>
    </xf>
    <xf numFmtId="38" fontId="7" fillId="0" borderId="42" xfId="0" applyNumberFormat="1" applyFont="1" applyBorder="1"/>
    <xf numFmtId="38" fontId="7" fillId="0" borderId="43" xfId="0" applyNumberFormat="1" applyFont="1" applyBorder="1"/>
    <xf numFmtId="38" fontId="11" fillId="0" borderId="40" xfId="0" applyNumberFormat="1" applyFont="1" applyBorder="1"/>
    <xf numFmtId="38" fontId="7" fillId="0" borderId="10" xfId="0" applyNumberFormat="1" applyFont="1" applyBorder="1"/>
    <xf numFmtId="38" fontId="7" fillId="0" borderId="26" xfId="0" applyNumberFormat="1" applyFont="1" applyBorder="1"/>
    <xf numFmtId="49" fontId="24" fillId="0" borderId="23" xfId="0" applyNumberFormat="1" applyFont="1" applyBorder="1" applyAlignment="1">
      <alignment horizontal="left"/>
    </xf>
    <xf numFmtId="10" fontId="24" fillId="0" borderId="0" xfId="0" applyNumberFormat="1" applyFont="1"/>
    <xf numFmtId="49" fontId="24" fillId="0" borderId="25" xfId="0" applyNumberFormat="1" applyFont="1" applyBorder="1" applyAlignment="1">
      <alignment horizontal="left"/>
    </xf>
    <xf numFmtId="10" fontId="24" fillId="0" borderId="10" xfId="0" applyNumberFormat="1" applyFont="1" applyBorder="1"/>
    <xf numFmtId="0" fontId="25" fillId="0" borderId="25" xfId="0" applyFont="1" applyBorder="1"/>
    <xf numFmtId="169" fontId="0" fillId="0" borderId="24" xfId="0" applyNumberFormat="1" applyBorder="1"/>
    <xf numFmtId="49" fontId="4" fillId="0" borderId="23" xfId="0" applyNumberFormat="1" applyFont="1" applyBorder="1" applyAlignment="1">
      <alignment horizontal="left"/>
    </xf>
    <xf numFmtId="0" fontId="14" fillId="0" borderId="0" xfId="0" applyFont="1" applyAlignment="1">
      <alignment horizontal="centerContinuous"/>
    </xf>
    <xf numFmtId="0" fontId="21" fillId="0" borderId="0" xfId="0" applyFont="1" applyAlignment="1">
      <alignment horizontal="centerContinuous"/>
    </xf>
    <xf numFmtId="0" fontId="14" fillId="0" borderId="24" xfId="0" applyFont="1" applyBorder="1" applyAlignment="1">
      <alignment horizontal="centerContinuous"/>
    </xf>
    <xf numFmtId="49" fontId="7" fillId="0" borderId="23" xfId="0" applyNumberFormat="1" applyFont="1" applyBorder="1"/>
    <xf numFmtId="49" fontId="11" fillId="0" borderId="33" xfId="0" applyNumberFormat="1" applyFont="1" applyBorder="1"/>
    <xf numFmtId="0" fontId="0" fillId="0" borderId="24" xfId="0" applyBorder="1" applyAlignment="1">
      <alignment horizontal="left"/>
    </xf>
    <xf numFmtId="49" fontId="40" fillId="25" borderId="29" xfId="0" applyNumberFormat="1" applyFont="1" applyFill="1" applyBorder="1" applyAlignment="1">
      <alignment horizontal="center"/>
    </xf>
    <xf numFmtId="49" fontId="58" fillId="0" borderId="23" xfId="0" applyNumberFormat="1" applyFont="1" applyBorder="1" applyAlignment="1">
      <alignment horizontal="left"/>
    </xf>
    <xf numFmtId="49" fontId="58" fillId="0" borderId="0" xfId="0" applyNumberFormat="1" applyFont="1" applyAlignment="1">
      <alignment horizontal="left"/>
    </xf>
    <xf numFmtId="49" fontId="58" fillId="0" borderId="24" xfId="0" applyNumberFormat="1" applyFont="1" applyBorder="1" applyAlignment="1">
      <alignment horizontal="left"/>
    </xf>
    <xf numFmtId="0" fontId="40" fillId="25" borderId="31" xfId="0" applyFont="1" applyFill="1" applyBorder="1" applyAlignment="1">
      <alignment horizontal="center"/>
    </xf>
    <xf numFmtId="37" fontId="0" fillId="0" borderId="0" xfId="0" applyNumberFormat="1" applyAlignment="1">
      <alignment horizontal="center"/>
    </xf>
    <xf numFmtId="0" fontId="4" fillId="0" borderId="0" xfId="0" applyFont="1" applyAlignment="1">
      <alignment horizontal="center"/>
    </xf>
    <xf numFmtId="3" fontId="0" fillId="0" borderId="12" xfId="0" applyNumberFormat="1" applyBorder="1" applyAlignment="1">
      <alignment horizontal="center"/>
    </xf>
    <xf numFmtId="168" fontId="0" fillId="0" borderId="0" xfId="0" applyNumberFormat="1" applyAlignment="1">
      <alignment horizontal="center"/>
    </xf>
    <xf numFmtId="10" fontId="7" fillId="0" borderId="0" xfId="0" applyNumberFormat="1" applyFont="1" applyAlignment="1">
      <alignment horizontal="center"/>
    </xf>
    <xf numFmtId="169" fontId="17" fillId="24" borderId="0" xfId="0" applyNumberFormat="1" applyFont="1" applyFill="1"/>
    <xf numFmtId="0" fontId="17" fillId="24" borderId="0" xfId="0" applyFont="1" applyFill="1"/>
    <xf numFmtId="10" fontId="17" fillId="24" borderId="0" xfId="0" applyNumberFormat="1" applyFont="1" applyFill="1"/>
    <xf numFmtId="10" fontId="17" fillId="24" borderId="10" xfId="0" applyNumberFormat="1" applyFont="1" applyFill="1" applyBorder="1"/>
    <xf numFmtId="10" fontId="0" fillId="0" borderId="22" xfId="0" applyNumberFormat="1" applyBorder="1"/>
    <xf numFmtId="169" fontId="0" fillId="0" borderId="26" xfId="0" applyNumberFormat="1" applyBorder="1"/>
    <xf numFmtId="169" fontId="0" fillId="0" borderId="10" xfId="0" applyNumberFormat="1" applyBorder="1"/>
    <xf numFmtId="167" fontId="11" fillId="0" borderId="0" xfId="0" applyNumberFormat="1" applyFont="1"/>
    <xf numFmtId="167" fontId="11" fillId="0" borderId="24" xfId="0" applyNumberFormat="1" applyFont="1" applyBorder="1"/>
    <xf numFmtId="49" fontId="42" fillId="27" borderId="31" xfId="0" applyNumberFormat="1" applyFont="1" applyFill="1" applyBorder="1" applyAlignment="1">
      <alignment horizontal="centerContinuous"/>
    </xf>
    <xf numFmtId="0" fontId="41" fillId="27" borderId="32" xfId="0" applyFont="1" applyFill="1" applyBorder="1" applyAlignment="1">
      <alignment horizontal="centerContinuous"/>
    </xf>
    <xf numFmtId="0" fontId="41" fillId="27" borderId="30" xfId="0" applyFont="1" applyFill="1" applyBorder="1" applyAlignment="1">
      <alignment horizontal="centerContinuous"/>
    </xf>
    <xf numFmtId="3" fontId="0" fillId="0" borderId="21" xfId="29" applyNumberFormat="1" applyFont="1" applyBorder="1" applyAlignment="1">
      <alignment horizontal="center"/>
    </xf>
    <xf numFmtId="0" fontId="7" fillId="0" borderId="34" xfId="0" applyFont="1" applyBorder="1" applyAlignment="1">
      <alignment horizontal="center"/>
    </xf>
    <xf numFmtId="10" fontId="0" fillId="0" borderId="0" xfId="44" applyNumberFormat="1" applyFont="1" applyBorder="1"/>
    <xf numFmtId="9" fontId="0" fillId="0" borderId="0" xfId="44" applyFont="1" applyBorder="1"/>
    <xf numFmtId="10" fontId="0" fillId="0" borderId="0" xfId="0" applyNumberFormat="1" applyAlignment="1">
      <alignment horizontal="center"/>
    </xf>
    <xf numFmtId="168" fontId="0" fillId="0" borderId="24" xfId="0" applyNumberFormat="1" applyBorder="1" applyAlignment="1">
      <alignment horizontal="center"/>
    </xf>
    <xf numFmtId="9" fontId="0" fillId="0" borderId="0" xfId="44" applyFont="1" applyBorder="1" applyAlignment="1">
      <alignment horizontal="right"/>
    </xf>
    <xf numFmtId="9" fontId="0" fillId="0" borderId="10" xfId="44" applyFont="1" applyBorder="1"/>
    <xf numFmtId="10" fontId="0" fillId="0" borderId="10" xfId="0" applyNumberFormat="1" applyBorder="1" applyAlignment="1">
      <alignment horizontal="center"/>
    </xf>
    <xf numFmtId="168" fontId="0" fillId="0" borderId="26" xfId="0" applyNumberFormat="1" applyBorder="1" applyAlignment="1">
      <alignment horizontal="center"/>
    </xf>
    <xf numFmtId="3" fontId="0" fillId="0" borderId="0" xfId="29" applyNumberFormat="1" applyFont="1" applyBorder="1" applyAlignment="1">
      <alignment horizontal="center" vertical="center"/>
    </xf>
    <xf numFmtId="10" fontId="0" fillId="0" borderId="0" xfId="44" applyNumberFormat="1" applyFont="1" applyBorder="1" applyAlignment="1">
      <alignment horizontal="right"/>
    </xf>
    <xf numFmtId="10" fontId="0" fillId="0" borderId="10" xfId="44" applyNumberFormat="1" applyFont="1" applyBorder="1"/>
    <xf numFmtId="0" fontId="4" fillId="0" borderId="23" xfId="0" applyFont="1" applyBorder="1" applyAlignment="1">
      <alignment horizontal="center"/>
    </xf>
    <xf numFmtId="0" fontId="4" fillId="0" borderId="24" xfId="0" applyFont="1" applyBorder="1" applyAlignment="1">
      <alignment horizontal="center"/>
    </xf>
    <xf numFmtId="3" fontId="0" fillId="0" borderId="24" xfId="29" applyNumberFormat="1" applyFont="1" applyBorder="1" applyAlignment="1">
      <alignment horizontal="center" vertical="center"/>
    </xf>
    <xf numFmtId="10" fontId="0" fillId="0" borderId="24" xfId="0" applyNumberFormat="1" applyBorder="1" applyAlignment="1">
      <alignment horizontal="center"/>
    </xf>
    <xf numFmtId="10" fontId="0" fillId="0" borderId="26" xfId="0" applyNumberFormat="1" applyBorder="1" applyAlignment="1">
      <alignment horizontal="center"/>
    </xf>
    <xf numFmtId="0" fontId="9" fillId="0" borderId="24" xfId="0" applyFont="1" applyBorder="1" applyAlignment="1">
      <alignment horizontal="center"/>
    </xf>
    <xf numFmtId="10" fontId="0" fillId="24" borderId="21" xfId="0" applyNumberFormat="1" applyFill="1" applyBorder="1"/>
    <xf numFmtId="0" fontId="0" fillId="24" borderId="24" xfId="0" applyFill="1" applyBorder="1"/>
    <xf numFmtId="38" fontId="11" fillId="0" borderId="23" xfId="0" applyNumberFormat="1" applyFont="1" applyBorder="1"/>
    <xf numFmtId="38" fontId="11" fillId="24" borderId="0" xfId="0" applyNumberFormat="1" applyFont="1" applyFill="1"/>
    <xf numFmtId="38" fontId="11" fillId="24" borderId="10" xfId="0" applyNumberFormat="1" applyFont="1" applyFill="1" applyBorder="1"/>
    <xf numFmtId="38" fontId="11" fillId="0" borderId="10" xfId="0" applyNumberFormat="1" applyFont="1" applyBorder="1" applyAlignment="1">
      <alignment horizontal="right"/>
    </xf>
    <xf numFmtId="0" fontId="11" fillId="0" borderId="10" xfId="0" applyFont="1" applyBorder="1" applyAlignment="1">
      <alignment horizontal="left"/>
    </xf>
    <xf numFmtId="0" fontId="11" fillId="0" borderId="26" xfId="0" applyFont="1" applyBorder="1" applyAlignment="1">
      <alignment horizontal="left"/>
    </xf>
    <xf numFmtId="37" fontId="11" fillId="0" borderId="0" xfId="44" applyNumberFormat="1" applyFont="1" applyBorder="1"/>
    <xf numFmtId="37" fontId="11" fillId="0" borderId="24" xfId="44" applyNumberFormat="1" applyFont="1" applyBorder="1"/>
    <xf numFmtId="1" fontId="11" fillId="0" borderId="0" xfId="0" applyNumberFormat="1" applyFont="1"/>
    <xf numFmtId="1" fontId="11" fillId="0" borderId="24" xfId="0" applyNumberFormat="1" applyFont="1" applyBorder="1"/>
    <xf numFmtId="169" fontId="11" fillId="0" borderId="24" xfId="0" applyNumberFormat="1" applyFont="1" applyBorder="1"/>
    <xf numFmtId="164" fontId="7" fillId="0" borderId="42" xfId="29" applyNumberFormat="1" applyFont="1" applyBorder="1" applyProtection="1"/>
    <xf numFmtId="164" fontId="7" fillId="0" borderId="43" xfId="29" applyNumberFormat="1" applyFont="1" applyBorder="1" applyProtection="1"/>
    <xf numFmtId="164" fontId="7" fillId="0" borderId="41" xfId="29" applyNumberFormat="1" applyFont="1" applyBorder="1" applyProtection="1"/>
    <xf numFmtId="37" fontId="11" fillId="0" borderId="34" xfId="0" applyNumberFormat="1" applyFont="1" applyBorder="1"/>
    <xf numFmtId="38" fontId="11" fillId="0" borderId="25" xfId="0" applyNumberFormat="1" applyFont="1" applyBorder="1"/>
    <xf numFmtId="37" fontId="11" fillId="0" borderId="23" xfId="44" applyNumberFormat="1" applyFont="1" applyBorder="1"/>
    <xf numFmtId="1" fontId="11" fillId="0" borderId="23" xfId="0" applyNumberFormat="1" applyFont="1" applyBorder="1"/>
    <xf numFmtId="169" fontId="11" fillId="0" borderId="23" xfId="0" applyNumberFormat="1" applyFont="1" applyBorder="1"/>
    <xf numFmtId="164" fontId="7" fillId="0" borderId="44" xfId="29" applyNumberFormat="1" applyFont="1" applyBorder="1" applyProtection="1"/>
    <xf numFmtId="164" fontId="7" fillId="0" borderId="45" xfId="29" applyNumberFormat="1" applyFont="1" applyBorder="1" applyProtection="1"/>
    <xf numFmtId="37" fontId="7" fillId="0" borderId="45" xfId="0" applyNumberFormat="1" applyFont="1" applyBorder="1"/>
    <xf numFmtId="37" fontId="11" fillId="0" borderId="23" xfId="44" applyNumberFormat="1" applyFont="1" applyBorder="1" applyAlignment="1">
      <alignment horizontal="center"/>
    </xf>
    <xf numFmtId="37" fontId="11" fillId="0" borderId="0" xfId="44" applyNumberFormat="1" applyFont="1" applyBorder="1" applyAlignment="1">
      <alignment horizontal="center"/>
    </xf>
    <xf numFmtId="49" fontId="40" fillId="25" borderId="32" xfId="0" applyNumberFormat="1" applyFont="1" applyFill="1" applyBorder="1" applyAlignment="1">
      <alignment horizontal="center"/>
    </xf>
    <xf numFmtId="164" fontId="7" fillId="0" borderId="25" xfId="29" applyNumberFormat="1" applyFont="1" applyBorder="1"/>
    <xf numFmtId="164" fontId="40" fillId="26" borderId="29" xfId="29" applyNumberFormat="1" applyFont="1" applyFill="1" applyBorder="1" applyProtection="1"/>
    <xf numFmtId="10" fontId="40" fillId="26" borderId="10" xfId="0" applyNumberFormat="1" applyFont="1" applyFill="1" applyBorder="1"/>
    <xf numFmtId="38" fontId="11" fillId="0" borderId="26" xfId="0" applyNumberFormat="1" applyFont="1" applyBorder="1" applyAlignment="1">
      <alignment horizontal="right"/>
    </xf>
    <xf numFmtId="38" fontId="40" fillId="26" borderId="29" xfId="0" applyNumberFormat="1" applyFont="1" applyFill="1" applyBorder="1"/>
    <xf numFmtId="44" fontId="0" fillId="0" borderId="0" xfId="29" applyFont="1"/>
    <xf numFmtId="44" fontId="11" fillId="24" borderId="24" xfId="29" applyFont="1" applyFill="1" applyBorder="1"/>
    <xf numFmtId="0" fontId="11" fillId="24" borderId="0" xfId="0" applyFont="1" applyFill="1" applyAlignment="1">
      <alignment horizontal="center"/>
    </xf>
    <xf numFmtId="3" fontId="11" fillId="24" borderId="0" xfId="0" applyNumberFormat="1" applyFont="1" applyFill="1" applyAlignment="1">
      <alignment horizontal="right"/>
    </xf>
    <xf numFmtId="165" fontId="11" fillId="24" borderId="0" xfId="0" applyNumberFormat="1" applyFont="1" applyFill="1"/>
    <xf numFmtId="166" fontId="11" fillId="24" borderId="0" xfId="28" applyNumberFormat="1" applyFont="1" applyFill="1" applyBorder="1" applyAlignment="1">
      <alignment horizontal="right"/>
    </xf>
    <xf numFmtId="8" fontId="11" fillId="24" borderId="0" xfId="0" applyNumberFormat="1" applyFont="1" applyFill="1"/>
    <xf numFmtId="10" fontId="11" fillId="0" borderId="0" xfId="44" applyNumberFormat="1" applyFont="1" applyBorder="1"/>
    <xf numFmtId="165" fontId="11" fillId="24" borderId="0" xfId="44" applyNumberFormat="1" applyFont="1" applyFill="1" applyBorder="1"/>
    <xf numFmtId="43" fontId="0" fillId="0" borderId="0" xfId="0" applyNumberFormat="1"/>
    <xf numFmtId="165" fontId="11" fillId="0" borderId="0" xfId="0" applyNumberFormat="1" applyFont="1"/>
    <xf numFmtId="165" fontId="11" fillId="24" borderId="24" xfId="0" applyNumberFormat="1" applyFont="1" applyFill="1" applyBorder="1"/>
    <xf numFmtId="167" fontId="11" fillId="0" borderId="0" xfId="29" applyNumberFormat="1" applyFont="1" applyBorder="1" applyAlignment="1">
      <alignment horizontal="right"/>
    </xf>
    <xf numFmtId="165" fontId="11" fillId="0" borderId="0" xfId="29" applyNumberFormat="1" applyFont="1" applyBorder="1" applyAlignment="1">
      <alignment horizontal="right"/>
    </xf>
    <xf numFmtId="10" fontId="11" fillId="24" borderId="0" xfId="44" applyNumberFormat="1" applyFont="1" applyFill="1" applyBorder="1" applyAlignment="1">
      <alignment horizontal="right"/>
    </xf>
    <xf numFmtId="10" fontId="11" fillId="24" borderId="10" xfId="44" applyNumberFormat="1" applyFont="1" applyFill="1" applyBorder="1" applyAlignment="1">
      <alignment horizontal="right"/>
    </xf>
    <xf numFmtId="167" fontId="11" fillId="24" borderId="0" xfId="29" applyNumberFormat="1" applyFont="1" applyFill="1" applyBorder="1" applyAlignment="1">
      <alignment horizontal="right"/>
    </xf>
    <xf numFmtId="165" fontId="11" fillId="24" borderId="0" xfId="29" applyNumberFormat="1" applyFont="1" applyFill="1" applyBorder="1" applyAlignment="1">
      <alignment horizontal="right"/>
    </xf>
    <xf numFmtId="167" fontId="11" fillId="24" borderId="10" xfId="29" applyNumberFormat="1" applyFont="1" applyFill="1" applyBorder="1" applyAlignment="1">
      <alignment horizontal="right"/>
    </xf>
    <xf numFmtId="165" fontId="11" fillId="24" borderId="10" xfId="29" applyNumberFormat="1" applyFont="1" applyFill="1" applyBorder="1" applyAlignment="1">
      <alignment horizontal="right"/>
    </xf>
    <xf numFmtId="44" fontId="11" fillId="0" borderId="0" xfId="0" applyNumberFormat="1" applyFont="1"/>
    <xf numFmtId="165" fontId="11" fillId="24" borderId="0" xfId="44" applyNumberFormat="1" applyFont="1" applyFill="1" applyBorder="1" applyAlignment="1">
      <alignment horizontal="right"/>
    </xf>
    <xf numFmtId="167" fontId="0" fillId="0" borderId="10" xfId="0" applyNumberFormat="1" applyBorder="1"/>
    <xf numFmtId="5" fontId="0" fillId="0" borderId="32" xfId="0" applyNumberFormat="1" applyBorder="1"/>
    <xf numFmtId="5" fontId="0" fillId="0" borderId="30" xfId="0" applyNumberFormat="1" applyBorder="1"/>
    <xf numFmtId="5" fontId="11" fillId="0" borderId="24" xfId="0" applyNumberFormat="1" applyFont="1" applyBorder="1" applyAlignment="1">
      <alignment horizontal="right"/>
    </xf>
    <xf numFmtId="5" fontId="11" fillId="0" borderId="26" xfId="0" applyNumberFormat="1" applyFont="1" applyBorder="1" applyAlignment="1">
      <alignment horizontal="right"/>
    </xf>
    <xf numFmtId="0" fontId="40" fillId="26" borderId="29" xfId="0" applyFont="1" applyFill="1" applyBorder="1" applyAlignment="1">
      <alignment horizontal="center"/>
    </xf>
    <xf numFmtId="166" fontId="11" fillId="0" borderId="0" xfId="28" applyNumberFormat="1" applyFont="1" applyBorder="1" applyAlignment="1">
      <alignment horizontal="right"/>
    </xf>
    <xf numFmtId="166" fontId="11" fillId="0" borderId="24" xfId="28" applyNumberFormat="1" applyFont="1" applyBorder="1" applyAlignment="1">
      <alignment horizontal="right"/>
    </xf>
    <xf numFmtId="167" fontId="11" fillId="0" borderId="24" xfId="29" applyNumberFormat="1" applyFont="1" applyBorder="1" applyAlignment="1">
      <alignment horizontal="right"/>
    </xf>
    <xf numFmtId="165" fontId="40" fillId="25" borderId="27" xfId="0" applyNumberFormat="1" applyFont="1" applyFill="1" applyBorder="1" applyAlignment="1">
      <alignment horizontal="center"/>
    </xf>
    <xf numFmtId="165" fontId="40" fillId="25" borderId="28" xfId="0" applyNumberFormat="1" applyFont="1" applyFill="1" applyBorder="1" applyAlignment="1">
      <alignment horizontal="center"/>
    </xf>
    <xf numFmtId="5" fontId="7" fillId="0" borderId="24" xfId="0" applyNumberFormat="1" applyFont="1" applyBorder="1" applyAlignment="1">
      <alignment horizontal="right"/>
    </xf>
    <xf numFmtId="5" fontId="7" fillId="0" borderId="26" xfId="29" applyNumberFormat="1" applyFont="1" applyBorder="1" applyAlignment="1">
      <alignment horizontal="right"/>
    </xf>
    <xf numFmtId="5" fontId="0" fillId="0" borderId="24" xfId="0" applyNumberFormat="1" applyBorder="1" applyAlignment="1">
      <alignment horizontal="right"/>
    </xf>
    <xf numFmtId="0" fontId="38" fillId="0" borderId="23" xfId="0" applyFont="1" applyBorder="1"/>
    <xf numFmtId="165" fontId="11" fillId="0" borderId="24" xfId="0" applyNumberFormat="1" applyFont="1" applyBorder="1"/>
    <xf numFmtId="8" fontId="11" fillId="0" borderId="0" xfId="0" applyNumberFormat="1" applyFont="1"/>
    <xf numFmtId="43" fontId="11" fillId="0" borderId="0" xfId="28" applyFont="1" applyBorder="1"/>
    <xf numFmtId="167" fontId="11" fillId="24" borderId="10" xfId="44" applyNumberFormat="1" applyFont="1" applyFill="1" applyBorder="1" applyAlignment="1">
      <alignment horizontal="right"/>
    </xf>
    <xf numFmtId="10" fontId="40" fillId="26" borderId="29" xfId="44" applyNumberFormat="1" applyFont="1" applyFill="1" applyBorder="1" applyAlignment="1">
      <alignment horizontal="right" wrapText="1"/>
    </xf>
    <xf numFmtId="5" fontId="7" fillId="0" borderId="10" xfId="29" applyNumberFormat="1" applyFont="1" applyBorder="1" applyAlignment="1">
      <alignment horizontal="right"/>
    </xf>
    <xf numFmtId="0" fontId="0" fillId="0" borderId="26" xfId="0" applyBorder="1" applyAlignment="1">
      <alignment horizontal="right"/>
    </xf>
    <xf numFmtId="8" fontId="0" fillId="0" borderId="21" xfId="0" applyNumberFormat="1" applyBorder="1"/>
    <xf numFmtId="4" fontId="40" fillId="26" borderId="29" xfId="0" applyNumberFormat="1" applyFont="1" applyFill="1" applyBorder="1"/>
    <xf numFmtId="165" fontId="0" fillId="0" borderId="24" xfId="0" applyNumberFormat="1" applyBorder="1"/>
    <xf numFmtId="8" fontId="32" fillId="0" borderId="24" xfId="0" applyNumberFormat="1" applyFont="1" applyBorder="1"/>
    <xf numFmtId="4" fontId="40" fillId="26" borderId="0" xfId="0" applyNumberFormat="1" applyFont="1" applyFill="1"/>
    <xf numFmtId="0" fontId="62" fillId="0" borderId="0" xfId="0" applyFont="1"/>
    <xf numFmtId="10" fontId="62" fillId="0" borderId="15" xfId="0" applyNumberFormat="1" applyFont="1" applyBorder="1"/>
    <xf numFmtId="0" fontId="40" fillId="25" borderId="24" xfId="0" applyFont="1" applyFill="1" applyBorder="1" applyAlignment="1">
      <alignment horizontal="center"/>
    </xf>
    <xf numFmtId="39" fontId="62" fillId="0" borderId="0" xfId="0" applyNumberFormat="1" applyFont="1"/>
    <xf numFmtId="10" fontId="62" fillId="0" borderId="0" xfId="0" applyNumberFormat="1" applyFont="1"/>
    <xf numFmtId="37" fontId="62" fillId="0" borderId="24" xfId="0" applyNumberFormat="1" applyFont="1" applyBorder="1"/>
    <xf numFmtId="0" fontId="40" fillId="26" borderId="31" xfId="0" applyFont="1" applyFill="1" applyBorder="1"/>
    <xf numFmtId="0" fontId="0" fillId="0" borderId="46" xfId="0" applyBorder="1"/>
    <xf numFmtId="169" fontId="30" fillId="0" borderId="0" xfId="0" applyNumberFormat="1" applyFont="1"/>
    <xf numFmtId="10" fontId="30" fillId="0" borderId="24" xfId="0" applyNumberFormat="1" applyFont="1" applyBorder="1"/>
    <xf numFmtId="0" fontId="41" fillId="29" borderId="0" xfId="0" applyFont="1" applyFill="1" applyAlignment="1">
      <alignment horizontal="center"/>
    </xf>
    <xf numFmtId="0" fontId="40" fillId="25" borderId="0" xfId="0" applyFont="1" applyFill="1" applyAlignment="1">
      <alignment horizontal="center"/>
    </xf>
    <xf numFmtId="49" fontId="40" fillId="25" borderId="0" xfId="0" applyNumberFormat="1" applyFont="1" applyFill="1" applyAlignment="1">
      <alignment horizontal="center"/>
    </xf>
    <xf numFmtId="0" fontId="63" fillId="0" borderId="0" xfId="41"/>
    <xf numFmtId="0" fontId="81" fillId="0" borderId="0" xfId="41" applyFont="1"/>
    <xf numFmtId="0" fontId="63" fillId="0" borderId="0" xfId="41" applyAlignment="1">
      <alignment horizontal="center"/>
    </xf>
    <xf numFmtId="0" fontId="81" fillId="0" borderId="0" xfId="41" applyFont="1" applyAlignment="1">
      <alignment horizontal="center"/>
    </xf>
    <xf numFmtId="0" fontId="81" fillId="0" borderId="0" xfId="41" applyFont="1" applyAlignment="1">
      <alignment horizontal="center" wrapText="1"/>
    </xf>
    <xf numFmtId="0" fontId="63" fillId="0" borderId="0" xfId="41" applyAlignment="1">
      <alignment wrapText="1"/>
    </xf>
    <xf numFmtId="0" fontId="78" fillId="0" borderId="0" xfId="41" applyFont="1" applyAlignment="1">
      <alignment horizontal="center" wrapText="1"/>
    </xf>
    <xf numFmtId="0" fontId="81" fillId="0" borderId="0" xfId="41" applyFont="1" applyAlignment="1">
      <alignment wrapText="1"/>
    </xf>
    <xf numFmtId="0" fontId="82" fillId="0" borderId="0" xfId="41" applyFont="1" applyAlignment="1">
      <alignment horizontal="center" wrapText="1"/>
    </xf>
    <xf numFmtId="3" fontId="81" fillId="0" borderId="0" xfId="41" applyNumberFormat="1" applyFont="1"/>
    <xf numFmtId="3" fontId="63" fillId="0" borderId="0" xfId="41" applyNumberFormat="1"/>
    <xf numFmtId="10" fontId="81" fillId="0" borderId="0" xfId="41" applyNumberFormat="1" applyFont="1"/>
    <xf numFmtId="10" fontId="63" fillId="0" borderId="0" xfId="41" applyNumberFormat="1"/>
    <xf numFmtId="165" fontId="81" fillId="0" borderId="0" xfId="41" applyNumberFormat="1" applyFont="1"/>
    <xf numFmtId="4" fontId="81" fillId="0" borderId="0" xfId="41" applyNumberFormat="1" applyFont="1"/>
    <xf numFmtId="0" fontId="78" fillId="0" borderId="0" xfId="41" applyFont="1" applyAlignment="1">
      <alignment horizontal="center"/>
    </xf>
    <xf numFmtId="1" fontId="83" fillId="0" borderId="0" xfId="41" applyNumberFormat="1" applyFont="1"/>
    <xf numFmtId="3" fontId="81" fillId="0" borderId="0" xfId="28" applyNumberFormat="1" applyFont="1"/>
    <xf numFmtId="3" fontId="83" fillId="0" borderId="0" xfId="41" applyNumberFormat="1" applyFont="1" applyAlignment="1">
      <alignment horizontal="right"/>
    </xf>
    <xf numFmtId="10" fontId="83" fillId="0" borderId="0" xfId="41" applyNumberFormat="1" applyFont="1"/>
    <xf numFmtId="10" fontId="78" fillId="0" borderId="0" xfId="41" applyNumberFormat="1" applyFont="1" applyAlignment="1">
      <alignment horizontal="center"/>
    </xf>
    <xf numFmtId="0" fontId="63" fillId="0" borderId="0" xfId="41" applyAlignment="1">
      <alignment horizontal="center" wrapText="1"/>
    </xf>
    <xf numFmtId="165" fontId="63" fillId="0" borderId="0" xfId="41" applyNumberFormat="1"/>
    <xf numFmtId="0" fontId="84" fillId="0" borderId="47" xfId="41" applyFont="1" applyBorder="1" applyAlignment="1">
      <alignment horizontal="centerContinuous"/>
    </xf>
    <xf numFmtId="0" fontId="63" fillId="0" borderId="10" xfId="41" applyBorder="1"/>
    <xf numFmtId="0" fontId="84" fillId="0" borderId="47" xfId="41" applyFont="1" applyBorder="1" applyAlignment="1">
      <alignment horizontal="center"/>
    </xf>
    <xf numFmtId="0" fontId="79" fillId="0" borderId="0" xfId="41" applyFont="1" applyAlignment="1">
      <alignment horizontal="right"/>
    </xf>
    <xf numFmtId="10" fontId="79" fillId="0" borderId="0" xfId="41" applyNumberFormat="1" applyFont="1"/>
    <xf numFmtId="165" fontId="79" fillId="0" borderId="0" xfId="41" applyNumberFormat="1" applyFont="1"/>
    <xf numFmtId="0" fontId="85" fillId="0" borderId="0" xfId="41" applyFont="1"/>
    <xf numFmtId="167" fontId="32" fillId="0" borderId="0" xfId="0" applyNumberFormat="1" applyFont="1"/>
    <xf numFmtId="167" fontId="7" fillId="0" borderId="0" xfId="0" applyNumberFormat="1" applyFont="1"/>
    <xf numFmtId="10" fontId="17" fillId="0" borderId="0" xfId="0" applyNumberFormat="1" applyFont="1"/>
    <xf numFmtId="0" fontId="86" fillId="0" borderId="0" xfId="0" applyFont="1"/>
    <xf numFmtId="6" fontId="17" fillId="0" borderId="0" xfId="0" applyNumberFormat="1" applyFont="1"/>
    <xf numFmtId="3" fontId="87" fillId="0" borderId="0" xfId="0" applyNumberFormat="1" applyFont="1"/>
    <xf numFmtId="9" fontId="17" fillId="0" borderId="0" xfId="0" applyNumberFormat="1" applyFont="1"/>
    <xf numFmtId="0" fontId="88" fillId="0" borderId="0" xfId="0" applyFont="1"/>
    <xf numFmtId="0" fontId="89" fillId="0" borderId="0" xfId="0" applyFont="1"/>
    <xf numFmtId="172" fontId="11" fillId="24" borderId="10" xfId="0" applyNumberFormat="1" applyFont="1" applyFill="1" applyBorder="1"/>
    <xf numFmtId="0" fontId="90" fillId="0" borderId="0" xfId="0" applyFont="1"/>
    <xf numFmtId="37" fontId="11" fillId="31" borderId="12" xfId="0" applyNumberFormat="1" applyFont="1" applyFill="1" applyBorder="1"/>
    <xf numFmtId="37" fontId="11" fillId="31" borderId="0" xfId="0" applyNumberFormat="1" applyFont="1" applyFill="1"/>
    <xf numFmtId="164" fontId="0" fillId="0" borderId="40" xfId="0" applyNumberFormat="1" applyBorder="1"/>
    <xf numFmtId="167" fontId="11" fillId="32" borderId="0" xfId="0" applyNumberFormat="1" applyFont="1" applyFill="1"/>
    <xf numFmtId="180" fontId="11" fillId="0" borderId="0" xfId="0" applyNumberFormat="1" applyFont="1"/>
    <xf numFmtId="0" fontId="15" fillId="0" borderId="21" xfId="0" applyFont="1" applyBorder="1"/>
    <xf numFmtId="0" fontId="5" fillId="0" borderId="0" xfId="0" applyFont="1"/>
    <xf numFmtId="3" fontId="11" fillId="24" borderId="0" xfId="0" applyNumberFormat="1" applyFont="1" applyFill="1"/>
    <xf numFmtId="5" fontId="11" fillId="24" borderId="0" xfId="0" applyNumberFormat="1" applyFont="1" applyFill="1" applyProtection="1">
      <protection locked="0"/>
    </xf>
    <xf numFmtId="3" fontId="11" fillId="24" borderId="21" xfId="0" applyNumberFormat="1" applyFont="1" applyFill="1" applyBorder="1"/>
    <xf numFmtId="3" fontId="0" fillId="24" borderId="0" xfId="0" applyNumberFormat="1" applyFill="1"/>
    <xf numFmtId="3" fontId="11" fillId="0" borderId="0" xfId="29" applyNumberFormat="1" applyFont="1" applyBorder="1" applyAlignment="1">
      <alignment horizontal="center" vertical="center"/>
    </xf>
    <xf numFmtId="171" fontId="7" fillId="0" borderId="26" xfId="44" applyNumberFormat="1" applyFont="1" applyBorder="1"/>
    <xf numFmtId="5" fontId="11" fillId="0" borderId="0" xfId="29" applyNumberFormat="1" applyFont="1" applyFill="1" applyBorder="1" applyAlignment="1">
      <alignment horizontal="right"/>
    </xf>
    <xf numFmtId="167" fontId="0" fillId="33" borderId="0" xfId="0" applyNumberFormat="1" applyFill="1" applyAlignment="1">
      <alignment horizontal="right"/>
    </xf>
    <xf numFmtId="167" fontId="0" fillId="33" borderId="24" xfId="0" applyNumberFormat="1" applyFill="1" applyBorder="1" applyAlignment="1">
      <alignment horizontal="right"/>
    </xf>
    <xf numFmtId="0" fontId="11" fillId="34" borderId="23" xfId="0" applyFont="1" applyFill="1" applyBorder="1"/>
    <xf numFmtId="0" fontId="11" fillId="34" borderId="0" xfId="0" applyFont="1" applyFill="1"/>
    <xf numFmtId="0" fontId="7" fillId="34" borderId="23" xfId="0" applyFont="1" applyFill="1" applyBorder="1" applyAlignment="1">
      <alignment horizontal="left"/>
    </xf>
    <xf numFmtId="167" fontId="11" fillId="34" borderId="0" xfId="0" applyNumberFormat="1" applyFont="1" applyFill="1"/>
    <xf numFmtId="8" fontId="11" fillId="34" borderId="24" xfId="0" applyNumberFormat="1" applyFont="1" applyFill="1" applyBorder="1"/>
    <xf numFmtId="0" fontId="7" fillId="34" borderId="34" xfId="0" applyFont="1" applyFill="1" applyBorder="1"/>
    <xf numFmtId="0" fontId="11" fillId="34" borderId="10" xfId="0" applyFont="1" applyFill="1" applyBorder="1"/>
    <xf numFmtId="165" fontId="11" fillId="34" borderId="10" xfId="0" applyNumberFormat="1" applyFont="1" applyFill="1" applyBorder="1"/>
    <xf numFmtId="10" fontId="11" fillId="34" borderId="10" xfId="44" applyNumberFormat="1" applyFont="1" applyFill="1" applyBorder="1"/>
    <xf numFmtId="165" fontId="11" fillId="34" borderId="26" xfId="0" applyNumberFormat="1" applyFont="1" applyFill="1" applyBorder="1"/>
    <xf numFmtId="0" fontId="11" fillId="35" borderId="0" xfId="0" applyFont="1" applyFill="1"/>
    <xf numFmtId="37" fontId="0" fillId="34" borderId="0" xfId="0" applyNumberFormat="1" applyFill="1" applyAlignment="1">
      <alignment horizontal="right"/>
    </xf>
    <xf numFmtId="0" fontId="7" fillId="34" borderId="23" xfId="0" applyFont="1" applyFill="1" applyBorder="1"/>
    <xf numFmtId="0" fontId="0" fillId="37" borderId="23" xfId="0" applyFill="1" applyBorder="1"/>
    <xf numFmtId="0" fontId="0" fillId="37" borderId="0" xfId="0" applyFill="1"/>
    <xf numFmtId="37" fontId="0" fillId="0" borderId="48" xfId="0" applyNumberFormat="1" applyBorder="1"/>
    <xf numFmtId="37" fontId="0" fillId="0" borderId="15" xfId="0" applyNumberFormat="1" applyBorder="1"/>
    <xf numFmtId="0" fontId="0" fillId="37" borderId="12" xfId="0" applyFill="1" applyBorder="1"/>
    <xf numFmtId="37" fontId="15" fillId="0" borderId="12" xfId="0" applyNumberFormat="1" applyFont="1" applyBorder="1" applyAlignment="1">
      <alignment horizontal="center"/>
    </xf>
    <xf numFmtId="0" fontId="15" fillId="0" borderId="12" xfId="0" applyFont="1" applyBorder="1" applyAlignment="1">
      <alignment horizontal="center"/>
    </xf>
    <xf numFmtId="0" fontId="15" fillId="0" borderId="40" xfId="0" applyFont="1" applyBorder="1" applyAlignment="1">
      <alignment horizontal="center"/>
    </xf>
    <xf numFmtId="37" fontId="0" fillId="34" borderId="49" xfId="0" applyNumberFormat="1" applyFill="1" applyBorder="1"/>
    <xf numFmtId="0" fontId="0" fillId="37" borderId="24" xfId="0" applyFill="1" applyBorder="1"/>
    <xf numFmtId="37" fontId="0" fillId="37" borderId="0" xfId="0" applyNumberFormat="1" applyFill="1"/>
    <xf numFmtId="0" fontId="11" fillId="37" borderId="24" xfId="0" applyFont="1" applyFill="1" applyBorder="1"/>
    <xf numFmtId="37" fontId="11" fillId="37" borderId="0" xfId="0" applyNumberFormat="1" applyFont="1" applyFill="1" applyAlignment="1">
      <alignment horizontal="right"/>
    </xf>
    <xf numFmtId="0" fontId="7" fillId="37" borderId="33" xfId="0" applyFont="1" applyFill="1" applyBorder="1"/>
    <xf numFmtId="0" fontId="0" fillId="37" borderId="40" xfId="0" applyFill="1" applyBorder="1"/>
    <xf numFmtId="0" fontId="11" fillId="37" borderId="0" xfId="0" applyFont="1" applyFill="1" applyAlignment="1">
      <alignment horizontal="right"/>
    </xf>
    <xf numFmtId="170" fontId="0" fillId="31" borderId="0" xfId="0" applyNumberFormat="1" applyFill="1"/>
    <xf numFmtId="0" fontId="0" fillId="31" borderId="0" xfId="0" applyFill="1"/>
    <xf numFmtId="1" fontId="0" fillId="31" borderId="24" xfId="0" applyNumberFormat="1" applyFill="1" applyBorder="1"/>
    <xf numFmtId="0" fontId="11" fillId="31" borderId="12" xfId="0" applyFont="1" applyFill="1" applyBorder="1"/>
    <xf numFmtId="1" fontId="0" fillId="31" borderId="40" xfId="0" applyNumberFormat="1" applyFill="1" applyBorder="1"/>
    <xf numFmtId="37" fontId="0" fillId="31" borderId="13" xfId="0" applyNumberFormat="1" applyFill="1" applyBorder="1"/>
    <xf numFmtId="37" fontId="0" fillId="31" borderId="41" xfId="0" applyNumberFormat="1" applyFill="1" applyBorder="1"/>
    <xf numFmtId="43" fontId="40" fillId="26" borderId="29" xfId="28" applyFont="1" applyFill="1" applyBorder="1" applyProtection="1"/>
    <xf numFmtId="0" fontId="0" fillId="38" borderId="0" xfId="0" applyFill="1"/>
    <xf numFmtId="37" fontId="0" fillId="38" borderId="0" xfId="0" applyNumberFormat="1" applyFill="1"/>
    <xf numFmtId="37" fontId="0" fillId="38" borderId="24" xfId="0" applyNumberFormat="1" applyFill="1" applyBorder="1"/>
    <xf numFmtId="5" fontId="0" fillId="38" borderId="0" xfId="0" applyNumberFormat="1" applyFill="1"/>
    <xf numFmtId="2" fontId="0" fillId="38" borderId="0" xfId="0" applyNumberFormat="1" applyFill="1"/>
    <xf numFmtId="2" fontId="0" fillId="38" borderId="24" xfId="0" applyNumberFormat="1" applyFill="1" applyBorder="1"/>
    <xf numFmtId="0" fontId="7" fillId="38" borderId="0" xfId="0" applyFont="1" applyFill="1" applyAlignment="1">
      <alignment horizontal="center"/>
    </xf>
    <xf numFmtId="166" fontId="0" fillId="24" borderId="0" xfId="28" applyNumberFormat="1" applyFont="1" applyFill="1" applyBorder="1"/>
    <xf numFmtId="9" fontId="0" fillId="24" borderId="0" xfId="44" applyFont="1" applyFill="1" applyBorder="1"/>
    <xf numFmtId="167" fontId="0" fillId="33" borderId="0" xfId="0" applyNumberFormat="1" applyFill="1"/>
    <xf numFmtId="167" fontId="0" fillId="33" borderId="24" xfId="0" applyNumberFormat="1" applyFill="1" applyBorder="1"/>
    <xf numFmtId="167" fontId="0" fillId="0" borderId="12" xfId="0" applyNumberFormat="1" applyBorder="1" applyAlignment="1">
      <alignment horizontal="right"/>
    </xf>
    <xf numFmtId="167" fontId="0" fillId="0" borderId="40" xfId="0" applyNumberFormat="1" applyBorder="1" applyAlignment="1">
      <alignment horizontal="right"/>
    </xf>
    <xf numFmtId="167" fontId="0" fillId="0" borderId="12" xfId="0" applyNumberFormat="1" applyBorder="1"/>
    <xf numFmtId="167" fontId="0" fillId="34" borderId="12" xfId="0" applyNumberFormat="1" applyFill="1" applyBorder="1"/>
    <xf numFmtId="167" fontId="0" fillId="0" borderId="40" xfId="0" applyNumberFormat="1" applyBorder="1"/>
    <xf numFmtId="167" fontId="0" fillId="39" borderId="0" xfId="0" applyNumberFormat="1" applyFill="1"/>
    <xf numFmtId="167" fontId="11" fillId="39" borderId="0" xfId="0" applyNumberFormat="1" applyFont="1" applyFill="1"/>
    <xf numFmtId="10" fontId="11" fillId="34" borderId="24" xfId="44" applyNumberFormat="1" applyFont="1" applyFill="1" applyBorder="1" applyAlignment="1">
      <alignment horizontal="right"/>
    </xf>
    <xf numFmtId="10" fontId="7" fillId="34" borderId="10" xfId="44" applyNumberFormat="1" applyFont="1" applyFill="1" applyBorder="1"/>
    <xf numFmtId="6" fontId="40" fillId="26" borderId="29" xfId="0" applyNumberFormat="1" applyFont="1" applyFill="1" applyBorder="1" applyAlignment="1">
      <alignment horizontal="center"/>
    </xf>
    <xf numFmtId="37" fontId="102" fillId="26" borderId="29" xfId="0" applyNumberFormat="1" applyFont="1" applyFill="1" applyBorder="1" applyAlignment="1">
      <alignment horizontal="center"/>
    </xf>
    <xf numFmtId="8" fontId="11" fillId="34" borderId="0" xfId="0" applyNumberFormat="1" applyFont="1" applyFill="1"/>
    <xf numFmtId="10" fontId="94" fillId="34" borderId="0" xfId="44" applyNumberFormat="1" applyFont="1" applyFill="1" applyBorder="1"/>
    <xf numFmtId="0" fontId="103" fillId="0" borderId="23" xfId="0" applyFont="1" applyBorder="1"/>
    <xf numFmtId="167" fontId="0" fillId="34" borderId="0" xfId="0" applyNumberFormat="1" applyFill="1"/>
    <xf numFmtId="37" fontId="0" fillId="0" borderId="25" xfId="0" applyNumberFormat="1" applyBorder="1"/>
    <xf numFmtId="37" fontId="11" fillId="0" borderId="25" xfId="0" applyNumberFormat="1" applyFont="1" applyBorder="1"/>
    <xf numFmtId="38" fontId="0" fillId="0" borderId="0" xfId="0" applyNumberFormat="1"/>
    <xf numFmtId="10" fontId="0" fillId="0" borderId="24" xfId="44" applyNumberFormat="1" applyFont="1" applyBorder="1"/>
    <xf numFmtId="0" fontId="95" fillId="0" borderId="23" xfId="0" applyFont="1" applyBorder="1"/>
    <xf numFmtId="0" fontId="0" fillId="0" borderId="32" xfId="0" applyBorder="1"/>
    <xf numFmtId="5" fontId="9" fillId="0" borderId="0" xfId="0" applyNumberFormat="1" applyFont="1"/>
    <xf numFmtId="37" fontId="7" fillId="0" borderId="21" xfId="0" applyNumberFormat="1" applyFont="1" applyBorder="1"/>
    <xf numFmtId="0" fontId="0" fillId="0" borderId="25" xfId="40" applyFont="1" applyBorder="1"/>
    <xf numFmtId="0" fontId="40" fillId="30" borderId="27" xfId="40" applyFont="1" applyFill="1" applyBorder="1" applyAlignment="1">
      <alignment horizontal="center"/>
    </xf>
    <xf numFmtId="0" fontId="40" fillId="30" borderId="35" xfId="40" applyFont="1" applyFill="1" applyBorder="1" applyAlignment="1">
      <alignment horizontal="center"/>
    </xf>
    <xf numFmtId="0" fontId="40" fillId="30" borderId="28" xfId="40" applyFont="1" applyFill="1" applyBorder="1" applyAlignment="1">
      <alignment horizontal="center"/>
    </xf>
    <xf numFmtId="10" fontId="22" fillId="24" borderId="25" xfId="40" applyNumberFormat="1" applyFont="1" applyFill="1" applyBorder="1"/>
    <xf numFmtId="10" fontId="11" fillId="34" borderId="26" xfId="0" applyNumberFormat="1" applyFont="1" applyFill="1" applyBorder="1"/>
    <xf numFmtId="9" fontId="40" fillId="0" borderId="29" xfId="0" applyNumberFormat="1" applyFont="1" applyBorder="1" applyAlignment="1">
      <alignment horizontal="center"/>
    </xf>
    <xf numFmtId="7" fontId="0" fillId="40" borderId="0" xfId="0" applyNumberFormat="1" applyFill="1"/>
    <xf numFmtId="10" fontId="0" fillId="40" borderId="0" xfId="0" applyNumberFormat="1" applyFill="1"/>
    <xf numFmtId="10" fontId="11" fillId="24" borderId="0" xfId="44" applyNumberFormat="1" applyFont="1" applyFill="1" applyBorder="1" applyAlignment="1">
      <alignment horizontal="center"/>
    </xf>
    <xf numFmtId="10" fontId="11" fillId="24" borderId="24" xfId="44" applyNumberFormat="1" applyFont="1" applyFill="1" applyBorder="1" applyAlignment="1">
      <alignment horizontal="center"/>
    </xf>
    <xf numFmtId="5" fontId="11" fillId="0" borderId="21" xfId="0" applyNumberFormat="1" applyFont="1" applyBorder="1"/>
    <xf numFmtId="10" fontId="0" fillId="24" borderId="49" xfId="0" applyNumberFormat="1" applyFill="1" applyBorder="1"/>
    <xf numFmtId="10" fontId="7" fillId="0" borderId="10" xfId="44" applyNumberFormat="1" applyFont="1" applyBorder="1"/>
    <xf numFmtId="5" fontId="11" fillId="0" borderId="40" xfId="0" applyNumberFormat="1" applyFont="1" applyBorder="1"/>
    <xf numFmtId="0" fontId="41" fillId="0" borderId="0" xfId="0" applyFont="1" applyAlignment="1">
      <alignment horizontal="center"/>
    </xf>
    <xf numFmtId="0" fontId="41" fillId="0" borderId="24" xfId="0" applyFont="1" applyBorder="1" applyAlignment="1">
      <alignment horizontal="center"/>
    </xf>
    <xf numFmtId="166" fontId="11" fillId="0" borderId="0" xfId="28" applyNumberFormat="1" applyFont="1" applyFill="1" applyBorder="1" applyAlignment="1">
      <alignment horizontal="center"/>
    </xf>
    <xf numFmtId="0" fontId="41" fillId="0" borderId="12" xfId="0" applyFont="1" applyBorder="1" applyAlignment="1">
      <alignment horizontal="center"/>
    </xf>
    <xf numFmtId="3" fontId="0" fillId="0" borderId="12" xfId="0" applyNumberFormat="1" applyBorder="1"/>
    <xf numFmtId="37" fontId="11" fillId="0" borderId="23" xfId="0" applyNumberFormat="1" applyFont="1" applyBorder="1" applyAlignment="1">
      <alignment horizontal="left"/>
    </xf>
    <xf numFmtId="166" fontId="11" fillId="0" borderId="24" xfId="28" applyNumberFormat="1" applyFont="1" applyFill="1" applyBorder="1" applyAlignment="1">
      <alignment horizontal="center"/>
    </xf>
    <xf numFmtId="166" fontId="11" fillId="0" borderId="40" xfId="28" applyNumberFormat="1" applyFont="1" applyFill="1" applyBorder="1" applyAlignment="1">
      <alignment horizontal="center"/>
    </xf>
    <xf numFmtId="37" fontId="104" fillId="0" borderId="24" xfId="0" applyNumberFormat="1" applyFont="1" applyBorder="1"/>
    <xf numFmtId="10" fontId="7" fillId="34" borderId="49" xfId="0" applyNumberFormat="1" applyFont="1" applyFill="1" applyBorder="1"/>
    <xf numFmtId="9" fontId="11" fillId="24" borderId="10" xfId="44" applyFont="1" applyFill="1" applyBorder="1"/>
    <xf numFmtId="9" fontId="104" fillId="24" borderId="0" xfId="44" applyFont="1" applyFill="1" applyBorder="1"/>
    <xf numFmtId="171" fontId="7" fillId="0" borderId="22" xfId="44" applyNumberFormat="1" applyFont="1" applyBorder="1"/>
    <xf numFmtId="10" fontId="0" fillId="34" borderId="10" xfId="0" applyNumberFormat="1" applyFill="1" applyBorder="1"/>
    <xf numFmtId="10" fontId="97" fillId="34" borderId="0" xfId="44" applyNumberFormat="1" applyFont="1" applyFill="1" applyBorder="1"/>
    <xf numFmtId="10" fontId="97" fillId="34" borderId="0" xfId="44" applyNumberFormat="1" applyFont="1" applyFill="1" applyBorder="1" applyAlignment="1">
      <alignment horizontal="right"/>
    </xf>
    <xf numFmtId="10" fontId="97" fillId="34" borderId="10" xfId="44" applyNumberFormat="1" applyFont="1" applyFill="1" applyBorder="1"/>
    <xf numFmtId="0" fontId="43" fillId="0" borderId="23" xfId="0" applyFont="1" applyBorder="1" applyAlignment="1">
      <alignment horizontal="center"/>
    </xf>
    <xf numFmtId="0" fontId="43" fillId="0" borderId="0" xfId="0" applyFont="1" applyAlignment="1">
      <alignment horizontal="center"/>
    </xf>
    <xf numFmtId="0" fontId="43" fillId="0" borderId="24" xfId="0" applyFont="1" applyBorder="1" applyAlignment="1">
      <alignment horizontal="center"/>
    </xf>
    <xf numFmtId="5" fontId="11" fillId="0" borderId="12" xfId="29" applyNumberFormat="1" applyFont="1" applyBorder="1" applyAlignment="1">
      <alignment horizontal="right"/>
    </xf>
    <xf numFmtId="166" fontId="7" fillId="31" borderId="24" xfId="28" applyNumberFormat="1" applyFont="1" applyFill="1" applyBorder="1" applyAlignment="1">
      <alignment horizontal="center"/>
    </xf>
    <xf numFmtId="5" fontId="11" fillId="31" borderId="24" xfId="29" applyNumberFormat="1" applyFont="1" applyFill="1" applyBorder="1" applyAlignment="1">
      <alignment horizontal="right"/>
    </xf>
    <xf numFmtId="167" fontId="11" fillId="31" borderId="24" xfId="0" applyNumberFormat="1" applyFont="1" applyFill="1" applyBorder="1" applyAlignment="1">
      <alignment horizontal="right"/>
    </xf>
    <xf numFmtId="167" fontId="11" fillId="31" borderId="40" xfId="0" applyNumberFormat="1" applyFont="1" applyFill="1" applyBorder="1"/>
    <xf numFmtId="5" fontId="11" fillId="31" borderId="24" xfId="0" applyNumberFormat="1" applyFont="1" applyFill="1" applyBorder="1"/>
    <xf numFmtId="5" fontId="11" fillId="31" borderId="40" xfId="29" applyNumberFormat="1" applyFont="1" applyFill="1" applyBorder="1" applyAlignment="1">
      <alignment horizontal="right"/>
    </xf>
    <xf numFmtId="5" fontId="7" fillId="31" borderId="24" xfId="0" applyNumberFormat="1" applyFont="1" applyFill="1" applyBorder="1"/>
    <xf numFmtId="5" fontId="7" fillId="0" borderId="12" xfId="29" applyNumberFormat="1" applyFont="1" applyBorder="1" applyAlignment="1">
      <alignment horizontal="right"/>
    </xf>
    <xf numFmtId="5" fontId="7" fillId="34" borderId="13" xfId="29" applyNumberFormat="1" applyFont="1" applyFill="1" applyBorder="1" applyAlignment="1">
      <alignment horizontal="right"/>
    </xf>
    <xf numFmtId="0" fontId="0" fillId="0" borderId="31" xfId="0" applyBorder="1"/>
    <xf numFmtId="0" fontId="0" fillId="0" borderId="30" xfId="0" applyBorder="1"/>
    <xf numFmtId="178" fontId="104" fillId="0" borderId="12" xfId="28" applyNumberFormat="1" applyFont="1" applyBorder="1" applyAlignment="1">
      <alignment horizontal="right"/>
    </xf>
    <xf numFmtId="179" fontId="104" fillId="0" borderId="12" xfId="28" applyNumberFormat="1" applyFont="1" applyBorder="1" applyAlignment="1">
      <alignment horizontal="right"/>
    </xf>
    <xf numFmtId="0" fontId="12" fillId="0" borderId="23" xfId="0" applyFont="1" applyBorder="1"/>
    <xf numFmtId="0" fontId="40" fillId="29" borderId="29" xfId="0" applyFont="1" applyFill="1" applyBorder="1"/>
    <xf numFmtId="37" fontId="40" fillId="0" borderId="25" xfId="0" applyNumberFormat="1" applyFont="1" applyBorder="1" applyAlignment="1">
      <alignment horizontal="center"/>
    </xf>
    <xf numFmtId="9" fontId="11" fillId="24" borderId="24" xfId="44" applyFont="1" applyFill="1" applyBorder="1"/>
    <xf numFmtId="3" fontId="11" fillId="24" borderId="24" xfId="0" applyNumberFormat="1" applyFont="1" applyFill="1" applyBorder="1"/>
    <xf numFmtId="9" fontId="11" fillId="0" borderId="0" xfId="0" applyNumberFormat="1" applyFont="1" applyAlignment="1">
      <alignment horizontal="left"/>
    </xf>
    <xf numFmtId="10" fontId="11" fillId="0" borderId="0" xfId="0" applyNumberFormat="1" applyFont="1" applyAlignment="1">
      <alignment horizontal="center"/>
    </xf>
    <xf numFmtId="10" fontId="7" fillId="0" borderId="0" xfId="44" applyNumberFormat="1" applyFont="1" applyBorder="1"/>
    <xf numFmtId="10" fontId="105" fillId="0" borderId="0" xfId="0" applyNumberFormat="1" applyFont="1" applyAlignment="1">
      <alignment horizontal="center"/>
    </xf>
    <xf numFmtId="38" fontId="7" fillId="0" borderId="50" xfId="0" applyNumberFormat="1" applyFont="1" applyBorder="1" applyAlignment="1">
      <alignment horizontal="right"/>
    </xf>
    <xf numFmtId="0" fontId="29" fillId="0" borderId="0" xfId="0" applyFont="1" applyAlignment="1">
      <alignment horizontal="left" wrapText="1"/>
    </xf>
    <xf numFmtId="0" fontId="29" fillId="0" borderId="0" xfId="0" applyFont="1" applyAlignment="1">
      <alignment wrapText="1"/>
    </xf>
    <xf numFmtId="0" fontId="7" fillId="0" borderId="34" xfId="0" applyFont="1" applyBorder="1" applyAlignment="1">
      <alignment horizontal="left"/>
    </xf>
    <xf numFmtId="3" fontId="0" fillId="0" borderId="40" xfId="0" applyNumberFormat="1" applyBorder="1"/>
    <xf numFmtId="9" fontId="0" fillId="0" borderId="0" xfId="44" applyFont="1" applyBorder="1" applyAlignment="1">
      <alignment horizontal="center"/>
    </xf>
    <xf numFmtId="9" fontId="0" fillId="0" borderId="12" xfId="44" applyFont="1" applyBorder="1" applyAlignment="1">
      <alignment horizontal="center"/>
    </xf>
    <xf numFmtId="5" fontId="11" fillId="41" borderId="0" xfId="0" applyNumberFormat="1" applyFont="1" applyFill="1"/>
    <xf numFmtId="5" fontId="11" fillId="41" borderId="24" xfId="0" applyNumberFormat="1" applyFont="1" applyFill="1" applyBorder="1"/>
    <xf numFmtId="0" fontId="7" fillId="0" borderId="10" xfId="0" applyFont="1" applyBorder="1" applyAlignment="1">
      <alignment horizontal="left"/>
    </xf>
    <xf numFmtId="5" fontId="11" fillId="0" borderId="40" xfId="0" applyNumberFormat="1" applyFont="1" applyBorder="1" applyAlignment="1">
      <alignment horizontal="right"/>
    </xf>
    <xf numFmtId="3" fontId="11" fillId="0" borderId="12" xfId="0" applyNumberFormat="1" applyFont="1" applyBorder="1"/>
    <xf numFmtId="10" fontId="0" fillId="0" borderId="40" xfId="0" applyNumberFormat="1" applyBorder="1"/>
    <xf numFmtId="44" fontId="11" fillId="24" borderId="24" xfId="29" applyFont="1" applyFill="1" applyBorder="1" applyAlignment="1">
      <alignment horizontal="right"/>
    </xf>
    <xf numFmtId="0" fontId="7" fillId="24" borderId="24" xfId="0" applyFont="1" applyFill="1" applyBorder="1"/>
    <xf numFmtId="5" fontId="0" fillId="34" borderId="0" xfId="0" applyNumberFormat="1" applyFill="1"/>
    <xf numFmtId="5" fontId="0" fillId="34" borderId="24" xfId="0" applyNumberFormat="1" applyFill="1" applyBorder="1"/>
    <xf numFmtId="5" fontId="11" fillId="0" borderId="12" xfId="0" applyNumberFormat="1" applyFont="1" applyBorder="1" applyAlignment="1">
      <alignment horizontal="right"/>
    </xf>
    <xf numFmtId="10" fontId="11" fillId="34" borderId="10" xfId="0" applyNumberFormat="1" applyFont="1" applyFill="1" applyBorder="1" applyAlignment="1">
      <alignment horizontal="right"/>
    </xf>
    <xf numFmtId="5" fontId="11" fillId="0" borderId="40" xfId="29" applyNumberFormat="1" applyFont="1" applyBorder="1" applyAlignment="1">
      <alignment horizontal="right"/>
    </xf>
    <xf numFmtId="165" fontId="11" fillId="24" borderId="12" xfId="0" applyNumberFormat="1" applyFont="1" applyFill="1" applyBorder="1"/>
    <xf numFmtId="10" fontId="11" fillId="24" borderId="12" xfId="44" applyNumberFormat="1" applyFont="1" applyFill="1" applyBorder="1"/>
    <xf numFmtId="165" fontId="11" fillId="24" borderId="40" xfId="0" applyNumberFormat="1" applyFont="1" applyFill="1" applyBorder="1"/>
    <xf numFmtId="167" fontId="0" fillId="34" borderId="0" xfId="0" applyNumberFormat="1" applyFill="1" applyAlignment="1">
      <alignment horizontal="right"/>
    </xf>
    <xf numFmtId="0" fontId="11" fillId="37" borderId="0" xfId="0" applyFont="1" applyFill="1" applyAlignment="1">
      <alignment horizontal="center"/>
    </xf>
    <xf numFmtId="0" fontId="11" fillId="37" borderId="0" xfId="0" applyFont="1" applyFill="1"/>
    <xf numFmtId="0" fontId="11" fillId="42" borderId="10" xfId="0" applyFont="1" applyFill="1" applyBorder="1"/>
    <xf numFmtId="0" fontId="11" fillId="42" borderId="26" xfId="0" applyFont="1" applyFill="1" applyBorder="1"/>
    <xf numFmtId="43" fontId="11" fillId="42" borderId="0" xfId="28" applyFont="1" applyFill="1" applyBorder="1"/>
    <xf numFmtId="167" fontId="0" fillId="34" borderId="12" xfId="0" applyNumberFormat="1" applyFill="1" applyBorder="1" applyAlignment="1">
      <alignment horizontal="right"/>
    </xf>
    <xf numFmtId="0" fontId="11" fillId="37" borderId="24" xfId="0" applyFont="1" applyFill="1" applyBorder="1" applyAlignment="1">
      <alignment horizontal="center"/>
    </xf>
    <xf numFmtId="5" fontId="7" fillId="0" borderId="40" xfId="0" applyNumberFormat="1" applyFont="1" applyBorder="1" applyAlignment="1">
      <alignment horizontal="right"/>
    </xf>
    <xf numFmtId="5" fontId="7" fillId="0" borderId="22" xfId="0" applyNumberFormat="1" applyFont="1" applyBorder="1" applyAlignment="1">
      <alignment horizontal="right"/>
    </xf>
    <xf numFmtId="179" fontId="11" fillId="0" borderId="40" xfId="28" applyNumberFormat="1" applyFont="1" applyBorder="1" applyAlignment="1">
      <alignment horizontal="right"/>
    </xf>
    <xf numFmtId="5" fontId="7" fillId="34" borderId="51" xfId="0" applyNumberFormat="1" applyFont="1" applyFill="1" applyBorder="1" applyAlignment="1">
      <alignment horizontal="right"/>
    </xf>
    <xf numFmtId="5" fontId="0" fillId="32" borderId="32" xfId="0" applyNumberFormat="1" applyFill="1" applyBorder="1"/>
    <xf numFmtId="5" fontId="0" fillId="32" borderId="30" xfId="0" applyNumberFormat="1" applyFill="1" applyBorder="1"/>
    <xf numFmtId="10" fontId="11" fillId="34" borderId="0" xfId="44" applyNumberFormat="1" applyFont="1" applyFill="1" applyBorder="1"/>
    <xf numFmtId="0" fontId="7" fillId="43" borderId="23" xfId="0" applyFont="1" applyFill="1" applyBorder="1"/>
    <xf numFmtId="37" fontId="7" fillId="43" borderId="13" xfId="0" applyNumberFormat="1" applyFont="1" applyFill="1" applyBorder="1"/>
    <xf numFmtId="37" fontId="7" fillId="43" borderId="41" xfId="0" applyNumberFormat="1" applyFont="1" applyFill="1" applyBorder="1"/>
    <xf numFmtId="0" fontId="7" fillId="34" borderId="27" xfId="40" applyFont="1" applyFill="1" applyBorder="1" applyAlignment="1">
      <alignment horizontal="center"/>
    </xf>
    <xf numFmtId="0" fontId="7" fillId="34" borderId="35" xfId="40" applyFont="1" applyFill="1" applyBorder="1" applyAlignment="1">
      <alignment horizontal="center"/>
    </xf>
    <xf numFmtId="0" fontId="7" fillId="34" borderId="28" xfId="40" applyFont="1" applyFill="1" applyBorder="1" applyAlignment="1">
      <alignment horizontal="center"/>
    </xf>
    <xf numFmtId="0" fontId="7" fillId="34" borderId="29" xfId="40" applyFont="1" applyFill="1" applyBorder="1"/>
    <xf numFmtId="37" fontId="11" fillId="34" borderId="32" xfId="0" applyNumberFormat="1" applyFont="1" applyFill="1" applyBorder="1"/>
    <xf numFmtId="0" fontId="7" fillId="34" borderId="29" xfId="0" applyFont="1" applyFill="1" applyBorder="1"/>
    <xf numFmtId="49" fontId="7" fillId="34" borderId="31" xfId="0" applyNumberFormat="1" applyFont="1" applyFill="1" applyBorder="1" applyAlignment="1">
      <alignment horizontal="left"/>
    </xf>
    <xf numFmtId="0" fontId="7" fillId="34" borderId="30" xfId="0" applyFont="1" applyFill="1" applyBorder="1"/>
    <xf numFmtId="49" fontId="12" fillId="44" borderId="23" xfId="0" applyNumberFormat="1" applyFont="1" applyFill="1" applyBorder="1"/>
    <xf numFmtId="49" fontId="7" fillId="44" borderId="23" xfId="0" applyNumberFormat="1" applyFont="1" applyFill="1" applyBorder="1"/>
    <xf numFmtId="38" fontId="7" fillId="34" borderId="11" xfId="0" applyNumberFormat="1" applyFont="1" applyFill="1" applyBorder="1"/>
    <xf numFmtId="0" fontId="11" fillId="0" borderId="12" xfId="0" applyFont="1" applyBorder="1" applyAlignment="1">
      <alignment horizontal="center"/>
    </xf>
    <xf numFmtId="49" fontId="11" fillId="0" borderId="23" xfId="0" applyNumberFormat="1" applyFont="1" applyBorder="1" applyAlignment="1">
      <alignment horizontal="right"/>
    </xf>
    <xf numFmtId="0" fontId="0" fillId="0" borderId="40" xfId="0" applyBorder="1"/>
    <xf numFmtId="0" fontId="11" fillId="44" borderId="31" xfId="0" applyFont="1" applyFill="1" applyBorder="1"/>
    <xf numFmtId="0" fontId="11" fillId="44" borderId="32" xfId="0" applyFont="1" applyFill="1" applyBorder="1"/>
    <xf numFmtId="0" fontId="11" fillId="44" borderId="30" xfId="0" applyFont="1" applyFill="1" applyBorder="1"/>
    <xf numFmtId="37" fontId="98" fillId="0" borderId="0" xfId="0" applyNumberFormat="1" applyFont="1"/>
    <xf numFmtId="5" fontId="98" fillId="0" borderId="0" xfId="0" applyNumberFormat="1" applyFont="1"/>
    <xf numFmtId="2" fontId="98" fillId="0" borderId="0" xfId="0" applyNumberFormat="1" applyFont="1"/>
    <xf numFmtId="37" fontId="0" fillId="38" borderId="12" xfId="0" applyNumberFormat="1" applyFill="1" applyBorder="1"/>
    <xf numFmtId="37" fontId="0" fillId="0" borderId="40" xfId="0" applyNumberFormat="1" applyBorder="1"/>
    <xf numFmtId="0" fontId="106" fillId="0" borderId="0" xfId="36" applyFont="1" applyAlignment="1" applyProtection="1"/>
    <xf numFmtId="9" fontId="11" fillId="34" borderId="0" xfId="44" applyFont="1" applyFill="1" applyBorder="1"/>
    <xf numFmtId="3" fontId="11" fillId="34" borderId="0" xfId="0" applyNumberFormat="1" applyFont="1" applyFill="1"/>
    <xf numFmtId="0" fontId="11" fillId="0" borderId="26" xfId="0" applyFont="1" applyBorder="1" applyAlignment="1">
      <alignment horizontal="center"/>
    </xf>
    <xf numFmtId="37" fontId="11" fillId="0" borderId="53" xfId="0" applyNumberFormat="1" applyFont="1" applyBorder="1"/>
    <xf numFmtId="37" fontId="11" fillId="0" borderId="16" xfId="0" applyNumberFormat="1" applyFont="1" applyBorder="1"/>
    <xf numFmtId="0" fontId="11" fillId="0" borderId="54" xfId="0" applyFont="1" applyBorder="1"/>
    <xf numFmtId="0" fontId="9" fillId="0" borderId="47" xfId="0" applyFont="1" applyBorder="1" applyAlignment="1">
      <alignment horizontal="center"/>
    </xf>
    <xf numFmtId="0" fontId="9" fillId="0" borderId="55" xfId="0" applyFont="1" applyBorder="1" applyAlignment="1">
      <alignment horizontal="center"/>
    </xf>
    <xf numFmtId="38" fontId="11" fillId="35" borderId="0" xfId="0" applyNumberFormat="1" applyFont="1" applyFill="1"/>
    <xf numFmtId="38" fontId="11" fillId="35" borderId="24" xfId="0" applyNumberFormat="1" applyFont="1" applyFill="1" applyBorder="1"/>
    <xf numFmtId="3" fontId="15" fillId="0" borderId="10" xfId="0" applyNumberFormat="1" applyFont="1" applyBorder="1"/>
    <xf numFmtId="10" fontId="7" fillId="0" borderId="0" xfId="44" applyNumberFormat="1" applyFont="1" applyBorder="1" applyAlignment="1">
      <alignment horizontal="center"/>
    </xf>
    <xf numFmtId="168" fontId="7" fillId="0" borderId="0" xfId="44" applyNumberFormat="1" applyFont="1" applyBorder="1" applyAlignment="1">
      <alignment horizontal="center"/>
    </xf>
    <xf numFmtId="168" fontId="7" fillId="0" borderId="0" xfId="0" applyNumberFormat="1" applyFont="1" applyAlignment="1">
      <alignment horizontal="center"/>
    </xf>
    <xf numFmtId="43" fontId="0" fillId="0" borderId="24" xfId="28" applyFont="1" applyBorder="1" applyProtection="1"/>
    <xf numFmtId="168" fontId="7" fillId="0" borderId="24" xfId="44" applyNumberFormat="1" applyFont="1" applyBorder="1" applyAlignment="1">
      <alignment horizontal="center"/>
    </xf>
    <xf numFmtId="168" fontId="7" fillId="0" borderId="24" xfId="0" applyNumberFormat="1" applyFont="1" applyBorder="1" applyAlignment="1">
      <alignment horizontal="center"/>
    </xf>
    <xf numFmtId="10" fontId="107" fillId="0" borderId="34" xfId="0" applyNumberFormat="1" applyFont="1" applyBorder="1"/>
    <xf numFmtId="10" fontId="0" fillId="0" borderId="26" xfId="44" applyNumberFormat="1" applyFont="1" applyBorder="1"/>
    <xf numFmtId="166" fontId="101" fillId="34" borderId="47" xfId="28" applyNumberFormat="1" applyFont="1" applyFill="1" applyBorder="1"/>
    <xf numFmtId="166" fontId="101" fillId="34" borderId="55" xfId="28" applyNumberFormat="1" applyFont="1" applyFill="1" applyBorder="1"/>
    <xf numFmtId="171" fontId="0" fillId="34" borderId="56" xfId="0" applyNumberFormat="1" applyFill="1" applyBorder="1"/>
    <xf numFmtId="171" fontId="0" fillId="34" borderId="57" xfId="0" applyNumberFormat="1" applyFill="1" applyBorder="1"/>
    <xf numFmtId="10" fontId="101" fillId="43" borderId="0" xfId="44" applyNumberFormat="1" applyFont="1" applyFill="1" applyBorder="1"/>
    <xf numFmtId="10" fontId="101" fillId="43" borderId="49" xfId="44" applyNumberFormat="1" applyFont="1" applyFill="1" applyBorder="1"/>
    <xf numFmtId="0" fontId="12" fillId="0" borderId="0" xfId="0" applyFont="1"/>
    <xf numFmtId="0" fontId="11" fillId="0" borderId="58" xfId="0" applyFont="1" applyBorder="1"/>
    <xf numFmtId="10" fontId="11" fillId="0" borderId="0" xfId="44" applyNumberFormat="1" applyFont="1" applyFill="1" applyBorder="1"/>
    <xf numFmtId="37" fontId="0" fillId="0" borderId="21" xfId="0" applyNumberFormat="1" applyBorder="1"/>
    <xf numFmtId="37" fontId="0" fillId="0" borderId="22" xfId="0" applyNumberFormat="1" applyBorder="1"/>
    <xf numFmtId="0" fontId="11" fillId="0" borderId="0" xfId="48"/>
    <xf numFmtId="0" fontId="11" fillId="0" borderId="26" xfId="48" applyBorder="1"/>
    <xf numFmtId="0" fontId="11" fillId="0" borderId="10" xfId="48" applyBorder="1"/>
    <xf numFmtId="0" fontId="11" fillId="0" borderId="25" xfId="48" applyBorder="1"/>
    <xf numFmtId="166" fontId="11" fillId="33" borderId="24" xfId="48" applyNumberFormat="1" applyFill="1" applyBorder="1"/>
    <xf numFmtId="166" fontId="11" fillId="33" borderId="0" xfId="48" applyNumberFormat="1" applyFill="1"/>
    <xf numFmtId="166" fontId="0" fillId="33" borderId="0" xfId="50" applyNumberFormat="1" applyFont="1" applyFill="1" applyBorder="1"/>
    <xf numFmtId="0" fontId="11" fillId="33" borderId="23" xfId="48" applyFill="1" applyBorder="1"/>
    <xf numFmtId="166" fontId="11" fillId="0" borderId="24" xfId="48" applyNumberFormat="1" applyBorder="1"/>
    <xf numFmtId="166" fontId="11" fillId="0" borderId="0" xfId="48" applyNumberFormat="1"/>
    <xf numFmtId="166" fontId="0" fillId="0" borderId="0" xfId="50" applyNumberFormat="1" applyFont="1" applyBorder="1"/>
    <xf numFmtId="0" fontId="11" fillId="0" borderId="23" xfId="48" applyBorder="1"/>
    <xf numFmtId="10" fontId="0" fillId="0" borderId="0" xfId="49" applyNumberFormat="1" applyFont="1" applyBorder="1"/>
    <xf numFmtId="0" fontId="7" fillId="34" borderId="40" xfId="48" applyFont="1" applyFill="1" applyBorder="1"/>
    <xf numFmtId="166" fontId="7" fillId="34" borderId="12" xfId="50" applyNumberFormat="1" applyFont="1" applyFill="1" applyBorder="1"/>
    <xf numFmtId="0" fontId="7" fillId="34" borderId="12" xfId="48" applyFont="1" applyFill="1" applyBorder="1"/>
    <xf numFmtId="0" fontId="7" fillId="0" borderId="23" xfId="48" applyFont="1" applyBorder="1"/>
    <xf numFmtId="166" fontId="11" fillId="0" borderId="22" xfId="48" applyNumberFormat="1" applyBorder="1"/>
    <xf numFmtId="0" fontId="11" fillId="0" borderId="21" xfId="48" applyBorder="1"/>
    <xf numFmtId="0" fontId="11" fillId="34" borderId="30" xfId="48" applyFill="1" applyBorder="1"/>
    <xf numFmtId="0" fontId="11" fillId="34" borderId="32" xfId="48" applyFill="1" applyBorder="1"/>
    <xf numFmtId="0" fontId="7" fillId="34" borderId="31" xfId="48" applyFont="1" applyFill="1" applyBorder="1"/>
    <xf numFmtId="0" fontId="11" fillId="0" borderId="24" xfId="48" applyBorder="1"/>
    <xf numFmtId="10" fontId="11" fillId="0" borderId="0" xfId="48" applyNumberFormat="1"/>
    <xf numFmtId="166" fontId="0" fillId="0" borderId="40" xfId="50" applyNumberFormat="1" applyFont="1" applyFill="1" applyBorder="1"/>
    <xf numFmtId="0" fontId="11" fillId="0" borderId="12" xfId="48" applyBorder="1"/>
    <xf numFmtId="166" fontId="0" fillId="0" borderId="0" xfId="50" applyNumberFormat="1" applyFont="1" applyFill="1" applyBorder="1"/>
    <xf numFmtId="0" fontId="11" fillId="0" borderId="22" xfId="48" applyBorder="1"/>
    <xf numFmtId="166" fontId="11" fillId="0" borderId="41" xfId="48" applyNumberFormat="1" applyBorder="1"/>
    <xf numFmtId="166" fontId="11" fillId="0" borderId="13" xfId="48" applyNumberFormat="1" applyBorder="1"/>
    <xf numFmtId="0" fontId="15" fillId="0" borderId="23" xfId="48" applyFont="1" applyBorder="1" applyAlignment="1">
      <alignment horizontal="left"/>
    </xf>
    <xf numFmtId="166" fontId="0" fillId="33" borderId="40" xfId="50" applyNumberFormat="1" applyFont="1" applyFill="1" applyBorder="1"/>
    <xf numFmtId="166" fontId="0" fillId="0" borderId="12" xfId="50" applyNumberFormat="1" applyFont="1" applyFill="1" applyBorder="1"/>
    <xf numFmtId="0" fontId="15" fillId="0" borderId="0" xfId="48" applyFont="1"/>
    <xf numFmtId="166" fontId="0" fillId="0" borderId="24" xfId="50" applyNumberFormat="1" applyFont="1" applyFill="1" applyBorder="1"/>
    <xf numFmtId="167" fontId="11" fillId="0" borderId="0" xfId="48" applyNumberFormat="1"/>
    <xf numFmtId="166" fontId="0" fillId="0" borderId="12" xfId="50" applyNumberFormat="1" applyFont="1" applyBorder="1"/>
    <xf numFmtId="0" fontId="11" fillId="0" borderId="23" xfId="48" applyBorder="1" applyAlignment="1">
      <alignment horizontal="left"/>
    </xf>
    <xf numFmtId="167" fontId="11" fillId="0" borderId="24" xfId="48" applyNumberFormat="1" applyBorder="1"/>
    <xf numFmtId="0" fontId="11" fillId="0" borderId="23" xfId="48" applyBorder="1" applyAlignment="1">
      <alignment horizontal="center"/>
    </xf>
    <xf numFmtId="0" fontId="40" fillId="0" borderId="0" xfId="48" applyFont="1" applyAlignment="1">
      <alignment horizontal="center" wrapText="1"/>
    </xf>
    <xf numFmtId="0" fontId="40" fillId="0" borderId="23" xfId="48" applyFont="1" applyBorder="1" applyAlignment="1">
      <alignment horizontal="center" wrapText="1"/>
    </xf>
    <xf numFmtId="166" fontId="0" fillId="33" borderId="12" xfId="50" applyNumberFormat="1" applyFont="1" applyFill="1" applyBorder="1"/>
    <xf numFmtId="0" fontId="11" fillId="33" borderId="0" xfId="48" applyFill="1"/>
    <xf numFmtId="10" fontId="40" fillId="0" borderId="0" xfId="48" applyNumberFormat="1" applyFont="1"/>
    <xf numFmtId="0" fontId="11" fillId="0" borderId="0" xfId="48" applyAlignment="1">
      <alignment horizontal="center"/>
    </xf>
    <xf numFmtId="167" fontId="11" fillId="33" borderId="0" xfId="48" applyNumberFormat="1" applyFill="1"/>
    <xf numFmtId="0" fontId="11" fillId="33" borderId="23" xfId="48" applyFill="1" applyBorder="1" applyAlignment="1">
      <alignment horizontal="left"/>
    </xf>
    <xf numFmtId="10" fontId="7" fillId="0" borderId="0" xfId="48" applyNumberFormat="1" applyFont="1"/>
    <xf numFmtId="0" fontId="7" fillId="0" borderId="0" xfId="48" applyFont="1"/>
    <xf numFmtId="0" fontId="7" fillId="0" borderId="24" xfId="48" applyFont="1" applyBorder="1"/>
    <xf numFmtId="167" fontId="11" fillId="0" borderId="12" xfId="48" applyNumberFormat="1" applyBorder="1"/>
    <xf numFmtId="167" fontId="11" fillId="0" borderId="0" xfId="48" applyNumberFormat="1" applyAlignment="1">
      <alignment horizontal="center"/>
    </xf>
    <xf numFmtId="0" fontId="40" fillId="0" borderId="22" xfId="48" applyFont="1" applyBorder="1" applyAlignment="1">
      <alignment horizontal="center" wrapText="1"/>
    </xf>
    <xf numFmtId="0" fontId="40" fillId="0" borderId="21" xfId="48" applyFont="1" applyBorder="1" applyAlignment="1">
      <alignment horizontal="center" wrapText="1"/>
    </xf>
    <xf numFmtId="0" fontId="11" fillId="0" borderId="0" xfId="48" applyAlignment="1">
      <alignment wrapText="1"/>
    </xf>
    <xf numFmtId="0" fontId="11" fillId="33" borderId="10" xfId="48" applyFill="1" applyBorder="1"/>
    <xf numFmtId="0" fontId="11" fillId="33" borderId="25" xfId="48" applyFill="1" applyBorder="1"/>
    <xf numFmtId="0" fontId="7" fillId="34" borderId="33" xfId="48" applyFont="1" applyFill="1" applyBorder="1" applyAlignment="1">
      <alignment horizontal="right"/>
    </xf>
    <xf numFmtId="166" fontId="0" fillId="34" borderId="40" xfId="50" applyNumberFormat="1" applyFont="1" applyFill="1" applyBorder="1"/>
    <xf numFmtId="0" fontId="15" fillId="0" borderId="15" xfId="0" applyFont="1" applyBorder="1"/>
    <xf numFmtId="10" fontId="97" fillId="34" borderId="52" xfId="44" applyNumberFormat="1" applyFont="1" applyFill="1" applyBorder="1" applyAlignment="1" applyProtection="1">
      <alignment horizontal="right"/>
    </xf>
    <xf numFmtId="6" fontId="2" fillId="43" borderId="27" xfId="40" applyNumberFormat="1" applyFont="1" applyFill="1" applyBorder="1"/>
    <xf numFmtId="38" fontId="2" fillId="43" borderId="35" xfId="40" applyNumberFormat="1" applyFont="1" applyFill="1" applyBorder="1"/>
    <xf numFmtId="10" fontId="2" fillId="34" borderId="59" xfId="44" applyNumberFormat="1" applyFont="1" applyFill="1" applyBorder="1" applyProtection="1"/>
    <xf numFmtId="37" fontId="7" fillId="0" borderId="0" xfId="40" applyNumberFormat="1" applyFont="1" applyAlignment="1">
      <alignment horizontal="center"/>
    </xf>
    <xf numFmtId="10" fontId="97" fillId="0" borderId="0" xfId="44" applyNumberFormat="1" applyFont="1" applyFill="1" applyBorder="1" applyAlignment="1" applyProtection="1">
      <alignment horizontal="right"/>
    </xf>
    <xf numFmtId="10" fontId="2" fillId="0" borderId="24" xfId="44" applyNumberFormat="1" applyFont="1" applyFill="1" applyBorder="1" applyProtection="1"/>
    <xf numFmtId="37" fontId="7" fillId="34" borderId="49" xfId="40" applyNumberFormat="1" applyFont="1" applyFill="1" applyBorder="1" applyAlignment="1">
      <alignment horizontal="right"/>
    </xf>
    <xf numFmtId="6" fontId="7" fillId="43" borderId="29" xfId="40" applyNumberFormat="1" applyFont="1" applyFill="1" applyBorder="1"/>
    <xf numFmtId="43" fontId="40" fillId="26" borderId="29" xfId="28" applyFont="1" applyFill="1" applyBorder="1"/>
    <xf numFmtId="0" fontId="41" fillId="0" borderId="0" xfId="0" applyFont="1"/>
    <xf numFmtId="0" fontId="44" fillId="0" borderId="0" xfId="0" applyFont="1"/>
    <xf numFmtId="166" fontId="11" fillId="24" borderId="0" xfId="0" applyNumberFormat="1" applyFont="1" applyFill="1"/>
    <xf numFmtId="166" fontId="11" fillId="0" borderId="10" xfId="28" applyNumberFormat="1" applyFont="1" applyBorder="1"/>
    <xf numFmtId="177" fontId="11" fillId="0" borderId="29" xfId="0" applyNumberFormat="1" applyFont="1" applyBorder="1"/>
    <xf numFmtId="166" fontId="11" fillId="34" borderId="24" xfId="28" applyNumberFormat="1" applyFont="1" applyFill="1" applyBorder="1"/>
    <xf numFmtId="0" fontId="9" fillId="0" borderId="33" xfId="0" applyFont="1" applyBorder="1"/>
    <xf numFmtId="37" fontId="11" fillId="24" borderId="21" xfId="0" applyNumberFormat="1" applyFont="1" applyFill="1" applyBorder="1"/>
    <xf numFmtId="0" fontId="11" fillId="0" borderId="48" xfId="0" applyFont="1" applyBorder="1"/>
    <xf numFmtId="38" fontId="11" fillId="34" borderId="22" xfId="0" applyNumberFormat="1" applyFont="1" applyFill="1" applyBorder="1"/>
    <xf numFmtId="37" fontId="11" fillId="34" borderId="22" xfId="0" applyNumberFormat="1" applyFont="1" applyFill="1" applyBorder="1"/>
    <xf numFmtId="10" fontId="11" fillId="0" borderId="26" xfId="44" applyNumberFormat="1" applyFont="1" applyBorder="1"/>
    <xf numFmtId="37" fontId="0" fillId="0" borderId="34" xfId="0" applyNumberFormat="1" applyBorder="1"/>
    <xf numFmtId="37" fontId="0" fillId="34" borderId="22" xfId="0" applyNumberFormat="1" applyFill="1" applyBorder="1"/>
    <xf numFmtId="5" fontId="9" fillId="34" borderId="49" xfId="0" applyNumberFormat="1" applyFont="1" applyFill="1" applyBorder="1"/>
    <xf numFmtId="37" fontId="7" fillId="34" borderId="49" xfId="0" applyNumberFormat="1" applyFont="1" applyFill="1" applyBorder="1"/>
    <xf numFmtId="164" fontId="0" fillId="0" borderId="21" xfId="29" applyNumberFormat="1" applyFont="1" applyBorder="1"/>
    <xf numFmtId="37" fontId="7" fillId="48" borderId="42" xfId="0" applyNumberFormat="1" applyFont="1" applyFill="1" applyBorder="1"/>
    <xf numFmtId="0" fontId="0" fillId="0" borderId="28" xfId="0" applyBorder="1"/>
    <xf numFmtId="0" fontId="40" fillId="25" borderId="29" xfId="40" applyFont="1" applyFill="1" applyBorder="1" applyAlignment="1">
      <alignment horizontal="right"/>
    </xf>
    <xf numFmtId="0" fontId="5" fillId="0" borderId="34" xfId="0" applyFont="1" applyBorder="1"/>
    <xf numFmtId="6" fontId="0" fillId="0" borderId="10" xfId="0" applyNumberFormat="1" applyBorder="1"/>
    <xf numFmtId="6" fontId="0" fillId="0" borderId="26" xfId="0" applyNumberFormat="1" applyBorder="1"/>
    <xf numFmtId="167" fontId="2" fillId="33" borderId="0" xfId="0" applyNumberFormat="1" applyFont="1" applyFill="1"/>
    <xf numFmtId="0" fontId="11" fillId="24" borderId="0" xfId="0" applyFont="1" applyFill="1" applyAlignment="1">
      <alignment horizontal="right"/>
    </xf>
    <xf numFmtId="5" fontId="11" fillId="33" borderId="0" xfId="29" applyNumberFormat="1" applyFont="1" applyFill="1" applyBorder="1" applyAlignment="1">
      <alignment horizontal="right"/>
    </xf>
    <xf numFmtId="5" fontId="11" fillId="33" borderId="12" xfId="0" applyNumberFormat="1" applyFont="1" applyFill="1" applyBorder="1" applyAlignment="1">
      <alignment horizontal="right"/>
    </xf>
    <xf numFmtId="165" fontId="11" fillId="33" borderId="0" xfId="0" applyNumberFormat="1" applyFont="1" applyFill="1"/>
    <xf numFmtId="10" fontId="11" fillId="33" borderId="0" xfId="44" applyNumberFormat="1" applyFont="1" applyFill="1" applyBorder="1"/>
    <xf numFmtId="10" fontId="11" fillId="33" borderId="0" xfId="0" applyNumberFormat="1" applyFont="1" applyFill="1"/>
    <xf numFmtId="166" fontId="0" fillId="31" borderId="24" xfId="28" applyNumberFormat="1" applyFont="1" applyFill="1" applyBorder="1"/>
    <xf numFmtId="0" fontId="11" fillId="37" borderId="12" xfId="0" applyFont="1" applyFill="1" applyBorder="1" applyAlignment="1">
      <alignment horizontal="right"/>
    </xf>
    <xf numFmtId="37" fontId="2" fillId="37" borderId="12" xfId="0" applyNumberFormat="1" applyFont="1" applyFill="1" applyBorder="1"/>
    <xf numFmtId="0" fontId="7" fillId="0" borderId="60" xfId="0" applyFont="1" applyBorder="1"/>
    <xf numFmtId="37" fontId="11" fillId="24" borderId="61" xfId="0" applyNumberFormat="1" applyFont="1" applyFill="1" applyBorder="1"/>
    <xf numFmtId="0" fontId="0" fillId="0" borderId="53" xfId="0" applyBorder="1"/>
    <xf numFmtId="0" fontId="7" fillId="0" borderId="14" xfId="0" applyFont="1" applyBorder="1"/>
    <xf numFmtId="0" fontId="0" fillId="0" borderId="15" xfId="0" applyBorder="1"/>
    <xf numFmtId="0" fontId="7" fillId="0" borderId="58" xfId="0" applyFont="1" applyBorder="1"/>
    <xf numFmtId="9" fontId="11" fillId="24" borderId="12" xfId="0" applyNumberFormat="1" applyFont="1" applyFill="1" applyBorder="1"/>
    <xf numFmtId="37" fontId="0" fillId="43" borderId="0" xfId="0" applyNumberFormat="1" applyFill="1"/>
    <xf numFmtId="37" fontId="9" fillId="50" borderId="29" xfId="0" applyNumberFormat="1" applyFont="1" applyFill="1" applyBorder="1" applyAlignment="1">
      <alignment horizontal="center"/>
    </xf>
    <xf numFmtId="9" fontId="0" fillId="0" borderId="34" xfId="0" applyNumberFormat="1" applyBorder="1"/>
    <xf numFmtId="9" fontId="25" fillId="37" borderId="25" xfId="0" applyNumberFormat="1" applyFont="1" applyFill="1" applyBorder="1"/>
    <xf numFmtId="0" fontId="11" fillId="0" borderId="60" xfId="0" applyFont="1" applyBorder="1"/>
    <xf numFmtId="0" fontId="15" fillId="43" borderId="0" xfId="0" applyFont="1" applyFill="1" applyAlignment="1">
      <alignment horizontal="center"/>
    </xf>
    <xf numFmtId="164" fontId="0" fillId="43" borderId="0" xfId="0" applyNumberFormat="1" applyFill="1" applyAlignment="1">
      <alignment horizontal="right"/>
    </xf>
    <xf numFmtId="37" fontId="0" fillId="43" borderId="0" xfId="0" applyNumberFormat="1" applyFill="1" applyAlignment="1">
      <alignment horizontal="right"/>
    </xf>
    <xf numFmtId="0" fontId="40" fillId="25" borderId="28" xfId="0" applyFont="1" applyFill="1" applyBorder="1" applyAlignment="1">
      <alignment horizontal="right"/>
    </xf>
    <xf numFmtId="37" fontId="2" fillId="0" borderId="23" xfId="0" applyNumberFormat="1" applyFont="1" applyBorder="1" applyAlignment="1">
      <alignment horizontal="left"/>
    </xf>
    <xf numFmtId="37" fontId="2" fillId="0" borderId="0" xfId="0" applyNumberFormat="1" applyFont="1"/>
    <xf numFmtId="37" fontId="2" fillId="0" borderId="12" xfId="0" applyNumberFormat="1" applyFont="1" applyBorder="1"/>
    <xf numFmtId="10" fontId="0" fillId="34" borderId="0" xfId="44" applyNumberFormat="1" applyFont="1" applyFill="1" applyBorder="1"/>
    <xf numFmtId="0" fontId="40" fillId="25" borderId="34" xfId="0" applyFont="1" applyFill="1" applyBorder="1"/>
    <xf numFmtId="0" fontId="41" fillId="25" borderId="21" xfId="0" applyFont="1" applyFill="1" applyBorder="1"/>
    <xf numFmtId="0" fontId="41" fillId="25" borderId="22" xfId="0" applyFont="1" applyFill="1" applyBorder="1"/>
    <xf numFmtId="0" fontId="2" fillId="0" borderId="34" xfId="0" applyFont="1" applyBorder="1"/>
    <xf numFmtId="166" fontId="7" fillId="43" borderId="13" xfId="28" applyNumberFormat="1" applyFont="1" applyFill="1" applyBorder="1"/>
    <xf numFmtId="166" fontId="7" fillId="43" borderId="41" xfId="28" applyNumberFormat="1" applyFont="1" applyFill="1" applyBorder="1"/>
    <xf numFmtId="166" fontId="7" fillId="43" borderId="0" xfId="0" applyNumberFormat="1" applyFont="1" applyFill="1"/>
    <xf numFmtId="166" fontId="7" fillId="43" borderId="24" xfId="0" applyNumberFormat="1" applyFont="1" applyFill="1" applyBorder="1"/>
    <xf numFmtId="164" fontId="11" fillId="34" borderId="0" xfId="29" applyNumberFormat="1" applyFont="1" applyFill="1" applyBorder="1"/>
    <xf numFmtId="9" fontId="2" fillId="0" borderId="0" xfId="44" applyFont="1" applyBorder="1"/>
    <xf numFmtId="0" fontId="40" fillId="25" borderId="23" xfId="0" applyFont="1" applyFill="1" applyBorder="1" applyAlignment="1">
      <alignment horizontal="center"/>
    </xf>
    <xf numFmtId="166" fontId="0" fillId="0" borderId="0" xfId="28" applyNumberFormat="1" applyFont="1"/>
    <xf numFmtId="0" fontId="11" fillId="32" borderId="23" xfId="0" applyFont="1" applyFill="1" applyBorder="1"/>
    <xf numFmtId="37" fontId="11" fillId="32" borderId="0" xfId="29" applyNumberFormat="1" applyFont="1" applyFill="1" applyBorder="1" applyAlignment="1">
      <alignment horizontal="right"/>
    </xf>
    <xf numFmtId="10" fontId="0" fillId="43" borderId="22" xfId="44" applyNumberFormat="1" applyFont="1" applyFill="1" applyBorder="1"/>
    <xf numFmtId="171" fontId="0" fillId="43" borderId="24" xfId="44" applyNumberFormat="1" applyFont="1" applyFill="1" applyBorder="1"/>
    <xf numFmtId="10" fontId="0" fillId="43" borderId="24" xfId="44" applyNumberFormat="1" applyFont="1" applyFill="1" applyBorder="1"/>
    <xf numFmtId="171" fontId="0" fillId="43" borderId="26" xfId="44" applyNumberFormat="1" applyFont="1" applyFill="1" applyBorder="1" applyAlignment="1">
      <alignment horizontal="right"/>
    </xf>
    <xf numFmtId="0" fontId="2" fillId="0" borderId="23" xfId="0" applyFont="1" applyBorder="1"/>
    <xf numFmtId="0" fontId="7" fillId="41" borderId="62" xfId="0" applyFont="1" applyFill="1" applyBorder="1"/>
    <xf numFmtId="0" fontId="7" fillId="41" borderId="29" xfId="0" applyFont="1" applyFill="1" applyBorder="1"/>
    <xf numFmtId="0" fontId="40" fillId="52" borderId="29" xfId="0" applyFont="1" applyFill="1" applyBorder="1" applyAlignment="1">
      <alignment horizontal="center"/>
    </xf>
    <xf numFmtId="10" fontId="15" fillId="0" borderId="0" xfId="44" applyNumberFormat="1" applyFont="1" applyBorder="1" applyAlignment="1">
      <alignment horizontal="right"/>
    </xf>
    <xf numFmtId="10" fontId="15" fillId="0" borderId="24" xfId="44" applyNumberFormat="1" applyFont="1" applyBorder="1" applyAlignment="1">
      <alignment horizontal="right"/>
    </xf>
    <xf numFmtId="0" fontId="2" fillId="0" borderId="25" xfId="0" applyFont="1" applyBorder="1"/>
    <xf numFmtId="0" fontId="2" fillId="0" borderId="23" xfId="0" applyFont="1" applyBorder="1" applyAlignment="1">
      <alignment horizontal="left"/>
    </xf>
    <xf numFmtId="0" fontId="2" fillId="0" borderId="0" xfId="0" applyFont="1" applyAlignment="1">
      <alignment horizontal="center"/>
    </xf>
    <xf numFmtId="2" fontId="11" fillId="0" borderId="22" xfId="44" applyNumberFormat="1" applyFont="1" applyBorder="1"/>
    <xf numFmtId="38" fontId="7" fillId="0" borderId="24" xfId="0" applyNumberFormat="1" applyFont="1" applyBorder="1" applyAlignment="1">
      <alignment horizontal="right"/>
    </xf>
    <xf numFmtId="38" fontId="2" fillId="0" borderId="24" xfId="0" applyNumberFormat="1" applyFont="1" applyBorder="1" applyAlignment="1">
      <alignment horizontal="right"/>
    </xf>
    <xf numFmtId="38" fontId="2" fillId="0" borderId="40" xfId="0" applyNumberFormat="1" applyFont="1" applyBorder="1" applyAlignment="1">
      <alignment horizontal="right"/>
    </xf>
    <xf numFmtId="0" fontId="12" fillId="0" borderId="23" xfId="0" applyFont="1" applyBorder="1" applyAlignment="1">
      <alignment horizontal="left"/>
    </xf>
    <xf numFmtId="10" fontId="40" fillId="26" borderId="49" xfId="0" applyNumberFormat="1" applyFont="1" applyFill="1" applyBorder="1"/>
    <xf numFmtId="10" fontId="40" fillId="26" borderId="36" xfId="0" applyNumberFormat="1" applyFont="1" applyFill="1" applyBorder="1"/>
    <xf numFmtId="43" fontId="102" fillId="0" borderId="32" xfId="28" applyFont="1" applyFill="1" applyBorder="1"/>
    <xf numFmtId="38" fontId="2" fillId="0" borderId="0" xfId="0" applyNumberFormat="1" applyFont="1"/>
    <xf numFmtId="181" fontId="0" fillId="0" borderId="49" xfId="28" applyNumberFormat="1" applyFont="1" applyBorder="1"/>
    <xf numFmtId="0" fontId="11" fillId="53" borderId="23" xfId="48" applyFill="1" applyBorder="1"/>
    <xf numFmtId="0" fontId="11" fillId="53" borderId="0" xfId="48" applyFill="1"/>
    <xf numFmtId="0" fontId="11" fillId="53" borderId="23" xfId="48" applyFill="1" applyBorder="1" applyAlignment="1">
      <alignment horizontal="left"/>
    </xf>
    <xf numFmtId="167" fontId="11" fillId="53" borderId="0" xfId="48" applyNumberFormat="1" applyFill="1"/>
    <xf numFmtId="166" fontId="0" fillId="53" borderId="12" xfId="50" applyNumberFormat="1" applyFont="1" applyFill="1" applyBorder="1"/>
    <xf numFmtId="166" fontId="0" fillId="53" borderId="40" xfId="50" applyNumberFormat="1" applyFont="1" applyFill="1" applyBorder="1"/>
    <xf numFmtId="166" fontId="0" fillId="53" borderId="0" xfId="50" applyNumberFormat="1" applyFont="1" applyFill="1" applyBorder="1"/>
    <xf numFmtId="166" fontId="0" fillId="53" borderId="24" xfId="50" applyNumberFormat="1" applyFont="1" applyFill="1" applyBorder="1"/>
    <xf numFmtId="166" fontId="11" fillId="53" borderId="0" xfId="48" applyNumberFormat="1" applyFill="1"/>
    <xf numFmtId="166" fontId="11" fillId="53" borderId="24" xfId="48" applyNumberFormat="1" applyFill="1" applyBorder="1"/>
    <xf numFmtId="10" fontId="113" fillId="0" borderId="10" xfId="49" applyNumberFormat="1" applyFont="1" applyBorder="1"/>
    <xf numFmtId="0" fontId="40" fillId="48" borderId="31" xfId="0" applyFont="1" applyFill="1" applyBorder="1" applyAlignment="1">
      <alignment horizontal="center"/>
    </xf>
    <xf numFmtId="0" fontId="40" fillId="48" borderId="32" xfId="0" applyFont="1" applyFill="1" applyBorder="1" applyAlignment="1">
      <alignment horizontal="center"/>
    </xf>
    <xf numFmtId="0" fontId="40" fillId="48" borderId="30" xfId="0" applyFont="1" applyFill="1" applyBorder="1" applyAlignment="1">
      <alignment horizontal="center"/>
    </xf>
    <xf numFmtId="0" fontId="40" fillId="25" borderId="26" xfId="0" applyFont="1" applyFill="1" applyBorder="1" applyAlignment="1">
      <alignment horizontal="center" wrapText="1"/>
    </xf>
    <xf numFmtId="0" fontId="40" fillId="25" borderId="26" xfId="0" applyFont="1" applyFill="1" applyBorder="1" applyAlignment="1">
      <alignment horizontal="center"/>
    </xf>
    <xf numFmtId="38" fontId="11" fillId="43" borderId="24" xfId="0" applyNumberFormat="1" applyFont="1" applyFill="1" applyBorder="1" applyAlignment="1">
      <alignment horizontal="center"/>
    </xf>
    <xf numFmtId="164" fontId="11" fillId="0" borderId="50" xfId="29" applyNumberFormat="1" applyFont="1" applyBorder="1"/>
    <xf numFmtId="37" fontId="11" fillId="34" borderId="40" xfId="0" applyNumberFormat="1" applyFont="1" applyFill="1" applyBorder="1"/>
    <xf numFmtId="0" fontId="2" fillId="0" borderId="14" xfId="0" applyFont="1" applyBorder="1"/>
    <xf numFmtId="10" fontId="40" fillId="0" borderId="29" xfId="0" applyNumberFormat="1" applyFont="1" applyBorder="1"/>
    <xf numFmtId="166" fontId="11" fillId="0" borderId="29" xfId="0" applyNumberFormat="1" applyFont="1" applyBorder="1"/>
    <xf numFmtId="10" fontId="115" fillId="0" borderId="26" xfId="0" applyNumberFormat="1" applyFont="1" applyBorder="1"/>
    <xf numFmtId="5" fontId="7" fillId="34" borderId="11" xfId="0" applyNumberFormat="1" applyFont="1" applyFill="1" applyBorder="1"/>
    <xf numFmtId="0" fontId="2" fillId="0" borderId="0" xfId="0" quotePrefix="1" applyFont="1"/>
    <xf numFmtId="0" fontId="11" fillId="43" borderId="23" xfId="0" applyFont="1" applyFill="1" applyBorder="1" applyAlignment="1">
      <alignment horizontal="left"/>
    </xf>
    <xf numFmtId="0" fontId="11" fillId="43" borderId="0" xfId="0" applyFont="1" applyFill="1" applyAlignment="1">
      <alignment horizontal="center"/>
    </xf>
    <xf numFmtId="38" fontId="11" fillId="43" borderId="24" xfId="0" applyNumberFormat="1" applyFont="1" applyFill="1" applyBorder="1" applyAlignment="1">
      <alignment horizontal="right"/>
    </xf>
    <xf numFmtId="0" fontId="7" fillId="43" borderId="25" xfId="0" applyFont="1" applyFill="1" applyBorder="1"/>
    <xf numFmtId="10" fontId="7" fillId="43" borderId="10" xfId="0" applyNumberFormat="1" applyFont="1" applyFill="1" applyBorder="1"/>
    <xf numFmtId="166" fontId="7" fillId="43" borderId="26" xfId="28" applyNumberFormat="1" applyFont="1" applyFill="1" applyBorder="1"/>
    <xf numFmtId="0" fontId="40" fillId="25" borderId="32" xfId="0" applyFont="1" applyFill="1" applyBorder="1" applyAlignment="1">
      <alignment horizontal="center"/>
    </xf>
    <xf numFmtId="6" fontId="0" fillId="0" borderId="0" xfId="0" applyNumberFormat="1" applyAlignment="1">
      <alignment horizontal="center"/>
    </xf>
    <xf numFmtId="6" fontId="7" fillId="0" borderId="42" xfId="0" applyNumberFormat="1" applyFont="1" applyBorder="1" applyAlignment="1">
      <alignment horizontal="center"/>
    </xf>
    <xf numFmtId="38" fontId="11" fillId="55" borderId="0" xfId="0" applyNumberFormat="1" applyFont="1" applyFill="1"/>
    <xf numFmtId="38" fontId="11" fillId="55" borderId="24" xfId="0" applyNumberFormat="1" applyFont="1" applyFill="1" applyBorder="1"/>
    <xf numFmtId="49" fontId="2" fillId="0" borderId="23" xfId="0" applyNumberFormat="1" applyFont="1" applyBorder="1" applyAlignment="1">
      <alignment horizontal="left"/>
    </xf>
    <xf numFmtId="5" fontId="0" fillId="0" borderId="21" xfId="0" applyNumberFormat="1" applyBorder="1"/>
    <xf numFmtId="5" fontId="0" fillId="0" borderId="22" xfId="0" applyNumberFormat="1" applyBorder="1"/>
    <xf numFmtId="0" fontId="7" fillId="0" borderId="35" xfId="0" applyFont="1" applyBorder="1" applyAlignment="1">
      <alignment horizontal="center"/>
    </xf>
    <xf numFmtId="0" fontId="7" fillId="0" borderId="28" xfId="0" applyFont="1" applyBorder="1" applyAlignment="1">
      <alignment horizontal="center"/>
    </xf>
    <xf numFmtId="9" fontId="0" fillId="0" borderId="10" xfId="44" applyFont="1" applyBorder="1" applyAlignment="1">
      <alignment horizontal="center"/>
    </xf>
    <xf numFmtId="37" fontId="15" fillId="0" borderId="0" xfId="0" applyNumberFormat="1" applyFont="1"/>
    <xf numFmtId="37" fontId="15" fillId="0" borderId="24" xfId="0" applyNumberFormat="1" applyFont="1" applyBorder="1"/>
    <xf numFmtId="37" fontId="15" fillId="35" borderId="24" xfId="0" applyNumberFormat="1" applyFont="1" applyFill="1" applyBorder="1"/>
    <xf numFmtId="37" fontId="9" fillId="0" borderId="13" xfId="0" applyNumberFormat="1" applyFont="1" applyBorder="1"/>
    <xf numFmtId="37" fontId="9" fillId="0" borderId="41" xfId="0" applyNumberFormat="1" applyFont="1" applyBorder="1"/>
    <xf numFmtId="37" fontId="9" fillId="0" borderId="0" xfId="0" applyNumberFormat="1" applyFont="1"/>
    <xf numFmtId="37" fontId="9" fillId="0" borderId="24" xfId="0" applyNumberFormat="1" applyFont="1" applyBorder="1"/>
    <xf numFmtId="164" fontId="15" fillId="0" borderId="0" xfId="29" applyNumberFormat="1" applyFont="1" applyBorder="1"/>
    <xf numFmtId="37" fontId="15" fillId="0" borderId="12" xfId="0" applyNumberFormat="1" applyFont="1" applyBorder="1"/>
    <xf numFmtId="164" fontId="15" fillId="0" borderId="0" xfId="0" applyNumberFormat="1" applyFont="1"/>
    <xf numFmtId="10" fontId="15" fillId="0" borderId="0" xfId="0" applyNumberFormat="1" applyFont="1"/>
    <xf numFmtId="0" fontId="9" fillId="0" borderId="25" xfId="0" applyFont="1" applyBorder="1"/>
    <xf numFmtId="0" fontId="9" fillId="0" borderId="10" xfId="0" applyFont="1" applyBorder="1"/>
    <xf numFmtId="10" fontId="15" fillId="0" borderId="10" xfId="0" applyNumberFormat="1" applyFont="1" applyBorder="1"/>
    <xf numFmtId="5" fontId="9" fillId="0" borderId="10" xfId="0" applyNumberFormat="1" applyFont="1" applyBorder="1"/>
    <xf numFmtId="5" fontId="15" fillId="0" borderId="0" xfId="0" applyNumberFormat="1" applyFont="1"/>
    <xf numFmtId="0" fontId="15" fillId="0" borderId="24" xfId="0" applyFont="1" applyBorder="1"/>
    <xf numFmtId="37" fontId="15" fillId="0" borderId="10" xfId="0" applyNumberFormat="1" applyFont="1" applyBorder="1"/>
    <xf numFmtId="37" fontId="15" fillId="0" borderId="26" xfId="0" applyNumberFormat="1" applyFont="1" applyBorder="1"/>
    <xf numFmtId="164" fontId="9" fillId="0" borderId="13" xfId="29" applyNumberFormat="1" applyFont="1" applyBorder="1"/>
    <xf numFmtId="37" fontId="9" fillId="34" borderId="41" xfId="0" applyNumberFormat="1" applyFont="1" applyFill="1" applyBorder="1"/>
    <xf numFmtId="37" fontId="15" fillId="0" borderId="0" xfId="0" applyNumberFormat="1" applyFont="1" applyAlignment="1">
      <alignment horizontal="right"/>
    </xf>
    <xf numFmtId="0" fontId="117" fillId="0" borderId="0" xfId="0" applyFont="1" applyAlignment="1">
      <alignment horizontal="center"/>
    </xf>
    <xf numFmtId="0" fontId="117" fillId="0" borderId="24" xfId="0" applyFont="1" applyBorder="1" applyAlignment="1">
      <alignment horizontal="center"/>
    </xf>
    <xf numFmtId="37" fontId="15" fillId="0" borderId="24" xfId="0" applyNumberFormat="1" applyFont="1" applyBorder="1" applyAlignment="1">
      <alignment horizontal="right"/>
    </xf>
    <xf numFmtId="0" fontId="15" fillId="0" borderId="26" xfId="0" applyFont="1" applyBorder="1"/>
    <xf numFmtId="0" fontId="9" fillId="0" borderId="31" xfId="0" applyFont="1" applyBorder="1"/>
    <xf numFmtId="0" fontId="15" fillId="0" borderId="32" xfId="0" applyFont="1" applyBorder="1"/>
    <xf numFmtId="37" fontId="9" fillId="48" borderId="30" xfId="0" applyNumberFormat="1" applyFont="1" applyFill="1" applyBorder="1"/>
    <xf numFmtId="37" fontId="7" fillId="43" borderId="0" xfId="0" applyNumberFormat="1" applyFont="1" applyFill="1"/>
    <xf numFmtId="37" fontId="7" fillId="43" borderId="24" xfId="0" applyNumberFormat="1" applyFont="1" applyFill="1" applyBorder="1"/>
    <xf numFmtId="37" fontId="7" fillId="43" borderId="10" xfId="0" applyNumberFormat="1" applyFont="1" applyFill="1" applyBorder="1"/>
    <xf numFmtId="37" fontId="7" fillId="43" borderId="26" xfId="0" applyNumberFormat="1" applyFont="1" applyFill="1" applyBorder="1"/>
    <xf numFmtId="37" fontId="0" fillId="43" borderId="24" xfId="0" applyNumberFormat="1" applyFill="1" applyBorder="1"/>
    <xf numFmtId="0" fontId="8" fillId="32" borderId="31" xfId="0" applyFont="1" applyFill="1" applyBorder="1"/>
    <xf numFmtId="0" fontId="8" fillId="32" borderId="32" xfId="0" applyFont="1" applyFill="1" applyBorder="1"/>
    <xf numFmtId="10" fontId="8" fillId="32" borderId="32" xfId="44" applyNumberFormat="1" applyFont="1" applyFill="1" applyBorder="1"/>
    <xf numFmtId="0" fontId="8" fillId="32" borderId="30" xfId="0" applyFont="1" applyFill="1" applyBorder="1"/>
    <xf numFmtId="37" fontId="8" fillId="32" borderId="30" xfId="0" applyNumberFormat="1" applyFont="1" applyFill="1" applyBorder="1"/>
    <xf numFmtId="0" fontId="15" fillId="34" borderId="0" xfId="0" applyFont="1" applyFill="1"/>
    <xf numFmtId="164" fontId="0" fillId="0" borderId="0" xfId="0" applyNumberFormat="1" applyAlignment="1">
      <alignment horizontal="center"/>
    </xf>
    <xf numFmtId="166" fontId="11" fillId="34" borderId="12" xfId="28" applyNumberFormat="1" applyFont="1" applyFill="1" applyBorder="1"/>
    <xf numFmtId="166" fontId="0" fillId="32" borderId="12" xfId="28" applyNumberFormat="1" applyFont="1" applyFill="1" applyBorder="1"/>
    <xf numFmtId="0" fontId="11" fillId="53" borderId="23" xfId="0" applyFont="1" applyFill="1" applyBorder="1"/>
    <xf numFmtId="37" fontId="11" fillId="53" borderId="0" xfId="0" applyNumberFormat="1" applyFont="1" applyFill="1"/>
    <xf numFmtId="0" fontId="2" fillId="53" borderId="23" xfId="0" applyFont="1" applyFill="1" applyBorder="1"/>
    <xf numFmtId="37" fontId="2" fillId="53" borderId="12" xfId="0" applyNumberFormat="1" applyFont="1" applyFill="1" applyBorder="1"/>
    <xf numFmtId="5" fontId="7" fillId="34" borderId="10" xfId="0" applyNumberFormat="1" applyFont="1" applyFill="1" applyBorder="1"/>
    <xf numFmtId="0" fontId="0" fillId="32" borderId="23" xfId="0" applyFill="1" applyBorder="1"/>
    <xf numFmtId="37" fontId="0" fillId="32" borderId="0" xfId="0" applyNumberFormat="1" applyFill="1"/>
    <xf numFmtId="9" fontId="0" fillId="37" borderId="34" xfId="0" applyNumberFormat="1" applyFill="1" applyBorder="1"/>
    <xf numFmtId="0" fontId="0" fillId="37" borderId="22" xfId="0" applyFill="1" applyBorder="1"/>
    <xf numFmtId="0" fontId="0" fillId="37" borderId="26" xfId="0" applyFill="1" applyBorder="1"/>
    <xf numFmtId="0" fontId="15" fillId="0" borderId="25" xfId="0" applyFont="1" applyBorder="1"/>
    <xf numFmtId="0" fontId="2" fillId="0" borderId="31" xfId="0" applyFont="1" applyBorder="1"/>
    <xf numFmtId="43" fontId="15" fillId="56" borderId="32" xfId="28" applyFont="1" applyFill="1" applyBorder="1"/>
    <xf numFmtId="43" fontId="15" fillId="56" borderId="30" xfId="28" applyFont="1" applyFill="1" applyBorder="1"/>
    <xf numFmtId="0" fontId="17" fillId="0" borderId="10" xfId="0" applyFont="1" applyBorder="1"/>
    <xf numFmtId="0" fontId="55" fillId="25" borderId="28" xfId="0" applyFont="1" applyFill="1" applyBorder="1"/>
    <xf numFmtId="0" fontId="55" fillId="25" borderId="28" xfId="0" applyFont="1" applyFill="1" applyBorder="1" applyAlignment="1">
      <alignment horizontal="center"/>
    </xf>
    <xf numFmtId="0" fontId="7" fillId="0" borderId="62" xfId="0" applyFont="1" applyBorder="1"/>
    <xf numFmtId="0" fontId="15" fillId="38" borderId="0" xfId="0" applyFont="1" applyFill="1"/>
    <xf numFmtId="38" fontId="11" fillId="53" borderId="0" xfId="0" applyNumberFormat="1" applyFont="1" applyFill="1"/>
    <xf numFmtId="38" fontId="11" fillId="53" borderId="24" xfId="0" applyNumberFormat="1" applyFont="1" applyFill="1" applyBorder="1"/>
    <xf numFmtId="38" fontId="11" fillId="53" borderId="40" xfId="0" applyNumberFormat="1" applyFont="1" applyFill="1" applyBorder="1"/>
    <xf numFmtId="10" fontId="11" fillId="34" borderId="49" xfId="44" applyNumberFormat="1" applyFont="1" applyFill="1" applyBorder="1" applyAlignment="1">
      <alignment horizontal="right"/>
    </xf>
    <xf numFmtId="167" fontId="11" fillId="33" borderId="10" xfId="48" applyNumberFormat="1" applyFill="1" applyBorder="1"/>
    <xf numFmtId="9" fontId="11" fillId="0" borderId="27" xfId="44" applyFont="1" applyBorder="1"/>
    <xf numFmtId="9" fontId="11" fillId="0" borderId="28" xfId="44" applyFont="1" applyBorder="1"/>
    <xf numFmtId="0" fontId="0" fillId="37" borderId="23" xfId="0" applyFill="1" applyBorder="1" applyAlignment="1">
      <alignment horizontal="center"/>
    </xf>
    <xf numFmtId="0" fontId="0" fillId="37" borderId="0" xfId="0" applyFill="1" applyAlignment="1">
      <alignment horizontal="center"/>
    </xf>
    <xf numFmtId="0" fontId="0" fillId="37" borderId="0" xfId="0" quotePrefix="1" applyFill="1" applyAlignment="1">
      <alignment horizontal="center"/>
    </xf>
    <xf numFmtId="0" fontId="7" fillId="37" borderId="25" xfId="0" applyFont="1" applyFill="1" applyBorder="1" applyAlignment="1">
      <alignment horizontal="center"/>
    </xf>
    <xf numFmtId="37" fontId="7" fillId="37" borderId="10" xfId="0" applyNumberFormat="1" applyFont="1" applyFill="1" applyBorder="1"/>
    <xf numFmtId="0" fontId="7" fillId="37" borderId="10" xfId="0" applyFont="1" applyFill="1" applyBorder="1" applyAlignment="1">
      <alignment horizontal="center"/>
    </xf>
    <xf numFmtId="0" fontId="7" fillId="37" borderId="10" xfId="0" applyFont="1" applyFill="1" applyBorder="1"/>
    <xf numFmtId="0" fontId="7" fillId="37" borderId="26" xfId="0" applyFont="1" applyFill="1" applyBorder="1"/>
    <xf numFmtId="0" fontId="9" fillId="37" borderId="27" xfId="0" applyFont="1" applyFill="1" applyBorder="1"/>
    <xf numFmtId="0" fontId="9" fillId="37" borderId="28" xfId="0" applyFont="1" applyFill="1" applyBorder="1" applyAlignment="1">
      <alignment horizontal="center"/>
    </xf>
    <xf numFmtId="37" fontId="0" fillId="34" borderId="13" xfId="0" applyNumberFormat="1" applyFill="1" applyBorder="1"/>
    <xf numFmtId="0" fontId="108" fillId="25" borderId="28" xfId="0" applyFont="1" applyFill="1" applyBorder="1" applyAlignment="1">
      <alignment horizontal="center"/>
    </xf>
    <xf numFmtId="0" fontId="40" fillId="25" borderId="27" xfId="0" applyFont="1" applyFill="1" applyBorder="1" applyAlignment="1">
      <alignment horizontal="right"/>
    </xf>
    <xf numFmtId="0" fontId="2" fillId="0" borderId="23" xfId="48" applyFont="1" applyBorder="1"/>
    <xf numFmtId="0" fontId="11" fillId="53" borderId="34" xfId="48" applyFill="1" applyBorder="1"/>
    <xf numFmtId="0" fontId="11" fillId="53" borderId="21" xfId="48" applyFill="1" applyBorder="1"/>
    <xf numFmtId="167" fontId="11" fillId="53" borderId="21" xfId="48" applyNumberFormat="1" applyFill="1" applyBorder="1"/>
    <xf numFmtId="0" fontId="2" fillId="0" borderId="31" xfId="48" applyFont="1" applyBorder="1"/>
    <xf numFmtId="0" fontId="11" fillId="0" borderId="32" xfId="48" applyBorder="1"/>
    <xf numFmtId="167" fontId="11" fillId="0" borderId="30" xfId="48" applyNumberFormat="1" applyBorder="1"/>
    <xf numFmtId="10" fontId="2" fillId="0" borderId="0" xfId="0" applyNumberFormat="1" applyFont="1"/>
    <xf numFmtId="0" fontId="20" fillId="0" borderId="10" xfId="0" applyFont="1" applyBorder="1" applyAlignment="1">
      <alignment horizontal="center"/>
    </xf>
    <xf numFmtId="0" fontId="2" fillId="0" borderId="0" xfId="48" applyFont="1"/>
    <xf numFmtId="0" fontId="2" fillId="0" borderId="21" xfId="48" applyFont="1" applyBorder="1"/>
    <xf numFmtId="10" fontId="0" fillId="40" borderId="0" xfId="44" applyNumberFormat="1" applyFont="1" applyFill="1" applyBorder="1" applyProtection="1"/>
    <xf numFmtId="37" fontId="2" fillId="0" borderId="66" xfId="0" applyNumberFormat="1" applyFont="1" applyBorder="1"/>
    <xf numFmtId="37" fontId="0" fillId="34" borderId="29" xfId="0" applyNumberFormat="1" applyFill="1" applyBorder="1"/>
    <xf numFmtId="0" fontId="118" fillId="0" borderId="25" xfId="0" applyFont="1" applyBorder="1"/>
    <xf numFmtId="37" fontId="118" fillId="0" borderId="10" xfId="0" applyNumberFormat="1" applyFont="1" applyBorder="1"/>
    <xf numFmtId="37" fontId="118" fillId="0" borderId="26" xfId="0" applyNumberFormat="1" applyFont="1" applyBorder="1"/>
    <xf numFmtId="0" fontId="118" fillId="0" borderId="23" xfId="0" applyFont="1" applyBorder="1"/>
    <xf numFmtId="0" fontId="7" fillId="0" borderId="34" xfId="0" applyFont="1" applyBorder="1"/>
    <xf numFmtId="166" fontId="7" fillId="0" borderId="21" xfId="28" applyNumberFormat="1" applyFont="1" applyBorder="1" applyAlignment="1">
      <alignment horizontal="center"/>
    </xf>
    <xf numFmtId="166" fontId="7" fillId="31" borderId="22" xfId="28" applyNumberFormat="1" applyFont="1" applyFill="1" applyBorder="1" applyAlignment="1">
      <alignment horizontal="center"/>
    </xf>
    <xf numFmtId="10" fontId="2" fillId="24" borderId="24" xfId="0" applyNumberFormat="1" applyFont="1" applyFill="1" applyBorder="1"/>
    <xf numFmtId="0" fontId="103" fillId="0" borderId="33" xfId="0" applyFont="1" applyBorder="1"/>
    <xf numFmtId="0" fontId="115" fillId="0" borderId="0" xfId="0" applyFont="1"/>
    <xf numFmtId="0" fontId="115" fillId="0" borderId="23" xfId="0" applyFont="1" applyBorder="1"/>
    <xf numFmtId="5" fontId="115" fillId="0" borderId="0" xfId="0" applyNumberFormat="1" applyFont="1"/>
    <xf numFmtId="2" fontId="115" fillId="0" borderId="0" xfId="0" applyNumberFormat="1" applyFont="1"/>
    <xf numFmtId="10" fontId="115" fillId="0" borderId="0" xfId="0" applyNumberFormat="1" applyFont="1"/>
    <xf numFmtId="37" fontId="40" fillId="0" borderId="0" xfId="0" applyNumberFormat="1" applyFont="1" applyAlignment="1">
      <alignment horizontal="center"/>
    </xf>
    <xf numFmtId="166" fontId="40" fillId="26" borderId="29" xfId="28" applyNumberFormat="1" applyFont="1" applyFill="1" applyBorder="1"/>
    <xf numFmtId="166" fontId="102" fillId="26" borderId="29" xfId="28" applyNumberFormat="1" applyFont="1" applyFill="1" applyBorder="1"/>
    <xf numFmtId="0" fontId="43" fillId="0" borderId="0" xfId="0" applyFont="1"/>
    <xf numFmtId="0" fontId="2" fillId="0" borderId="24" xfId="0" applyFont="1" applyBorder="1"/>
    <xf numFmtId="7" fontId="0" fillId="0" borderId="21" xfId="0" applyNumberFormat="1" applyBorder="1"/>
    <xf numFmtId="7" fontId="0" fillId="0" borderId="22" xfId="0" applyNumberFormat="1" applyBorder="1"/>
    <xf numFmtId="10" fontId="105" fillId="0" borderId="49" xfId="44" applyNumberFormat="1" applyFont="1" applyFill="1" applyBorder="1" applyAlignment="1" applyProtection="1">
      <alignment horizontal="center"/>
    </xf>
    <xf numFmtId="37" fontId="40" fillId="0" borderId="21" xfId="0" applyNumberFormat="1" applyFont="1" applyBorder="1" applyAlignment="1">
      <alignment horizontal="center"/>
    </xf>
    <xf numFmtId="0" fontId="41" fillId="0" borderId="21" xfId="0" applyFont="1" applyBorder="1" applyAlignment="1">
      <alignment horizontal="center"/>
    </xf>
    <xf numFmtId="0" fontId="41" fillId="0" borderId="22" xfId="0" applyFont="1" applyBorder="1" applyAlignment="1">
      <alignment horizontal="center"/>
    </xf>
    <xf numFmtId="37" fontId="2" fillId="0" borderId="25" xfId="0" applyNumberFormat="1" applyFont="1" applyBorder="1" applyAlignment="1">
      <alignment horizontal="left"/>
    </xf>
    <xf numFmtId="10" fontId="2" fillId="0" borderId="10" xfId="44" applyNumberFormat="1" applyFont="1" applyFill="1" applyBorder="1" applyAlignment="1" applyProtection="1">
      <alignment horizontal="center"/>
    </xf>
    <xf numFmtId="37" fontId="40" fillId="0" borderId="10" xfId="0" applyNumberFormat="1" applyFont="1" applyBorder="1" applyAlignment="1">
      <alignment horizontal="center"/>
    </xf>
    <xf numFmtId="0" fontId="41" fillId="0" borderId="10" xfId="0" applyFont="1" applyBorder="1" applyAlignment="1">
      <alignment horizontal="center"/>
    </xf>
    <xf numFmtId="0" fontId="41" fillId="0" borderId="26" xfId="0" applyFont="1" applyBorder="1" applyAlignment="1">
      <alignment horizontal="center"/>
    </xf>
    <xf numFmtId="5" fontId="9" fillId="34" borderId="51" xfId="0" applyNumberFormat="1" applyFont="1" applyFill="1" applyBorder="1"/>
    <xf numFmtId="165" fontId="11" fillId="34" borderId="0" xfId="0" applyNumberFormat="1" applyFont="1" applyFill="1"/>
    <xf numFmtId="0" fontId="0" fillId="33" borderId="23" xfId="0" applyFill="1" applyBorder="1"/>
    <xf numFmtId="0" fontId="0" fillId="33" borderId="0" xfId="0" applyFill="1"/>
    <xf numFmtId="37" fontId="0" fillId="33" borderId="24" xfId="0" applyNumberFormat="1" applyFill="1" applyBorder="1"/>
    <xf numFmtId="0" fontId="11" fillId="33" borderId="23" xfId="0" applyFont="1" applyFill="1" applyBorder="1"/>
    <xf numFmtId="37" fontId="11" fillId="33" borderId="24" xfId="0" applyNumberFormat="1" applyFont="1" applyFill="1" applyBorder="1"/>
    <xf numFmtId="0" fontId="7" fillId="33" borderId="23" xfId="0" applyFont="1" applyFill="1" applyBorder="1"/>
    <xf numFmtId="0" fontId="7" fillId="33" borderId="0" xfId="0" applyFont="1" applyFill="1"/>
    <xf numFmtId="37" fontId="7" fillId="33" borderId="41" xfId="0" applyNumberFormat="1" applyFont="1" applyFill="1" applyBorder="1"/>
    <xf numFmtId="0" fontId="5" fillId="33" borderId="23" xfId="0" applyFont="1" applyFill="1" applyBorder="1" applyAlignment="1">
      <alignment horizontal="center"/>
    </xf>
    <xf numFmtId="0" fontId="5" fillId="33" borderId="0" xfId="0" applyFont="1" applyFill="1" applyAlignment="1">
      <alignment horizontal="center"/>
    </xf>
    <xf numFmtId="0" fontId="0" fillId="33" borderId="24" xfId="0" applyFill="1" applyBorder="1"/>
    <xf numFmtId="0" fontId="0" fillId="33" borderId="23" xfId="0" quotePrefix="1" applyFill="1" applyBorder="1"/>
    <xf numFmtId="0" fontId="0" fillId="59" borderId="23" xfId="0" applyFill="1" applyBorder="1"/>
    <xf numFmtId="0" fontId="0" fillId="59" borderId="0" xfId="0" applyFill="1"/>
    <xf numFmtId="37" fontId="0" fillId="59" borderId="24" xfId="0" applyNumberFormat="1" applyFill="1" applyBorder="1"/>
    <xf numFmtId="10" fontId="0" fillId="53" borderId="0" xfId="0" applyNumberFormat="1" applyFill="1"/>
    <xf numFmtId="9" fontId="99" fillId="34" borderId="22" xfId="44" applyFont="1" applyFill="1" applyBorder="1"/>
    <xf numFmtId="10" fontId="0" fillId="0" borderId="49" xfId="0" applyNumberFormat="1" applyBorder="1"/>
    <xf numFmtId="37" fontId="11" fillId="38" borderId="40" xfId="0" applyNumberFormat="1" applyFont="1" applyFill="1" applyBorder="1"/>
    <xf numFmtId="0" fontId="11" fillId="32" borderId="21" xfId="0" applyFont="1" applyFill="1" applyBorder="1"/>
    <xf numFmtId="166" fontId="11" fillId="32" borderId="21" xfId="28" applyNumberFormat="1" applyFont="1" applyFill="1" applyBorder="1"/>
    <xf numFmtId="0" fontId="11" fillId="32" borderId="0" xfId="0" applyFont="1" applyFill="1"/>
    <xf numFmtId="166" fontId="11" fillId="32" borderId="0" xfId="28" applyNumberFormat="1" applyFont="1" applyFill="1" applyBorder="1"/>
    <xf numFmtId="0" fontId="0" fillId="32" borderId="0" xfId="0" applyFill="1"/>
    <xf numFmtId="166" fontId="11" fillId="43" borderId="0" xfId="28" applyNumberFormat="1" applyFont="1" applyFill="1" applyBorder="1"/>
    <xf numFmtId="166" fontId="11" fillId="43" borderId="24" xfId="28" applyNumberFormat="1" applyFont="1" applyFill="1" applyBorder="1"/>
    <xf numFmtId="37" fontId="2" fillId="0" borderId="10" xfId="0" applyNumberFormat="1" applyFont="1" applyBorder="1"/>
    <xf numFmtId="10" fontId="7" fillId="41" borderId="29" xfId="0" applyNumberFormat="1" applyFont="1" applyFill="1" applyBorder="1" applyAlignment="1">
      <alignment horizontal="center"/>
    </xf>
    <xf numFmtId="10" fontId="7" fillId="35" borderId="29" xfId="0" applyNumberFormat="1" applyFont="1" applyFill="1" applyBorder="1" applyAlignment="1">
      <alignment horizontal="center"/>
    </xf>
    <xf numFmtId="43" fontId="102" fillId="0" borderId="0" xfId="28" applyFont="1" applyFill="1" applyBorder="1"/>
    <xf numFmtId="6" fontId="2" fillId="0" borderId="29" xfId="0" applyNumberFormat="1" applyFont="1" applyBorder="1"/>
    <xf numFmtId="0" fontId="2" fillId="32" borderId="34" xfId="0" applyFont="1" applyFill="1" applyBorder="1"/>
    <xf numFmtId="0" fontId="11" fillId="32" borderId="21" xfId="48" applyFill="1" applyBorder="1"/>
    <xf numFmtId="171" fontId="11" fillId="32" borderId="21" xfId="44" applyNumberFormat="1" applyFont="1" applyFill="1" applyBorder="1"/>
    <xf numFmtId="0" fontId="2" fillId="32" borderId="23" xfId="0" applyFont="1" applyFill="1" applyBorder="1"/>
    <xf numFmtId="0" fontId="11" fillId="32" borderId="0" xfId="48" applyFill="1"/>
    <xf numFmtId="171" fontId="11" fillId="32" borderId="0" xfId="44" applyNumberFormat="1" applyFont="1" applyFill="1" applyBorder="1"/>
    <xf numFmtId="0" fontId="2" fillId="32" borderId="25" xfId="0" applyFont="1" applyFill="1" applyBorder="1"/>
    <xf numFmtId="0" fontId="11" fillId="32" borderId="10" xfId="48" applyFill="1" applyBorder="1"/>
    <xf numFmtId="171" fontId="11" fillId="32" borderId="10" xfId="44" applyNumberFormat="1" applyFont="1" applyFill="1" applyBorder="1"/>
    <xf numFmtId="166" fontId="99" fillId="34" borderId="24" xfId="28" applyNumberFormat="1" applyFont="1" applyFill="1" applyBorder="1"/>
    <xf numFmtId="9" fontId="99" fillId="34" borderId="30" xfId="44" applyFont="1" applyFill="1" applyBorder="1"/>
    <xf numFmtId="3" fontId="11" fillId="53" borderId="0" xfId="0" applyNumberFormat="1" applyFont="1" applyFill="1"/>
    <xf numFmtId="3" fontId="11" fillId="53" borderId="24" xfId="0" applyNumberFormat="1" applyFont="1" applyFill="1" applyBorder="1"/>
    <xf numFmtId="37" fontId="2" fillId="0" borderId="13" xfId="0" applyNumberFormat="1" applyFont="1" applyBorder="1"/>
    <xf numFmtId="37" fontId="2" fillId="0" borderId="41" xfId="0" applyNumberFormat="1" applyFont="1" applyBorder="1"/>
    <xf numFmtId="5" fontId="0" fillId="34" borderId="13" xfId="0" applyNumberFormat="1" applyFill="1" applyBorder="1"/>
    <xf numFmtId="5" fontId="0" fillId="34" borderId="41" xfId="0" applyNumberFormat="1" applyFill="1" applyBorder="1"/>
    <xf numFmtId="0" fontId="2" fillId="0" borderId="21" xfId="0" applyFont="1" applyBorder="1"/>
    <xf numFmtId="0" fontId="2" fillId="0" borderId="22" xfId="0" applyFont="1" applyBorder="1"/>
    <xf numFmtId="9" fontId="2" fillId="0" borderId="22" xfId="51" applyFont="1" applyBorder="1"/>
    <xf numFmtId="0" fontId="115" fillId="0" borderId="24" xfId="0" applyFont="1" applyBorder="1"/>
    <xf numFmtId="44" fontId="2" fillId="0" borderId="0" xfId="52" applyFont="1" applyBorder="1"/>
    <xf numFmtId="44" fontId="115" fillId="0" borderId="24" xfId="52" applyFont="1" applyBorder="1"/>
    <xf numFmtId="0" fontId="115" fillId="0" borderId="25" xfId="0" applyFont="1" applyBorder="1"/>
    <xf numFmtId="0" fontId="115" fillId="0" borderId="10" xfId="0" applyFont="1" applyBorder="1"/>
    <xf numFmtId="44" fontId="115" fillId="0" borderId="26" xfId="52" applyFont="1" applyBorder="1"/>
    <xf numFmtId="44" fontId="0" fillId="0" borderId="21" xfId="0" applyNumberFormat="1" applyBorder="1"/>
    <xf numFmtId="44" fontId="0" fillId="0" borderId="22" xfId="0" applyNumberFormat="1" applyBorder="1"/>
    <xf numFmtId="44" fontId="0" fillId="0" borderId="24" xfId="0" applyNumberFormat="1" applyBorder="1"/>
    <xf numFmtId="44" fontId="0" fillId="0" borderId="12" xfId="0" applyNumberFormat="1" applyBorder="1"/>
    <xf numFmtId="44" fontId="0" fillId="0" borderId="40" xfId="0" applyNumberFormat="1" applyBorder="1"/>
    <xf numFmtId="40" fontId="0" fillId="0" borderId="0" xfId="0" applyNumberFormat="1"/>
    <xf numFmtId="39" fontId="2" fillId="0" borderId="10" xfId="0" applyNumberFormat="1" applyFont="1" applyBorder="1"/>
    <xf numFmtId="39" fontId="2" fillId="0" borderId="0" xfId="0" applyNumberFormat="1" applyFont="1"/>
    <xf numFmtId="44" fontId="2" fillId="0" borderId="21" xfId="0" applyNumberFormat="1" applyFont="1" applyBorder="1" applyAlignment="1">
      <alignment horizontal="center"/>
    </xf>
    <xf numFmtId="9" fontId="0" fillId="0" borderId="21" xfId="51" applyFont="1" applyBorder="1"/>
    <xf numFmtId="9" fontId="0" fillId="0" borderId="22" xfId="51" applyFont="1" applyBorder="1"/>
    <xf numFmtId="37" fontId="7" fillId="48" borderId="67" xfId="0" applyNumberFormat="1" applyFont="1" applyFill="1" applyBorder="1" applyAlignment="1">
      <alignment horizontal="left"/>
    </xf>
    <xf numFmtId="37" fontId="2" fillId="0" borderId="0" xfId="0" applyNumberFormat="1" applyFont="1" applyAlignment="1">
      <alignment horizontal="left"/>
    </xf>
    <xf numFmtId="0" fontId="2" fillId="0" borderId="23" xfId="0" applyFont="1" applyBorder="1" applyAlignment="1">
      <alignment wrapText="1"/>
    </xf>
    <xf numFmtId="0" fontId="41" fillId="29" borderId="32" xfId="0" applyFont="1" applyFill="1" applyBorder="1"/>
    <xf numFmtId="0" fontId="0" fillId="0" borderId="12" xfId="0" quotePrefix="1" applyBorder="1"/>
    <xf numFmtId="0" fontId="0" fillId="33" borderId="34" xfId="0" applyFill="1" applyBorder="1"/>
    <xf numFmtId="0" fontId="0" fillId="33" borderId="21" xfId="0" applyFill="1" applyBorder="1"/>
    <xf numFmtId="37" fontId="0" fillId="33" borderId="22" xfId="0" applyNumberFormat="1" applyFill="1" applyBorder="1"/>
    <xf numFmtId="0" fontId="7" fillId="33" borderId="25" xfId="0" applyFont="1" applyFill="1" applyBorder="1"/>
    <xf numFmtId="0" fontId="0" fillId="33" borderId="10" xfId="0" applyFill="1" applyBorder="1"/>
    <xf numFmtId="37" fontId="7" fillId="34" borderId="37" xfId="0" applyNumberFormat="1" applyFont="1" applyFill="1" applyBorder="1"/>
    <xf numFmtId="37" fontId="2" fillId="33" borderId="40" xfId="0" applyNumberFormat="1" applyFont="1" applyFill="1" applyBorder="1"/>
    <xf numFmtId="0" fontId="7" fillId="33" borderId="10" xfId="0" applyFont="1" applyFill="1" applyBorder="1"/>
    <xf numFmtId="10" fontId="7" fillId="32" borderId="26" xfId="0" applyNumberFormat="1" applyFont="1" applyFill="1" applyBorder="1"/>
    <xf numFmtId="0" fontId="7" fillId="32" borderId="25" xfId="0" applyFont="1" applyFill="1" applyBorder="1"/>
    <xf numFmtId="0" fontId="7" fillId="32" borderId="10" xfId="0" applyFont="1" applyFill="1" applyBorder="1"/>
    <xf numFmtId="0" fontId="11" fillId="37" borderId="66" xfId="0" applyFont="1" applyFill="1" applyBorder="1" applyAlignment="1">
      <alignment horizontal="right"/>
    </xf>
    <xf numFmtId="10" fontId="106" fillId="34" borderId="29" xfId="0" applyNumberFormat="1" applyFont="1" applyFill="1" applyBorder="1" applyAlignment="1">
      <alignment horizontal="center"/>
    </xf>
    <xf numFmtId="5" fontId="2" fillId="0" borderId="21" xfId="0" applyNumberFormat="1" applyFont="1" applyBorder="1"/>
    <xf numFmtId="37" fontId="2" fillId="53" borderId="0" xfId="0" applyNumberFormat="1" applyFont="1" applyFill="1"/>
    <xf numFmtId="37" fontId="11" fillId="53" borderId="12" xfId="0" applyNumberFormat="1" applyFont="1" applyFill="1" applyBorder="1"/>
    <xf numFmtId="37" fontId="0" fillId="53" borderId="65" xfId="0" applyNumberFormat="1" applyFill="1" applyBorder="1"/>
    <xf numFmtId="0" fontId="7" fillId="34" borderId="25" xfId="0" applyFont="1" applyFill="1" applyBorder="1"/>
    <xf numFmtId="37" fontId="0" fillId="32" borderId="13" xfId="0" applyNumberFormat="1" applyFill="1" applyBorder="1"/>
    <xf numFmtId="37" fontId="0" fillId="35" borderId="0" xfId="0" applyNumberFormat="1" applyFill="1"/>
    <xf numFmtId="37" fontId="0" fillId="35" borderId="13" xfId="0" applyNumberFormat="1" applyFill="1" applyBorder="1"/>
    <xf numFmtId="0" fontId="121" fillId="0" borderId="0" xfId="53"/>
    <xf numFmtId="0" fontId="121" fillId="0" borderId="72" xfId="53" applyBorder="1"/>
    <xf numFmtId="182" fontId="121" fillId="0" borderId="0" xfId="53" applyNumberFormat="1"/>
    <xf numFmtId="182" fontId="121" fillId="0" borderId="73" xfId="53" applyNumberFormat="1" applyBorder="1"/>
    <xf numFmtId="0" fontId="121" fillId="0" borderId="73" xfId="53" applyBorder="1"/>
    <xf numFmtId="0" fontId="121" fillId="0" borderId="70" xfId="53" applyBorder="1"/>
    <xf numFmtId="10" fontId="121" fillId="0" borderId="0" xfId="53" applyNumberFormat="1"/>
    <xf numFmtId="183" fontId="121" fillId="0" borderId="0" xfId="53" applyNumberFormat="1"/>
    <xf numFmtId="10" fontId="121" fillId="0" borderId="69" xfId="53" applyNumberFormat="1" applyBorder="1" applyAlignment="1">
      <alignment horizontal="center"/>
    </xf>
    <xf numFmtId="182" fontId="121" fillId="0" borderId="71" xfId="53" applyNumberFormat="1" applyBorder="1" applyAlignment="1">
      <alignment horizontal="center"/>
    </xf>
    <xf numFmtId="10" fontId="121" fillId="0" borderId="0" xfId="53" applyNumberFormat="1" applyAlignment="1">
      <alignment horizontal="center"/>
    </xf>
    <xf numFmtId="10" fontId="121" fillId="0" borderId="16" xfId="53" applyNumberFormat="1" applyBorder="1" applyAlignment="1">
      <alignment horizontal="center"/>
    </xf>
    <xf numFmtId="10" fontId="121" fillId="0" borderId="58" xfId="53" applyNumberFormat="1" applyBorder="1" applyAlignment="1">
      <alignment horizontal="center"/>
    </xf>
    <xf numFmtId="0" fontId="121" fillId="0" borderId="77" xfId="53" applyBorder="1"/>
    <xf numFmtId="10" fontId="121" fillId="0" borderId="14" xfId="53" applyNumberFormat="1" applyBorder="1" applyAlignment="1">
      <alignment horizontal="center"/>
    </xf>
    <xf numFmtId="0" fontId="121" fillId="0" borderId="78" xfId="53" applyBorder="1"/>
    <xf numFmtId="0" fontId="7" fillId="34" borderId="75" xfId="53" applyFont="1" applyFill="1" applyBorder="1" applyAlignment="1">
      <alignment horizontal="center"/>
    </xf>
    <xf numFmtId="0" fontId="7" fillId="34" borderId="76" xfId="53" applyFont="1" applyFill="1" applyBorder="1" applyAlignment="1">
      <alignment horizontal="center"/>
    </xf>
    <xf numFmtId="0" fontId="7" fillId="34" borderId="79" xfId="53" applyFont="1" applyFill="1" applyBorder="1" applyAlignment="1">
      <alignment horizontal="center"/>
    </xf>
    <xf numFmtId="0" fontId="7" fillId="34" borderId="80" xfId="53" applyFont="1" applyFill="1" applyBorder="1" applyAlignment="1">
      <alignment horizontal="center"/>
    </xf>
    <xf numFmtId="0" fontId="12" fillId="34" borderId="74" xfId="53" applyFont="1" applyFill="1" applyBorder="1"/>
    <xf numFmtId="0" fontId="12" fillId="34" borderId="81" xfId="53" applyFont="1" applyFill="1" applyBorder="1"/>
    <xf numFmtId="182" fontId="121" fillId="0" borderId="82" xfId="53" applyNumberFormat="1" applyBorder="1" applyAlignment="1">
      <alignment horizontal="center"/>
    </xf>
    <xf numFmtId="2" fontId="7" fillId="0" borderId="0" xfId="53" applyNumberFormat="1" applyFont="1"/>
    <xf numFmtId="10" fontId="7" fillId="0" borderId="0" xfId="53" applyNumberFormat="1" applyFont="1"/>
    <xf numFmtId="0" fontId="122" fillId="0" borderId="0" xfId="53" applyFont="1"/>
    <xf numFmtId="10" fontId="121" fillId="61" borderId="0" xfId="53" applyNumberFormat="1" applyFill="1" applyAlignment="1">
      <alignment horizontal="center"/>
    </xf>
    <xf numFmtId="10" fontId="121" fillId="61" borderId="12" xfId="53" applyNumberFormat="1" applyFill="1" applyBorder="1" applyAlignment="1">
      <alignment horizontal="center"/>
    </xf>
    <xf numFmtId="182" fontId="121" fillId="41" borderId="68" xfId="53" applyNumberFormat="1" applyFill="1" applyBorder="1" applyAlignment="1">
      <alignment horizontal="center"/>
    </xf>
    <xf numFmtId="10" fontId="121" fillId="61" borderId="15" xfId="53" applyNumberFormat="1" applyFill="1" applyBorder="1" applyAlignment="1">
      <alignment horizontal="center"/>
    </xf>
    <xf numFmtId="10" fontId="121" fillId="61" borderId="71" xfId="53" applyNumberFormat="1" applyFill="1" applyBorder="1" applyAlignment="1">
      <alignment horizontal="center"/>
    </xf>
    <xf numFmtId="10" fontId="121" fillId="61" borderId="69" xfId="53" applyNumberFormat="1" applyFill="1" applyBorder="1" applyAlignment="1">
      <alignment horizontal="center"/>
    </xf>
    <xf numFmtId="10" fontId="121" fillId="61" borderId="68" xfId="53" applyNumberFormat="1" applyFill="1" applyBorder="1" applyAlignment="1">
      <alignment horizontal="center"/>
    </xf>
    <xf numFmtId="0" fontId="122" fillId="0" borderId="63" xfId="53" applyFont="1" applyBorder="1"/>
    <xf numFmtId="0" fontId="121" fillId="0" borderId="21" xfId="53" applyBorder="1"/>
    <xf numFmtId="0" fontId="7" fillId="0" borderId="21" xfId="53" applyFont="1" applyBorder="1" applyAlignment="1">
      <alignment horizontal="center"/>
    </xf>
    <xf numFmtId="0" fontId="7" fillId="60" borderId="47" xfId="53" applyFont="1" applyFill="1" applyBorder="1" applyAlignment="1">
      <alignment horizontal="center"/>
    </xf>
    <xf numFmtId="0" fontId="7" fillId="60" borderId="55" xfId="53" applyFont="1" applyFill="1" applyBorder="1" applyAlignment="1">
      <alignment horizontal="center"/>
    </xf>
    <xf numFmtId="0" fontId="7" fillId="0" borderId="23" xfId="53" applyFont="1" applyBorder="1"/>
    <xf numFmtId="0" fontId="123" fillId="0" borderId="0" xfId="53" applyFont="1" applyAlignment="1">
      <alignment horizontal="right"/>
    </xf>
    <xf numFmtId="10" fontId="123" fillId="0" borderId="0" xfId="53" applyNumberFormat="1" applyFont="1" applyAlignment="1">
      <alignment horizontal="center"/>
    </xf>
    <xf numFmtId="182" fontId="121" fillId="0" borderId="0" xfId="53" applyNumberFormat="1" applyAlignment="1">
      <alignment horizontal="center"/>
    </xf>
    <xf numFmtId="182" fontId="121" fillId="41" borderId="0" xfId="53" applyNumberFormat="1" applyFill="1" applyAlignment="1">
      <alignment horizontal="center"/>
    </xf>
    <xf numFmtId="182" fontId="121" fillId="41" borderId="24" xfId="53" applyNumberFormat="1" applyFill="1" applyBorder="1" applyAlignment="1">
      <alignment horizontal="center"/>
    </xf>
    <xf numFmtId="0" fontId="12" fillId="0" borderId="23" xfId="53" applyFont="1" applyBorder="1"/>
    <xf numFmtId="0" fontId="12" fillId="0" borderId="0" xfId="53" applyFont="1"/>
    <xf numFmtId="0" fontId="121" fillId="0" borderId="24" xfId="53" applyBorder="1"/>
    <xf numFmtId="0" fontId="121" fillId="0" borderId="23" xfId="53" applyBorder="1" applyAlignment="1">
      <alignment horizontal="left"/>
    </xf>
    <xf numFmtId="0" fontId="121" fillId="0" borderId="0" xfId="53" applyAlignment="1">
      <alignment horizontal="left" indent="1"/>
    </xf>
    <xf numFmtId="182" fontId="121" fillId="0" borderId="24" xfId="53" applyNumberFormat="1" applyBorder="1" applyAlignment="1">
      <alignment horizontal="center"/>
    </xf>
    <xf numFmtId="0" fontId="7" fillId="0" borderId="25" xfId="53" applyFont="1" applyBorder="1"/>
    <xf numFmtId="0" fontId="121" fillId="0" borderId="10" xfId="53" applyBorder="1"/>
    <xf numFmtId="10" fontId="121" fillId="0" borderId="10" xfId="53" applyNumberFormat="1" applyBorder="1" applyAlignment="1">
      <alignment horizontal="center"/>
    </xf>
    <xf numFmtId="0" fontId="121" fillId="0" borderId="10" xfId="53" applyBorder="1" applyAlignment="1">
      <alignment horizontal="center"/>
    </xf>
    <xf numFmtId="182" fontId="121" fillId="0" borderId="10" xfId="53" applyNumberFormat="1" applyBorder="1" applyAlignment="1">
      <alignment horizontal="center"/>
    </xf>
    <xf numFmtId="182" fontId="121" fillId="0" borderId="26" xfId="53" applyNumberFormat="1" applyBorder="1" applyAlignment="1">
      <alignment horizontal="center"/>
    </xf>
    <xf numFmtId="0" fontId="12" fillId="0" borderId="34" xfId="53" applyFont="1" applyBorder="1"/>
    <xf numFmtId="10" fontId="124" fillId="0" borderId="21" xfId="53" applyNumberFormat="1" applyFont="1" applyBorder="1"/>
    <xf numFmtId="0" fontId="121" fillId="0" borderId="23" xfId="53" applyBorder="1"/>
    <xf numFmtId="182" fontId="121" fillId="0" borderId="24" xfId="53" applyNumberFormat="1" applyBorder="1"/>
    <xf numFmtId="182" fontId="121" fillId="0" borderId="0" xfId="53" applyNumberFormat="1" applyAlignment="1">
      <alignment horizontal="right"/>
    </xf>
    <xf numFmtId="182" fontId="121" fillId="0" borderId="24" xfId="53" applyNumberFormat="1" applyBorder="1" applyAlignment="1">
      <alignment horizontal="right"/>
    </xf>
    <xf numFmtId="0" fontId="125" fillId="0" borderId="23" xfId="53" applyFont="1" applyBorder="1"/>
    <xf numFmtId="0" fontId="7" fillId="0" borderId="10" xfId="53" applyFont="1" applyBorder="1"/>
    <xf numFmtId="182" fontId="7" fillId="0" borderId="10" xfId="53" applyNumberFormat="1" applyFont="1" applyBorder="1"/>
    <xf numFmtId="182" fontId="7" fillId="0" borderId="26" xfId="53" applyNumberFormat="1" applyFont="1" applyBorder="1"/>
    <xf numFmtId="0" fontId="123" fillId="0" borderId="21" xfId="53" applyFont="1" applyBorder="1"/>
    <xf numFmtId="0" fontId="121" fillId="0" borderId="25" xfId="53" applyBorder="1"/>
    <xf numFmtId="0" fontId="121" fillId="0" borderId="26" xfId="53" applyBorder="1"/>
    <xf numFmtId="0" fontId="7" fillId="0" borderId="0" xfId="53" applyFont="1" applyAlignment="1">
      <alignment horizontal="center"/>
    </xf>
    <xf numFmtId="0" fontId="7" fillId="0" borderId="24" xfId="53" applyFont="1" applyBorder="1" applyAlignment="1">
      <alignment horizontal="center"/>
    </xf>
    <xf numFmtId="0" fontId="122" fillId="0" borderId="33" xfId="53" applyFont="1" applyBorder="1"/>
    <xf numFmtId="0" fontId="121" fillId="0" borderId="85" xfId="53" applyBorder="1"/>
    <xf numFmtId="182" fontId="121" fillId="0" borderId="86" xfId="53" applyNumberFormat="1" applyBorder="1"/>
    <xf numFmtId="10" fontId="124" fillId="0" borderId="0" xfId="53" applyNumberFormat="1" applyFont="1"/>
    <xf numFmtId="2" fontId="124" fillId="0" borderId="10" xfId="53" applyNumberFormat="1" applyFont="1" applyBorder="1"/>
    <xf numFmtId="0" fontId="12" fillId="34" borderId="87" xfId="53" applyFont="1" applyFill="1" applyBorder="1"/>
    <xf numFmtId="0" fontId="12" fillId="34" borderId="88" xfId="53" applyFont="1" applyFill="1" applyBorder="1"/>
    <xf numFmtId="0" fontId="7" fillId="34" borderId="52" xfId="53" applyFont="1" applyFill="1" applyBorder="1" applyAlignment="1">
      <alignment horizontal="center"/>
    </xf>
    <xf numFmtId="0" fontId="7" fillId="34" borderId="64" xfId="53" applyFont="1" applyFill="1" applyBorder="1" applyAlignment="1">
      <alignment horizontal="center"/>
    </xf>
    <xf numFmtId="0" fontId="7" fillId="34" borderId="65" xfId="53" applyFont="1" applyFill="1" applyBorder="1" applyAlignment="1">
      <alignment horizontal="center"/>
    </xf>
    <xf numFmtId="0" fontId="121" fillId="0" borderId="89" xfId="53" applyBorder="1"/>
    <xf numFmtId="10" fontId="121" fillId="0" borderId="15" xfId="53" applyNumberFormat="1" applyBorder="1" applyAlignment="1">
      <alignment horizontal="center"/>
    </xf>
    <xf numFmtId="0" fontId="121" fillId="0" borderId="90" xfId="53" applyBorder="1"/>
    <xf numFmtId="0" fontId="121" fillId="0" borderId="91" xfId="53" applyBorder="1"/>
    <xf numFmtId="0" fontId="126" fillId="0" borderId="0" xfId="53" applyFont="1"/>
    <xf numFmtId="0" fontId="126" fillId="0" borderId="23" xfId="53" applyFont="1" applyBorder="1"/>
    <xf numFmtId="10" fontId="126" fillId="0" borderId="0" xfId="53" applyNumberFormat="1" applyFont="1"/>
    <xf numFmtId="182" fontId="126" fillId="0" borderId="0" xfId="53" applyNumberFormat="1" applyFont="1" applyAlignment="1">
      <alignment horizontal="right"/>
    </xf>
    <xf numFmtId="182" fontId="126" fillId="0" borderId="24" xfId="53" applyNumberFormat="1" applyFont="1" applyBorder="1" applyAlignment="1">
      <alignment horizontal="right"/>
    </xf>
    <xf numFmtId="0" fontId="127" fillId="0" borderId="23" xfId="53" applyFont="1" applyBorder="1"/>
    <xf numFmtId="0" fontId="128" fillId="0" borderId="0" xfId="53" applyFont="1"/>
    <xf numFmtId="0" fontId="128" fillId="0" borderId="24" xfId="53" applyFont="1" applyBorder="1"/>
    <xf numFmtId="0" fontId="128" fillId="0" borderId="23" xfId="53" applyFont="1" applyBorder="1"/>
    <xf numFmtId="10" fontId="128" fillId="0" borderId="0" xfId="53" applyNumberFormat="1" applyFont="1"/>
    <xf numFmtId="182" fontId="128" fillId="0" borderId="0" xfId="53" applyNumberFormat="1" applyFont="1"/>
    <xf numFmtId="182" fontId="128" fillId="0" borderId="24" xfId="53" applyNumberFormat="1" applyFont="1" applyBorder="1"/>
    <xf numFmtId="37" fontId="25" fillId="34" borderId="49" xfId="0" applyNumberFormat="1" applyFont="1" applyFill="1" applyBorder="1"/>
    <xf numFmtId="0" fontId="46" fillId="62" borderId="27" xfId="0" applyFont="1" applyFill="1" applyBorder="1"/>
    <xf numFmtId="0" fontId="46" fillId="62" borderId="28" xfId="0" applyFont="1" applyFill="1" applyBorder="1" applyAlignment="1">
      <alignment horizontal="center"/>
    </xf>
    <xf numFmtId="0" fontId="46" fillId="49" borderId="27" xfId="0" applyFont="1" applyFill="1" applyBorder="1" applyAlignment="1">
      <alignment horizontal="center"/>
    </xf>
    <xf numFmtId="0" fontId="46" fillId="49" borderId="28" xfId="0" applyFont="1" applyFill="1" applyBorder="1" applyAlignment="1">
      <alignment horizontal="center"/>
    </xf>
    <xf numFmtId="0" fontId="46" fillId="58" borderId="27" xfId="0" applyFont="1" applyFill="1" applyBorder="1" applyAlignment="1">
      <alignment horizontal="center"/>
    </xf>
    <xf numFmtId="0" fontId="46" fillId="58" borderId="28" xfId="0" applyFont="1" applyFill="1" applyBorder="1" applyAlignment="1">
      <alignment horizontal="center"/>
    </xf>
    <xf numFmtId="38" fontId="11" fillId="55" borderId="21" xfId="0" applyNumberFormat="1" applyFont="1" applyFill="1" applyBorder="1"/>
    <xf numFmtId="38" fontId="11" fillId="55" borderId="22" xfId="0" applyNumberFormat="1" applyFont="1" applyFill="1" applyBorder="1"/>
    <xf numFmtId="9" fontId="0" fillId="0" borderId="0" xfId="44" applyFont="1" applyFill="1" applyBorder="1"/>
    <xf numFmtId="0" fontId="102" fillId="25" borderId="29" xfId="0" applyFont="1" applyFill="1" applyBorder="1"/>
    <xf numFmtId="44" fontId="11" fillId="24" borderId="0" xfId="29" applyFont="1" applyFill="1" applyBorder="1"/>
    <xf numFmtId="0" fontId="42" fillId="27" borderId="31" xfId="0" applyFont="1" applyFill="1" applyBorder="1" applyAlignment="1">
      <alignment horizontal="center"/>
    </xf>
    <xf numFmtId="0" fontId="41" fillId="27" borderId="32" xfId="0" applyFont="1" applyFill="1" applyBorder="1" applyAlignment="1">
      <alignment horizontal="center"/>
    </xf>
    <xf numFmtId="0" fontId="41" fillId="27" borderId="30" xfId="0" applyFont="1" applyFill="1" applyBorder="1" applyAlignment="1">
      <alignment horizontal="center"/>
    </xf>
    <xf numFmtId="0" fontId="43" fillId="28" borderId="31" xfId="0" applyFont="1" applyFill="1" applyBorder="1" applyAlignment="1">
      <alignment horizontal="center"/>
    </xf>
    <xf numFmtId="0" fontId="44" fillId="28" borderId="32" xfId="0" applyFont="1" applyFill="1" applyBorder="1" applyAlignment="1">
      <alignment horizontal="center"/>
    </xf>
    <xf numFmtId="0" fontId="44" fillId="28" borderId="30" xfId="0" applyFont="1" applyFill="1" applyBorder="1" applyAlignment="1">
      <alignment horizontal="center"/>
    </xf>
    <xf numFmtId="0" fontId="40" fillId="25" borderId="31" xfId="0" applyFont="1" applyFill="1" applyBorder="1" applyAlignment="1">
      <alignment horizontal="center"/>
    </xf>
    <xf numFmtId="0" fontId="41" fillId="25" borderId="32" xfId="0" applyFont="1" applyFill="1" applyBorder="1" applyAlignment="1">
      <alignment horizontal="center"/>
    </xf>
    <xf numFmtId="0" fontId="41" fillId="25" borderId="30" xfId="0" applyFont="1" applyFill="1" applyBorder="1" applyAlignment="1">
      <alignment horizontal="center"/>
    </xf>
    <xf numFmtId="0" fontId="0" fillId="0" borderId="30" xfId="0" applyBorder="1"/>
    <xf numFmtId="0" fontId="43" fillId="25" borderId="31" xfId="0" applyFont="1" applyFill="1" applyBorder="1" applyAlignment="1">
      <alignment horizontal="center"/>
    </xf>
    <xf numFmtId="0" fontId="0" fillId="0" borderId="32" xfId="0" applyBorder="1"/>
    <xf numFmtId="0" fontId="43" fillId="29" borderId="31" xfId="0" applyFont="1" applyFill="1" applyBorder="1" applyAlignment="1">
      <alignment horizontal="center"/>
    </xf>
    <xf numFmtId="0" fontId="41" fillId="29" borderId="32" xfId="0" applyFont="1" applyFill="1" applyBorder="1" applyAlignment="1">
      <alignment horizontal="center"/>
    </xf>
    <xf numFmtId="0" fontId="41" fillId="29" borderId="30" xfId="0" applyFont="1" applyFill="1" applyBorder="1" applyAlignment="1">
      <alignment horizontal="center"/>
    </xf>
    <xf numFmtId="0" fontId="43" fillId="28" borderId="32" xfId="0" applyFont="1" applyFill="1" applyBorder="1" applyAlignment="1">
      <alignment horizontal="center"/>
    </xf>
    <xf numFmtId="0" fontId="43" fillId="28" borderId="30" xfId="0" applyFont="1" applyFill="1" applyBorder="1" applyAlignment="1">
      <alignment horizontal="center"/>
    </xf>
    <xf numFmtId="0" fontId="0" fillId="0" borderId="32" xfId="0" applyBorder="1" applyAlignment="1">
      <alignment horizontal="center"/>
    </xf>
    <xf numFmtId="0" fontId="0" fillId="0" borderId="30" xfId="0" applyBorder="1" applyAlignment="1">
      <alignment horizontal="center"/>
    </xf>
    <xf numFmtId="0" fontId="43" fillId="25" borderId="25" xfId="0" applyFont="1" applyFill="1" applyBorder="1" applyAlignment="1">
      <alignment horizontal="center"/>
    </xf>
    <xf numFmtId="0" fontId="0" fillId="0" borderId="10" xfId="0" applyBorder="1" applyAlignment="1">
      <alignment horizontal="center"/>
    </xf>
    <xf numFmtId="0" fontId="0" fillId="0" borderId="26" xfId="0" applyBorder="1" applyAlignment="1">
      <alignment horizontal="center"/>
    </xf>
    <xf numFmtId="0" fontId="40" fillId="29" borderId="31" xfId="0" applyFont="1" applyFill="1" applyBorder="1" applyAlignment="1">
      <alignment horizontal="center"/>
    </xf>
    <xf numFmtId="0" fontId="40" fillId="29" borderId="32" xfId="0" applyFont="1" applyFill="1" applyBorder="1" applyAlignment="1">
      <alignment horizontal="center"/>
    </xf>
    <xf numFmtId="0" fontId="40" fillId="29" borderId="30" xfId="0" applyFont="1" applyFill="1" applyBorder="1" applyAlignment="1">
      <alignment horizontal="center"/>
    </xf>
    <xf numFmtId="0" fontId="29" fillId="0" borderId="0" xfId="0" applyFont="1" applyAlignment="1">
      <alignment wrapText="1"/>
    </xf>
    <xf numFmtId="0" fontId="0" fillId="0" borderId="0" xfId="0" applyAlignment="1">
      <alignment wrapText="1"/>
    </xf>
    <xf numFmtId="0" fontId="0" fillId="0" borderId="24" xfId="0" applyBorder="1" applyAlignment="1">
      <alignment wrapText="1"/>
    </xf>
    <xf numFmtId="0" fontId="40" fillId="28" borderId="31" xfId="0" applyFont="1" applyFill="1" applyBorder="1" applyAlignment="1">
      <alignment horizontal="center"/>
    </xf>
    <xf numFmtId="0" fontId="41" fillId="28" borderId="32" xfId="0" applyFont="1" applyFill="1" applyBorder="1" applyAlignment="1">
      <alignment horizontal="center"/>
    </xf>
    <xf numFmtId="0" fontId="41" fillId="28" borderId="30" xfId="0" applyFont="1" applyFill="1" applyBorder="1" applyAlignment="1">
      <alignment horizontal="center"/>
    </xf>
    <xf numFmtId="0" fontId="42" fillId="28" borderId="31" xfId="0" applyFont="1" applyFill="1" applyBorder="1" applyAlignment="1">
      <alignment horizontal="center"/>
    </xf>
    <xf numFmtId="0" fontId="42" fillId="27" borderId="32" xfId="0" applyFont="1" applyFill="1" applyBorder="1" applyAlignment="1">
      <alignment horizontal="center"/>
    </xf>
    <xf numFmtId="0" fontId="42" fillId="27" borderId="30" xfId="0" applyFont="1" applyFill="1" applyBorder="1" applyAlignment="1">
      <alignment horizontal="center"/>
    </xf>
    <xf numFmtId="166" fontId="11" fillId="24" borderId="0" xfId="28" applyNumberFormat="1" applyFont="1" applyFill="1" applyBorder="1" applyAlignment="1">
      <alignment horizontal="right"/>
    </xf>
    <xf numFmtId="166" fontId="11" fillId="24" borderId="24" xfId="28" applyNumberFormat="1" applyFont="1" applyFill="1" applyBorder="1" applyAlignment="1">
      <alignment horizontal="right"/>
    </xf>
    <xf numFmtId="166" fontId="11" fillId="24" borderId="10" xfId="28" applyNumberFormat="1" applyFont="1" applyFill="1" applyBorder="1" applyAlignment="1">
      <alignment horizontal="center"/>
    </xf>
    <xf numFmtId="0" fontId="46" fillId="25" borderId="31" xfId="0" applyFont="1" applyFill="1" applyBorder="1" applyAlignment="1">
      <alignment horizontal="center"/>
    </xf>
    <xf numFmtId="0" fontId="46" fillId="25" borderId="30" xfId="0" applyFont="1" applyFill="1" applyBorder="1" applyAlignment="1">
      <alignment horizontal="center"/>
    </xf>
    <xf numFmtId="166" fontId="11" fillId="24" borderId="12" xfId="28" applyNumberFormat="1" applyFont="1" applyFill="1" applyBorder="1" applyAlignment="1">
      <alignment horizontal="right"/>
    </xf>
    <xf numFmtId="166" fontId="11" fillId="24" borderId="40" xfId="28" applyNumberFormat="1" applyFont="1" applyFill="1" applyBorder="1" applyAlignment="1">
      <alignment horizontal="right"/>
    </xf>
    <xf numFmtId="166" fontId="11" fillId="24" borderId="26" xfId="28" applyNumberFormat="1" applyFont="1" applyFill="1" applyBorder="1" applyAlignment="1">
      <alignment horizontal="center"/>
    </xf>
    <xf numFmtId="5" fontId="11" fillId="24" borderId="0" xfId="0" applyNumberFormat="1" applyFont="1" applyFill="1" applyAlignment="1">
      <alignment horizontal="center"/>
    </xf>
    <xf numFmtId="0" fontId="5" fillId="0" borderId="23" xfId="0" applyFont="1" applyBorder="1" applyAlignment="1">
      <alignment horizontal="center"/>
    </xf>
    <xf numFmtId="0" fontId="0" fillId="0" borderId="0" xfId="0" applyAlignment="1">
      <alignment horizontal="center"/>
    </xf>
    <xf numFmtId="0" fontId="0" fillId="0" borderId="24" xfId="0" applyBorder="1" applyAlignment="1">
      <alignment horizontal="center"/>
    </xf>
    <xf numFmtId="5" fontId="105" fillId="24" borderId="0" xfId="0" applyNumberFormat="1" applyFont="1" applyFill="1" applyAlignment="1">
      <alignment horizontal="center"/>
    </xf>
    <xf numFmtId="5" fontId="105" fillId="24" borderId="24" xfId="0" applyNumberFormat="1" applyFont="1" applyFill="1" applyBorder="1" applyAlignment="1">
      <alignment horizontal="center"/>
    </xf>
    <xf numFmtId="10" fontId="105" fillId="24" borderId="0" xfId="44" applyNumberFormat="1" applyFont="1" applyFill="1" applyBorder="1" applyAlignment="1">
      <alignment horizontal="center"/>
    </xf>
    <xf numFmtId="10" fontId="105" fillId="24" borderId="24" xfId="44" applyNumberFormat="1" applyFont="1" applyFill="1" applyBorder="1" applyAlignment="1">
      <alignment horizontal="center"/>
    </xf>
    <xf numFmtId="37" fontId="105" fillId="24" borderId="10" xfId="44" applyNumberFormat="1" applyFont="1" applyFill="1" applyBorder="1" applyAlignment="1">
      <alignment horizontal="center"/>
    </xf>
    <xf numFmtId="37" fontId="105" fillId="24" borderId="26" xfId="44" applyNumberFormat="1" applyFont="1" applyFill="1" applyBorder="1" applyAlignment="1">
      <alignment horizontal="center"/>
    </xf>
    <xf numFmtId="10" fontId="11" fillId="24" borderId="0" xfId="44" applyNumberFormat="1" applyFont="1" applyFill="1" applyBorder="1" applyAlignment="1">
      <alignment horizontal="center"/>
    </xf>
    <xf numFmtId="10" fontId="11" fillId="24" borderId="24" xfId="44" applyNumberFormat="1" applyFont="1" applyFill="1" applyBorder="1" applyAlignment="1">
      <alignment horizontal="center"/>
    </xf>
    <xf numFmtId="5" fontId="11" fillId="24" borderId="24" xfId="0" applyNumberFormat="1" applyFont="1" applyFill="1" applyBorder="1" applyAlignment="1">
      <alignment horizontal="center"/>
    </xf>
    <xf numFmtId="0" fontId="91" fillId="0" borderId="23" xfId="0" applyFont="1" applyBorder="1" applyAlignment="1">
      <alignment horizontal="center"/>
    </xf>
    <xf numFmtId="0" fontId="91" fillId="0" borderId="0" xfId="0" applyFont="1" applyAlignment="1">
      <alignment horizontal="center"/>
    </xf>
    <xf numFmtId="0" fontId="91" fillId="0" borderId="24" xfId="0" applyFont="1" applyBorder="1" applyAlignment="1">
      <alignment horizontal="center"/>
    </xf>
    <xf numFmtId="49" fontId="40" fillId="25" borderId="31" xfId="0" applyNumberFormat="1" applyFont="1" applyFill="1" applyBorder="1" applyAlignment="1">
      <alignment horizontal="center"/>
    </xf>
    <xf numFmtId="0" fontId="41" fillId="29" borderId="32" xfId="0" applyFont="1" applyFill="1" applyBorder="1"/>
    <xf numFmtId="0" fontId="41" fillId="29" borderId="30" xfId="0" applyFont="1" applyFill="1" applyBorder="1"/>
    <xf numFmtId="0" fontId="40" fillId="57" borderId="31" xfId="0" applyFont="1" applyFill="1" applyBorder="1" applyAlignment="1">
      <alignment horizontal="left"/>
    </xf>
    <xf numFmtId="0" fontId="41" fillId="57" borderId="32" xfId="0" applyFont="1" applyFill="1" applyBorder="1" applyAlignment="1">
      <alignment horizontal="left"/>
    </xf>
    <xf numFmtId="0" fontId="41" fillId="57" borderId="30" xfId="0" applyFont="1" applyFill="1" applyBorder="1" applyAlignment="1">
      <alignment horizontal="left"/>
    </xf>
    <xf numFmtId="0" fontId="45" fillId="0" borderId="23" xfId="0" applyFont="1" applyBorder="1" applyAlignment="1">
      <alignment horizontal="center"/>
    </xf>
    <xf numFmtId="0" fontId="16" fillId="0" borderId="0" xfId="0" applyFont="1" applyAlignment="1">
      <alignment horizontal="center"/>
    </xf>
    <xf numFmtId="0" fontId="53" fillId="0" borderId="23" xfId="0" applyFont="1" applyBorder="1" applyAlignment="1">
      <alignment horizontal="center"/>
    </xf>
    <xf numFmtId="0" fontId="40" fillId="25" borderId="32" xfId="0" applyFont="1" applyFill="1" applyBorder="1" applyAlignment="1">
      <alignment horizontal="center"/>
    </xf>
    <xf numFmtId="0" fontId="40" fillId="25" borderId="30" xfId="0" applyFont="1" applyFill="1" applyBorder="1" applyAlignment="1">
      <alignment horizontal="center"/>
    </xf>
    <xf numFmtId="0" fontId="40" fillId="29" borderId="34" xfId="0" applyFont="1" applyFill="1" applyBorder="1" applyAlignment="1">
      <alignment horizontal="center"/>
    </xf>
    <xf numFmtId="0" fontId="40" fillId="29" borderId="21" xfId="0" applyFont="1" applyFill="1" applyBorder="1" applyAlignment="1">
      <alignment horizontal="center"/>
    </xf>
    <xf numFmtId="0" fontId="40" fillId="29" borderId="22" xfId="0" applyFont="1" applyFill="1" applyBorder="1" applyAlignment="1">
      <alignment horizontal="center"/>
    </xf>
    <xf numFmtId="37" fontId="40" fillId="29" borderId="31" xfId="0" applyNumberFormat="1" applyFont="1" applyFill="1" applyBorder="1" applyAlignment="1">
      <alignment horizontal="center"/>
    </xf>
    <xf numFmtId="37" fontId="40" fillId="29" borderId="32" xfId="0" applyNumberFormat="1" applyFont="1" applyFill="1" applyBorder="1" applyAlignment="1">
      <alignment horizontal="center"/>
    </xf>
    <xf numFmtId="0" fontId="6" fillId="0" borderId="23" xfId="0" applyFont="1" applyBorder="1" applyAlignment="1">
      <alignment horizontal="center"/>
    </xf>
    <xf numFmtId="0" fontId="6" fillId="0" borderId="0" xfId="0" applyFont="1" applyAlignment="1">
      <alignment horizontal="center"/>
    </xf>
    <xf numFmtId="0" fontId="6" fillId="0" borderId="24" xfId="0" applyFont="1" applyBorder="1" applyAlignment="1">
      <alignment horizontal="center"/>
    </xf>
    <xf numFmtId="0" fontId="40" fillId="25" borderId="21" xfId="0" applyFont="1" applyFill="1" applyBorder="1" applyAlignment="1">
      <alignment horizontal="center"/>
    </xf>
    <xf numFmtId="37" fontId="40" fillId="29" borderId="30" xfId="0" applyNumberFormat="1" applyFont="1" applyFill="1" applyBorder="1" applyAlignment="1">
      <alignment horizontal="center"/>
    </xf>
    <xf numFmtId="37" fontId="108" fillId="29" borderId="31" xfId="0" applyNumberFormat="1" applyFont="1" applyFill="1" applyBorder="1" applyAlignment="1">
      <alignment horizontal="center"/>
    </xf>
    <xf numFmtId="37" fontId="108" fillId="29" borderId="32" xfId="0" applyNumberFormat="1" applyFont="1" applyFill="1" applyBorder="1" applyAlignment="1">
      <alignment horizontal="center"/>
    </xf>
    <xf numFmtId="0" fontId="112" fillId="29" borderId="32" xfId="0" applyFont="1" applyFill="1" applyBorder="1" applyAlignment="1">
      <alignment horizontal="center"/>
    </xf>
    <xf numFmtId="0" fontId="112" fillId="29" borderId="30" xfId="0" applyFont="1" applyFill="1" applyBorder="1" applyAlignment="1">
      <alignment horizontal="center"/>
    </xf>
    <xf numFmtId="0" fontId="108" fillId="29" borderId="31" xfId="0" applyFont="1" applyFill="1" applyBorder="1" applyAlignment="1">
      <alignment horizontal="center"/>
    </xf>
    <xf numFmtId="0" fontId="108" fillId="29" borderId="32" xfId="0" applyFont="1" applyFill="1" applyBorder="1" applyAlignment="1">
      <alignment horizontal="center"/>
    </xf>
    <xf numFmtId="0" fontId="108" fillId="29" borderId="22" xfId="0" applyFont="1" applyFill="1" applyBorder="1" applyAlignment="1">
      <alignment horizontal="center"/>
    </xf>
    <xf numFmtId="0" fontId="108" fillId="29" borderId="30" xfId="0" applyFont="1" applyFill="1" applyBorder="1" applyAlignment="1">
      <alignment horizontal="center"/>
    </xf>
    <xf numFmtId="0" fontId="108" fillId="29" borderId="34" xfId="0" applyFont="1" applyFill="1" applyBorder="1" applyAlignment="1">
      <alignment horizontal="center"/>
    </xf>
    <xf numFmtId="0" fontId="108" fillId="29" borderId="21" xfId="0" applyFont="1" applyFill="1" applyBorder="1" applyAlignment="1">
      <alignment horizontal="center"/>
    </xf>
    <xf numFmtId="0" fontId="43" fillId="28" borderId="34" xfId="0" applyFont="1" applyFill="1" applyBorder="1" applyAlignment="1">
      <alignment horizontal="center"/>
    </xf>
    <xf numFmtId="0" fontId="43" fillId="28" borderId="21" xfId="0" applyFont="1" applyFill="1" applyBorder="1" applyAlignment="1">
      <alignment horizontal="center"/>
    </xf>
    <xf numFmtId="0" fontId="43" fillId="28" borderId="22" xfId="0" applyFont="1" applyFill="1" applyBorder="1" applyAlignment="1">
      <alignment horizontal="center"/>
    </xf>
    <xf numFmtId="49" fontId="40" fillId="29" borderId="31" xfId="0" applyNumberFormat="1" applyFont="1" applyFill="1" applyBorder="1" applyAlignment="1">
      <alignment horizontal="center"/>
    </xf>
    <xf numFmtId="49" fontId="42" fillId="27" borderId="31" xfId="0" applyNumberFormat="1" applyFont="1" applyFill="1" applyBorder="1" applyAlignment="1">
      <alignment horizontal="center"/>
    </xf>
    <xf numFmtId="49" fontId="43" fillId="28" borderId="31" xfId="0" applyNumberFormat="1" applyFont="1" applyFill="1" applyBorder="1" applyAlignment="1">
      <alignment horizontal="center"/>
    </xf>
    <xf numFmtId="49" fontId="56" fillId="0" borderId="23" xfId="0" applyNumberFormat="1" applyFont="1" applyBorder="1" applyAlignment="1">
      <alignment horizontal="left"/>
    </xf>
    <xf numFmtId="49" fontId="59" fillId="0" borderId="0" xfId="0" applyNumberFormat="1" applyFont="1" applyAlignment="1">
      <alignment horizontal="left"/>
    </xf>
    <xf numFmtId="49" fontId="59" fillId="0" borderId="24" xfId="0" applyNumberFormat="1" applyFont="1" applyBorder="1" applyAlignment="1">
      <alignment horizontal="left"/>
    </xf>
    <xf numFmtId="49" fontId="58" fillId="0" borderId="23" xfId="0" applyNumberFormat="1" applyFont="1" applyBorder="1" applyAlignment="1">
      <alignment horizontal="left"/>
    </xf>
    <xf numFmtId="49" fontId="58" fillId="0" borderId="0" xfId="0" applyNumberFormat="1" applyFont="1" applyAlignment="1">
      <alignment horizontal="left"/>
    </xf>
    <xf numFmtId="49" fontId="58" fillId="0" borderId="24" xfId="0" applyNumberFormat="1" applyFont="1" applyBorder="1" applyAlignment="1">
      <alignment horizontal="left"/>
    </xf>
    <xf numFmtId="49" fontId="60" fillId="0" borderId="23" xfId="0" applyNumberFormat="1" applyFont="1" applyBorder="1" applyAlignment="1">
      <alignment horizontal="left"/>
    </xf>
    <xf numFmtId="49" fontId="23" fillId="0" borderId="23" xfId="0" applyNumberFormat="1" applyFont="1" applyBorder="1" applyAlignment="1">
      <alignment horizontal="center"/>
    </xf>
    <xf numFmtId="49" fontId="22" fillId="0" borderId="0" xfId="0" applyNumberFormat="1" applyFont="1" applyAlignment="1">
      <alignment horizontal="center"/>
    </xf>
    <xf numFmtId="49" fontId="22" fillId="0" borderId="24" xfId="0" applyNumberFormat="1" applyFont="1" applyBorder="1" applyAlignment="1">
      <alignment horizontal="center"/>
    </xf>
    <xf numFmtId="49" fontId="40" fillId="29" borderId="34" xfId="0" applyNumberFormat="1" applyFont="1" applyFill="1" applyBorder="1" applyAlignment="1">
      <alignment horizontal="center"/>
    </xf>
    <xf numFmtId="0" fontId="41" fillId="29" borderId="21" xfId="0" applyFont="1" applyFill="1" applyBorder="1" applyAlignment="1">
      <alignment horizontal="center"/>
    </xf>
    <xf numFmtId="0" fontId="41" fillId="29" borderId="22" xfId="0" applyFont="1" applyFill="1" applyBorder="1" applyAlignment="1">
      <alignment horizontal="center"/>
    </xf>
    <xf numFmtId="0" fontId="7" fillId="0" borderId="34" xfId="0" applyFont="1" applyBorder="1" applyAlignment="1">
      <alignment horizontal="center"/>
    </xf>
    <xf numFmtId="0" fontId="7" fillId="0" borderId="21" xfId="0" applyFont="1" applyBorder="1" applyAlignment="1">
      <alignment horizontal="center"/>
    </xf>
    <xf numFmtId="0" fontId="7" fillId="0" borderId="25" xfId="0" applyFont="1" applyBorder="1" applyAlignment="1">
      <alignment horizontal="center"/>
    </xf>
    <xf numFmtId="0" fontId="7" fillId="0" borderId="10" xfId="0" applyFont="1" applyBorder="1" applyAlignment="1">
      <alignment horizontal="center"/>
    </xf>
    <xf numFmtId="6" fontId="0" fillId="0" borderId="0" xfId="0" applyNumberFormat="1" applyAlignment="1">
      <alignment horizontal="center"/>
    </xf>
    <xf numFmtId="6" fontId="0" fillId="0" borderId="24" xfId="0" applyNumberFormat="1" applyBorder="1" applyAlignment="1">
      <alignment horizontal="center"/>
    </xf>
    <xf numFmtId="0" fontId="46" fillId="29" borderId="31" xfId="0" applyFont="1" applyFill="1" applyBorder="1" applyAlignment="1">
      <alignment horizontal="center"/>
    </xf>
    <xf numFmtId="6" fontId="7" fillId="0" borderId="42" xfId="0" applyNumberFormat="1" applyFont="1" applyBorder="1" applyAlignment="1">
      <alignment horizontal="center"/>
    </xf>
    <xf numFmtId="6" fontId="7" fillId="0" borderId="43" xfId="0" applyNumberFormat="1" applyFont="1" applyBorder="1" applyAlignment="1">
      <alignment horizontal="center"/>
    </xf>
    <xf numFmtId="0" fontId="9" fillId="0" borderId="23" xfId="0" applyFont="1" applyBorder="1" applyAlignment="1">
      <alignment horizontal="right"/>
    </xf>
    <xf numFmtId="0" fontId="9" fillId="0" borderId="0" xfId="0" applyFont="1" applyAlignment="1">
      <alignment horizontal="right"/>
    </xf>
    <xf numFmtId="10" fontId="0" fillId="0" borderId="0" xfId="0" applyNumberFormat="1" applyAlignment="1">
      <alignment horizontal="center"/>
    </xf>
    <xf numFmtId="10" fontId="0" fillId="0" borderId="10" xfId="0" applyNumberFormat="1" applyBorder="1" applyAlignment="1">
      <alignment horizontal="center"/>
    </xf>
    <xf numFmtId="0" fontId="0" fillId="0" borderId="21" xfId="0" applyBorder="1"/>
    <xf numFmtId="0" fontId="0" fillId="0" borderId="22" xfId="0" applyBorder="1"/>
    <xf numFmtId="0" fontId="40" fillId="45" borderId="34" xfId="0" applyFont="1" applyFill="1" applyBorder="1" applyAlignment="1">
      <alignment horizontal="center"/>
    </xf>
    <xf numFmtId="0" fontId="0" fillId="45" borderId="21" xfId="0" applyFill="1" applyBorder="1"/>
    <xf numFmtId="0" fontId="102" fillId="45" borderId="34" xfId="0" applyFont="1" applyFill="1" applyBorder="1" applyAlignment="1">
      <alignment horizontal="center" vertical="center" wrapText="1"/>
    </xf>
    <xf numFmtId="0" fontId="102" fillId="45" borderId="23" xfId="0" applyFont="1" applyFill="1" applyBorder="1" applyAlignment="1">
      <alignment horizontal="center" vertical="center" wrapText="1"/>
    </xf>
    <xf numFmtId="0" fontId="102" fillId="45" borderId="25" xfId="0" applyFont="1" applyFill="1" applyBorder="1" applyAlignment="1">
      <alignment horizontal="center" vertical="center" wrapText="1"/>
    </xf>
    <xf numFmtId="0" fontId="40" fillId="25" borderId="34" xfId="0" applyFont="1" applyFill="1" applyBorder="1" applyAlignment="1">
      <alignment horizontal="left"/>
    </xf>
    <xf numFmtId="0" fontId="0" fillId="0" borderId="21" xfId="0" applyBorder="1" applyAlignment="1">
      <alignment horizontal="left"/>
    </xf>
    <xf numFmtId="0" fontId="40" fillId="25" borderId="27" xfId="0" applyFont="1" applyFill="1" applyBorder="1" applyAlignment="1">
      <alignment horizontal="center"/>
    </xf>
    <xf numFmtId="0" fontId="0" fillId="0" borderId="28" xfId="0" applyBorder="1" applyAlignment="1">
      <alignment horizontal="center"/>
    </xf>
    <xf numFmtId="0" fontId="41" fillId="27" borderId="32" xfId="0" applyFont="1" applyFill="1" applyBorder="1"/>
    <xf numFmtId="0" fontId="41" fillId="27" borderId="30" xfId="0" applyFont="1" applyFill="1" applyBorder="1"/>
    <xf numFmtId="0" fontId="41" fillId="28" borderId="32" xfId="0" applyFont="1" applyFill="1" applyBorder="1"/>
    <xf numFmtId="0" fontId="41" fillId="28" borderId="30" xfId="0" applyFont="1" applyFill="1" applyBorder="1"/>
    <xf numFmtId="0" fontId="45" fillId="0" borderId="23" xfId="0" applyFont="1" applyBorder="1" applyAlignment="1">
      <alignment horizontal="left"/>
    </xf>
    <xf numFmtId="0" fontId="16" fillId="0" borderId="0" xfId="0" applyFont="1" applyAlignment="1">
      <alignment horizontal="left"/>
    </xf>
    <xf numFmtId="0" fontId="11" fillId="0" borderId="0" xfId="0" applyFont="1" applyAlignment="1">
      <alignment horizontal="left"/>
    </xf>
    <xf numFmtId="0" fontId="40" fillId="25" borderId="31" xfId="0" applyFont="1" applyFill="1" applyBorder="1"/>
    <xf numFmtId="0" fontId="40" fillId="25" borderId="32" xfId="0" applyFont="1" applyFill="1" applyBorder="1"/>
    <xf numFmtId="0" fontId="40" fillId="25" borderId="30" xfId="0" applyFont="1" applyFill="1" applyBorder="1"/>
    <xf numFmtId="0" fontId="40" fillId="29" borderId="31" xfId="0" applyFont="1" applyFill="1" applyBorder="1"/>
    <xf numFmtId="0" fontId="53" fillId="0" borderId="0" xfId="0" applyFont="1" applyAlignment="1">
      <alignment horizontal="center"/>
    </xf>
    <xf numFmtId="0" fontId="16" fillId="0" borderId="23" xfId="0" applyFont="1" applyBorder="1" applyAlignment="1">
      <alignment horizontal="center"/>
    </xf>
    <xf numFmtId="0" fontId="45" fillId="0" borderId="23" xfId="0" applyFont="1" applyBorder="1" applyAlignment="1">
      <alignment horizontal="center" wrapText="1"/>
    </xf>
    <xf numFmtId="0" fontId="53" fillId="0" borderId="0" xfId="0" applyFont="1" applyAlignment="1">
      <alignment horizontal="center" wrapText="1"/>
    </xf>
    <xf numFmtId="0" fontId="16" fillId="0" borderId="23" xfId="0" applyFont="1" applyBorder="1" applyAlignment="1">
      <alignment horizontal="center" wrapText="1"/>
    </xf>
    <xf numFmtId="0" fontId="16" fillId="0" borderId="0" xfId="0" applyFont="1" applyAlignment="1">
      <alignment horizontal="center" wrapText="1"/>
    </xf>
    <xf numFmtId="0" fontId="40" fillId="48" borderId="31" xfId="0" applyFont="1" applyFill="1" applyBorder="1" applyAlignment="1">
      <alignment horizontal="center"/>
    </xf>
    <xf numFmtId="0" fontId="40" fillId="48" borderId="21" xfId="0" applyFont="1" applyFill="1" applyBorder="1" applyAlignment="1">
      <alignment horizontal="center"/>
    </xf>
    <xf numFmtId="0" fontId="40" fillId="48" borderId="32" xfId="0" applyFont="1" applyFill="1" applyBorder="1" applyAlignment="1">
      <alignment horizontal="center"/>
    </xf>
    <xf numFmtId="0" fontId="40" fillId="48" borderId="30" xfId="0" applyFont="1" applyFill="1" applyBorder="1" applyAlignment="1">
      <alignment horizontal="center"/>
    </xf>
    <xf numFmtId="0" fontId="0" fillId="0" borderId="63" xfId="0" applyBorder="1" applyAlignment="1">
      <alignment horizontal="center"/>
    </xf>
    <xf numFmtId="0" fontId="0" fillId="0" borderId="47" xfId="0" applyBorder="1" applyAlignment="1">
      <alignment horizontal="center"/>
    </xf>
    <xf numFmtId="0" fontId="0" fillId="0" borderId="55" xfId="0" applyBorder="1" applyAlignment="1">
      <alignment horizontal="center"/>
    </xf>
    <xf numFmtId="0" fontId="40" fillId="29" borderId="25" xfId="0" applyFont="1" applyFill="1" applyBorder="1" applyAlignment="1">
      <alignment horizontal="center"/>
    </xf>
    <xf numFmtId="0" fontId="40" fillId="29" borderId="10" xfId="0" applyFont="1" applyFill="1" applyBorder="1" applyAlignment="1">
      <alignment horizontal="center"/>
    </xf>
    <xf numFmtId="0" fontId="40" fillId="29" borderId="26" xfId="0" applyFont="1" applyFill="1" applyBorder="1" applyAlignment="1">
      <alignment horizontal="center"/>
    </xf>
    <xf numFmtId="0" fontId="111" fillId="36" borderId="31" xfId="0" applyFont="1" applyFill="1" applyBorder="1" applyAlignment="1">
      <alignment horizontal="center"/>
    </xf>
    <xf numFmtId="0" fontId="114" fillId="36" borderId="32" xfId="0" applyFont="1" applyFill="1" applyBorder="1" applyAlignment="1">
      <alignment horizontal="center"/>
    </xf>
    <xf numFmtId="0" fontId="114" fillId="36" borderId="30" xfId="0" applyFont="1" applyFill="1" applyBorder="1" applyAlignment="1">
      <alignment horizontal="center"/>
    </xf>
    <xf numFmtId="37" fontId="11" fillId="0" borderId="0" xfId="0" applyNumberFormat="1" applyFont="1" applyAlignment="1">
      <alignment wrapText="1"/>
    </xf>
    <xf numFmtId="37" fontId="11" fillId="0" borderId="24" xfId="0" applyNumberFormat="1" applyFont="1" applyBorder="1" applyAlignment="1">
      <alignment wrapText="1"/>
    </xf>
    <xf numFmtId="0" fontId="0" fillId="0" borderId="10" xfId="0" applyBorder="1" applyAlignment="1">
      <alignment wrapText="1"/>
    </xf>
    <xf numFmtId="0" fontId="0" fillId="0" borderId="26" xfId="0" applyBorder="1" applyAlignment="1">
      <alignment wrapText="1"/>
    </xf>
    <xf numFmtId="0" fontId="40" fillId="25" borderId="22" xfId="0" applyFont="1" applyFill="1" applyBorder="1" applyAlignment="1">
      <alignment horizontal="center"/>
    </xf>
    <xf numFmtId="0" fontId="40" fillId="54" borderId="52" xfId="0" applyFont="1" applyFill="1" applyBorder="1" applyAlignment="1">
      <alignment horizontal="center"/>
    </xf>
    <xf numFmtId="0" fontId="40" fillId="54" borderId="64" xfId="0" applyFont="1" applyFill="1" applyBorder="1" applyAlignment="1">
      <alignment horizontal="center"/>
    </xf>
    <xf numFmtId="0" fontId="7" fillId="64" borderId="31" xfId="0" applyFont="1" applyFill="1" applyBorder="1" applyAlignment="1">
      <alignment horizontal="center"/>
    </xf>
    <xf numFmtId="0" fontId="7" fillId="64" borderId="32" xfId="0" applyFont="1" applyFill="1" applyBorder="1" applyAlignment="1">
      <alignment horizontal="center"/>
    </xf>
    <xf numFmtId="0" fontId="7" fillId="64" borderId="30" xfId="0" applyFont="1" applyFill="1" applyBorder="1" applyAlignment="1">
      <alignment horizontal="center"/>
    </xf>
    <xf numFmtId="37" fontId="111" fillId="50" borderId="31" xfId="0" applyNumberFormat="1" applyFont="1" applyFill="1" applyBorder="1" applyAlignment="1">
      <alignment horizontal="center"/>
    </xf>
    <xf numFmtId="37" fontId="111" fillId="50" borderId="32" xfId="0" applyNumberFormat="1" applyFont="1" applyFill="1" applyBorder="1" applyAlignment="1">
      <alignment horizontal="center"/>
    </xf>
    <xf numFmtId="37" fontId="111" fillId="50" borderId="30" xfId="0" applyNumberFormat="1" applyFont="1" applyFill="1" applyBorder="1" applyAlignment="1">
      <alignment horizontal="center"/>
    </xf>
    <xf numFmtId="0" fontId="41" fillId="25" borderId="32" xfId="0" applyFont="1" applyFill="1" applyBorder="1"/>
    <xf numFmtId="0" fontId="41" fillId="25" borderId="30" xfId="0" applyFont="1" applyFill="1" applyBorder="1"/>
    <xf numFmtId="0" fontId="44" fillId="28" borderId="32" xfId="0" applyFont="1" applyFill="1" applyBorder="1"/>
    <xf numFmtId="0" fontId="44" fillId="28" borderId="30" xfId="0" applyFont="1" applyFill="1" applyBorder="1"/>
    <xf numFmtId="0" fontId="2" fillId="33" borderId="23" xfId="0" quotePrefix="1" applyFont="1" applyFill="1" applyBorder="1" applyAlignment="1">
      <alignment horizontal="left"/>
    </xf>
    <xf numFmtId="0" fontId="2" fillId="33" borderId="0" xfId="0" applyFont="1" applyFill="1" applyAlignment="1">
      <alignment horizontal="left"/>
    </xf>
    <xf numFmtId="0" fontId="40" fillId="25" borderId="34" xfId="0" applyFont="1" applyFill="1" applyBorder="1" applyAlignment="1">
      <alignment horizontal="center"/>
    </xf>
    <xf numFmtId="0" fontId="41" fillId="25" borderId="21" xfId="0" applyFont="1" applyFill="1" applyBorder="1" applyAlignment="1">
      <alignment horizontal="center"/>
    </xf>
    <xf numFmtId="0" fontId="41" fillId="25" borderId="22" xfId="0" applyFont="1" applyFill="1" applyBorder="1" applyAlignment="1">
      <alignment horizontal="center"/>
    </xf>
    <xf numFmtId="0" fontId="102" fillId="25" borderId="31" xfId="0" applyFont="1" applyFill="1" applyBorder="1"/>
    <xf numFmtId="0" fontId="107" fillId="25" borderId="32" xfId="0" applyFont="1" applyFill="1" applyBorder="1"/>
    <xf numFmtId="0" fontId="107" fillId="25" borderId="30" xfId="0" applyFont="1" applyFill="1" applyBorder="1"/>
    <xf numFmtId="0" fontId="42" fillId="27" borderId="31" xfId="48" applyFont="1" applyFill="1" applyBorder="1" applyAlignment="1">
      <alignment horizontal="center"/>
    </xf>
    <xf numFmtId="0" fontId="42" fillId="27" borderId="32" xfId="48" applyFont="1" applyFill="1" applyBorder="1" applyAlignment="1">
      <alignment horizontal="center"/>
    </xf>
    <xf numFmtId="0" fontId="42" fillId="27" borderId="30" xfId="48" applyFont="1" applyFill="1" applyBorder="1" applyAlignment="1">
      <alignment horizontal="center"/>
    </xf>
    <xf numFmtId="0" fontId="40" fillId="25" borderId="31" xfId="48" applyFont="1" applyFill="1" applyBorder="1" applyAlignment="1">
      <alignment horizontal="center"/>
    </xf>
    <xf numFmtId="0" fontId="41" fillId="25" borderId="32" xfId="48" applyFont="1" applyFill="1" applyBorder="1" applyAlignment="1">
      <alignment horizontal="center"/>
    </xf>
    <xf numFmtId="0" fontId="41" fillId="25" borderId="30" xfId="48" applyFont="1" applyFill="1" applyBorder="1" applyAlignment="1">
      <alignment horizontal="center"/>
    </xf>
    <xf numFmtId="0" fontId="46" fillId="58" borderId="31" xfId="0" applyFont="1" applyFill="1" applyBorder="1" applyAlignment="1">
      <alignment horizontal="center"/>
    </xf>
    <xf numFmtId="0" fontId="116" fillId="58" borderId="32" xfId="0" applyFont="1" applyFill="1" applyBorder="1"/>
    <xf numFmtId="0" fontId="116" fillId="58" borderId="30" xfId="0" applyFont="1" applyFill="1" applyBorder="1"/>
    <xf numFmtId="49" fontId="40" fillId="47" borderId="31" xfId="0" applyNumberFormat="1" applyFont="1" applyFill="1" applyBorder="1" applyAlignment="1">
      <alignment horizontal="center"/>
    </xf>
    <xf numFmtId="49" fontId="40" fillId="47" borderId="32" xfId="0" applyNumberFormat="1" applyFont="1" applyFill="1" applyBorder="1" applyAlignment="1">
      <alignment horizontal="center"/>
    </xf>
    <xf numFmtId="49" fontId="40" fillId="47" borderId="30" xfId="0" applyNumberFormat="1" applyFont="1" applyFill="1" applyBorder="1" applyAlignment="1">
      <alignment horizontal="center"/>
    </xf>
    <xf numFmtId="0" fontId="7" fillId="34" borderId="31" xfId="0" applyFont="1" applyFill="1" applyBorder="1" applyAlignment="1">
      <alignment horizontal="center"/>
    </xf>
    <xf numFmtId="0" fontId="11" fillId="34" borderId="32" xfId="0" applyFont="1" applyFill="1" applyBorder="1"/>
    <xf numFmtId="0" fontId="11" fillId="34" borderId="30" xfId="0" applyFont="1" applyFill="1" applyBorder="1"/>
    <xf numFmtId="49" fontId="40" fillId="47" borderId="25" xfId="0" applyNumberFormat="1" applyFont="1" applyFill="1" applyBorder="1" applyAlignment="1">
      <alignment horizontal="center"/>
    </xf>
    <xf numFmtId="49" fontId="40" fillId="47" borderId="10" xfId="0" applyNumberFormat="1" applyFont="1" applyFill="1" applyBorder="1" applyAlignment="1">
      <alignment horizontal="center"/>
    </xf>
    <xf numFmtId="49" fontId="40" fillId="47" borderId="26" xfId="0" applyNumberFormat="1" applyFont="1" applyFill="1" applyBorder="1" applyAlignment="1">
      <alignment horizontal="center"/>
    </xf>
    <xf numFmtId="0" fontId="40" fillId="49" borderId="31" xfId="0" applyFont="1" applyFill="1" applyBorder="1" applyAlignment="1">
      <alignment horizontal="center"/>
    </xf>
    <xf numFmtId="0" fontId="41" fillId="49" borderId="32" xfId="0" applyFont="1" applyFill="1" applyBorder="1" applyAlignment="1">
      <alignment horizontal="center"/>
    </xf>
    <xf numFmtId="0" fontId="41" fillId="49" borderId="30" xfId="0" applyFont="1" applyFill="1" applyBorder="1" applyAlignment="1">
      <alignment horizontal="center"/>
    </xf>
    <xf numFmtId="0" fontId="102" fillId="46" borderId="31" xfId="0" applyFont="1" applyFill="1" applyBorder="1" applyAlignment="1">
      <alignment horizontal="center"/>
    </xf>
    <xf numFmtId="0" fontId="102" fillId="46" borderId="32" xfId="0" applyFont="1" applyFill="1" applyBorder="1" applyAlignment="1">
      <alignment horizontal="center"/>
    </xf>
    <xf numFmtId="0" fontId="102" fillId="46" borderId="30" xfId="0" applyFont="1" applyFill="1" applyBorder="1" applyAlignment="1">
      <alignment horizontal="center"/>
    </xf>
    <xf numFmtId="0" fontId="11" fillId="0" borderId="23" xfId="0" applyFont="1" applyBorder="1" applyAlignment="1">
      <alignment horizontal="center"/>
    </xf>
    <xf numFmtId="0" fontId="5" fillId="0" borderId="0" xfId="0" applyFont="1" applyAlignment="1">
      <alignment horizontal="center"/>
    </xf>
    <xf numFmtId="0" fontId="5" fillId="0" borderId="24" xfId="0" applyFont="1" applyBorder="1" applyAlignment="1">
      <alignment horizontal="center"/>
    </xf>
    <xf numFmtId="0" fontId="40" fillId="58" borderId="31" xfId="0" applyFont="1" applyFill="1" applyBorder="1" applyAlignment="1">
      <alignment horizontal="center"/>
    </xf>
    <xf numFmtId="0" fontId="41" fillId="58" borderId="32" xfId="0" applyFont="1" applyFill="1" applyBorder="1"/>
    <xf numFmtId="0" fontId="41" fillId="58" borderId="30" xfId="0" applyFont="1" applyFill="1" applyBorder="1"/>
    <xf numFmtId="49" fontId="40" fillId="49" borderId="31" xfId="0" applyNumberFormat="1" applyFont="1" applyFill="1" applyBorder="1" applyAlignment="1">
      <alignment horizontal="center"/>
    </xf>
    <xf numFmtId="49" fontId="52" fillId="25" borderId="31" xfId="40" applyNumberFormat="1" applyFont="1" applyFill="1" applyBorder="1" applyAlignment="1">
      <alignment horizontal="center"/>
    </xf>
    <xf numFmtId="0" fontId="49" fillId="25" borderId="32" xfId="0" applyFont="1" applyFill="1" applyBorder="1" applyAlignment="1">
      <alignment horizontal="center"/>
    </xf>
    <xf numFmtId="0" fontId="49" fillId="25" borderId="22" xfId="0" applyFont="1" applyFill="1" applyBorder="1" applyAlignment="1">
      <alignment horizontal="center"/>
    </xf>
    <xf numFmtId="0" fontId="40" fillId="29" borderId="31" xfId="40" applyFont="1" applyFill="1" applyBorder="1" applyAlignment="1">
      <alignment horizontal="center"/>
    </xf>
    <xf numFmtId="0" fontId="102" fillId="25" borderId="31" xfId="0" applyFont="1" applyFill="1" applyBorder="1" applyAlignment="1">
      <alignment horizontal="center"/>
    </xf>
    <xf numFmtId="0" fontId="107" fillId="25" borderId="32" xfId="0" applyFont="1" applyFill="1" applyBorder="1" applyAlignment="1">
      <alignment horizontal="center"/>
    </xf>
    <xf numFmtId="0" fontId="43" fillId="25" borderId="31" xfId="0" applyFont="1" applyFill="1" applyBorder="1"/>
    <xf numFmtId="0" fontId="43" fillId="25" borderId="32" xfId="0" applyFont="1" applyFill="1" applyBorder="1" applyAlignment="1">
      <alignment horizontal="center"/>
    </xf>
    <xf numFmtId="0" fontId="43" fillId="25" borderId="30" xfId="0" applyFont="1" applyFill="1" applyBorder="1" applyAlignment="1">
      <alignment horizontal="center"/>
    </xf>
    <xf numFmtId="0" fontId="40" fillId="26" borderId="25" xfId="0" applyFont="1" applyFill="1" applyBorder="1"/>
    <xf numFmtId="0" fontId="41" fillId="26" borderId="26" xfId="0" applyFont="1" applyFill="1" applyBorder="1"/>
    <xf numFmtId="0" fontId="40" fillId="63" borderId="31" xfId="0" applyFont="1" applyFill="1" applyBorder="1" applyAlignment="1">
      <alignment horizontal="center"/>
    </xf>
    <xf numFmtId="0" fontId="40" fillId="63" borderId="32" xfId="0" applyFont="1" applyFill="1" applyBorder="1" applyAlignment="1">
      <alignment horizontal="center"/>
    </xf>
    <xf numFmtId="0" fontId="40" fillId="63" borderId="30" xfId="0" applyFont="1" applyFill="1" applyBorder="1" applyAlignment="1">
      <alignment horizontal="center"/>
    </xf>
    <xf numFmtId="0" fontId="40" fillId="63" borderId="34" xfId="0" applyFont="1" applyFill="1" applyBorder="1" applyAlignment="1">
      <alignment horizontal="center"/>
    </xf>
    <xf numFmtId="0" fontId="40" fillId="63" borderId="21" xfId="0" applyFont="1" applyFill="1" applyBorder="1" applyAlignment="1">
      <alignment horizontal="center"/>
    </xf>
    <xf numFmtId="0" fontId="40" fillId="63" borderId="22" xfId="0" applyFont="1" applyFill="1" applyBorder="1" applyAlignment="1">
      <alignment horizontal="center"/>
    </xf>
    <xf numFmtId="0" fontId="40" fillId="63" borderId="25" xfId="0" applyFont="1" applyFill="1" applyBorder="1" applyAlignment="1">
      <alignment horizontal="center"/>
    </xf>
    <xf numFmtId="0" fontId="40" fillId="63" borderId="10" xfId="0" applyFont="1" applyFill="1" applyBorder="1" applyAlignment="1">
      <alignment horizontal="center"/>
    </xf>
    <xf numFmtId="0" fontId="40" fillId="63" borderId="26" xfId="0" applyFont="1" applyFill="1" applyBorder="1" applyAlignment="1">
      <alignment horizontal="center"/>
    </xf>
    <xf numFmtId="0" fontId="42" fillId="51" borderId="31" xfId="0" applyFont="1" applyFill="1" applyBorder="1" applyAlignment="1">
      <alignment horizontal="center"/>
    </xf>
    <xf numFmtId="0" fontId="0" fillId="51" borderId="32" xfId="0" applyFill="1" applyBorder="1"/>
    <xf numFmtId="0" fontId="0" fillId="51" borderId="30" xfId="0" applyFill="1" applyBorder="1"/>
    <xf numFmtId="0" fontId="122" fillId="34" borderId="83" xfId="53" applyFont="1" applyFill="1" applyBorder="1" applyAlignment="1">
      <alignment horizontal="center"/>
    </xf>
    <xf numFmtId="0" fontId="122" fillId="34" borderId="84" xfId="53" applyFont="1" applyFill="1" applyBorder="1" applyAlignment="1">
      <alignment horizontal="center"/>
    </xf>
    <xf numFmtId="0" fontId="122" fillId="34" borderId="60" xfId="53" applyFont="1" applyFill="1" applyBorder="1" applyAlignment="1">
      <alignment horizontal="center"/>
    </xf>
    <xf numFmtId="0" fontId="122" fillId="34" borderId="53" xfId="53" applyFont="1" applyFill="1" applyBorder="1" applyAlignment="1">
      <alignment horizontal="center"/>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50" xr:uid="{00000000-0005-0000-0000-00001C000000}"/>
    <cellStyle name="Currency" xfId="29" builtinId="4"/>
    <cellStyle name="Currency 2" xfId="52" xr:uid="{00000000-0005-0000-0000-00001E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ellStyle name="Normal 2" xfId="48" xr:uid="{00000000-0005-0000-0000-00002A000000}"/>
    <cellStyle name="Normal 3" xfId="53" xr:uid="{00000000-0005-0000-0000-00002B000000}"/>
    <cellStyle name="Normal_18_2c &amp; d" xfId="40" xr:uid="{00000000-0005-0000-0000-00002C000000}"/>
    <cellStyle name="Normal_Supply &amp; Demand frozen" xfId="41" xr:uid="{00000000-0005-0000-0000-00002D000000}"/>
    <cellStyle name="Note" xfId="42" builtinId="10" customBuiltin="1"/>
    <cellStyle name="Output" xfId="43" builtinId="21" customBuiltin="1"/>
    <cellStyle name="Percent" xfId="44" builtinId="5"/>
    <cellStyle name="Percent 2" xfId="49" xr:uid="{00000000-0005-0000-0000-000031000000}"/>
    <cellStyle name="Percent 3" xfId="51" xr:uid="{00000000-0005-0000-0000-000032000000}"/>
    <cellStyle name="Title" xfId="45" builtinId="15" customBuiltin="1"/>
    <cellStyle name="Total" xfId="46" builtinId="25" customBuiltin="1"/>
    <cellStyle name="Warning Text" xfId="47" builtinId="11" customBuiltin="1"/>
  </cellStyles>
  <dxfs count="0"/>
  <tableStyles count="0" defaultTableStyle="TableStyleMedium9" defaultPivotStyle="PivotStyleLight16"/>
  <colors>
    <mruColors>
      <color rgb="FFEBB901"/>
      <color rgb="FFFFCC66"/>
      <color rgb="FFFFFFCC"/>
      <color rgb="FFFFCC00"/>
      <color rgb="FFEA9D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Loan Payments: Constant Amort Mortgage vs. Constant Payment Mortgage</a:t>
            </a:r>
          </a:p>
        </c:rich>
      </c:tx>
      <c:layout>
        <c:manualLayout>
          <c:xMode val="edge"/>
          <c:yMode val="edge"/>
          <c:x val="9.8765617260805363E-2"/>
          <c:y val="2.9490616621983989E-2"/>
        </c:manualLayout>
      </c:layout>
      <c:overlay val="0"/>
      <c:spPr>
        <a:noFill/>
        <a:ln w="25400">
          <a:noFill/>
        </a:ln>
      </c:spPr>
    </c:title>
    <c:autoTitleDeleted val="0"/>
    <c:plotArea>
      <c:layout>
        <c:manualLayout>
          <c:layoutTarget val="inner"/>
          <c:xMode val="edge"/>
          <c:yMode val="edge"/>
          <c:x val="0.14462106037302339"/>
          <c:y val="0.17158199404898269"/>
          <c:w val="0.81128887526330262"/>
          <c:h val="0.6568373209687618"/>
        </c:manualLayout>
      </c:layout>
      <c:lineChart>
        <c:grouping val="standard"/>
        <c:varyColors val="0"/>
        <c:ser>
          <c:idx val="0"/>
          <c:order val="0"/>
          <c:tx>
            <c:v>Constant Amort Loan</c:v>
          </c:tx>
          <c:spPr>
            <a:ln w="38100">
              <a:solidFill>
                <a:srgbClr val="0000FF"/>
              </a:solidFill>
              <a:prstDash val="solid"/>
            </a:ln>
          </c:spPr>
          <c:marker>
            <c:symbol val="none"/>
          </c:marker>
          <c:cat>
            <c:strRef>
              <c:f>'Ch4 CAM'!$B$22:$B$81</c:f>
              <c:strCache>
                <c:ptCount val="49"/>
                <c:pt idx="0">
                  <c:v>  1</c:v>
                </c:pt>
                <c:pt idx="12">
                  <c:v>2</c:v>
                </c:pt>
                <c:pt idx="24">
                  <c:v>3</c:v>
                </c:pt>
                <c:pt idx="36">
                  <c:v>4</c:v>
                </c:pt>
                <c:pt idx="48">
                  <c:v>5</c:v>
                </c:pt>
              </c:strCache>
            </c:strRef>
          </c:cat>
          <c:val>
            <c:numRef>
              <c:f>'Ch4 CAM'!$E$22:$E$81</c:f>
              <c:numCache>
                <c:formatCode>"$"#,##0.00_);\("$"#,##0.00\)</c:formatCode>
                <c:ptCount val="60"/>
                <c:pt idx="0">
                  <c:v>766.66666666666663</c:v>
                </c:pt>
                <c:pt idx="1">
                  <c:v>765</c:v>
                </c:pt>
                <c:pt idx="2">
                  <c:v>763.33333333333337</c:v>
                </c:pt>
                <c:pt idx="3">
                  <c:v>761.66666666666674</c:v>
                </c:pt>
                <c:pt idx="4">
                  <c:v>760.00000000000011</c:v>
                </c:pt>
                <c:pt idx="5">
                  <c:v>758.33333333333348</c:v>
                </c:pt>
                <c:pt idx="6">
                  <c:v>756.66666666666674</c:v>
                </c:pt>
                <c:pt idx="7">
                  <c:v>755.00000000000011</c:v>
                </c:pt>
                <c:pt idx="8">
                  <c:v>753.33333333333348</c:v>
                </c:pt>
                <c:pt idx="9">
                  <c:v>751.66666666666686</c:v>
                </c:pt>
                <c:pt idx="10">
                  <c:v>750.00000000000023</c:v>
                </c:pt>
                <c:pt idx="11">
                  <c:v>748.3333333333336</c:v>
                </c:pt>
                <c:pt idx="12">
                  <c:v>746.66666666666697</c:v>
                </c:pt>
                <c:pt idx="13">
                  <c:v>745.00000000000034</c:v>
                </c:pt>
                <c:pt idx="14">
                  <c:v>743.3333333333336</c:v>
                </c:pt>
                <c:pt idx="15">
                  <c:v>741.66666666666697</c:v>
                </c:pt>
                <c:pt idx="16">
                  <c:v>740.00000000000034</c:v>
                </c:pt>
                <c:pt idx="17">
                  <c:v>738.33333333333371</c:v>
                </c:pt>
                <c:pt idx="18">
                  <c:v>736.66666666666708</c:v>
                </c:pt>
                <c:pt idx="19">
                  <c:v>735.00000000000045</c:v>
                </c:pt>
                <c:pt idx="20">
                  <c:v>733.33333333333383</c:v>
                </c:pt>
                <c:pt idx="21">
                  <c:v>731.6666666666672</c:v>
                </c:pt>
                <c:pt idx="22">
                  <c:v>730.00000000000045</c:v>
                </c:pt>
                <c:pt idx="23">
                  <c:v>728.33333333333383</c:v>
                </c:pt>
                <c:pt idx="24">
                  <c:v>726.6666666666672</c:v>
                </c:pt>
                <c:pt idx="25">
                  <c:v>725.00000000000057</c:v>
                </c:pt>
                <c:pt idx="26">
                  <c:v>723.33333333333394</c:v>
                </c:pt>
                <c:pt idx="27">
                  <c:v>721.66666666666731</c:v>
                </c:pt>
                <c:pt idx="28">
                  <c:v>720.00000000000068</c:v>
                </c:pt>
                <c:pt idx="29">
                  <c:v>718.33333333333405</c:v>
                </c:pt>
                <c:pt idx="30">
                  <c:v>716.66666666666742</c:v>
                </c:pt>
                <c:pt idx="31">
                  <c:v>715.00000000000068</c:v>
                </c:pt>
                <c:pt idx="32">
                  <c:v>713.33333333333405</c:v>
                </c:pt>
                <c:pt idx="33">
                  <c:v>711.66666666666742</c:v>
                </c:pt>
                <c:pt idx="34">
                  <c:v>710.0000000000008</c:v>
                </c:pt>
                <c:pt idx="35">
                  <c:v>708.33333333333417</c:v>
                </c:pt>
                <c:pt idx="36">
                  <c:v>706.66666666666754</c:v>
                </c:pt>
                <c:pt idx="37">
                  <c:v>705.00000000000091</c:v>
                </c:pt>
                <c:pt idx="38">
                  <c:v>703.33333333333428</c:v>
                </c:pt>
                <c:pt idx="39">
                  <c:v>701.66666666666754</c:v>
                </c:pt>
                <c:pt idx="40">
                  <c:v>700.00000000000091</c:v>
                </c:pt>
                <c:pt idx="41">
                  <c:v>698.33333333333428</c:v>
                </c:pt>
                <c:pt idx="42">
                  <c:v>696.66666666666765</c:v>
                </c:pt>
                <c:pt idx="43">
                  <c:v>695.00000000000102</c:v>
                </c:pt>
                <c:pt idx="44">
                  <c:v>693.33333333333439</c:v>
                </c:pt>
                <c:pt idx="45">
                  <c:v>691.66666666666777</c:v>
                </c:pt>
                <c:pt idx="46">
                  <c:v>690.00000000000114</c:v>
                </c:pt>
                <c:pt idx="47">
                  <c:v>688.33333333333439</c:v>
                </c:pt>
                <c:pt idx="48">
                  <c:v>686.66666666666777</c:v>
                </c:pt>
                <c:pt idx="49">
                  <c:v>685.00000000000114</c:v>
                </c:pt>
                <c:pt idx="50">
                  <c:v>683.33333333333451</c:v>
                </c:pt>
                <c:pt idx="51">
                  <c:v>681.66666666666788</c:v>
                </c:pt>
                <c:pt idx="52">
                  <c:v>680.00000000000125</c:v>
                </c:pt>
                <c:pt idx="53">
                  <c:v>678.33333333333462</c:v>
                </c:pt>
                <c:pt idx="54">
                  <c:v>676.66666666666799</c:v>
                </c:pt>
                <c:pt idx="55">
                  <c:v>675.00000000000136</c:v>
                </c:pt>
                <c:pt idx="56">
                  <c:v>673.33333333333474</c:v>
                </c:pt>
                <c:pt idx="57">
                  <c:v>671.66666666666811</c:v>
                </c:pt>
                <c:pt idx="58">
                  <c:v>670.00000000000136</c:v>
                </c:pt>
                <c:pt idx="59">
                  <c:v>668.33333333333474</c:v>
                </c:pt>
              </c:numCache>
            </c:numRef>
          </c:val>
          <c:smooth val="0"/>
          <c:extLst>
            <c:ext xmlns:c16="http://schemas.microsoft.com/office/drawing/2014/chart" uri="{C3380CC4-5D6E-409C-BE32-E72D297353CC}">
              <c16:uniqueId val="{00000000-4828-4BE3-81B7-2CB1B6B10FFB}"/>
            </c:ext>
          </c:extLst>
        </c:ser>
        <c:ser>
          <c:idx val="1"/>
          <c:order val="1"/>
          <c:tx>
            <c:v>Constant Payment Mortgage</c:v>
          </c:tx>
          <c:spPr>
            <a:ln w="38100">
              <a:solidFill>
                <a:srgbClr val="FF0000"/>
              </a:solidFill>
              <a:prstDash val="solid"/>
            </a:ln>
          </c:spPr>
          <c:marker>
            <c:symbol val="none"/>
          </c:marker>
          <c:val>
            <c:numRef>
              <c:f>'Ch4 Eff Cost'!$E$24:$E$83</c:f>
              <c:numCache>
                <c:formatCode>#,##0.00_);\(#,##0.00\)</c:formatCode>
                <c:ptCount val="60"/>
                <c:pt idx="0" formatCode="&quot;$&quot;#,##0.00_);\(&quot;$&quot;#,##0.00\)">
                  <c:v>617.16755815530257</c:v>
                </c:pt>
                <c:pt idx="1">
                  <c:v>617.16755815530257</c:v>
                </c:pt>
                <c:pt idx="2">
                  <c:v>617.16755815530257</c:v>
                </c:pt>
                <c:pt idx="3">
                  <c:v>617.16755815530257</c:v>
                </c:pt>
                <c:pt idx="4">
                  <c:v>617.16755815530257</c:v>
                </c:pt>
                <c:pt idx="5">
                  <c:v>617.16755815530257</c:v>
                </c:pt>
                <c:pt idx="6">
                  <c:v>617.16755815530257</c:v>
                </c:pt>
                <c:pt idx="7">
                  <c:v>617.16755815530257</c:v>
                </c:pt>
                <c:pt idx="8">
                  <c:v>617.16755815530257</c:v>
                </c:pt>
                <c:pt idx="9">
                  <c:v>617.16755815530257</c:v>
                </c:pt>
                <c:pt idx="10">
                  <c:v>617.16755815530257</c:v>
                </c:pt>
                <c:pt idx="11">
                  <c:v>617.16755815530257</c:v>
                </c:pt>
                <c:pt idx="12">
                  <c:v>617.16755815530257</c:v>
                </c:pt>
                <c:pt idx="13">
                  <c:v>617.16755815530257</c:v>
                </c:pt>
                <c:pt idx="14">
                  <c:v>617.16755815530257</c:v>
                </c:pt>
                <c:pt idx="15">
                  <c:v>617.16755815530257</c:v>
                </c:pt>
                <c:pt idx="16">
                  <c:v>617.16755815530257</c:v>
                </c:pt>
                <c:pt idx="17">
                  <c:v>617.16755815530257</c:v>
                </c:pt>
                <c:pt idx="18">
                  <c:v>617.16755815530257</c:v>
                </c:pt>
                <c:pt idx="19">
                  <c:v>617.16755815530257</c:v>
                </c:pt>
                <c:pt idx="20">
                  <c:v>617.16755815530257</c:v>
                </c:pt>
                <c:pt idx="21">
                  <c:v>617.16755815530257</c:v>
                </c:pt>
                <c:pt idx="22">
                  <c:v>617.16755815530257</c:v>
                </c:pt>
                <c:pt idx="23">
                  <c:v>617.16755815530257</c:v>
                </c:pt>
                <c:pt idx="24">
                  <c:v>617.16755815530257</c:v>
                </c:pt>
                <c:pt idx="25">
                  <c:v>617.16755815530257</c:v>
                </c:pt>
                <c:pt idx="26">
                  <c:v>617.16755815530257</c:v>
                </c:pt>
                <c:pt idx="27">
                  <c:v>617.16755815530257</c:v>
                </c:pt>
                <c:pt idx="28">
                  <c:v>617.16755815530257</c:v>
                </c:pt>
                <c:pt idx="29">
                  <c:v>617.16755815530257</c:v>
                </c:pt>
                <c:pt idx="30">
                  <c:v>617.16755815530257</c:v>
                </c:pt>
                <c:pt idx="31">
                  <c:v>617.16755815530257</c:v>
                </c:pt>
                <c:pt idx="32">
                  <c:v>617.16755815530257</c:v>
                </c:pt>
                <c:pt idx="33">
                  <c:v>617.16755815530257</c:v>
                </c:pt>
                <c:pt idx="34">
                  <c:v>617.16755815530257</c:v>
                </c:pt>
                <c:pt idx="35">
                  <c:v>617.16755815530257</c:v>
                </c:pt>
                <c:pt idx="36">
                  <c:v>617.16755815530257</c:v>
                </c:pt>
                <c:pt idx="37">
                  <c:v>617.16755815530257</c:v>
                </c:pt>
                <c:pt idx="38">
                  <c:v>617.16755815530257</c:v>
                </c:pt>
                <c:pt idx="39">
                  <c:v>617.16755815530257</c:v>
                </c:pt>
                <c:pt idx="40">
                  <c:v>617.16755815530257</c:v>
                </c:pt>
                <c:pt idx="41">
                  <c:v>617.16755815530257</c:v>
                </c:pt>
                <c:pt idx="42">
                  <c:v>617.16755815530257</c:v>
                </c:pt>
                <c:pt idx="43">
                  <c:v>617.16755815530257</c:v>
                </c:pt>
                <c:pt idx="44">
                  <c:v>617.16755815530257</c:v>
                </c:pt>
                <c:pt idx="45">
                  <c:v>617.16755815530257</c:v>
                </c:pt>
                <c:pt idx="46">
                  <c:v>617.16755815530257</c:v>
                </c:pt>
                <c:pt idx="47">
                  <c:v>617.16755815530257</c:v>
                </c:pt>
                <c:pt idx="48">
                  <c:v>617.16755815530257</c:v>
                </c:pt>
                <c:pt idx="49">
                  <c:v>617.16755815530257</c:v>
                </c:pt>
                <c:pt idx="50">
                  <c:v>617.16755815530257</c:v>
                </c:pt>
                <c:pt idx="51">
                  <c:v>617.16755815530257</c:v>
                </c:pt>
                <c:pt idx="52">
                  <c:v>617.16755815530257</c:v>
                </c:pt>
                <c:pt idx="53">
                  <c:v>617.16755815530257</c:v>
                </c:pt>
                <c:pt idx="54">
                  <c:v>617.16755815530257</c:v>
                </c:pt>
                <c:pt idx="55">
                  <c:v>617.16755815530257</c:v>
                </c:pt>
                <c:pt idx="56">
                  <c:v>617.16755815530257</c:v>
                </c:pt>
                <c:pt idx="57">
                  <c:v>617.16755815530257</c:v>
                </c:pt>
                <c:pt idx="58">
                  <c:v>617.16755815530257</c:v>
                </c:pt>
                <c:pt idx="59">
                  <c:v>617.16755815530257</c:v>
                </c:pt>
              </c:numCache>
            </c:numRef>
          </c:val>
          <c:smooth val="0"/>
          <c:extLst>
            <c:ext xmlns:c16="http://schemas.microsoft.com/office/drawing/2014/chart" uri="{C3380CC4-5D6E-409C-BE32-E72D297353CC}">
              <c16:uniqueId val="{00000001-4828-4BE3-81B7-2CB1B6B10FFB}"/>
            </c:ext>
          </c:extLst>
        </c:ser>
        <c:dLbls>
          <c:showLegendKey val="0"/>
          <c:showVal val="0"/>
          <c:showCatName val="0"/>
          <c:showSerName val="0"/>
          <c:showPercent val="0"/>
          <c:showBubbleSize val="0"/>
        </c:dLbls>
        <c:smooth val="0"/>
        <c:axId val="183115984"/>
        <c:axId val="183116544"/>
      </c:lineChart>
      <c:catAx>
        <c:axId val="1831159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52204678118938841"/>
              <c:y val="0.900805415408866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83116544"/>
        <c:crosses val="autoZero"/>
        <c:auto val="1"/>
        <c:lblAlgn val="ctr"/>
        <c:lblOffset val="100"/>
        <c:tickLblSkip val="1"/>
        <c:tickMarkSkip val="1"/>
        <c:noMultiLvlLbl val="0"/>
      </c:catAx>
      <c:valAx>
        <c:axId val="183116544"/>
        <c:scaling>
          <c:orientation val="minMax"/>
          <c:min val="50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Payment</a:t>
                </a:r>
              </a:p>
            </c:rich>
          </c:tx>
          <c:layout>
            <c:manualLayout>
              <c:xMode val="edge"/>
              <c:yMode val="edge"/>
              <c:x val="2.6455026455026519E-2"/>
              <c:y val="0.41823112593499534"/>
            </c:manualLayout>
          </c:layout>
          <c:overlay val="0"/>
          <c:spPr>
            <a:noFill/>
            <a:ln w="25400">
              <a:noFill/>
            </a:ln>
          </c:spPr>
        </c:title>
        <c:numFmt formatCode="\$#,##0_);\(\$#,##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3115984"/>
        <c:crosses val="autoZero"/>
        <c:crossBetween val="between"/>
      </c:valAx>
      <c:spPr>
        <a:noFill/>
        <a:ln w="12700">
          <a:solidFill>
            <a:srgbClr val="808080"/>
          </a:solidFill>
          <a:prstDash val="solid"/>
        </a:ln>
      </c:spPr>
    </c:plotArea>
    <c:legend>
      <c:legendPos val="r"/>
      <c:layout>
        <c:manualLayout>
          <c:xMode val="edge"/>
          <c:yMode val="edge"/>
          <c:x val="0.33157022038911915"/>
          <c:y val="0.65951827067193003"/>
          <c:w val="0.57319316566910661"/>
          <c:h val="0.12868660854390518"/>
        </c:manualLayout>
      </c:layout>
      <c:overlay val="0"/>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Historic Market Rent Growth and Occupancy Rates</a:t>
            </a:r>
            <a:endParaRPr lang="en-US" sz="1000" b="0"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n-US" sz="1000" b="0" i="0" u="none" strike="noStrike" baseline="0">
              <a:solidFill>
                <a:srgbClr val="000000"/>
              </a:solidFill>
              <a:latin typeface="Arial"/>
              <a:cs typeface="Arial"/>
            </a:endParaRPr>
          </a:p>
        </c:rich>
      </c:tx>
      <c:layout>
        <c:manualLayout>
          <c:xMode val="edge"/>
          <c:yMode val="edge"/>
          <c:x val="0.2776549413735343"/>
          <c:y val="3.6101028355062181E-2"/>
        </c:manualLayout>
      </c:layout>
      <c:overlay val="0"/>
      <c:spPr>
        <a:noFill/>
        <a:ln w="25400">
          <a:noFill/>
        </a:ln>
      </c:spPr>
    </c:title>
    <c:autoTitleDeleted val="0"/>
    <c:plotArea>
      <c:layout>
        <c:manualLayout>
          <c:layoutTarget val="inner"/>
          <c:xMode val="edge"/>
          <c:yMode val="edge"/>
          <c:x val="0.14572888159692002"/>
          <c:y val="0.19672131147540994"/>
          <c:w val="0.68509324796712723"/>
          <c:h val="0.63606557377049311"/>
        </c:manualLayout>
      </c:layout>
      <c:lineChart>
        <c:grouping val="standard"/>
        <c:varyColors val="0"/>
        <c:ser>
          <c:idx val="1"/>
          <c:order val="1"/>
          <c:tx>
            <c:v>Occupancy</c:v>
          </c:tx>
          <c:spPr>
            <a:ln w="38100">
              <a:solidFill>
                <a:srgbClr val="800000"/>
              </a:solidFill>
              <a:prstDash val="solid"/>
            </a:ln>
          </c:spPr>
          <c:marker>
            <c:symbol val="none"/>
          </c:marker>
          <c:cat>
            <c:numRef>
              <c:f>'Ch11 Market Analysis'!$S$7:$S$25</c:f>
              <c:numCache>
                <c:formatCode>General</c:formatCode>
                <c:ptCount val="19"/>
                <c:pt idx="0">
                  <c:v>-18</c:v>
                </c:pt>
                <c:pt idx="1">
                  <c:v>-17</c:v>
                </c:pt>
                <c:pt idx="2">
                  <c:v>-16</c:v>
                </c:pt>
                <c:pt idx="3">
                  <c:v>-15</c:v>
                </c:pt>
                <c:pt idx="4">
                  <c:v>-14</c:v>
                </c:pt>
                <c:pt idx="5">
                  <c:v>-13</c:v>
                </c:pt>
                <c:pt idx="6">
                  <c:v>-12</c:v>
                </c:pt>
                <c:pt idx="7">
                  <c:v>-11</c:v>
                </c:pt>
                <c:pt idx="8">
                  <c:v>-10</c:v>
                </c:pt>
                <c:pt idx="9">
                  <c:v>-9</c:v>
                </c:pt>
                <c:pt idx="10">
                  <c:v>-8</c:v>
                </c:pt>
                <c:pt idx="11">
                  <c:v>-7</c:v>
                </c:pt>
                <c:pt idx="12">
                  <c:v>-6</c:v>
                </c:pt>
                <c:pt idx="13">
                  <c:v>-5</c:v>
                </c:pt>
                <c:pt idx="14">
                  <c:v>-4</c:v>
                </c:pt>
                <c:pt idx="15">
                  <c:v>-3</c:v>
                </c:pt>
                <c:pt idx="16">
                  <c:v>-2</c:v>
                </c:pt>
                <c:pt idx="17">
                  <c:v>-1</c:v>
                </c:pt>
                <c:pt idx="18">
                  <c:v>0</c:v>
                </c:pt>
              </c:numCache>
            </c:numRef>
          </c:cat>
          <c:val>
            <c:numRef>
              <c:f>'Ch11 Market Analysis'!$P$7:$P$25</c:f>
              <c:numCache>
                <c:formatCode>0.00%</c:formatCode>
                <c:ptCount val="19"/>
                <c:pt idx="0">
                  <c:v>0.86805555555555558</c:v>
                </c:pt>
                <c:pt idx="1">
                  <c:v>0.90410958904109584</c:v>
                </c:pt>
                <c:pt idx="2">
                  <c:v>0.91836734693877553</c:v>
                </c:pt>
                <c:pt idx="3">
                  <c:v>0.91360544217687079</c:v>
                </c:pt>
                <c:pt idx="4">
                  <c:v>0.90176315424128839</c:v>
                </c:pt>
                <c:pt idx="5">
                  <c:v>0.88237616596604662</c:v>
                </c:pt>
                <c:pt idx="6">
                  <c:v>0.85558912663315656</c:v>
                </c:pt>
                <c:pt idx="7">
                  <c:v>0.82917449895318629</c:v>
                </c:pt>
                <c:pt idx="8">
                  <c:v>0.79912274481102397</c:v>
                </c:pt>
                <c:pt idx="9">
                  <c:v>0.78864931434167895</c:v>
                </c:pt>
                <c:pt idx="10">
                  <c:v>0.80027000524377045</c:v>
                </c:pt>
                <c:pt idx="11">
                  <c:v>0.80772866097053297</c:v>
                </c:pt>
                <c:pt idx="12">
                  <c:v>0.80210306765217376</c:v>
                </c:pt>
                <c:pt idx="13">
                  <c:v>0.82124759525309166</c:v>
                </c:pt>
                <c:pt idx="14">
                  <c:v>0.83173354222836593</c:v>
                </c:pt>
                <c:pt idx="15">
                  <c:v>0.86166744347796898</c:v>
                </c:pt>
                <c:pt idx="16">
                  <c:v>0.8859778184440551</c:v>
                </c:pt>
                <c:pt idx="17">
                  <c:v>0.89629043795674879</c:v>
                </c:pt>
                <c:pt idx="18">
                  <c:v>0.88644652574933791</c:v>
                </c:pt>
              </c:numCache>
            </c:numRef>
          </c:val>
          <c:smooth val="0"/>
          <c:extLst>
            <c:ext xmlns:c16="http://schemas.microsoft.com/office/drawing/2014/chart" uri="{C3380CC4-5D6E-409C-BE32-E72D297353CC}">
              <c16:uniqueId val="{00000000-E869-41E9-8E7E-9B2AF4230731}"/>
            </c:ext>
          </c:extLst>
        </c:ser>
        <c:ser>
          <c:idx val="2"/>
          <c:order val="2"/>
          <c:tx>
            <c:v>Averagel Occupancy</c:v>
          </c:tx>
          <c:spPr>
            <a:ln w="25400">
              <a:solidFill>
                <a:srgbClr val="008000"/>
              </a:solidFill>
              <a:prstDash val="solid"/>
            </a:ln>
          </c:spPr>
          <c:marker>
            <c:symbol val="none"/>
          </c:marker>
          <c:val>
            <c:numRef>
              <c:f>'Ch11 Market Analysis'!$R$7:$R$25</c:f>
              <c:numCache>
                <c:formatCode>0.00%</c:formatCode>
                <c:ptCount val="19"/>
                <c:pt idx="0">
                  <c:v>0.85582984381072169</c:v>
                </c:pt>
                <c:pt idx="1">
                  <c:v>0.85582984381072169</c:v>
                </c:pt>
                <c:pt idx="2">
                  <c:v>0.85582984381072169</c:v>
                </c:pt>
                <c:pt idx="3">
                  <c:v>0.85582984381072169</c:v>
                </c:pt>
                <c:pt idx="4">
                  <c:v>0.85582984381072169</c:v>
                </c:pt>
                <c:pt idx="5">
                  <c:v>0.85582984381072169</c:v>
                </c:pt>
                <c:pt idx="6">
                  <c:v>0.85582984381072169</c:v>
                </c:pt>
                <c:pt idx="7">
                  <c:v>0.85582984381072169</c:v>
                </c:pt>
                <c:pt idx="8">
                  <c:v>0.85582984381072169</c:v>
                </c:pt>
                <c:pt idx="9">
                  <c:v>0.85582984381072169</c:v>
                </c:pt>
                <c:pt idx="10">
                  <c:v>0.85582984381072169</c:v>
                </c:pt>
                <c:pt idx="11">
                  <c:v>0.85582984381072169</c:v>
                </c:pt>
                <c:pt idx="12">
                  <c:v>0.85582984381072169</c:v>
                </c:pt>
                <c:pt idx="13">
                  <c:v>0.85582984381072169</c:v>
                </c:pt>
                <c:pt idx="14">
                  <c:v>0.85582984381072169</c:v>
                </c:pt>
                <c:pt idx="15">
                  <c:v>0.85582984381072169</c:v>
                </c:pt>
                <c:pt idx="16">
                  <c:v>0.85582984381072169</c:v>
                </c:pt>
                <c:pt idx="17">
                  <c:v>0.85582984381072169</c:v>
                </c:pt>
                <c:pt idx="18">
                  <c:v>0.85582984381072169</c:v>
                </c:pt>
              </c:numCache>
            </c:numRef>
          </c:val>
          <c:smooth val="0"/>
          <c:extLst>
            <c:ext xmlns:c16="http://schemas.microsoft.com/office/drawing/2014/chart" uri="{C3380CC4-5D6E-409C-BE32-E72D297353CC}">
              <c16:uniqueId val="{00000001-E869-41E9-8E7E-9B2AF4230731}"/>
            </c:ext>
          </c:extLst>
        </c:ser>
        <c:dLbls>
          <c:showLegendKey val="0"/>
          <c:showVal val="0"/>
          <c:showCatName val="0"/>
          <c:showSerName val="0"/>
          <c:showPercent val="0"/>
          <c:showBubbleSize val="0"/>
        </c:dLbls>
        <c:marker val="1"/>
        <c:smooth val="0"/>
        <c:axId val="189614720"/>
        <c:axId val="189615280"/>
      </c:lineChart>
      <c:lineChart>
        <c:grouping val="standard"/>
        <c:varyColors val="0"/>
        <c:ser>
          <c:idx val="0"/>
          <c:order val="0"/>
          <c:tx>
            <c:v>Rent growth</c:v>
          </c:tx>
          <c:spPr>
            <a:ln w="38100">
              <a:solidFill>
                <a:srgbClr val="000080"/>
              </a:solidFill>
              <a:prstDash val="solid"/>
            </a:ln>
          </c:spPr>
          <c:marker>
            <c:symbol val="none"/>
          </c:marker>
          <c:val>
            <c:numRef>
              <c:f>'Ch11 Market Analysis'!$V$7:$V$25</c:f>
              <c:numCache>
                <c:formatCode>0.00%</c:formatCode>
                <c:ptCount val="19"/>
                <c:pt idx="0">
                  <c:v>0.13117972021019761</c:v>
                </c:pt>
                <c:pt idx="1">
                  <c:v>0.17160984072486452</c:v>
                </c:pt>
                <c:pt idx="2">
                  <c:v>0.22095816620764161</c:v>
                </c:pt>
                <c:pt idx="3">
                  <c:v>0.22551791099455409</c:v>
                </c:pt>
                <c:pt idx="4">
                  <c:v>0.13815917908260664</c:v>
                </c:pt>
                <c:pt idx="5">
                  <c:v>0.12313134157188269</c:v>
                </c:pt>
                <c:pt idx="6">
                  <c:v>7.8653812305892509E-2</c:v>
                </c:pt>
                <c:pt idx="7">
                  <c:v>-1.3736143750335061E-2</c:v>
                </c:pt>
                <c:pt idx="8">
                  <c:v>-3.1463862484111274E-2</c:v>
                </c:pt>
                <c:pt idx="9">
                  <c:v>-9.1986134946218157E-2</c:v>
                </c:pt>
                <c:pt idx="10">
                  <c:v>-8.4977061654824243E-2</c:v>
                </c:pt>
                <c:pt idx="11">
                  <c:v>-5.9156736735036464E-2</c:v>
                </c:pt>
                <c:pt idx="12">
                  <c:v>-2.4605029475402093E-2</c:v>
                </c:pt>
                <c:pt idx="13">
                  <c:v>-2.6988729044682757E-2</c:v>
                </c:pt>
                <c:pt idx="14">
                  <c:v>-2.0921698500135512E-2</c:v>
                </c:pt>
                <c:pt idx="15">
                  <c:v>3.2825837330200447E-2</c:v>
                </c:pt>
                <c:pt idx="16">
                  <c:v>0.1151309895151188</c:v>
                </c:pt>
                <c:pt idx="17">
                  <c:v>0.13999286562879704</c:v>
                </c:pt>
                <c:pt idx="18">
                  <c:v>0.1244581925066757</c:v>
                </c:pt>
              </c:numCache>
            </c:numRef>
          </c:val>
          <c:smooth val="0"/>
          <c:extLst>
            <c:ext xmlns:c16="http://schemas.microsoft.com/office/drawing/2014/chart" uri="{C3380CC4-5D6E-409C-BE32-E72D297353CC}">
              <c16:uniqueId val="{00000002-E869-41E9-8E7E-9B2AF4230731}"/>
            </c:ext>
          </c:extLst>
        </c:ser>
        <c:dLbls>
          <c:showLegendKey val="0"/>
          <c:showVal val="0"/>
          <c:showCatName val="0"/>
          <c:showSerName val="0"/>
          <c:showPercent val="0"/>
          <c:showBubbleSize val="0"/>
        </c:dLbls>
        <c:marker val="1"/>
        <c:smooth val="0"/>
        <c:axId val="189762624"/>
        <c:axId val="189763184"/>
      </c:lineChart>
      <c:catAx>
        <c:axId val="18961472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45561209371441708"/>
              <c:y val="0.908196721311475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615280"/>
        <c:crosses val="autoZero"/>
        <c:auto val="1"/>
        <c:lblAlgn val="ctr"/>
        <c:lblOffset val="100"/>
        <c:tickLblSkip val="1"/>
        <c:tickMarkSkip val="1"/>
        <c:noMultiLvlLbl val="0"/>
      </c:catAx>
      <c:valAx>
        <c:axId val="18961528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Occupancy</a:t>
                </a:r>
              </a:p>
            </c:rich>
          </c:tx>
          <c:layout>
            <c:manualLayout>
              <c:xMode val="edge"/>
              <c:yMode val="edge"/>
              <c:x val="4.3551088777219291E-2"/>
              <c:y val="0.3934426229508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614720"/>
        <c:crosses val="autoZero"/>
        <c:crossBetween val="between"/>
      </c:valAx>
      <c:catAx>
        <c:axId val="189762624"/>
        <c:scaling>
          <c:orientation val="minMax"/>
        </c:scaling>
        <c:delete val="1"/>
        <c:axPos val="b"/>
        <c:majorTickMark val="out"/>
        <c:minorTickMark val="none"/>
        <c:tickLblPos val="none"/>
        <c:crossAx val="189763184"/>
        <c:crosses val="autoZero"/>
        <c:auto val="1"/>
        <c:lblAlgn val="ctr"/>
        <c:lblOffset val="100"/>
        <c:noMultiLvlLbl val="0"/>
      </c:catAx>
      <c:valAx>
        <c:axId val="18976318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Rent growth</a:t>
                </a:r>
              </a:p>
            </c:rich>
          </c:tx>
          <c:layout>
            <c:manualLayout>
              <c:xMode val="edge"/>
              <c:yMode val="edge"/>
              <c:x val="0.9011739361725517"/>
              <c:y val="0.38360655737705068"/>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762624"/>
        <c:crosses val="max"/>
        <c:crossBetween val="between"/>
      </c:valAx>
      <c:spPr>
        <a:noFill/>
        <a:ln w="3175">
          <a:solidFill>
            <a:srgbClr val="000000"/>
          </a:solidFill>
          <a:prstDash val="solid"/>
        </a:ln>
      </c:spPr>
    </c:plotArea>
    <c:legend>
      <c:legendPos val="r"/>
      <c:layout>
        <c:manualLayout>
          <c:xMode val="edge"/>
          <c:yMode val="edge"/>
          <c:x val="0.14740386094954211"/>
          <c:y val="0.62295081967213306"/>
          <c:w val="0.26968226961579617"/>
          <c:h val="0.17704918032786965"/>
        </c:manualLayout>
      </c:layout>
      <c:overlay val="0"/>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Historic Market Rents and Occupancy Rates</a:t>
            </a:r>
            <a:endParaRPr lang="en-US" sz="1000" b="0"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n-US" sz="1000" b="0" i="0" u="none" strike="noStrike" baseline="0">
              <a:solidFill>
                <a:srgbClr val="000000"/>
              </a:solidFill>
              <a:latin typeface="Arial"/>
              <a:cs typeface="Arial"/>
            </a:endParaRPr>
          </a:p>
        </c:rich>
      </c:tx>
      <c:layout>
        <c:manualLayout>
          <c:xMode val="edge"/>
          <c:yMode val="edge"/>
          <c:x val="0.41644375324002081"/>
          <c:y val="3.6101017408159845E-2"/>
        </c:manualLayout>
      </c:layout>
      <c:overlay val="0"/>
      <c:spPr>
        <a:noFill/>
        <a:ln w="25400">
          <a:noFill/>
        </a:ln>
      </c:spPr>
    </c:title>
    <c:autoTitleDeleted val="0"/>
    <c:plotArea>
      <c:layout>
        <c:manualLayout>
          <c:layoutTarget val="inner"/>
          <c:xMode val="edge"/>
          <c:yMode val="edge"/>
          <c:x val="0.12597210188151692"/>
          <c:y val="0.34275677512970643"/>
          <c:w val="0.71850754406494699"/>
          <c:h val="0.48409977518319208"/>
        </c:manualLayout>
      </c:layout>
      <c:lineChart>
        <c:grouping val="standard"/>
        <c:varyColors val="0"/>
        <c:ser>
          <c:idx val="1"/>
          <c:order val="1"/>
          <c:tx>
            <c:v>Occupancy</c:v>
          </c:tx>
          <c:spPr>
            <a:ln w="38100">
              <a:solidFill>
                <a:srgbClr val="800000"/>
              </a:solidFill>
              <a:prstDash val="solid"/>
            </a:ln>
          </c:spPr>
          <c:marker>
            <c:symbol val="none"/>
          </c:marker>
          <c:cat>
            <c:numRef>
              <c:f>'Ch11 Market Analysis'!$S$6:$S$25</c:f>
              <c:numCache>
                <c:formatCode>General</c:formatCode>
                <c:ptCount val="20"/>
                <c:pt idx="0">
                  <c:v>-19</c:v>
                </c:pt>
                <c:pt idx="1">
                  <c:v>-18</c:v>
                </c:pt>
                <c:pt idx="2">
                  <c:v>-17</c:v>
                </c:pt>
                <c:pt idx="3">
                  <c:v>-16</c:v>
                </c:pt>
                <c:pt idx="4">
                  <c:v>-15</c:v>
                </c:pt>
                <c:pt idx="5">
                  <c:v>-14</c:v>
                </c:pt>
                <c:pt idx="6">
                  <c:v>-13</c:v>
                </c:pt>
                <c:pt idx="7">
                  <c:v>-12</c:v>
                </c:pt>
                <c:pt idx="8">
                  <c:v>-11</c:v>
                </c:pt>
                <c:pt idx="9">
                  <c:v>-10</c:v>
                </c:pt>
                <c:pt idx="10">
                  <c:v>-9</c:v>
                </c:pt>
                <c:pt idx="11">
                  <c:v>-8</c:v>
                </c:pt>
                <c:pt idx="12">
                  <c:v>-7</c:v>
                </c:pt>
                <c:pt idx="13">
                  <c:v>-6</c:v>
                </c:pt>
                <c:pt idx="14">
                  <c:v>-5</c:v>
                </c:pt>
                <c:pt idx="15">
                  <c:v>-4</c:v>
                </c:pt>
                <c:pt idx="16">
                  <c:v>-3</c:v>
                </c:pt>
                <c:pt idx="17">
                  <c:v>-2</c:v>
                </c:pt>
                <c:pt idx="18">
                  <c:v>-1</c:v>
                </c:pt>
                <c:pt idx="19">
                  <c:v>0</c:v>
                </c:pt>
              </c:numCache>
            </c:numRef>
          </c:cat>
          <c:val>
            <c:numRef>
              <c:f>'Ch11 Market Analysis'!$P$6:$P$25</c:f>
              <c:numCache>
                <c:formatCode>0.00%</c:formatCode>
                <c:ptCount val="20"/>
                <c:pt idx="0">
                  <c:v>0.8623188405797102</c:v>
                </c:pt>
                <c:pt idx="1">
                  <c:v>0.86805555555555558</c:v>
                </c:pt>
                <c:pt idx="2">
                  <c:v>0.90410958904109584</c:v>
                </c:pt>
                <c:pt idx="3">
                  <c:v>0.91836734693877553</c:v>
                </c:pt>
                <c:pt idx="4">
                  <c:v>0.91360544217687079</c:v>
                </c:pt>
                <c:pt idx="5">
                  <c:v>0.90176315424128839</c:v>
                </c:pt>
                <c:pt idx="6">
                  <c:v>0.88237616596604662</c:v>
                </c:pt>
                <c:pt idx="7">
                  <c:v>0.85558912663315656</c:v>
                </c:pt>
                <c:pt idx="8">
                  <c:v>0.82917449895318629</c:v>
                </c:pt>
                <c:pt idx="9">
                  <c:v>0.79912274481102397</c:v>
                </c:pt>
                <c:pt idx="10">
                  <c:v>0.78864931434167895</c:v>
                </c:pt>
                <c:pt idx="11">
                  <c:v>0.80027000524377045</c:v>
                </c:pt>
                <c:pt idx="12">
                  <c:v>0.80772866097053297</c:v>
                </c:pt>
                <c:pt idx="13">
                  <c:v>0.80210306765217376</c:v>
                </c:pt>
                <c:pt idx="14">
                  <c:v>0.82124759525309166</c:v>
                </c:pt>
                <c:pt idx="15">
                  <c:v>0.83173354222836593</c:v>
                </c:pt>
                <c:pt idx="16">
                  <c:v>0.86166744347796898</c:v>
                </c:pt>
                <c:pt idx="17">
                  <c:v>0.8859778184440551</c:v>
                </c:pt>
                <c:pt idx="18">
                  <c:v>0.89629043795674879</c:v>
                </c:pt>
                <c:pt idx="19">
                  <c:v>0.88644652574933791</c:v>
                </c:pt>
              </c:numCache>
            </c:numRef>
          </c:val>
          <c:smooth val="0"/>
          <c:extLst>
            <c:ext xmlns:c16="http://schemas.microsoft.com/office/drawing/2014/chart" uri="{C3380CC4-5D6E-409C-BE32-E72D297353CC}">
              <c16:uniqueId val="{00000000-DEE5-4938-8259-7085CE4764AF}"/>
            </c:ext>
          </c:extLst>
        </c:ser>
        <c:dLbls>
          <c:showLegendKey val="0"/>
          <c:showVal val="0"/>
          <c:showCatName val="0"/>
          <c:showSerName val="0"/>
          <c:showPercent val="0"/>
          <c:showBubbleSize val="0"/>
        </c:dLbls>
        <c:marker val="1"/>
        <c:smooth val="0"/>
        <c:axId val="189765984"/>
        <c:axId val="189766544"/>
      </c:lineChart>
      <c:lineChart>
        <c:grouping val="standard"/>
        <c:varyColors val="0"/>
        <c:ser>
          <c:idx val="0"/>
          <c:order val="0"/>
          <c:tx>
            <c:v>Rent</c:v>
          </c:tx>
          <c:spPr>
            <a:ln w="38100">
              <a:solidFill>
                <a:srgbClr val="000080"/>
              </a:solidFill>
              <a:prstDash val="solid"/>
            </a:ln>
          </c:spPr>
          <c:marker>
            <c:symbol val="none"/>
          </c:marker>
          <c:val>
            <c:numRef>
              <c:f>'Ch11 Market Analysis'!$U$6:$U$25</c:f>
              <c:numCache>
                <c:formatCode>"$"#,##0.00</c:formatCode>
                <c:ptCount val="20"/>
                <c:pt idx="0">
                  <c:v>4.76</c:v>
                </c:pt>
                <c:pt idx="1">
                  <c:v>5.3844154682005403</c:v>
                </c:pt>
                <c:pt idx="2">
                  <c:v>6.3084341490949321</c:v>
                </c:pt>
                <c:pt idx="3">
                  <c:v>7.7023341903206122</c:v>
                </c:pt>
                <c:pt idx="4">
                  <c:v>9.4393485067036469</c:v>
                </c:pt>
                <c:pt idx="5">
                  <c:v>10.743481147464452</c:v>
                </c:pt>
                <c:pt idx="6">
                  <c:v>12.06634039430398</c:v>
                </c:pt>
                <c:pt idx="7">
                  <c:v>13.015404066896574</c:v>
                </c:pt>
                <c:pt idx="8">
                  <c:v>12.836622605664987</c:v>
                </c:pt>
                <c:pt idx="9">
                  <c:v>12.432732877239909</c:v>
                </c:pt>
                <c:pt idx="10">
                  <c:v>11.289093833043836</c:v>
                </c:pt>
                <c:pt idx="11">
                  <c:v>10.329779810366174</c:v>
                </c:pt>
                <c:pt idx="12">
                  <c:v>9.718703745593448</c:v>
                </c:pt>
                <c:pt idx="13">
                  <c:v>9.4795747534704198</c:v>
                </c:pt>
                <c:pt idx="14">
                  <c:v>9.2237330789901915</c:v>
                </c:pt>
                <c:pt idx="15">
                  <c:v>9.0307569164658332</c:v>
                </c:pt>
                <c:pt idx="16">
                  <c:v>9.327199073974322</c:v>
                </c:pt>
                <c:pt idx="17">
                  <c:v>10.401048732765487</c:v>
                </c:pt>
                <c:pt idx="18">
                  <c:v>11.857121350410095</c:v>
                </c:pt>
                <c:pt idx="19">
                  <c:v>13.332837242014449</c:v>
                </c:pt>
              </c:numCache>
            </c:numRef>
          </c:val>
          <c:smooth val="0"/>
          <c:extLst>
            <c:ext xmlns:c16="http://schemas.microsoft.com/office/drawing/2014/chart" uri="{C3380CC4-5D6E-409C-BE32-E72D297353CC}">
              <c16:uniqueId val="{00000001-DEE5-4938-8259-7085CE4764AF}"/>
            </c:ext>
          </c:extLst>
        </c:ser>
        <c:dLbls>
          <c:showLegendKey val="0"/>
          <c:showVal val="0"/>
          <c:showCatName val="0"/>
          <c:showSerName val="0"/>
          <c:showPercent val="0"/>
          <c:showBubbleSize val="0"/>
        </c:dLbls>
        <c:marker val="1"/>
        <c:smooth val="0"/>
        <c:axId val="189767104"/>
        <c:axId val="189767664"/>
      </c:lineChart>
      <c:catAx>
        <c:axId val="1897659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79937856912520322"/>
              <c:y val="0.8975279856802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766544"/>
        <c:crosses val="autoZero"/>
        <c:auto val="1"/>
        <c:lblAlgn val="ctr"/>
        <c:lblOffset val="100"/>
        <c:tickLblSkip val="1"/>
        <c:tickMarkSkip val="1"/>
        <c:noMultiLvlLbl val="0"/>
      </c:catAx>
      <c:valAx>
        <c:axId val="189766544"/>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Rent</a:t>
                </a:r>
              </a:p>
            </c:rich>
          </c:tx>
          <c:layout>
            <c:manualLayout>
              <c:xMode val="edge"/>
              <c:yMode val="edge"/>
              <c:x val="0.90357763599923258"/>
              <c:y val="0.4876332507906476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765984"/>
        <c:crosses val="autoZero"/>
        <c:crossBetween val="between"/>
      </c:valAx>
      <c:catAx>
        <c:axId val="189767104"/>
        <c:scaling>
          <c:orientation val="minMax"/>
        </c:scaling>
        <c:delete val="1"/>
        <c:axPos val="b"/>
        <c:majorTickMark val="out"/>
        <c:minorTickMark val="none"/>
        <c:tickLblPos val="none"/>
        <c:crossAx val="189767664"/>
        <c:crosses val="autoZero"/>
        <c:auto val="1"/>
        <c:lblAlgn val="ctr"/>
        <c:lblOffset val="100"/>
        <c:noMultiLvlLbl val="0"/>
      </c:catAx>
      <c:valAx>
        <c:axId val="189767664"/>
        <c:scaling>
          <c:orientation val="minMax"/>
        </c:scaling>
        <c:delete val="0"/>
        <c:axPos val="r"/>
        <c:title>
          <c:tx>
            <c:rich>
              <a:bodyPr/>
              <a:lstStyle/>
              <a:p>
                <a:pPr>
                  <a:defRPr sz="1200" b="0" i="0" u="none" strike="noStrike" baseline="0">
                    <a:solidFill>
                      <a:srgbClr val="000000"/>
                    </a:solidFill>
                    <a:latin typeface="Arial"/>
                    <a:ea typeface="Arial"/>
                    <a:cs typeface="Arial"/>
                  </a:defRPr>
                </a:pPr>
                <a:r>
                  <a:rPr lang="en-US"/>
                  <a:t>Vacancy</a:t>
                </a:r>
              </a:p>
            </c:rich>
          </c:tx>
          <c:layout>
            <c:manualLayout>
              <c:xMode val="edge"/>
              <c:yMode val="edge"/>
              <c:x val="2.177293934681182E-2"/>
              <c:y val="0.45229756174471131"/>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767104"/>
        <c:crosses val="max"/>
        <c:crossBetween val="between"/>
      </c:valAx>
      <c:spPr>
        <a:noFill/>
        <a:ln w="3175">
          <a:solidFill>
            <a:srgbClr val="000000"/>
          </a:solidFill>
          <a:prstDash val="solid"/>
        </a:ln>
      </c:spPr>
    </c:plotArea>
    <c:legend>
      <c:legendPos val="r"/>
      <c:layout>
        <c:manualLayout>
          <c:xMode val="edge"/>
          <c:yMode val="edge"/>
          <c:x val="0.66096472000097972"/>
          <c:y val="0.6466442224757275"/>
          <c:w val="0.1648524183310679"/>
          <c:h val="0.15194383387588986"/>
        </c:manualLayout>
      </c:layout>
      <c:overlay val="0"/>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a:ea typeface="Arial"/>
                <a:cs typeface="Arial"/>
              </a:defRPr>
            </a:pPr>
            <a:r>
              <a:rPr lang="en-US"/>
              <a:t>Employment Growth</a:t>
            </a:r>
          </a:p>
        </c:rich>
      </c:tx>
      <c:layout>
        <c:manualLayout>
          <c:xMode val="edge"/>
          <c:yMode val="edge"/>
          <c:x val="0.46263905130670524"/>
          <c:y val="3.6231801960006881E-2"/>
        </c:manualLayout>
      </c:layout>
      <c:overlay val="0"/>
      <c:spPr>
        <a:noFill/>
        <a:ln w="25400">
          <a:noFill/>
        </a:ln>
      </c:spPr>
    </c:title>
    <c:autoTitleDeleted val="0"/>
    <c:plotArea>
      <c:layout>
        <c:manualLayout>
          <c:layoutTarget val="inner"/>
          <c:xMode val="edge"/>
          <c:yMode val="edge"/>
          <c:x val="0.1188120726524995"/>
          <c:y val="0.21223021582733881"/>
          <c:w val="0.85808719137916312"/>
          <c:h val="0.61510791366906625"/>
        </c:manualLayout>
      </c:layout>
      <c:lineChart>
        <c:grouping val="standard"/>
        <c:varyColors val="0"/>
        <c:ser>
          <c:idx val="0"/>
          <c:order val="0"/>
          <c:tx>
            <c:v>Employment Growth</c:v>
          </c:tx>
          <c:spPr>
            <a:ln w="38100">
              <a:solidFill>
                <a:srgbClr val="000080"/>
              </a:solidFill>
              <a:prstDash val="solid"/>
            </a:ln>
          </c:spPr>
          <c:marker>
            <c:symbol val="none"/>
          </c:marker>
          <c:cat>
            <c:numRef>
              <c:f>'Ch11 Market Analysis'!$A$7:$A$25</c:f>
              <c:numCache>
                <c:formatCode>General</c:formatCode>
                <c:ptCount val="19"/>
                <c:pt idx="0">
                  <c:v>-18</c:v>
                </c:pt>
                <c:pt idx="1">
                  <c:v>-17</c:v>
                </c:pt>
                <c:pt idx="2">
                  <c:v>-16</c:v>
                </c:pt>
                <c:pt idx="3">
                  <c:v>-15</c:v>
                </c:pt>
                <c:pt idx="4">
                  <c:v>-14</c:v>
                </c:pt>
                <c:pt idx="5">
                  <c:v>-13</c:v>
                </c:pt>
                <c:pt idx="6">
                  <c:v>-12</c:v>
                </c:pt>
                <c:pt idx="7">
                  <c:v>-11</c:v>
                </c:pt>
                <c:pt idx="8">
                  <c:v>-10</c:v>
                </c:pt>
                <c:pt idx="9">
                  <c:v>-9</c:v>
                </c:pt>
                <c:pt idx="10">
                  <c:v>-8</c:v>
                </c:pt>
                <c:pt idx="11">
                  <c:v>-7</c:v>
                </c:pt>
                <c:pt idx="12">
                  <c:v>-6</c:v>
                </c:pt>
                <c:pt idx="13">
                  <c:v>-5</c:v>
                </c:pt>
                <c:pt idx="14">
                  <c:v>-4</c:v>
                </c:pt>
                <c:pt idx="15">
                  <c:v>-3</c:v>
                </c:pt>
                <c:pt idx="16">
                  <c:v>-2</c:v>
                </c:pt>
                <c:pt idx="17">
                  <c:v>-1</c:v>
                </c:pt>
                <c:pt idx="18">
                  <c:v>0</c:v>
                </c:pt>
              </c:numCache>
            </c:numRef>
          </c:cat>
          <c:val>
            <c:numRef>
              <c:f>'Ch11 Market Analysis'!$E$6:$E$25</c:f>
              <c:numCache>
                <c:formatCode>0.00%</c:formatCode>
                <c:ptCount val="20"/>
                <c:pt idx="0">
                  <c:v>4.3859649122807015E-2</c:v>
                </c:pt>
                <c:pt idx="1">
                  <c:v>5.0420168067226892E-2</c:v>
                </c:pt>
                <c:pt idx="2">
                  <c:v>5.6000000000000001E-2</c:v>
                </c:pt>
                <c:pt idx="3">
                  <c:v>2.2727272727272728E-2</c:v>
                </c:pt>
                <c:pt idx="4">
                  <c:v>1.5117157974300832E-2</c:v>
                </c:pt>
                <c:pt idx="5">
                  <c:v>7.6011417225117896E-3</c:v>
                </c:pt>
                <c:pt idx="6">
                  <c:v>0</c:v>
                </c:pt>
                <c:pt idx="7">
                  <c:v>-7.8039312701933356E-3</c:v>
                </c:pt>
                <c:pt idx="8">
                  <c:v>-1.5867411271212554E-2</c:v>
                </c:pt>
                <c:pt idx="9">
                  <c:v>-8.2407698903276712E-3</c:v>
                </c:pt>
                <c:pt idx="10">
                  <c:v>0</c:v>
                </c:pt>
                <c:pt idx="11">
                  <c:v>1.8695800039276518E-2</c:v>
                </c:pt>
                <c:pt idx="12">
                  <c:v>2.5693754753850918E-2</c:v>
                </c:pt>
                <c:pt idx="13">
                  <c:v>3.5785890051442698E-2</c:v>
                </c:pt>
                <c:pt idx="14">
                  <c:v>3.8004455780558971E-2</c:v>
                </c:pt>
                <c:pt idx="15">
                  <c:v>4.1605680330477311E-2</c:v>
                </c:pt>
                <c:pt idx="16">
                  <c:v>2.6085741519508404E-2</c:v>
                </c:pt>
                <c:pt idx="17">
                  <c:v>1.8685592481234328E-2</c:v>
                </c:pt>
                <c:pt idx="18">
                  <c:v>1.711998917481497E-2</c:v>
                </c:pt>
                <c:pt idx="19">
                  <c:v>9.201072405553205E-3</c:v>
                </c:pt>
              </c:numCache>
            </c:numRef>
          </c:val>
          <c:smooth val="0"/>
          <c:extLst>
            <c:ext xmlns:c16="http://schemas.microsoft.com/office/drawing/2014/chart" uri="{C3380CC4-5D6E-409C-BE32-E72D297353CC}">
              <c16:uniqueId val="{00000000-C3C6-4C47-86CD-9E82343FA6BE}"/>
            </c:ext>
          </c:extLst>
        </c:ser>
        <c:dLbls>
          <c:showLegendKey val="0"/>
          <c:showVal val="0"/>
          <c:showCatName val="0"/>
          <c:showSerName val="0"/>
          <c:showPercent val="0"/>
          <c:showBubbleSize val="0"/>
        </c:dLbls>
        <c:smooth val="0"/>
        <c:axId val="189769904"/>
        <c:axId val="190295136"/>
      </c:lineChart>
      <c:catAx>
        <c:axId val="18976990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Year</a:t>
                </a:r>
              </a:p>
            </c:rich>
          </c:tx>
          <c:layout>
            <c:manualLayout>
              <c:xMode val="edge"/>
              <c:yMode val="edge"/>
              <c:x val="0.53736094869329454"/>
              <c:y val="0.865944976302424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0295136"/>
        <c:crosses val="autoZero"/>
        <c:auto val="1"/>
        <c:lblAlgn val="ctr"/>
        <c:lblOffset val="100"/>
        <c:tickLblSkip val="1"/>
        <c:tickMarkSkip val="1"/>
        <c:noMultiLvlLbl val="0"/>
      </c:catAx>
      <c:valAx>
        <c:axId val="19029513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Employment growth</a:t>
                </a:r>
              </a:p>
            </c:rich>
          </c:tx>
          <c:layout>
            <c:manualLayout>
              <c:xMode val="edge"/>
              <c:yMode val="edge"/>
              <c:x val="2.5437142139410882E-2"/>
              <c:y val="0.391305727071886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9769904"/>
        <c:crosses val="autoZero"/>
        <c:crossBetween val="between"/>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a:ea typeface="Arial"/>
                <a:cs typeface="Arial"/>
              </a:defRPr>
            </a:pPr>
            <a:r>
              <a:rPr lang="en-US"/>
              <a:t>Rental Growth vs. Occupancy</a:t>
            </a:r>
          </a:p>
        </c:rich>
      </c:tx>
      <c:layout>
        <c:manualLayout>
          <c:xMode val="edge"/>
          <c:yMode val="edge"/>
          <c:x val="0.46263917158065732"/>
          <c:y val="3.6232006210491295E-2"/>
        </c:manualLayout>
      </c:layout>
      <c:overlay val="0"/>
      <c:spPr>
        <a:noFill/>
        <a:ln w="25400">
          <a:noFill/>
        </a:ln>
      </c:spPr>
    </c:title>
    <c:autoTitleDeleted val="0"/>
    <c:plotArea>
      <c:layout>
        <c:manualLayout>
          <c:layoutTarget val="inner"/>
          <c:xMode val="edge"/>
          <c:yMode val="edge"/>
          <c:x val="0.11669128508124117"/>
          <c:y val="0.17183122225905337"/>
          <c:w val="0.84194977843427032"/>
          <c:h val="0.69295869960208611"/>
        </c:manualLayout>
      </c:layout>
      <c:scatterChart>
        <c:scatterStyle val="lineMarker"/>
        <c:varyColors val="0"/>
        <c:ser>
          <c:idx val="0"/>
          <c:order val="0"/>
          <c:tx>
            <c:v>Rent growth</c:v>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Mode val="edge"/>
                  <c:yMode val="edge"/>
                  <c:x val="0.60561299852289563"/>
                  <c:y val="0.19718336980547124"/>
                </c:manualLayout>
              </c:layout>
              <c:numFmt formatCode="General"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trendlineLbl>
          </c:trendline>
          <c:xVal>
            <c:numRef>
              <c:f>'Ch11 Market Analysis'!$AH$7:$AH$25</c:f>
              <c:numCache>
                <c:formatCode>0.00%</c:formatCode>
                <c:ptCount val="19"/>
                <c:pt idx="0">
                  <c:v>0.86805555555555558</c:v>
                </c:pt>
                <c:pt idx="1">
                  <c:v>0.90410958904109584</c:v>
                </c:pt>
                <c:pt idx="2">
                  <c:v>0.91836734693877553</c:v>
                </c:pt>
                <c:pt idx="3">
                  <c:v>0.91360544217687079</c:v>
                </c:pt>
                <c:pt idx="4">
                  <c:v>0.90176315424128839</c:v>
                </c:pt>
                <c:pt idx="5">
                  <c:v>0.88237616596604662</c:v>
                </c:pt>
                <c:pt idx="6">
                  <c:v>0.85558912663315656</c:v>
                </c:pt>
                <c:pt idx="7">
                  <c:v>0.82917449895318629</c:v>
                </c:pt>
                <c:pt idx="8">
                  <c:v>0.79912274481102397</c:v>
                </c:pt>
                <c:pt idx="9">
                  <c:v>0.78864931434167895</c:v>
                </c:pt>
                <c:pt idx="10">
                  <c:v>0.80027000524377045</c:v>
                </c:pt>
                <c:pt idx="11">
                  <c:v>0.80772866097053297</c:v>
                </c:pt>
                <c:pt idx="12">
                  <c:v>0.80210306765217376</c:v>
                </c:pt>
                <c:pt idx="13">
                  <c:v>0.82124759525309166</c:v>
                </c:pt>
                <c:pt idx="14">
                  <c:v>0.83173354222836593</c:v>
                </c:pt>
                <c:pt idx="15">
                  <c:v>0.86166744347796898</c:v>
                </c:pt>
                <c:pt idx="16">
                  <c:v>0.8859778184440551</c:v>
                </c:pt>
                <c:pt idx="17">
                  <c:v>0.89629043795674879</c:v>
                </c:pt>
                <c:pt idx="18">
                  <c:v>0.88644652574933791</c:v>
                </c:pt>
              </c:numCache>
            </c:numRef>
          </c:xVal>
          <c:yVal>
            <c:numRef>
              <c:f>'Ch11 Market Analysis'!$V$7:$V$25</c:f>
              <c:numCache>
                <c:formatCode>0.00%</c:formatCode>
                <c:ptCount val="19"/>
                <c:pt idx="0">
                  <c:v>0.13117972021019761</c:v>
                </c:pt>
                <c:pt idx="1">
                  <c:v>0.17160984072486452</c:v>
                </c:pt>
                <c:pt idx="2">
                  <c:v>0.22095816620764161</c:v>
                </c:pt>
                <c:pt idx="3">
                  <c:v>0.22551791099455409</c:v>
                </c:pt>
                <c:pt idx="4">
                  <c:v>0.13815917908260664</c:v>
                </c:pt>
                <c:pt idx="5">
                  <c:v>0.12313134157188269</c:v>
                </c:pt>
                <c:pt idx="6">
                  <c:v>7.8653812305892509E-2</c:v>
                </c:pt>
                <c:pt idx="7">
                  <c:v>-1.3736143750335061E-2</c:v>
                </c:pt>
                <c:pt idx="8">
                  <c:v>-3.1463862484111274E-2</c:v>
                </c:pt>
                <c:pt idx="9">
                  <c:v>-9.1986134946218157E-2</c:v>
                </c:pt>
                <c:pt idx="10">
                  <c:v>-8.4977061654824243E-2</c:v>
                </c:pt>
                <c:pt idx="11">
                  <c:v>-5.9156736735036464E-2</c:v>
                </c:pt>
                <c:pt idx="12">
                  <c:v>-2.4605029475402093E-2</c:v>
                </c:pt>
                <c:pt idx="13">
                  <c:v>-2.6988729044682757E-2</c:v>
                </c:pt>
                <c:pt idx="14">
                  <c:v>-2.0921698500135512E-2</c:v>
                </c:pt>
                <c:pt idx="15">
                  <c:v>3.2825837330200447E-2</c:v>
                </c:pt>
                <c:pt idx="16">
                  <c:v>0.1151309895151188</c:v>
                </c:pt>
                <c:pt idx="17">
                  <c:v>0.13999286562879704</c:v>
                </c:pt>
                <c:pt idx="18">
                  <c:v>0.1244581925066757</c:v>
                </c:pt>
              </c:numCache>
            </c:numRef>
          </c:yVal>
          <c:smooth val="0"/>
          <c:extLst>
            <c:ext xmlns:c16="http://schemas.microsoft.com/office/drawing/2014/chart" uri="{C3380CC4-5D6E-409C-BE32-E72D297353CC}">
              <c16:uniqueId val="{00000000-4094-4865-A985-3A01256A2B6E}"/>
            </c:ext>
          </c:extLst>
        </c:ser>
        <c:dLbls>
          <c:showLegendKey val="0"/>
          <c:showVal val="0"/>
          <c:showCatName val="0"/>
          <c:showSerName val="0"/>
          <c:showPercent val="0"/>
          <c:showBubbleSize val="0"/>
        </c:dLbls>
        <c:axId val="190297376"/>
        <c:axId val="190297936"/>
      </c:scatterChart>
      <c:valAx>
        <c:axId val="19029737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Occupancy</a:t>
                </a:r>
              </a:p>
            </c:rich>
          </c:tx>
          <c:layout>
            <c:manualLayout>
              <c:xMode val="edge"/>
              <c:yMode val="edge"/>
              <c:x val="0.80354505169867263"/>
              <c:y val="0.7070431407341685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0297936"/>
        <c:crosses val="autoZero"/>
        <c:crossBetween val="midCat"/>
      </c:valAx>
      <c:valAx>
        <c:axId val="19029793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Rental growth</a:t>
                </a:r>
              </a:p>
            </c:rich>
          </c:tx>
          <c:layout>
            <c:manualLayout>
              <c:xMode val="edge"/>
              <c:yMode val="edge"/>
              <c:x val="2.5437219165920479E-2"/>
              <c:y val="0.3913059036634519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0297376"/>
        <c:crosses val="autoZero"/>
        <c:crossBetween val="midCat"/>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800" b="0" i="0" u="none" strike="noStrike" baseline="0">
                <a:solidFill>
                  <a:srgbClr val="000000"/>
                </a:solidFill>
                <a:latin typeface="Arial"/>
                <a:cs typeface="Arial"/>
              </a:rPr>
              <a:t>Weighted Average Coupon</a:t>
            </a:r>
          </a:p>
          <a:p>
            <a:pPr>
              <a:defRPr sz="1000" b="0" i="0" u="none" strike="noStrike" baseline="0">
                <a:solidFill>
                  <a:srgbClr val="000000"/>
                </a:solidFill>
                <a:latin typeface="Arial"/>
                <a:ea typeface="Arial"/>
                <a:cs typeface="Arial"/>
              </a:defRPr>
            </a:pPr>
            <a:r>
              <a:rPr lang="en-US" sz="1000" b="0" i="0" u="none" strike="noStrike" baseline="0">
                <a:solidFill>
                  <a:srgbClr val="000000"/>
                </a:solidFill>
                <a:latin typeface="Arial"/>
                <a:cs typeface="Arial"/>
              </a:rPr>
              <a:t>(No prepayment)</a:t>
            </a:r>
          </a:p>
        </c:rich>
      </c:tx>
      <c:layout>
        <c:manualLayout>
          <c:xMode val="edge"/>
          <c:yMode val="edge"/>
          <c:x val="0.20634962296379616"/>
          <c:y val="3.3766233766233771E-2"/>
        </c:manualLayout>
      </c:layout>
      <c:overlay val="0"/>
      <c:spPr>
        <a:solidFill>
          <a:srgbClr val="FFFFFF"/>
        </a:solidFill>
        <a:ln w="12700">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8452416706226613"/>
          <c:y val="0.2519483714848475"/>
          <c:w val="0.78769993896472701"/>
          <c:h val="0.57142929615119975"/>
        </c:manualLayout>
      </c:layout>
      <c:lineChart>
        <c:grouping val="standard"/>
        <c:varyColors val="0"/>
        <c:ser>
          <c:idx val="0"/>
          <c:order val="0"/>
          <c:spPr>
            <a:ln w="25400">
              <a:solidFill>
                <a:srgbClr val="FF0000"/>
              </a:solidFill>
              <a:prstDash val="solid"/>
            </a:ln>
          </c:spPr>
          <c:marker>
            <c:symbol val="none"/>
          </c:marker>
          <c:cat>
            <c:numRef>
              <c:f>'Ch20 CMO'!$C$125:$C$134</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'Ch20 CMO'!$H$125:$H$134</c:f>
              <c:numCache>
                <c:formatCode>0.00%</c:formatCode>
                <c:ptCount val="10"/>
                <c:pt idx="0">
                  <c:v>0.10135416666666666</c:v>
                </c:pt>
                <c:pt idx="1">
                  <c:v>0.10279772794474751</c:v>
                </c:pt>
                <c:pt idx="2">
                  <c:v>0.10464256347684772</c:v>
                </c:pt>
                <c:pt idx="3">
                  <c:v>0.10706764704754847</c:v>
                </c:pt>
                <c:pt idx="4">
                  <c:v>0.10895152859374789</c:v>
                </c:pt>
                <c:pt idx="5">
                  <c:v>0.11000000000000001</c:v>
                </c:pt>
                <c:pt idx="6">
                  <c:v>0.11</c:v>
                </c:pt>
                <c:pt idx="7">
                  <c:v>0.10999999999999999</c:v>
                </c:pt>
                <c:pt idx="8">
                  <c:v>0.11</c:v>
                </c:pt>
                <c:pt idx="9">
                  <c:v>0.11</c:v>
                </c:pt>
              </c:numCache>
            </c:numRef>
          </c:val>
          <c:smooth val="0"/>
          <c:extLst>
            <c:ext xmlns:c16="http://schemas.microsoft.com/office/drawing/2014/chart" uri="{C3380CC4-5D6E-409C-BE32-E72D297353CC}">
              <c16:uniqueId val="{00000000-00B5-4027-BC6A-4825FBD63D9C}"/>
            </c:ext>
          </c:extLst>
        </c:ser>
        <c:dLbls>
          <c:showLegendKey val="0"/>
          <c:showVal val="0"/>
          <c:showCatName val="0"/>
          <c:showSerName val="0"/>
          <c:showPercent val="0"/>
          <c:showBubbleSize val="0"/>
        </c:dLbls>
        <c:smooth val="0"/>
        <c:axId val="190301856"/>
        <c:axId val="190302416"/>
      </c:lineChart>
      <c:catAx>
        <c:axId val="19030185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Year</a:t>
                </a:r>
              </a:p>
            </c:rich>
          </c:tx>
          <c:layout>
            <c:manualLayout>
              <c:xMode val="edge"/>
              <c:yMode val="edge"/>
              <c:x val="0.54762008915552263"/>
              <c:y val="0.90129979207144562"/>
            </c:manualLayout>
          </c:layout>
          <c:overlay val="0"/>
          <c:spPr>
            <a:noFill/>
            <a:ln w="25400">
              <a:noFill/>
            </a:ln>
          </c:spPr>
        </c:title>
        <c:numFmt formatCode="General" sourceLinked="1"/>
        <c:majorTickMark val="none"/>
        <c:minorTickMark val="in"/>
        <c:tickLblPos val="low"/>
        <c:spPr>
          <a:ln w="127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0302416"/>
        <c:crosses val="autoZero"/>
        <c:auto val="1"/>
        <c:lblAlgn val="ctr"/>
        <c:lblOffset val="100"/>
        <c:tickLblSkip val="1"/>
        <c:tickMarkSkip val="1"/>
        <c:noMultiLvlLbl val="0"/>
      </c:catAx>
      <c:valAx>
        <c:axId val="19030241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a:t>Weighted Average Coupon</a:t>
                </a:r>
              </a:p>
            </c:rich>
          </c:tx>
          <c:layout>
            <c:manualLayout>
              <c:xMode val="edge"/>
              <c:yMode val="edge"/>
              <c:x val="3.1746031746031744E-2"/>
              <c:y val="0.33506548045130718"/>
            </c:manualLayout>
          </c:layout>
          <c:overlay val="0"/>
          <c:spPr>
            <a:noFill/>
            <a:ln w="25400">
              <a:noFill/>
            </a:ln>
          </c:spPr>
        </c:title>
        <c:numFmt formatCode="0.00%" sourceLinked="1"/>
        <c:majorTickMark val="in"/>
        <c:minorTickMark val="none"/>
        <c:tickLblPos val="nextTo"/>
        <c:spPr>
          <a:ln w="127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0301856"/>
        <c:crosses val="autoZero"/>
        <c:crossBetween val="between"/>
      </c:valAx>
      <c:spPr>
        <a:solidFill>
          <a:srgbClr val="FFFFFF"/>
        </a:solidFill>
        <a:ln w="12700">
          <a:solidFill>
            <a:srgbClr val="000000"/>
          </a:solidFill>
          <a:prstDash val="solid"/>
        </a:ln>
      </c:spPr>
    </c:plotArea>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0" i="0" u="none" strike="noStrike" baseline="0">
                <a:solidFill>
                  <a:srgbClr val="000000"/>
                </a:solidFill>
                <a:latin typeface="Arial"/>
                <a:ea typeface="Arial"/>
                <a:cs typeface="Arial"/>
              </a:defRPr>
            </a:pPr>
            <a:r>
              <a:rPr lang="en-US"/>
              <a:t>IRR on Residual vs. Prepayment</a:t>
            </a:r>
          </a:p>
        </c:rich>
      </c:tx>
      <c:layout>
        <c:manualLayout>
          <c:xMode val="edge"/>
          <c:yMode val="edge"/>
          <c:x val="0.2123552123552124"/>
          <c:y val="2.3696682464454992E-2"/>
        </c:manualLayout>
      </c:layout>
      <c:overlay val="0"/>
      <c:spPr>
        <a:solidFill>
          <a:srgbClr val="FFFFFF"/>
        </a:solidFill>
        <a:ln w="12700">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7953667953667954"/>
          <c:y val="0.19431279620853067"/>
          <c:w val="0.79343629343629341"/>
          <c:h val="0.64454976303317835"/>
        </c:manualLayout>
      </c:layout>
      <c:barChart>
        <c:barDir val="col"/>
        <c:grouping val="clustered"/>
        <c:varyColors val="0"/>
        <c:ser>
          <c:idx val="0"/>
          <c:order val="0"/>
          <c:spPr>
            <a:solidFill>
              <a:srgbClr val="FF0000"/>
            </a:solidFill>
            <a:ln w="12700">
              <a:solidFill>
                <a:srgbClr val="000000"/>
              </a:solidFill>
              <a:prstDash val="solid"/>
            </a:ln>
          </c:spPr>
          <c:invertIfNegative val="0"/>
          <c:cat>
            <c:numRef>
              <c:f>'Ch20 CMO'!$E$175:$E$181</c:f>
              <c:numCache>
                <c:formatCode>0.00%</c:formatCode>
                <c:ptCount val="7"/>
                <c:pt idx="0">
                  <c:v>0</c:v>
                </c:pt>
                <c:pt idx="1">
                  <c:v>0.05</c:v>
                </c:pt>
                <c:pt idx="2">
                  <c:v>0.1</c:v>
                </c:pt>
                <c:pt idx="3">
                  <c:v>0.15000000000000002</c:v>
                </c:pt>
                <c:pt idx="4">
                  <c:v>0.2</c:v>
                </c:pt>
                <c:pt idx="5">
                  <c:v>0.25</c:v>
                </c:pt>
                <c:pt idx="6">
                  <c:v>0.3</c:v>
                </c:pt>
              </c:numCache>
            </c:numRef>
          </c:cat>
          <c:val>
            <c:numRef>
              <c:f>'Ch20 CMO'!$F$175:$F$181</c:f>
              <c:numCache>
                <c:formatCode>0.00%</c:formatCode>
                <c:ptCount val="7"/>
                <c:pt idx="0">
                  <c:v>0.20194244725079802</c:v>
                </c:pt>
                <c:pt idx="1">
                  <c:v>0.18459333281643819</c:v>
                </c:pt>
                <c:pt idx="2">
                  <c:v>0.17248849273712086</c:v>
                </c:pt>
                <c:pt idx="3">
                  <c:v>0.16658257731501069</c:v>
                </c:pt>
                <c:pt idx="4">
                  <c:v>0.16095376532733474</c:v>
                </c:pt>
                <c:pt idx="5">
                  <c:v>0.15837910922808218</c:v>
                </c:pt>
                <c:pt idx="6">
                  <c:v>0.15840809973666103</c:v>
                </c:pt>
              </c:numCache>
            </c:numRef>
          </c:val>
          <c:extLst>
            <c:ext xmlns:c16="http://schemas.microsoft.com/office/drawing/2014/chart" uri="{C3380CC4-5D6E-409C-BE32-E72D297353CC}">
              <c16:uniqueId val="{00000000-A2BF-4DBA-9E70-16A8913E1EB7}"/>
            </c:ext>
          </c:extLst>
        </c:ser>
        <c:dLbls>
          <c:showLegendKey val="0"/>
          <c:showVal val="0"/>
          <c:showCatName val="0"/>
          <c:showSerName val="0"/>
          <c:showPercent val="0"/>
          <c:showBubbleSize val="0"/>
        </c:dLbls>
        <c:gapWidth val="150"/>
        <c:axId val="225311360"/>
        <c:axId val="225311920"/>
      </c:barChart>
      <c:catAx>
        <c:axId val="22531136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Prepayment rate</a:t>
                </a:r>
              </a:p>
            </c:rich>
          </c:tx>
          <c:layout>
            <c:manualLayout>
              <c:xMode val="edge"/>
              <c:yMode val="edge"/>
              <c:x val="0.47876447876447975"/>
              <c:y val="0.90995260663507282"/>
            </c:manualLayout>
          </c:layout>
          <c:overlay val="0"/>
          <c:spPr>
            <a:noFill/>
            <a:ln w="25400">
              <a:noFill/>
            </a:ln>
          </c:spPr>
        </c:title>
        <c:numFmt formatCode="0.00%" sourceLinked="1"/>
        <c:majorTickMark val="none"/>
        <c:minorTickMark val="in"/>
        <c:tickLblPos val="low"/>
        <c:spPr>
          <a:ln w="127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5311920"/>
        <c:crosses val="autoZero"/>
        <c:auto val="1"/>
        <c:lblAlgn val="ctr"/>
        <c:lblOffset val="100"/>
        <c:tickLblSkip val="1"/>
        <c:tickMarkSkip val="1"/>
        <c:noMultiLvlLbl val="0"/>
      </c:catAx>
      <c:valAx>
        <c:axId val="225311920"/>
        <c:scaling>
          <c:orientation val="minMax"/>
          <c:min val="0.14000000000000001"/>
        </c:scaling>
        <c:delete val="0"/>
        <c:axPos val="l"/>
        <c:title>
          <c:tx>
            <c:rich>
              <a:bodyPr/>
              <a:lstStyle/>
              <a:p>
                <a:pPr>
                  <a:defRPr sz="1000" b="0" i="0" u="none" strike="noStrike" baseline="0">
                    <a:solidFill>
                      <a:srgbClr val="000000"/>
                    </a:solidFill>
                    <a:latin typeface="Arial"/>
                    <a:ea typeface="Arial"/>
                    <a:cs typeface="Arial"/>
                  </a:defRPr>
                </a:pPr>
                <a:r>
                  <a:rPr lang="en-US"/>
                  <a:t>IRR</a:t>
                </a:r>
              </a:p>
            </c:rich>
          </c:tx>
          <c:layout>
            <c:manualLayout>
              <c:xMode val="edge"/>
              <c:yMode val="edge"/>
              <c:x val="3.0888030888030892E-2"/>
              <c:y val="0.4881516587677725"/>
            </c:manualLayout>
          </c:layout>
          <c:overlay val="0"/>
          <c:spPr>
            <a:noFill/>
            <a:ln w="25400">
              <a:noFill/>
            </a:ln>
          </c:spPr>
        </c:title>
        <c:numFmt formatCode="0.00%" sourceLinked="1"/>
        <c:majorTickMark val="in"/>
        <c:minorTickMark val="none"/>
        <c:tickLblPos val="nextTo"/>
        <c:spPr>
          <a:ln w="127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5311360"/>
        <c:crosses val="autoZero"/>
        <c:crossBetween val="between"/>
      </c:valAx>
      <c:spPr>
        <a:solidFill>
          <a:srgbClr val="FFFFFF"/>
        </a:solidFill>
        <a:ln w="12700">
          <a:solidFill>
            <a:srgbClr val="000000"/>
          </a:solidFill>
          <a:prstDash val="solid"/>
        </a:ln>
      </c:spPr>
    </c:plotArea>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0" i="0" u="none" strike="noStrike" baseline="0">
                <a:solidFill>
                  <a:srgbClr val="000000"/>
                </a:solidFill>
                <a:latin typeface="Arial"/>
                <a:ea typeface="Arial"/>
                <a:cs typeface="Arial"/>
              </a:defRPr>
            </a:pPr>
            <a:r>
              <a:rPr lang="en-US"/>
              <a:t>Rate on Floater and Inverse Floater vs. LIBOR</a:t>
            </a:r>
          </a:p>
        </c:rich>
      </c:tx>
      <c:layout>
        <c:manualLayout>
          <c:xMode val="edge"/>
          <c:yMode val="edge"/>
          <c:x val="0.16714712534132123"/>
          <c:y val="3.5714285714285712E-2"/>
        </c:manualLayout>
      </c:layout>
      <c:overlay val="0"/>
      <c:spPr>
        <a:solidFill>
          <a:srgbClr val="FFFFFF"/>
        </a:solidFill>
        <a:ln w="12700">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3400585797197095"/>
          <c:y val="0.17647058823529421"/>
          <c:w val="0.8458219207478167"/>
          <c:h val="0.621848739495801"/>
        </c:manualLayout>
      </c:layout>
      <c:lineChart>
        <c:grouping val="standard"/>
        <c:varyColors val="0"/>
        <c:ser>
          <c:idx val="0"/>
          <c:order val="0"/>
          <c:tx>
            <c:v>Floater</c:v>
          </c:tx>
          <c:spPr>
            <a:ln w="25400">
              <a:solidFill>
                <a:srgbClr val="FF0000"/>
              </a:solidFill>
              <a:prstDash val="solid"/>
            </a:ln>
          </c:spPr>
          <c:marker>
            <c:symbol val="none"/>
          </c:marker>
          <c:cat>
            <c:numRef>
              <c:f>'Ch20 Floater'!$B$22:$B$40</c:f>
              <c:numCache>
                <c:formatCode>0%</c:formatCode>
                <c:ptCount val="19"/>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numCache>
            </c:numRef>
          </c:cat>
          <c:val>
            <c:numRef>
              <c:f>'Ch20 Floater'!$C$22:$C$40</c:f>
              <c:numCache>
                <c:formatCode>0.00%</c:formatCode>
                <c:ptCount val="19"/>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0.12</c:v>
                </c:pt>
                <c:pt idx="13">
                  <c:v>0.12</c:v>
                </c:pt>
                <c:pt idx="14">
                  <c:v>0.12</c:v>
                </c:pt>
                <c:pt idx="15">
                  <c:v>0.12</c:v>
                </c:pt>
                <c:pt idx="16">
                  <c:v>0.12</c:v>
                </c:pt>
                <c:pt idx="17">
                  <c:v>0.12</c:v>
                </c:pt>
                <c:pt idx="18">
                  <c:v>0.12</c:v>
                </c:pt>
              </c:numCache>
            </c:numRef>
          </c:val>
          <c:smooth val="0"/>
          <c:extLst>
            <c:ext xmlns:c16="http://schemas.microsoft.com/office/drawing/2014/chart" uri="{C3380CC4-5D6E-409C-BE32-E72D297353CC}">
              <c16:uniqueId val="{00000000-4C69-468B-9B9A-F4D866EC148D}"/>
            </c:ext>
          </c:extLst>
        </c:ser>
        <c:ser>
          <c:idx val="1"/>
          <c:order val="1"/>
          <c:tx>
            <c:v>Inverse Floater</c:v>
          </c:tx>
          <c:spPr>
            <a:ln w="25400">
              <a:solidFill>
                <a:srgbClr val="0000FF"/>
              </a:solidFill>
              <a:prstDash val="solid"/>
            </a:ln>
          </c:spPr>
          <c:marker>
            <c:symbol val="none"/>
          </c:marker>
          <c:cat>
            <c:numRef>
              <c:f>'Ch20 Floater'!$B$22:$B$40</c:f>
              <c:numCache>
                <c:formatCode>0%</c:formatCode>
                <c:ptCount val="19"/>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numCache>
            </c:numRef>
          </c:cat>
          <c:val>
            <c:numRef>
              <c:f>'Ch20 Floater'!$D$22:$D$40</c:f>
              <c:numCache>
                <c:formatCode>0.00%</c:formatCode>
                <c:ptCount val="19"/>
                <c:pt idx="0">
                  <c:v>0.12</c:v>
                </c:pt>
                <c:pt idx="1">
                  <c:v>0.11</c:v>
                </c:pt>
                <c:pt idx="2">
                  <c:v>9.9999999999999992E-2</c:v>
                </c:pt>
                <c:pt idx="3">
                  <c:v>0.09</c:v>
                </c:pt>
                <c:pt idx="4">
                  <c:v>7.9999999999999988E-2</c:v>
                </c:pt>
                <c:pt idx="5">
                  <c:v>6.9999999999999993E-2</c:v>
                </c:pt>
                <c:pt idx="6">
                  <c:v>5.9999999999999991E-2</c:v>
                </c:pt>
                <c:pt idx="7">
                  <c:v>4.9999999999999989E-2</c:v>
                </c:pt>
                <c:pt idx="8">
                  <c:v>3.9999999999999994E-2</c:v>
                </c:pt>
                <c:pt idx="9">
                  <c:v>0.03</c:v>
                </c:pt>
                <c:pt idx="10">
                  <c:v>2.0000000000000004E-2</c:v>
                </c:pt>
                <c:pt idx="11">
                  <c:v>1.0000000000000009E-2</c:v>
                </c:pt>
                <c:pt idx="12">
                  <c:v>1.3877787807814457E-17</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1-4C69-468B-9B9A-F4D866EC148D}"/>
            </c:ext>
          </c:extLst>
        </c:ser>
        <c:dLbls>
          <c:showLegendKey val="0"/>
          <c:showVal val="0"/>
          <c:showCatName val="0"/>
          <c:showSerName val="0"/>
          <c:showPercent val="0"/>
          <c:showBubbleSize val="0"/>
        </c:dLbls>
        <c:smooth val="0"/>
        <c:axId val="225314720"/>
        <c:axId val="225315280"/>
      </c:lineChart>
      <c:catAx>
        <c:axId val="22531472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LIBOR</a:t>
                </a:r>
              </a:p>
            </c:rich>
          </c:tx>
          <c:layout>
            <c:manualLayout>
              <c:xMode val="edge"/>
              <c:yMode val="edge"/>
              <c:x val="0.52593690197947152"/>
              <c:y val="0.86134453781512665"/>
            </c:manualLayout>
          </c:layout>
          <c:overlay val="0"/>
          <c:spPr>
            <a:noFill/>
            <a:ln w="25400">
              <a:noFill/>
            </a:ln>
          </c:spPr>
        </c:title>
        <c:numFmt formatCode="0%" sourceLinked="1"/>
        <c:majorTickMark val="none"/>
        <c:minorTickMark val="in"/>
        <c:tickLblPos val="low"/>
        <c:spPr>
          <a:ln w="127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5315280"/>
        <c:crosses val="autoZero"/>
        <c:auto val="1"/>
        <c:lblAlgn val="ctr"/>
        <c:lblOffset val="100"/>
        <c:tickLblSkip val="2"/>
        <c:tickMarkSkip val="1"/>
        <c:noMultiLvlLbl val="0"/>
      </c:catAx>
      <c:valAx>
        <c:axId val="225315280"/>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a:t>Rate</a:t>
                </a:r>
              </a:p>
            </c:rich>
          </c:tx>
          <c:layout>
            <c:manualLayout>
              <c:xMode val="edge"/>
              <c:yMode val="edge"/>
              <c:x val="2.3054755043227664E-2"/>
              <c:y val="0.45588235294117646"/>
            </c:manualLayout>
          </c:layout>
          <c:overlay val="0"/>
          <c:spPr>
            <a:noFill/>
            <a:ln w="25400">
              <a:noFill/>
            </a:ln>
          </c:spPr>
        </c:title>
        <c:numFmt formatCode="0.00%" sourceLinked="1"/>
        <c:majorTickMark val="in"/>
        <c:minorTickMark val="none"/>
        <c:tickLblPos val="nextTo"/>
        <c:spPr>
          <a:ln w="127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5314720"/>
        <c:crosses val="autoZero"/>
        <c:crossBetween val="between"/>
      </c:valAx>
      <c:spPr>
        <a:solidFill>
          <a:srgbClr val="FFFFFF"/>
        </a:solidFill>
        <a:ln w="12700">
          <a:solidFill>
            <a:srgbClr val="000000"/>
          </a:solidFill>
          <a:prstDash val="solid"/>
        </a:ln>
      </c:spPr>
    </c:plotArea>
    <c:legend>
      <c:legendPos val="b"/>
      <c:layout>
        <c:manualLayout>
          <c:xMode val="edge"/>
          <c:yMode val="edge"/>
          <c:x val="0.41066312676333255"/>
          <c:y val="0.93487394957983194"/>
          <c:w val="0.28962551150846788"/>
          <c:h val="5.0420168067226906E-2"/>
        </c:manualLayout>
      </c:layout>
      <c:overlay val="0"/>
      <c:spPr>
        <a:solidFill>
          <a:srgbClr val="FFFFFF"/>
        </a:solidFill>
        <a:ln w="12700">
          <a:solidFill>
            <a:srgbClr val="000000"/>
          </a:solidFill>
          <a:prstDash val="solid"/>
        </a:ln>
        <a:effectLst>
          <a:outerShdw dist="35921" dir="2700000" algn="br">
            <a:srgbClr val="000000"/>
          </a:outerShdw>
        </a:effectLst>
      </c:spPr>
      <c:txPr>
        <a:bodyPr/>
        <a:lstStyle/>
        <a:p>
          <a:pPr>
            <a:defRPr sz="77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0" i="0" u="none" strike="noStrike" baseline="0">
                <a:solidFill>
                  <a:srgbClr val="000000"/>
                </a:solidFill>
                <a:latin typeface="Arial"/>
                <a:ea typeface="Arial"/>
                <a:cs typeface="Arial"/>
              </a:defRPr>
            </a:pPr>
            <a:r>
              <a:rPr lang="en-US"/>
              <a:t>IRR on IO and PO vs. Prepayment</a:t>
            </a:r>
          </a:p>
        </c:rich>
      </c:tx>
      <c:layout>
        <c:manualLayout>
          <c:xMode val="edge"/>
          <c:yMode val="edge"/>
          <c:x val="0.14204565338423639"/>
          <c:y val="3.2178217821782262E-2"/>
        </c:manualLayout>
      </c:layout>
      <c:overlay val="0"/>
      <c:spPr>
        <a:solidFill>
          <a:srgbClr val="FFFFFF"/>
        </a:solidFill>
        <a:ln w="12700">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4393966016301971"/>
          <c:y val="0.20049504950495092"/>
          <c:w val="0.69697098605251662"/>
          <c:h val="0.63118811881188164"/>
        </c:manualLayout>
      </c:layout>
      <c:lineChart>
        <c:grouping val="standard"/>
        <c:varyColors val="0"/>
        <c:ser>
          <c:idx val="0"/>
          <c:order val="0"/>
          <c:tx>
            <c:v>IO</c:v>
          </c:tx>
          <c:spPr>
            <a:ln w="25400">
              <a:solidFill>
                <a:srgbClr val="FF0000"/>
              </a:solidFill>
              <a:prstDash val="solid"/>
            </a:ln>
          </c:spPr>
          <c:marker>
            <c:symbol val="none"/>
          </c:marker>
          <c:cat>
            <c:numRef>
              <c:f>'CH20 IO_PO'!$D$136:$D$142</c:f>
              <c:numCache>
                <c:formatCode>0.00%</c:formatCode>
                <c:ptCount val="7"/>
                <c:pt idx="0">
                  <c:v>0</c:v>
                </c:pt>
                <c:pt idx="1">
                  <c:v>0.05</c:v>
                </c:pt>
                <c:pt idx="2">
                  <c:v>0.1</c:v>
                </c:pt>
                <c:pt idx="3">
                  <c:v>0.15000000000000002</c:v>
                </c:pt>
                <c:pt idx="4">
                  <c:v>0.2</c:v>
                </c:pt>
                <c:pt idx="5">
                  <c:v>0.25</c:v>
                </c:pt>
                <c:pt idx="6">
                  <c:v>0.3</c:v>
                </c:pt>
              </c:numCache>
            </c:numRef>
          </c:cat>
          <c:val>
            <c:numRef>
              <c:f>'CH20 IO_PO'!$E$136:$E$142</c:f>
              <c:numCache>
                <c:formatCode>0.00%</c:formatCode>
                <c:ptCount val="7"/>
                <c:pt idx="0">
                  <c:v>0.24915470158402697</c:v>
                </c:pt>
                <c:pt idx="1">
                  <c:v>0.20275076843028517</c:v>
                </c:pt>
                <c:pt idx="2">
                  <c:v>0.15620057056458925</c:v>
                </c:pt>
                <c:pt idx="3">
                  <c:v>0.10950568561556473</c:v>
                </c:pt>
                <c:pt idx="4">
                  <c:v>6.2668291335333581E-2</c:v>
                </c:pt>
                <c:pt idx="5">
                  <c:v>1.5691151147200655E-2</c:v>
                </c:pt>
                <c:pt idx="6">
                  <c:v>-3.1422448677723702E-2</c:v>
                </c:pt>
              </c:numCache>
            </c:numRef>
          </c:val>
          <c:smooth val="0"/>
          <c:extLst>
            <c:ext xmlns:c16="http://schemas.microsoft.com/office/drawing/2014/chart" uri="{C3380CC4-5D6E-409C-BE32-E72D297353CC}">
              <c16:uniqueId val="{00000000-BF49-4411-92CB-8F11DE9CD486}"/>
            </c:ext>
          </c:extLst>
        </c:ser>
        <c:ser>
          <c:idx val="1"/>
          <c:order val="1"/>
          <c:tx>
            <c:v>PO</c:v>
          </c:tx>
          <c:spPr>
            <a:ln w="25400">
              <a:solidFill>
                <a:srgbClr val="00FF00"/>
              </a:solidFill>
              <a:prstDash val="solid"/>
            </a:ln>
          </c:spPr>
          <c:marker>
            <c:symbol val="none"/>
          </c:marker>
          <c:cat>
            <c:numRef>
              <c:f>'CH20 IO_PO'!$D$136:$D$142</c:f>
              <c:numCache>
                <c:formatCode>0.00%</c:formatCode>
                <c:ptCount val="7"/>
                <c:pt idx="0">
                  <c:v>0</c:v>
                </c:pt>
                <c:pt idx="1">
                  <c:v>0.05</c:v>
                </c:pt>
                <c:pt idx="2">
                  <c:v>0.1</c:v>
                </c:pt>
                <c:pt idx="3">
                  <c:v>0.15000000000000002</c:v>
                </c:pt>
                <c:pt idx="4">
                  <c:v>0.2</c:v>
                </c:pt>
                <c:pt idx="5">
                  <c:v>0.25</c:v>
                </c:pt>
                <c:pt idx="6">
                  <c:v>0.3</c:v>
                </c:pt>
              </c:numCache>
            </c:numRef>
          </c:cat>
          <c:val>
            <c:numRef>
              <c:f>'CH20 IO_PO'!$F$136:$F$142</c:f>
              <c:numCache>
                <c:formatCode>0.00%</c:formatCode>
                <c:ptCount val="7"/>
                <c:pt idx="0">
                  <c:v>6.2678684472482482E-2</c:v>
                </c:pt>
                <c:pt idx="1">
                  <c:v>7.6817319317295407E-2</c:v>
                </c:pt>
                <c:pt idx="2">
                  <c:v>9.2734735267980817E-2</c:v>
                </c:pt>
                <c:pt idx="3">
                  <c:v>0.11019158015340635</c:v>
                </c:pt>
                <c:pt idx="4">
                  <c:v>0.12889867304300129</c:v>
                </c:pt>
                <c:pt idx="5">
                  <c:v>0.14856923932464006</c:v>
                </c:pt>
                <c:pt idx="6">
                  <c:v>0.16895437796574697</c:v>
                </c:pt>
              </c:numCache>
            </c:numRef>
          </c:val>
          <c:smooth val="0"/>
          <c:extLst>
            <c:ext xmlns:c16="http://schemas.microsoft.com/office/drawing/2014/chart" uri="{C3380CC4-5D6E-409C-BE32-E72D297353CC}">
              <c16:uniqueId val="{00000001-BF49-4411-92CB-8F11DE9CD486}"/>
            </c:ext>
          </c:extLst>
        </c:ser>
        <c:dLbls>
          <c:showLegendKey val="0"/>
          <c:showVal val="0"/>
          <c:showCatName val="0"/>
          <c:showSerName val="0"/>
          <c:showPercent val="0"/>
          <c:showBubbleSize val="0"/>
        </c:dLbls>
        <c:smooth val="0"/>
        <c:axId val="225719168"/>
        <c:axId val="225719728"/>
      </c:lineChart>
      <c:catAx>
        <c:axId val="225719168"/>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Prepayment rate</a:t>
                </a:r>
              </a:p>
            </c:rich>
          </c:tx>
          <c:layout>
            <c:manualLayout>
              <c:xMode val="edge"/>
              <c:yMode val="edge"/>
              <c:x val="0.39772806808239958"/>
              <c:y val="0.90594059405940663"/>
            </c:manualLayout>
          </c:layout>
          <c:overlay val="0"/>
          <c:spPr>
            <a:noFill/>
            <a:ln w="25400">
              <a:noFill/>
            </a:ln>
          </c:spPr>
        </c:title>
        <c:numFmt formatCode="0%" sourceLinked="0"/>
        <c:majorTickMark val="none"/>
        <c:minorTickMark val="in"/>
        <c:tickLblPos val="low"/>
        <c:spPr>
          <a:ln w="127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5719728"/>
        <c:crosses val="autoZero"/>
        <c:auto val="1"/>
        <c:lblAlgn val="ctr"/>
        <c:lblOffset val="100"/>
        <c:tickLblSkip val="1"/>
        <c:tickMarkSkip val="1"/>
        <c:noMultiLvlLbl val="0"/>
      </c:catAx>
      <c:valAx>
        <c:axId val="225719728"/>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a:t>IRR</a:t>
                </a:r>
              </a:p>
            </c:rich>
          </c:tx>
          <c:layout>
            <c:manualLayout>
              <c:xMode val="edge"/>
              <c:yMode val="edge"/>
              <c:x val="3.0303030303030311E-2"/>
              <c:y val="0.4851485148514853"/>
            </c:manualLayout>
          </c:layout>
          <c:overlay val="0"/>
          <c:spPr>
            <a:noFill/>
            <a:ln w="25400">
              <a:noFill/>
            </a:ln>
          </c:spPr>
        </c:title>
        <c:numFmt formatCode="0%" sourceLinked="0"/>
        <c:majorTickMark val="in"/>
        <c:minorTickMark val="none"/>
        <c:tickLblPos val="nextTo"/>
        <c:spPr>
          <a:ln w="127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5719168"/>
        <c:crosses val="autoZero"/>
        <c:crossBetween val="between"/>
      </c:valAx>
      <c:spPr>
        <a:solidFill>
          <a:srgbClr val="FFFFFF"/>
        </a:solidFill>
        <a:ln w="12700">
          <a:solidFill>
            <a:srgbClr val="000000"/>
          </a:solidFill>
          <a:prstDash val="solid"/>
        </a:ln>
      </c:spPr>
    </c:plotArea>
    <c:legend>
      <c:legendPos val="r"/>
      <c:layout>
        <c:manualLayout>
          <c:xMode val="edge"/>
          <c:yMode val="edge"/>
          <c:x val="0.62310725363875208"/>
          <c:y val="0.25495049504950568"/>
          <c:w val="0.1098486836872663"/>
          <c:h val="0.1064356435643566"/>
        </c:manualLayout>
      </c:layout>
      <c:overlay val="0"/>
      <c:spPr>
        <a:solidFill>
          <a:srgbClr val="FFFFFF"/>
        </a:solidFill>
        <a:ln w="12700">
          <a:solidFill>
            <a:srgbClr val="000000"/>
          </a:solidFill>
          <a:prstDash val="solid"/>
        </a:ln>
        <a:effectLst>
          <a:outerShdw dist="35921" dir="2700000" algn="br">
            <a:srgbClr val="000000"/>
          </a:outerShdw>
        </a:effectLst>
      </c:spPr>
      <c:txPr>
        <a:bodyPr/>
        <a:lstStyle/>
        <a:p>
          <a:pPr>
            <a:defRPr sz="77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a:ea typeface="Arial"/>
                <a:cs typeface="Arial"/>
              </a:defRPr>
            </a:pPr>
            <a:r>
              <a:rPr lang="en-US"/>
              <a:t>Exhibit 20-8 Portfolio Returns of NCREIF and S&amp;P 500</a:t>
            </a:r>
          </a:p>
        </c:rich>
      </c:tx>
      <c:layout>
        <c:manualLayout>
          <c:xMode val="edge"/>
          <c:yMode val="edge"/>
          <c:x val="0.12989061813282729"/>
          <c:y val="3.2258064516129122E-2"/>
        </c:manualLayout>
      </c:layout>
      <c:overlay val="0"/>
      <c:spPr>
        <a:solidFill>
          <a:srgbClr val="FFFFFF"/>
        </a:solidFill>
        <a:ln w="12700">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3458549519741486"/>
          <c:y val="0.18858583643406482"/>
          <c:w val="0.82785729022595467"/>
          <c:h val="0.62779232391866169"/>
        </c:manualLayout>
      </c:layout>
      <c:scatterChart>
        <c:scatterStyle val="lineMarker"/>
        <c:varyColors val="0"/>
        <c:ser>
          <c:idx val="0"/>
          <c:order val="0"/>
          <c:spPr>
            <a:ln w="38100">
              <a:solidFill>
                <a:srgbClr val="000000"/>
              </a:solidFill>
              <a:prstDash val="solid"/>
            </a:ln>
          </c:spPr>
          <c:marker>
            <c:symbol val="none"/>
          </c:marker>
          <c:xVal>
            <c:numRef>
              <c:f>Ch22_Frontier!$E$13:$E$33</c:f>
              <c:numCache>
                <c:formatCode>0.00%</c:formatCode>
                <c:ptCount val="21"/>
                <c:pt idx="0">
                  <c:v>1.75985410971271E-2</c:v>
                </c:pt>
                <c:pt idx="1">
                  <c:v>1.6934916564147803E-2</c:v>
                </c:pt>
                <c:pt idx="2">
                  <c:v>1.7133552893994358E-2</c:v>
                </c:pt>
                <c:pt idx="3">
                  <c:v>1.8166187160690489E-2</c:v>
                </c:pt>
                <c:pt idx="4">
                  <c:v>1.9903430925155802E-2</c:v>
                </c:pt>
                <c:pt idx="5">
                  <c:v>2.218033486394963E-2</c:v>
                </c:pt>
                <c:pt idx="6">
                  <c:v>2.4848992579392614E-2</c:v>
                </c:pt>
                <c:pt idx="7">
                  <c:v>2.7796800089106618E-2</c:v>
                </c:pt>
                <c:pt idx="8">
                  <c:v>3.0944082530042556E-2</c:v>
                </c:pt>
                <c:pt idx="9">
                  <c:v>3.4235871209999769E-2</c:v>
                </c:pt>
                <c:pt idx="10">
                  <c:v>3.7634266258804297E-2</c:v>
                </c:pt>
                <c:pt idx="11">
                  <c:v>4.1112839863219605E-2</c:v>
                </c:pt>
                <c:pt idx="12">
                  <c:v>4.4652857600025804E-2</c:v>
                </c:pt>
                <c:pt idx="13">
                  <c:v>4.8240794640292801E-2</c:v>
                </c:pt>
                <c:pt idx="14">
                  <c:v>5.1866707324206569E-2</c:v>
                </c:pt>
                <c:pt idx="15">
                  <c:v>5.5523156207407581E-2</c:v>
                </c:pt>
                <c:pt idx="16">
                  <c:v>5.9204483844205076E-2</c:v>
                </c:pt>
                <c:pt idx="17">
                  <c:v>6.2906322613347679E-2</c:v>
                </c:pt>
                <c:pt idx="18">
                  <c:v>6.6625253678013807E-2</c:v>
                </c:pt>
                <c:pt idx="19">
                  <c:v>7.0358566756537094E-2</c:v>
                </c:pt>
                <c:pt idx="20">
                  <c:v>7.4104088212849348E-2</c:v>
                </c:pt>
              </c:numCache>
            </c:numRef>
          </c:xVal>
          <c:yVal>
            <c:numRef>
              <c:f>Ch22_Frontier!$F$13:$F$33</c:f>
              <c:numCache>
                <c:formatCode>0.00%</c:formatCode>
                <c:ptCount val="21"/>
                <c:pt idx="0">
                  <c:v>2.3222408959197964E-2</c:v>
                </c:pt>
                <c:pt idx="1">
                  <c:v>2.4090043946020673E-2</c:v>
                </c:pt>
                <c:pt idx="2">
                  <c:v>2.4957678932843383E-2</c:v>
                </c:pt>
                <c:pt idx="3">
                  <c:v>2.5825313919666092E-2</c:v>
                </c:pt>
                <c:pt idx="4">
                  <c:v>2.6692948906488805E-2</c:v>
                </c:pt>
                <c:pt idx="5">
                  <c:v>2.7560583893311515E-2</c:v>
                </c:pt>
                <c:pt idx="6">
                  <c:v>2.8428218880134224E-2</c:v>
                </c:pt>
                <c:pt idx="7">
                  <c:v>2.9295853866956933E-2</c:v>
                </c:pt>
                <c:pt idx="8">
                  <c:v>3.0163488853779646E-2</c:v>
                </c:pt>
                <c:pt idx="9">
                  <c:v>3.1031123840602356E-2</c:v>
                </c:pt>
                <c:pt idx="10">
                  <c:v>3.1898758827425058E-2</c:v>
                </c:pt>
                <c:pt idx="11">
                  <c:v>3.2766393814247771E-2</c:v>
                </c:pt>
                <c:pt idx="12">
                  <c:v>3.3634028801070484E-2</c:v>
                </c:pt>
                <c:pt idx="13">
                  <c:v>3.4501663787893197E-2</c:v>
                </c:pt>
                <c:pt idx="14">
                  <c:v>3.536929877471591E-2</c:v>
                </c:pt>
                <c:pt idx="15">
                  <c:v>3.6236933761538616E-2</c:v>
                </c:pt>
                <c:pt idx="16">
                  <c:v>3.7104568748361336E-2</c:v>
                </c:pt>
                <c:pt idx="17">
                  <c:v>3.7972203735184042E-2</c:v>
                </c:pt>
                <c:pt idx="18">
                  <c:v>3.8839838722006755E-2</c:v>
                </c:pt>
                <c:pt idx="19">
                  <c:v>3.970747370882946E-2</c:v>
                </c:pt>
                <c:pt idx="20">
                  <c:v>4.0575108695652173E-2</c:v>
                </c:pt>
              </c:numCache>
            </c:numRef>
          </c:yVal>
          <c:smooth val="0"/>
          <c:extLst>
            <c:ext xmlns:c16="http://schemas.microsoft.com/office/drawing/2014/chart" uri="{C3380CC4-5D6E-409C-BE32-E72D297353CC}">
              <c16:uniqueId val="{00000000-DE7C-499B-A676-3940C1B22B5D}"/>
            </c:ext>
          </c:extLst>
        </c:ser>
        <c:dLbls>
          <c:showLegendKey val="0"/>
          <c:showVal val="0"/>
          <c:showCatName val="0"/>
          <c:showSerName val="0"/>
          <c:showPercent val="0"/>
          <c:showBubbleSize val="0"/>
        </c:dLbls>
        <c:axId val="225721968"/>
        <c:axId val="225722528"/>
      </c:scatterChart>
      <c:valAx>
        <c:axId val="225721968"/>
        <c:scaling>
          <c:orientation val="minMax"/>
          <c:min val="1.0000000000000005E-2"/>
        </c:scaling>
        <c:delete val="0"/>
        <c:axPos val="b"/>
        <c:title>
          <c:tx>
            <c:rich>
              <a:bodyPr/>
              <a:lstStyle/>
              <a:p>
                <a:pPr>
                  <a:defRPr sz="1100" b="1" i="0" u="none" strike="noStrike" baseline="0">
                    <a:solidFill>
                      <a:srgbClr val="000000"/>
                    </a:solidFill>
                    <a:latin typeface="Arial"/>
                    <a:ea typeface="Arial"/>
                    <a:cs typeface="Arial"/>
                  </a:defRPr>
                </a:pPr>
                <a:r>
                  <a:rPr lang="en-US"/>
                  <a:t>Portfolio standard deviation %</a:t>
                </a:r>
              </a:p>
            </c:rich>
          </c:tx>
          <c:layout>
            <c:manualLayout>
              <c:xMode val="edge"/>
              <c:yMode val="edge"/>
              <c:x val="0.37715245688185756"/>
              <c:y val="0.89330129019232396"/>
            </c:manualLayout>
          </c:layout>
          <c:overlay val="0"/>
          <c:spPr>
            <a:noFill/>
            <a:ln w="25400">
              <a:noFill/>
            </a:ln>
          </c:spPr>
        </c:title>
        <c:numFmt formatCode="0%" sourceLinked="0"/>
        <c:majorTickMark val="in"/>
        <c:minorTickMark val="none"/>
        <c:tickLblPos val="low"/>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25722528"/>
        <c:crosses val="autoZero"/>
        <c:crossBetween val="midCat"/>
      </c:valAx>
      <c:valAx>
        <c:axId val="22572252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Portfolio Return (percent)</a:t>
                </a:r>
              </a:p>
            </c:rich>
          </c:tx>
          <c:layout>
            <c:manualLayout>
              <c:xMode val="edge"/>
              <c:yMode val="edge"/>
              <c:x val="2.5039123630672983E-2"/>
              <c:y val="0.29776700989299432"/>
            </c:manualLayout>
          </c:layout>
          <c:overlay val="0"/>
          <c:spPr>
            <a:noFill/>
            <a:ln w="25400">
              <a:noFill/>
            </a:ln>
          </c:spPr>
        </c:title>
        <c:numFmt formatCode="0.00%" sourceLinked="1"/>
        <c:majorTickMark val="in"/>
        <c:minorTickMark val="none"/>
        <c:tickLblPos val="nextTo"/>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25721968"/>
        <c:crosses val="autoZero"/>
        <c:crossBetween val="midCat"/>
      </c:valAx>
      <c:spPr>
        <a:solidFill>
          <a:srgbClr val="FFFFFF"/>
        </a:solidFill>
        <a:ln w="12700">
          <a:solidFill>
            <a:srgbClr val="000000"/>
          </a:solidFill>
          <a:prstDash val="solid"/>
        </a:ln>
      </c:spPr>
    </c:plotArea>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FF"/>
                </a:solidFill>
                <a:latin typeface="Arial"/>
                <a:ea typeface="Arial"/>
                <a:cs typeface="Arial"/>
              </a:defRPr>
            </a:pPr>
            <a:r>
              <a:rPr lang="en-US"/>
              <a:t>Exhibit 22-8 Portfolio Returns of NCREIF and S&amp;P 500</a:t>
            </a:r>
          </a:p>
        </c:rich>
      </c:tx>
      <c:layout>
        <c:manualLayout>
          <c:xMode val="edge"/>
          <c:yMode val="edge"/>
          <c:x val="0.12989061813282729"/>
          <c:y val="3.2258064516129122E-2"/>
        </c:manualLayout>
      </c:layout>
      <c:overlay val="0"/>
      <c:spPr>
        <a:solidFill>
          <a:srgbClr val="FFFFFF"/>
        </a:solidFill>
        <a:ln w="12700">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251958094859667"/>
          <c:y val="0.18858583643406482"/>
          <c:w val="0.83724697593740149"/>
          <c:h val="0.62779232391866169"/>
        </c:manualLayout>
      </c:layout>
      <c:scatterChart>
        <c:scatterStyle val="lineMarker"/>
        <c:varyColors val="0"/>
        <c:ser>
          <c:idx val="0"/>
          <c:order val="0"/>
          <c:spPr>
            <a:ln w="38100">
              <a:solidFill>
                <a:srgbClr val="0000FF"/>
              </a:solidFill>
              <a:prstDash val="solid"/>
            </a:ln>
          </c:spPr>
          <c:marker>
            <c:symbol val="none"/>
          </c:marker>
          <c:xVal>
            <c:numRef>
              <c:f>Ch22_Frontier!$E$13:$E$33</c:f>
              <c:numCache>
                <c:formatCode>0.00%</c:formatCode>
                <c:ptCount val="21"/>
                <c:pt idx="0">
                  <c:v>1.75985410971271E-2</c:v>
                </c:pt>
                <c:pt idx="1">
                  <c:v>1.6934916564147803E-2</c:v>
                </c:pt>
                <c:pt idx="2">
                  <c:v>1.7133552893994358E-2</c:v>
                </c:pt>
                <c:pt idx="3">
                  <c:v>1.8166187160690489E-2</c:v>
                </c:pt>
                <c:pt idx="4">
                  <c:v>1.9903430925155802E-2</c:v>
                </c:pt>
                <c:pt idx="5">
                  <c:v>2.218033486394963E-2</c:v>
                </c:pt>
                <c:pt idx="6">
                  <c:v>2.4848992579392614E-2</c:v>
                </c:pt>
                <c:pt idx="7">
                  <c:v>2.7796800089106618E-2</c:v>
                </c:pt>
                <c:pt idx="8">
                  <c:v>3.0944082530042556E-2</c:v>
                </c:pt>
                <c:pt idx="9">
                  <c:v>3.4235871209999769E-2</c:v>
                </c:pt>
                <c:pt idx="10">
                  <c:v>3.7634266258804297E-2</c:v>
                </c:pt>
                <c:pt idx="11">
                  <c:v>4.1112839863219605E-2</c:v>
                </c:pt>
                <c:pt idx="12">
                  <c:v>4.4652857600025804E-2</c:v>
                </c:pt>
                <c:pt idx="13">
                  <c:v>4.8240794640292801E-2</c:v>
                </c:pt>
                <c:pt idx="14">
                  <c:v>5.1866707324206569E-2</c:v>
                </c:pt>
                <c:pt idx="15">
                  <c:v>5.5523156207407581E-2</c:v>
                </c:pt>
                <c:pt idx="16">
                  <c:v>5.9204483844205076E-2</c:v>
                </c:pt>
                <c:pt idx="17">
                  <c:v>6.2906322613347679E-2</c:v>
                </c:pt>
                <c:pt idx="18">
                  <c:v>6.6625253678013807E-2</c:v>
                </c:pt>
                <c:pt idx="19">
                  <c:v>7.0358566756537094E-2</c:v>
                </c:pt>
                <c:pt idx="20">
                  <c:v>7.4104088212849348E-2</c:v>
                </c:pt>
              </c:numCache>
            </c:numRef>
          </c:xVal>
          <c:yVal>
            <c:numRef>
              <c:f>Ch22_Frontier!$G$13:$G$33</c:f>
              <c:numCache>
                <c:formatCode>0.00_)</c:formatCode>
                <c:ptCount val="21"/>
                <c:pt idx="0">
                  <c:v>2.3222408959197964</c:v>
                </c:pt>
                <c:pt idx="1">
                  <c:v>2.4090043946020674</c:v>
                </c:pt>
                <c:pt idx="2">
                  <c:v>2.4957678932843383</c:v>
                </c:pt>
                <c:pt idx="3">
                  <c:v>2.5825313919666093</c:v>
                </c:pt>
                <c:pt idx="4">
                  <c:v>2.6692948906488807</c:v>
                </c:pt>
                <c:pt idx="5">
                  <c:v>2.7560583893311517</c:v>
                </c:pt>
                <c:pt idx="6">
                  <c:v>2.8428218880134226</c:v>
                </c:pt>
                <c:pt idx="7">
                  <c:v>2.9295853866956936</c:v>
                </c:pt>
                <c:pt idx="8">
                  <c:v>3.0163488853779645</c:v>
                </c:pt>
                <c:pt idx="9">
                  <c:v>3.1031123840602355</c:v>
                </c:pt>
                <c:pt idx="10">
                  <c:v>3.189875882742506</c:v>
                </c:pt>
                <c:pt idx="11">
                  <c:v>3.276639381424777</c:v>
                </c:pt>
                <c:pt idx="12">
                  <c:v>3.3634028801070484</c:v>
                </c:pt>
                <c:pt idx="13">
                  <c:v>3.4501663787893198</c:v>
                </c:pt>
                <c:pt idx="14">
                  <c:v>3.5369298774715912</c:v>
                </c:pt>
                <c:pt idx="15">
                  <c:v>3.6236933761538617</c:v>
                </c:pt>
                <c:pt idx="16">
                  <c:v>3.7104568748361335</c:v>
                </c:pt>
                <c:pt idx="17">
                  <c:v>3.797220373518404</c:v>
                </c:pt>
                <c:pt idx="18">
                  <c:v>3.8839838722006754</c:v>
                </c:pt>
                <c:pt idx="19">
                  <c:v>3.9707473708829459</c:v>
                </c:pt>
                <c:pt idx="20">
                  <c:v>4.0575108695652169</c:v>
                </c:pt>
              </c:numCache>
            </c:numRef>
          </c:yVal>
          <c:smooth val="0"/>
          <c:extLst>
            <c:ext xmlns:c16="http://schemas.microsoft.com/office/drawing/2014/chart" uri="{C3380CC4-5D6E-409C-BE32-E72D297353CC}">
              <c16:uniqueId val="{00000000-DA97-4158-BCB6-71986F056B5D}"/>
            </c:ext>
          </c:extLst>
        </c:ser>
        <c:dLbls>
          <c:showLegendKey val="0"/>
          <c:showVal val="0"/>
          <c:showCatName val="0"/>
          <c:showSerName val="0"/>
          <c:showPercent val="0"/>
          <c:showBubbleSize val="0"/>
        </c:dLbls>
        <c:axId val="225724768"/>
        <c:axId val="225725328"/>
      </c:scatterChart>
      <c:valAx>
        <c:axId val="225724768"/>
        <c:scaling>
          <c:orientation val="minMax"/>
          <c:min val="1.0000000000000005E-2"/>
        </c:scaling>
        <c:delete val="0"/>
        <c:axPos val="b"/>
        <c:title>
          <c:tx>
            <c:rich>
              <a:bodyPr/>
              <a:lstStyle/>
              <a:p>
                <a:pPr>
                  <a:defRPr sz="1100" b="1" i="0" u="none" strike="noStrike" baseline="0">
                    <a:solidFill>
                      <a:srgbClr val="000000"/>
                    </a:solidFill>
                    <a:latin typeface="Arial"/>
                    <a:ea typeface="Arial"/>
                    <a:cs typeface="Arial"/>
                  </a:defRPr>
                </a:pPr>
                <a:r>
                  <a:rPr lang="en-US"/>
                  <a:t>Portfolio standard deviation %</a:t>
                </a:r>
              </a:p>
            </c:rich>
          </c:tx>
          <c:layout>
            <c:manualLayout>
              <c:xMode val="edge"/>
              <c:yMode val="edge"/>
              <c:x val="0.37245745690239435"/>
              <c:y val="0.89330129019232396"/>
            </c:manualLayout>
          </c:layout>
          <c:overlay val="0"/>
          <c:spPr>
            <a:noFill/>
            <a:ln w="25400">
              <a:noFill/>
            </a:ln>
          </c:spPr>
        </c:title>
        <c:numFmt formatCode="0%" sourceLinked="0"/>
        <c:majorTickMark val="in"/>
        <c:minorTickMark val="none"/>
        <c:tickLblPos val="low"/>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25725328"/>
        <c:crosses val="autoZero"/>
        <c:crossBetween val="midCat"/>
      </c:valAx>
      <c:valAx>
        <c:axId val="225725328"/>
        <c:scaling>
          <c:orientation val="minMax"/>
          <c:min val="2"/>
        </c:scaling>
        <c:delete val="0"/>
        <c:axPos val="l"/>
        <c:title>
          <c:tx>
            <c:rich>
              <a:bodyPr/>
              <a:lstStyle/>
              <a:p>
                <a:pPr>
                  <a:defRPr sz="1000" b="1" i="0" u="none" strike="noStrike" baseline="0">
                    <a:solidFill>
                      <a:srgbClr val="000000"/>
                    </a:solidFill>
                    <a:latin typeface="Arial"/>
                    <a:ea typeface="Arial"/>
                    <a:cs typeface="Arial"/>
                  </a:defRPr>
                </a:pPr>
                <a:r>
                  <a:rPr lang="en-US"/>
                  <a:t>Portfolio Return (percent)</a:t>
                </a:r>
              </a:p>
            </c:rich>
          </c:tx>
          <c:layout>
            <c:manualLayout>
              <c:xMode val="edge"/>
              <c:yMode val="edge"/>
              <c:x val="2.5039123630672983E-2"/>
              <c:y val="0.29776700989299432"/>
            </c:manualLayout>
          </c:layout>
          <c:overlay val="0"/>
          <c:spPr>
            <a:noFill/>
            <a:ln w="25400">
              <a:noFill/>
            </a:ln>
          </c:spPr>
        </c:title>
        <c:numFmt formatCode="0.00_)" sourceLinked="1"/>
        <c:majorTickMark val="in"/>
        <c:minorTickMark val="none"/>
        <c:tickLblPos val="nextTo"/>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25724768"/>
        <c:crosses val="autoZero"/>
        <c:crossBetween val="midCat"/>
      </c:valAx>
      <c:spPr>
        <a:solidFill>
          <a:srgbClr val="FFFFFF"/>
        </a:solidFill>
        <a:ln w="12700">
          <a:solidFill>
            <a:srgbClr val="000000"/>
          </a:solidFill>
          <a:prstDash val="solid"/>
        </a:ln>
      </c:spPr>
    </c:plotArea>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GPM Loan Balance</a:t>
            </a:r>
          </a:p>
        </c:rich>
      </c:tx>
      <c:layout>
        <c:manualLayout>
          <c:xMode val="edge"/>
          <c:yMode val="edge"/>
          <c:x val="0.35477644241838174"/>
          <c:y val="3.5587188612099654E-2"/>
        </c:manualLayout>
      </c:layout>
      <c:overlay val="0"/>
      <c:spPr>
        <a:noFill/>
        <a:ln w="25400">
          <a:noFill/>
        </a:ln>
      </c:spPr>
    </c:title>
    <c:autoTitleDeleted val="0"/>
    <c:plotArea>
      <c:layout>
        <c:manualLayout>
          <c:layoutTarget val="inner"/>
          <c:xMode val="edge"/>
          <c:yMode val="edge"/>
          <c:x val="0.19688146640751861"/>
          <c:y val="0.23487544483985764"/>
          <c:w val="0.77582993693260072"/>
          <c:h val="0.53736654804270223"/>
        </c:manualLayout>
      </c:layout>
      <c:lineChart>
        <c:grouping val="standard"/>
        <c:varyColors val="0"/>
        <c:ser>
          <c:idx val="0"/>
          <c:order val="0"/>
          <c:tx>
            <c:v>Balance</c:v>
          </c:tx>
          <c:spPr>
            <a:ln w="25400">
              <a:solidFill>
                <a:srgbClr val="000080"/>
              </a:solidFill>
              <a:prstDash val="solid"/>
            </a:ln>
          </c:spPr>
          <c:marker>
            <c:symbol val="none"/>
          </c:marker>
          <c:cat>
            <c:numRef>
              <c:f>'Ch4 GPM'!$B$40:$B$124</c:f>
              <c:numCache>
                <c:formatCode>General</c:formatCode>
                <c:ptCount val="8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numCache>
            </c:numRef>
          </c:cat>
          <c:val>
            <c:numRef>
              <c:f>'Ch4 GPM'!$F$40:$F$124</c:f>
              <c:numCache>
                <c:formatCode>"$"#,##0_);\("$"#,##0\)</c:formatCode>
                <c:ptCount val="85"/>
                <c:pt idx="0">
                  <c:v>60000</c:v>
                </c:pt>
                <c:pt idx="1">
                  <c:v>60125.174870237184</c:v>
                </c:pt>
                <c:pt idx="2">
                  <c:v>60251.601489176741</c:v>
                </c:pt>
                <c:pt idx="3">
                  <c:v>60379.292374305696</c:v>
                </c:pt>
                <c:pt idx="4">
                  <c:v>60508.260168285939</c:v>
                </c:pt>
                <c:pt idx="5">
                  <c:v>60638.517640205981</c:v>
                </c:pt>
                <c:pt idx="6">
                  <c:v>60770.077686845223</c:v>
                </c:pt>
                <c:pt idx="7">
                  <c:v>60902.953333950863</c:v>
                </c:pt>
                <c:pt idx="8">
                  <c:v>61037.157737527559</c:v>
                </c:pt>
                <c:pt idx="9">
                  <c:v>61172.704185140021</c:v>
                </c:pt>
                <c:pt idx="10">
                  <c:v>61309.606097228607</c:v>
                </c:pt>
                <c:pt idx="11">
                  <c:v>61447.877028438081</c:v>
                </c:pt>
                <c:pt idx="12">
                  <c:v>61587.530668959647</c:v>
                </c:pt>
                <c:pt idx="13">
                  <c:v>61692.96896115422</c:v>
                </c:pt>
                <c:pt idx="14">
                  <c:v>61799.461636270738</c:v>
                </c:pt>
                <c:pt idx="15">
                  <c:v>61907.019238138419</c:v>
                </c:pt>
                <c:pt idx="16">
                  <c:v>62015.652416024779</c:v>
                </c:pt>
                <c:pt idx="17">
                  <c:v>62125.37192569</c:v>
                </c:pt>
                <c:pt idx="18">
                  <c:v>62236.188630451878</c:v>
                </c:pt>
                <c:pt idx="19">
                  <c:v>62348.113502261374</c:v>
                </c:pt>
                <c:pt idx="20">
                  <c:v>62461.15762278896</c:v>
                </c:pt>
                <c:pt idx="21">
                  <c:v>62575.332184521823</c:v>
                </c:pt>
                <c:pt idx="22">
                  <c:v>62690.648491872016</c:v>
                </c:pt>
                <c:pt idx="23">
                  <c:v>62807.117962295713</c:v>
                </c:pt>
                <c:pt idx="24">
                  <c:v>62924.752127423642</c:v>
                </c:pt>
                <c:pt idx="25">
                  <c:v>63005.279858115726</c:v>
                </c:pt>
                <c:pt idx="26">
                  <c:v>63086.61286611473</c:v>
                </c:pt>
                <c:pt idx="27">
                  <c:v>63168.759204193724</c:v>
                </c:pt>
                <c:pt idx="28">
                  <c:v>63251.727005653513</c:v>
                </c:pt>
                <c:pt idx="29">
                  <c:v>63335.524485127899</c:v>
                </c:pt>
                <c:pt idx="30">
                  <c:v>63420.159939397025</c:v>
                </c:pt>
                <c:pt idx="31">
                  <c:v>63505.641748208844</c:v>
                </c:pt>
                <c:pt idx="32">
                  <c:v>63591.978375108782</c:v>
                </c:pt>
                <c:pt idx="33">
                  <c:v>63679.178368277717</c:v>
                </c:pt>
                <c:pt idx="34">
                  <c:v>63767.250361378341</c:v>
                </c:pt>
                <c:pt idx="35">
                  <c:v>63856.203074409976</c:v>
                </c:pt>
                <c:pt idx="36">
                  <c:v>63946.045314571922</c:v>
                </c:pt>
                <c:pt idx="37">
                  <c:v>63995.631992841831</c:v>
                </c:pt>
                <c:pt idx="38">
                  <c:v>64045.714537894433</c:v>
                </c:pt>
                <c:pt idx="39">
                  <c:v>64096.297908397566</c:v>
                </c:pt>
                <c:pt idx="40">
                  <c:v>64147.387112605727</c:v>
                </c:pt>
                <c:pt idx="41">
                  <c:v>64198.987208855971</c:v>
                </c:pt>
                <c:pt idx="42">
                  <c:v>64251.103306068719</c:v>
                </c:pt>
                <c:pt idx="43">
                  <c:v>64303.740564253596</c:v>
                </c:pt>
                <c:pt idx="44">
                  <c:v>64356.904195020317</c:v>
                </c:pt>
                <c:pt idx="45">
                  <c:v>64410.599462094709</c:v>
                </c:pt>
                <c:pt idx="46">
                  <c:v>64464.831681839845</c:v>
                </c:pt>
                <c:pt idx="47">
                  <c:v>64519.60622378243</c:v>
                </c:pt>
                <c:pt idx="48">
                  <c:v>64574.928511144441</c:v>
                </c:pt>
                <c:pt idx="49">
                  <c:v>64586.563488264386</c:v>
                </c:pt>
                <c:pt idx="50">
                  <c:v>64598.314815155529</c:v>
                </c:pt>
                <c:pt idx="51">
                  <c:v>64610.183655315588</c:v>
                </c:pt>
                <c:pt idx="52">
                  <c:v>64622.171183877246</c:v>
                </c:pt>
                <c:pt idx="53">
                  <c:v>64634.278587724519</c:v>
                </c:pt>
                <c:pt idx="54">
                  <c:v>64646.507065610262</c:v>
                </c:pt>
                <c:pt idx="55">
                  <c:v>64658.857828274864</c:v>
                </c:pt>
                <c:pt idx="56">
                  <c:v>64671.332098566112</c:v>
                </c:pt>
                <c:pt idx="57">
                  <c:v>64683.931111560276</c:v>
                </c:pt>
                <c:pt idx="58">
                  <c:v>64696.656114684381</c:v>
                </c:pt>
                <c:pt idx="59">
                  <c:v>64709.508367839728</c:v>
                </c:pt>
                <c:pt idx="60">
                  <c:v>64722.489143526625</c:v>
                </c:pt>
                <c:pt idx="61">
                  <c:v>64688.041153871032</c:v>
                </c:pt>
                <c:pt idx="62">
                  <c:v>64653.248684318882</c:v>
                </c:pt>
                <c:pt idx="63">
                  <c:v>64618.108290071206</c:v>
                </c:pt>
                <c:pt idx="64">
                  <c:v>64582.616491881054</c:v>
                </c:pt>
                <c:pt idx="65">
                  <c:v>64546.769775709006</c:v>
                </c:pt>
                <c:pt idx="66">
                  <c:v>64510.564592375238</c:v>
                </c:pt>
                <c:pt idx="67">
                  <c:v>64473.997357208129</c:v>
                </c:pt>
                <c:pt idx="68">
                  <c:v>64437.064449689351</c:v>
                </c:pt>
                <c:pt idx="69">
                  <c:v>64399.762213095382</c:v>
                </c:pt>
                <c:pt idx="70">
                  <c:v>64362.086954135477</c:v>
                </c:pt>
                <c:pt idx="71">
                  <c:v>64324.034942585968</c:v>
                </c:pt>
                <c:pt idx="72">
                  <c:v>64285.602410920968</c:v>
                </c:pt>
                <c:pt idx="73">
                  <c:v>64246.785553939313</c:v>
                </c:pt>
                <c:pt idx="74">
                  <c:v>64207.580528387844</c:v>
                </c:pt>
                <c:pt idx="75">
                  <c:v>64167.983452580862</c:v>
                </c:pt>
                <c:pt idx="76">
                  <c:v>64127.990406015808</c:v>
                </c:pt>
                <c:pt idx="77">
                  <c:v>64087.597428985107</c:v>
                </c:pt>
                <c:pt idx="78">
                  <c:v>64046.800522184094</c:v>
                </c:pt>
                <c:pt idx="79">
                  <c:v>64005.595646315072</c:v>
                </c:pt>
                <c:pt idx="80">
                  <c:v>63963.978721687359</c:v>
                </c:pt>
                <c:pt idx="81">
                  <c:v>63921.945627813373</c:v>
                </c:pt>
                <c:pt idx="82">
                  <c:v>63879.492203000642</c:v>
                </c:pt>
                <c:pt idx="83">
                  <c:v>63836.614243939788</c:v>
                </c:pt>
                <c:pt idx="84">
                  <c:v>63793.307505288321</c:v>
                </c:pt>
              </c:numCache>
            </c:numRef>
          </c:val>
          <c:smooth val="0"/>
          <c:extLst>
            <c:ext xmlns:c16="http://schemas.microsoft.com/office/drawing/2014/chart" uri="{C3380CC4-5D6E-409C-BE32-E72D297353CC}">
              <c16:uniqueId val="{00000000-F113-4E87-9B54-3873C8E1E22B}"/>
            </c:ext>
          </c:extLst>
        </c:ser>
        <c:dLbls>
          <c:showLegendKey val="0"/>
          <c:showVal val="0"/>
          <c:showCatName val="0"/>
          <c:showSerName val="0"/>
          <c:showPercent val="0"/>
          <c:showBubbleSize val="0"/>
        </c:dLbls>
        <c:smooth val="0"/>
        <c:axId val="183118784"/>
        <c:axId val="186110464"/>
      </c:lineChart>
      <c:catAx>
        <c:axId val="1831187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a:t>
                </a:r>
              </a:p>
            </c:rich>
          </c:tx>
          <c:layout>
            <c:manualLayout>
              <c:xMode val="edge"/>
              <c:yMode val="edge"/>
              <c:x val="0.54386067238671265"/>
              <c:y val="0.86476868327402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86110464"/>
        <c:crosses val="autoZero"/>
        <c:auto val="1"/>
        <c:lblAlgn val="ctr"/>
        <c:lblOffset val="100"/>
        <c:tickLblSkip val="5"/>
        <c:tickMarkSkip val="1"/>
        <c:noMultiLvlLbl val="0"/>
      </c:catAx>
      <c:valAx>
        <c:axId val="18611046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Balance</a:t>
                </a:r>
              </a:p>
            </c:rich>
          </c:tx>
          <c:layout>
            <c:manualLayout>
              <c:xMode val="edge"/>
              <c:yMode val="edge"/>
              <c:x val="3.1189083820662791E-2"/>
              <c:y val="0.40213523131672579"/>
            </c:manualLayout>
          </c:layout>
          <c:overlay val="0"/>
          <c:spPr>
            <a:noFill/>
            <a:ln w="25400">
              <a:noFill/>
            </a:ln>
          </c:spPr>
        </c:title>
        <c:numFmt formatCode="&quot;$&quot;#,##0_);\(&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311878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GPM vs CPM Payment</a:t>
            </a:r>
          </a:p>
        </c:rich>
      </c:tx>
      <c:layout>
        <c:manualLayout>
          <c:xMode val="edge"/>
          <c:yMode val="edge"/>
          <c:x val="0.33073970812014258"/>
          <c:y val="3.8327526132404179E-2"/>
        </c:manualLayout>
      </c:layout>
      <c:overlay val="0"/>
      <c:spPr>
        <a:noFill/>
        <a:ln w="25400">
          <a:noFill/>
        </a:ln>
      </c:spPr>
    </c:title>
    <c:autoTitleDeleted val="0"/>
    <c:plotArea>
      <c:layout>
        <c:manualLayout>
          <c:layoutTarget val="inner"/>
          <c:xMode val="edge"/>
          <c:yMode val="edge"/>
          <c:x val="0.16147875262071432"/>
          <c:y val="0.22996515679442575"/>
          <c:w val="0.81128481738359193"/>
          <c:h val="0.54703832752613235"/>
        </c:manualLayout>
      </c:layout>
      <c:lineChart>
        <c:grouping val="standard"/>
        <c:varyColors val="0"/>
        <c:ser>
          <c:idx val="0"/>
          <c:order val="0"/>
          <c:tx>
            <c:v>GPM Payment</c:v>
          </c:tx>
          <c:spPr>
            <a:ln w="25400">
              <a:solidFill>
                <a:srgbClr val="000080"/>
              </a:solidFill>
              <a:prstDash val="solid"/>
            </a:ln>
          </c:spPr>
          <c:marker>
            <c:symbol val="none"/>
          </c:marker>
          <c:cat>
            <c:numRef>
              <c:f>'Ch4 GPM'!$B$40:$B$124</c:f>
              <c:numCache>
                <c:formatCode>General</c:formatCode>
                <c:ptCount val="8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numCache>
            </c:numRef>
          </c:cat>
          <c:val>
            <c:numRef>
              <c:f>'Ch4 GPM'!$C$41:$C$123</c:f>
              <c:numCache>
                <c:formatCode>"$"#,##0.00_);\("$"#,##0.00\)</c:formatCode>
                <c:ptCount val="83"/>
                <c:pt idx="0">
                  <c:v>474.8251297628139</c:v>
                </c:pt>
                <c:pt idx="1">
                  <c:v>474.8251297628139</c:v>
                </c:pt>
                <c:pt idx="2">
                  <c:v>474.8251297628139</c:v>
                </c:pt>
                <c:pt idx="3">
                  <c:v>474.8251297628139</c:v>
                </c:pt>
                <c:pt idx="4">
                  <c:v>474.8251297628139</c:v>
                </c:pt>
                <c:pt idx="5">
                  <c:v>474.8251297628139</c:v>
                </c:pt>
                <c:pt idx="6">
                  <c:v>474.8251297628139</c:v>
                </c:pt>
                <c:pt idx="7">
                  <c:v>474.8251297628139</c:v>
                </c:pt>
                <c:pt idx="8">
                  <c:v>474.8251297628139</c:v>
                </c:pt>
                <c:pt idx="9">
                  <c:v>474.8251297628139</c:v>
                </c:pt>
                <c:pt idx="10">
                  <c:v>474.8251297628139</c:v>
                </c:pt>
                <c:pt idx="11">
                  <c:v>474.8251297628139</c:v>
                </c:pt>
                <c:pt idx="12">
                  <c:v>510.43701449502493</c:v>
                </c:pt>
                <c:pt idx="13">
                  <c:v>510.43701449502493</c:v>
                </c:pt>
                <c:pt idx="14">
                  <c:v>510.43701449502493</c:v>
                </c:pt>
                <c:pt idx="15">
                  <c:v>510.43701449502493</c:v>
                </c:pt>
                <c:pt idx="16">
                  <c:v>510.43701449502493</c:v>
                </c:pt>
                <c:pt idx="17">
                  <c:v>510.43701449502493</c:v>
                </c:pt>
                <c:pt idx="18">
                  <c:v>510.43701449502493</c:v>
                </c:pt>
                <c:pt idx="19">
                  <c:v>510.43701449502493</c:v>
                </c:pt>
                <c:pt idx="20">
                  <c:v>510.43701449502493</c:v>
                </c:pt>
                <c:pt idx="21">
                  <c:v>510.43701449502493</c:v>
                </c:pt>
                <c:pt idx="22">
                  <c:v>510.43701449502493</c:v>
                </c:pt>
                <c:pt idx="23">
                  <c:v>510.43701449502493</c:v>
                </c:pt>
                <c:pt idx="24">
                  <c:v>548.71979058215175</c:v>
                </c:pt>
                <c:pt idx="25">
                  <c:v>548.71979058215175</c:v>
                </c:pt>
                <c:pt idx="26">
                  <c:v>548.71979058215175</c:v>
                </c:pt>
                <c:pt idx="27">
                  <c:v>548.71979058215175</c:v>
                </c:pt>
                <c:pt idx="28">
                  <c:v>548.71979058215175</c:v>
                </c:pt>
                <c:pt idx="29">
                  <c:v>548.71979058215175</c:v>
                </c:pt>
                <c:pt idx="30">
                  <c:v>548.71979058215175</c:v>
                </c:pt>
                <c:pt idx="31">
                  <c:v>548.71979058215175</c:v>
                </c:pt>
                <c:pt idx="32">
                  <c:v>548.71979058215175</c:v>
                </c:pt>
                <c:pt idx="33">
                  <c:v>548.71979058215175</c:v>
                </c:pt>
                <c:pt idx="34">
                  <c:v>548.71979058215175</c:v>
                </c:pt>
                <c:pt idx="35">
                  <c:v>548.71979058215175</c:v>
                </c:pt>
                <c:pt idx="36">
                  <c:v>589.87377487581307</c:v>
                </c:pt>
                <c:pt idx="37">
                  <c:v>589.87377487581307</c:v>
                </c:pt>
                <c:pt idx="38">
                  <c:v>589.87377487581307</c:v>
                </c:pt>
                <c:pt idx="39">
                  <c:v>589.87377487581307</c:v>
                </c:pt>
                <c:pt idx="40">
                  <c:v>589.87377487581307</c:v>
                </c:pt>
                <c:pt idx="41">
                  <c:v>589.87377487581307</c:v>
                </c:pt>
                <c:pt idx="42">
                  <c:v>589.87377487581307</c:v>
                </c:pt>
                <c:pt idx="43">
                  <c:v>589.87377487581307</c:v>
                </c:pt>
                <c:pt idx="44">
                  <c:v>589.87377487581307</c:v>
                </c:pt>
                <c:pt idx="45">
                  <c:v>589.87377487581307</c:v>
                </c:pt>
                <c:pt idx="46">
                  <c:v>589.87377487581307</c:v>
                </c:pt>
                <c:pt idx="47">
                  <c:v>589.87377487581307</c:v>
                </c:pt>
                <c:pt idx="48">
                  <c:v>634.114307991499</c:v>
                </c:pt>
                <c:pt idx="49">
                  <c:v>634.114307991499</c:v>
                </c:pt>
                <c:pt idx="50">
                  <c:v>634.114307991499</c:v>
                </c:pt>
                <c:pt idx="51">
                  <c:v>634.114307991499</c:v>
                </c:pt>
                <c:pt idx="52">
                  <c:v>634.114307991499</c:v>
                </c:pt>
                <c:pt idx="53">
                  <c:v>634.114307991499</c:v>
                </c:pt>
                <c:pt idx="54">
                  <c:v>634.114307991499</c:v>
                </c:pt>
                <c:pt idx="55">
                  <c:v>634.114307991499</c:v>
                </c:pt>
                <c:pt idx="56">
                  <c:v>634.114307991499</c:v>
                </c:pt>
                <c:pt idx="57">
                  <c:v>634.114307991499</c:v>
                </c:pt>
                <c:pt idx="58">
                  <c:v>634.114307991499</c:v>
                </c:pt>
                <c:pt idx="59">
                  <c:v>634.114307991499</c:v>
                </c:pt>
                <c:pt idx="60">
                  <c:v>681.67288109086144</c:v>
                </c:pt>
                <c:pt idx="61">
                  <c:v>681.67288109086144</c:v>
                </c:pt>
                <c:pt idx="62">
                  <c:v>681.67288109086144</c:v>
                </c:pt>
                <c:pt idx="63">
                  <c:v>681.67288109086144</c:v>
                </c:pt>
                <c:pt idx="64">
                  <c:v>681.67288109086144</c:v>
                </c:pt>
                <c:pt idx="65">
                  <c:v>681.67288109086144</c:v>
                </c:pt>
                <c:pt idx="66">
                  <c:v>681.67288109086144</c:v>
                </c:pt>
                <c:pt idx="67">
                  <c:v>681.67288109086144</c:v>
                </c:pt>
                <c:pt idx="68">
                  <c:v>681.67288109086144</c:v>
                </c:pt>
                <c:pt idx="69">
                  <c:v>681.67288109086144</c:v>
                </c:pt>
                <c:pt idx="70">
                  <c:v>681.67288109086144</c:v>
                </c:pt>
                <c:pt idx="71">
                  <c:v>681.67288109086144</c:v>
                </c:pt>
                <c:pt idx="72">
                  <c:v>681.67288109086144</c:v>
                </c:pt>
                <c:pt idx="73">
                  <c:v>681.67288109086144</c:v>
                </c:pt>
                <c:pt idx="74">
                  <c:v>681.67288109086144</c:v>
                </c:pt>
                <c:pt idx="75">
                  <c:v>681.67288109086144</c:v>
                </c:pt>
                <c:pt idx="76">
                  <c:v>681.67288109086144</c:v>
                </c:pt>
                <c:pt idx="77">
                  <c:v>681.67288109086144</c:v>
                </c:pt>
                <c:pt idx="78">
                  <c:v>681.67288109086144</c:v>
                </c:pt>
                <c:pt idx="79">
                  <c:v>681.67288109086144</c:v>
                </c:pt>
                <c:pt idx="80">
                  <c:v>681.67288109086144</c:v>
                </c:pt>
                <c:pt idx="81">
                  <c:v>681.67288109086144</c:v>
                </c:pt>
                <c:pt idx="82">
                  <c:v>681.67288109086144</c:v>
                </c:pt>
              </c:numCache>
            </c:numRef>
          </c:val>
          <c:smooth val="0"/>
          <c:extLst>
            <c:ext xmlns:c16="http://schemas.microsoft.com/office/drawing/2014/chart" uri="{C3380CC4-5D6E-409C-BE32-E72D297353CC}">
              <c16:uniqueId val="{00000000-BC70-4CCF-9E8F-11D04F1A0F4E}"/>
            </c:ext>
          </c:extLst>
        </c:ser>
        <c:ser>
          <c:idx val="1"/>
          <c:order val="1"/>
          <c:tx>
            <c:v>CPM Payment</c:v>
          </c:tx>
          <c:spPr>
            <a:ln w="25400">
              <a:solidFill>
                <a:srgbClr val="FF0000"/>
              </a:solidFill>
              <a:prstDash val="solid"/>
            </a:ln>
          </c:spPr>
          <c:marker>
            <c:symbol val="none"/>
          </c:marker>
          <c:val>
            <c:numRef>
              <c:f>'Ch4 GPM'!$G$41:$G$123</c:f>
              <c:numCache>
                <c:formatCode>"$"#,##0.00_);[Red]\("$"#,##0.00\)</c:formatCode>
                <c:ptCount val="83"/>
                <c:pt idx="0">
                  <c:v>617.16755815530257</c:v>
                </c:pt>
                <c:pt idx="1">
                  <c:v>617.16755815530257</c:v>
                </c:pt>
                <c:pt idx="2">
                  <c:v>617.16755815530257</c:v>
                </c:pt>
                <c:pt idx="3">
                  <c:v>617.16755815530257</c:v>
                </c:pt>
                <c:pt idx="4">
                  <c:v>617.16755815530257</c:v>
                </c:pt>
                <c:pt idx="5">
                  <c:v>617.16755815530257</c:v>
                </c:pt>
                <c:pt idx="6">
                  <c:v>617.16755815530257</c:v>
                </c:pt>
                <c:pt idx="7">
                  <c:v>617.16755815530257</c:v>
                </c:pt>
                <c:pt idx="8">
                  <c:v>617.16755815530257</c:v>
                </c:pt>
                <c:pt idx="9">
                  <c:v>617.16755815530257</c:v>
                </c:pt>
                <c:pt idx="10">
                  <c:v>617.16755815530257</c:v>
                </c:pt>
                <c:pt idx="11">
                  <c:v>617.16755815530257</c:v>
                </c:pt>
                <c:pt idx="12">
                  <c:v>617.16755815530257</c:v>
                </c:pt>
                <c:pt idx="13">
                  <c:v>617.16755815530257</c:v>
                </c:pt>
                <c:pt idx="14">
                  <c:v>617.16755815530257</c:v>
                </c:pt>
                <c:pt idx="15">
                  <c:v>617.16755815530257</c:v>
                </c:pt>
                <c:pt idx="16">
                  <c:v>617.16755815530257</c:v>
                </c:pt>
                <c:pt idx="17">
                  <c:v>617.16755815530257</c:v>
                </c:pt>
                <c:pt idx="18">
                  <c:v>617.16755815530257</c:v>
                </c:pt>
                <c:pt idx="19">
                  <c:v>617.16755815530257</c:v>
                </c:pt>
                <c:pt idx="20">
                  <c:v>617.16755815530257</c:v>
                </c:pt>
                <c:pt idx="21">
                  <c:v>617.16755815530257</c:v>
                </c:pt>
                <c:pt idx="22">
                  <c:v>617.16755815530257</c:v>
                </c:pt>
                <c:pt idx="23">
                  <c:v>617.16755815530257</c:v>
                </c:pt>
                <c:pt idx="24">
                  <c:v>617.16755815530257</c:v>
                </c:pt>
                <c:pt idx="25">
                  <c:v>617.16755815530257</c:v>
                </c:pt>
                <c:pt idx="26">
                  <c:v>617.16755815530257</c:v>
                </c:pt>
                <c:pt idx="27">
                  <c:v>617.16755815530257</c:v>
                </c:pt>
                <c:pt idx="28">
                  <c:v>617.16755815530257</c:v>
                </c:pt>
                <c:pt idx="29">
                  <c:v>617.16755815530257</c:v>
                </c:pt>
                <c:pt idx="30">
                  <c:v>617.16755815530257</c:v>
                </c:pt>
                <c:pt idx="31">
                  <c:v>617.16755815530257</c:v>
                </c:pt>
                <c:pt idx="32">
                  <c:v>617.16755815530257</c:v>
                </c:pt>
                <c:pt idx="33">
                  <c:v>617.16755815530257</c:v>
                </c:pt>
                <c:pt idx="34">
                  <c:v>617.16755815530257</c:v>
                </c:pt>
                <c:pt idx="35">
                  <c:v>617.16755815530257</c:v>
                </c:pt>
                <c:pt idx="36">
                  <c:v>617.16755815530257</c:v>
                </c:pt>
                <c:pt idx="37">
                  <c:v>617.16755815530257</c:v>
                </c:pt>
                <c:pt idx="38">
                  <c:v>617.16755815530257</c:v>
                </c:pt>
                <c:pt idx="39">
                  <c:v>617.16755815530257</c:v>
                </c:pt>
                <c:pt idx="40">
                  <c:v>617.16755815530257</c:v>
                </c:pt>
                <c:pt idx="41">
                  <c:v>617.16755815530257</c:v>
                </c:pt>
                <c:pt idx="42">
                  <c:v>617.16755815530257</c:v>
                </c:pt>
                <c:pt idx="43">
                  <c:v>617.16755815530257</c:v>
                </c:pt>
                <c:pt idx="44">
                  <c:v>617.16755815530257</c:v>
                </c:pt>
                <c:pt idx="45">
                  <c:v>617.16755815530257</c:v>
                </c:pt>
                <c:pt idx="46">
                  <c:v>617.16755815530257</c:v>
                </c:pt>
                <c:pt idx="47">
                  <c:v>617.16755815530257</c:v>
                </c:pt>
                <c:pt idx="48">
                  <c:v>617.16755815530257</c:v>
                </c:pt>
                <c:pt idx="49">
                  <c:v>617.16755815530257</c:v>
                </c:pt>
                <c:pt idx="50">
                  <c:v>617.16755815530257</c:v>
                </c:pt>
                <c:pt idx="51">
                  <c:v>617.16755815530257</c:v>
                </c:pt>
                <c:pt idx="52">
                  <c:v>617.16755815530257</c:v>
                </c:pt>
                <c:pt idx="53">
                  <c:v>617.16755815530257</c:v>
                </c:pt>
                <c:pt idx="54">
                  <c:v>617.16755815530257</c:v>
                </c:pt>
                <c:pt idx="55">
                  <c:v>617.16755815530257</c:v>
                </c:pt>
                <c:pt idx="56">
                  <c:v>617.16755815530257</c:v>
                </c:pt>
                <c:pt idx="57">
                  <c:v>617.16755815530257</c:v>
                </c:pt>
                <c:pt idx="58">
                  <c:v>617.16755815530257</c:v>
                </c:pt>
                <c:pt idx="59">
                  <c:v>617.16755815530257</c:v>
                </c:pt>
                <c:pt idx="60">
                  <c:v>617.16755815530257</c:v>
                </c:pt>
                <c:pt idx="61">
                  <c:v>617.16755815530257</c:v>
                </c:pt>
                <c:pt idx="62">
                  <c:v>617.16755815530257</c:v>
                </c:pt>
                <c:pt idx="63">
                  <c:v>617.16755815530257</c:v>
                </c:pt>
                <c:pt idx="64">
                  <c:v>617.16755815530257</c:v>
                </c:pt>
                <c:pt idx="65">
                  <c:v>617.16755815530257</c:v>
                </c:pt>
                <c:pt idx="66">
                  <c:v>617.16755815530257</c:v>
                </c:pt>
                <c:pt idx="67">
                  <c:v>617.16755815530257</c:v>
                </c:pt>
                <c:pt idx="68">
                  <c:v>617.16755815530257</c:v>
                </c:pt>
                <c:pt idx="69">
                  <c:v>617.16755815530257</c:v>
                </c:pt>
                <c:pt idx="70">
                  <c:v>617.16755815530257</c:v>
                </c:pt>
                <c:pt idx="71">
                  <c:v>617.16755815530257</c:v>
                </c:pt>
                <c:pt idx="72">
                  <c:v>617.16755815530257</c:v>
                </c:pt>
                <c:pt idx="73">
                  <c:v>617.16755815530257</c:v>
                </c:pt>
                <c:pt idx="74">
                  <c:v>617.16755815530257</c:v>
                </c:pt>
                <c:pt idx="75">
                  <c:v>617.16755815530257</c:v>
                </c:pt>
                <c:pt idx="76">
                  <c:v>617.16755815530257</c:v>
                </c:pt>
                <c:pt idx="77">
                  <c:v>617.16755815530257</c:v>
                </c:pt>
                <c:pt idx="78">
                  <c:v>617.16755815530257</c:v>
                </c:pt>
                <c:pt idx="79">
                  <c:v>617.16755815530257</c:v>
                </c:pt>
                <c:pt idx="80">
                  <c:v>617.16755815530257</c:v>
                </c:pt>
                <c:pt idx="81">
                  <c:v>617.16755815530257</c:v>
                </c:pt>
                <c:pt idx="82">
                  <c:v>617.16755815530257</c:v>
                </c:pt>
              </c:numCache>
            </c:numRef>
          </c:val>
          <c:smooth val="0"/>
          <c:extLst>
            <c:ext xmlns:c16="http://schemas.microsoft.com/office/drawing/2014/chart" uri="{C3380CC4-5D6E-409C-BE32-E72D297353CC}">
              <c16:uniqueId val="{00000001-BC70-4CCF-9E8F-11D04F1A0F4E}"/>
            </c:ext>
          </c:extLst>
        </c:ser>
        <c:dLbls>
          <c:showLegendKey val="0"/>
          <c:showVal val="0"/>
          <c:showCatName val="0"/>
          <c:showSerName val="0"/>
          <c:showPercent val="0"/>
          <c:showBubbleSize val="0"/>
        </c:dLbls>
        <c:smooth val="0"/>
        <c:axId val="186113264"/>
        <c:axId val="186113824"/>
      </c:lineChart>
      <c:catAx>
        <c:axId val="18611326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a:t>
                </a:r>
              </a:p>
            </c:rich>
          </c:tx>
          <c:layout>
            <c:manualLayout>
              <c:xMode val="edge"/>
              <c:yMode val="edge"/>
              <c:x val="0.52529223730302321"/>
              <c:y val="0.867595818815331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86113824"/>
        <c:crosses val="autoZero"/>
        <c:auto val="1"/>
        <c:lblAlgn val="ctr"/>
        <c:lblOffset val="100"/>
        <c:tickLblSkip val="5"/>
        <c:tickMarkSkip val="1"/>
        <c:noMultiLvlLbl val="0"/>
      </c:catAx>
      <c:valAx>
        <c:axId val="186113824"/>
        <c:scaling>
          <c:orientation val="minMax"/>
          <c:min val="300"/>
        </c:scaling>
        <c:delete val="0"/>
        <c:axPos val="l"/>
        <c:title>
          <c:tx>
            <c:rich>
              <a:bodyPr/>
              <a:lstStyle/>
              <a:p>
                <a:pPr>
                  <a:defRPr sz="1000" b="1" i="0" u="none" strike="noStrike" baseline="0">
                    <a:solidFill>
                      <a:srgbClr val="000000"/>
                    </a:solidFill>
                    <a:latin typeface="Arial"/>
                    <a:ea typeface="Arial"/>
                    <a:cs typeface="Arial"/>
                  </a:defRPr>
                </a:pPr>
                <a:r>
                  <a:rPr lang="en-US"/>
                  <a:t>Payment</a:t>
                </a:r>
              </a:p>
            </c:rich>
          </c:tx>
          <c:layout>
            <c:manualLayout>
              <c:xMode val="edge"/>
              <c:yMode val="edge"/>
              <c:x val="3.1128404669260701E-2"/>
              <c:y val="0.39721254355400798"/>
            </c:manualLayout>
          </c:layout>
          <c:overlay val="0"/>
          <c:spPr>
            <a:noFill/>
            <a:ln w="25400">
              <a:noFill/>
            </a:ln>
          </c:spPr>
        </c:title>
        <c:numFmt formatCode="\$#,##0_);\(\$#,##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611326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616966580976988"/>
          <c:y val="3.4582132564841515E-2"/>
        </c:manualLayout>
      </c:layout>
      <c:overlay val="0"/>
      <c:spPr>
        <a:noFill/>
        <a:ln w="25400">
          <a:noFill/>
        </a:ln>
      </c:spPr>
      <c:txPr>
        <a:bodyPr/>
        <a:lstStyle/>
        <a:p>
          <a:pPr>
            <a:defRPr sz="875"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7737789203084833"/>
          <c:y val="0.17867435158501441"/>
          <c:w val="0.78663239074550129"/>
          <c:h val="0.69164265129683145"/>
        </c:manualLayout>
      </c:layout>
      <c:lineChart>
        <c:grouping val="standard"/>
        <c:varyColors val="0"/>
        <c:ser>
          <c:idx val="1"/>
          <c:order val="0"/>
          <c:tx>
            <c:strRef>
              <c:f>'Ch5 PLAM Graphs'!$P$7</c:f>
              <c:strCache>
                <c:ptCount val="1"/>
                <c:pt idx="0">
                  <c:v>End Balance</c:v>
                </c:pt>
              </c:strCache>
            </c:strRef>
          </c:tx>
          <c:spPr>
            <a:ln w="25400">
              <a:solidFill>
                <a:srgbClr val="0000FF"/>
              </a:solidFill>
              <a:prstDash val="solid"/>
            </a:ln>
          </c:spPr>
          <c:marker>
            <c:symbol val="none"/>
          </c:marker>
          <c:cat>
            <c:numRef>
              <c:f>'Ch5 PLAM Graphs'!$O$8:$O$38</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'Ch5 PLAM Graphs'!$P$8:$P$38</c:f>
              <c:numCache>
                <c:formatCode>0</c:formatCode>
                <c:ptCount val="31"/>
                <c:pt idx="0">
                  <c:v>95000</c:v>
                </c:pt>
                <c:pt idx="1">
                  <c:v>98926.636311715192</c:v>
                </c:pt>
                <c:pt idx="2">
                  <c:v>102905.88443364843</c:v>
                </c:pt>
                <c:pt idx="3">
                  <c:v>106922.01943649919</c:v>
                </c:pt>
                <c:pt idx="4">
                  <c:v>110956.42457384904</c:v>
                </c:pt>
                <c:pt idx="5">
                  <c:v>114987.21673357744</c:v>
                </c:pt>
                <c:pt idx="6">
                  <c:v>118988.82867188781</c:v>
                </c:pt>
                <c:pt idx="7">
                  <c:v>122931.54329636002</c:v>
                </c:pt>
                <c:pt idx="8">
                  <c:v>126780.97475955733</c:v>
                </c:pt>
                <c:pt idx="9">
                  <c:v>130497.49056674159</c:v>
                </c:pt>
                <c:pt idx="10">
                  <c:v>134035.56828465706</c:v>
                </c:pt>
                <c:pt idx="11">
                  <c:v>137343.07975701473</c:v>
                </c:pt>
                <c:pt idx="12">
                  <c:v>140360.49497950394</c:v>
                </c:pt>
                <c:pt idx="13">
                  <c:v>143019.99695542562</c:v>
                </c:pt>
                <c:pt idx="14">
                  <c:v>145244.49793416617</c:v>
                </c:pt>
                <c:pt idx="15">
                  <c:v>146946.54641964202</c:v>
                </c:pt>
                <c:pt idx="16">
                  <c:v>148027.11321452583</c:v>
                </c:pt>
                <c:pt idx="17">
                  <c:v>148374.24352747094</c:v>
                </c:pt>
                <c:pt idx="18">
                  <c:v>147861.56080248332</c:v>
                </c:pt>
                <c:pt idx="19">
                  <c:v>146346.60641858826</c:v>
                </c:pt>
                <c:pt idx="20">
                  <c:v>143668.99773915115</c:v>
                </c:pt>
                <c:pt idx="21">
                  <c:v>139648.38514724106</c:v>
                </c:pt>
                <c:pt idx="22">
                  <c:v>134082.18666818159</c:v>
                </c:pt>
                <c:pt idx="23">
                  <c:v>126743.07653294902</c:v>
                </c:pt>
                <c:pt idx="24">
                  <c:v>117376.20155431962</c:v>
                </c:pt>
                <c:pt idx="25">
                  <c:v>105696.09644731834</c:v>
                </c:pt>
                <c:pt idx="26">
                  <c:v>91383.266199749909</c:v>
                </c:pt>
                <c:pt idx="27">
                  <c:v>74080.400257786547</c:v>
                </c:pt>
                <c:pt idx="28">
                  <c:v>53388.179603069068</c:v>
                </c:pt>
                <c:pt idx="29">
                  <c:v>28860.633725492055</c:v>
                </c:pt>
                <c:pt idx="30">
                  <c:v>0</c:v>
                </c:pt>
              </c:numCache>
            </c:numRef>
          </c:val>
          <c:smooth val="0"/>
          <c:extLst>
            <c:ext xmlns:c16="http://schemas.microsoft.com/office/drawing/2014/chart" uri="{C3380CC4-5D6E-409C-BE32-E72D297353CC}">
              <c16:uniqueId val="{00000000-25E7-4AD5-977B-D5E18CD8B7C6}"/>
            </c:ext>
          </c:extLst>
        </c:ser>
        <c:dLbls>
          <c:showLegendKey val="0"/>
          <c:showVal val="0"/>
          <c:showCatName val="0"/>
          <c:showSerName val="0"/>
          <c:showPercent val="0"/>
          <c:showBubbleSize val="0"/>
        </c:dLbls>
        <c:smooth val="0"/>
        <c:axId val="187942528"/>
        <c:axId val="187943088"/>
      </c:lineChart>
      <c:catAx>
        <c:axId val="187942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7943088"/>
        <c:crosses val="autoZero"/>
        <c:auto val="1"/>
        <c:lblAlgn val="ctr"/>
        <c:lblOffset val="100"/>
        <c:tickLblSkip val="5"/>
        <c:tickMarkSkip val="1"/>
        <c:noMultiLvlLbl val="0"/>
      </c:catAx>
      <c:valAx>
        <c:axId val="187943088"/>
        <c:scaling>
          <c:orientation val="minMax"/>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87942528"/>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333441012181245"/>
          <c:y val="3.4985422740524796E-2"/>
        </c:manualLayout>
      </c:layout>
      <c:overlay val="0"/>
      <c:spPr>
        <a:noFill/>
        <a:ln w="25400">
          <a:noFill/>
        </a:ln>
      </c:spPr>
      <c:txPr>
        <a:bodyPr/>
        <a:lstStyle/>
        <a:p>
          <a:pPr>
            <a:defRPr sz="875"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7692351994070488"/>
          <c:y val="0.17784281876767891"/>
          <c:w val="0.78718145828690478"/>
          <c:h val="0.69096308275311302"/>
        </c:manualLayout>
      </c:layout>
      <c:lineChart>
        <c:grouping val="standard"/>
        <c:varyColors val="0"/>
        <c:ser>
          <c:idx val="1"/>
          <c:order val="0"/>
          <c:tx>
            <c:strRef>
              <c:f>'Ch5 PLAM Graphs'!$R$7</c:f>
              <c:strCache>
                <c:ptCount val="1"/>
                <c:pt idx="0">
                  <c:v>Payment</c:v>
                </c:pt>
              </c:strCache>
            </c:strRef>
          </c:tx>
          <c:spPr>
            <a:ln w="25400">
              <a:solidFill>
                <a:srgbClr val="0000FF"/>
              </a:solidFill>
              <a:prstDash val="solid"/>
            </a:ln>
          </c:spPr>
          <c:marker>
            <c:symbol val="none"/>
          </c:marker>
          <c:cat>
            <c:numRef>
              <c:f>'Ch5 PLAM Graphs'!$Q$8:$Q$37</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'Ch5 PLAM Graphs'!$R$8:$R$37</c:f>
              <c:numCache>
                <c:formatCode>0</c:formatCode>
                <c:ptCount val="30"/>
                <c:pt idx="0" formatCode="&quot;$&quot;#,##0_);\(&quot;$&quot;#,##0\)">
                  <c:v>453.54453069218653</c:v>
                </c:pt>
                <c:pt idx="1">
                  <c:v>480.75720253371782</c:v>
                </c:pt>
                <c:pt idx="2">
                  <c:v>509.60263468574095</c:v>
                </c:pt>
                <c:pt idx="3">
                  <c:v>540.17879276688529</c:v>
                </c:pt>
                <c:pt idx="4">
                  <c:v>572.58952033289825</c:v>
                </c:pt>
                <c:pt idx="5">
                  <c:v>606.94489155287226</c:v>
                </c:pt>
                <c:pt idx="6">
                  <c:v>643.36158504604452</c:v>
                </c:pt>
                <c:pt idx="7">
                  <c:v>681.96328014880726</c:v>
                </c:pt>
                <c:pt idx="8">
                  <c:v>722.8810769577359</c:v>
                </c:pt>
                <c:pt idx="9">
                  <c:v>766.25394157519975</c:v>
                </c:pt>
                <c:pt idx="10">
                  <c:v>812.22917806971202</c:v>
                </c:pt>
                <c:pt idx="11">
                  <c:v>860.96292875389474</c:v>
                </c:pt>
                <c:pt idx="12">
                  <c:v>912.62070447912799</c:v>
                </c:pt>
                <c:pt idx="13">
                  <c:v>967.37794674787574</c:v>
                </c:pt>
                <c:pt idx="14">
                  <c:v>1025.4206235527486</c:v>
                </c:pt>
                <c:pt idx="15">
                  <c:v>1086.9458609659134</c:v>
                </c:pt>
                <c:pt idx="16">
                  <c:v>1152.1626126238684</c:v>
                </c:pt>
                <c:pt idx="17">
                  <c:v>1221.2923693813009</c:v>
                </c:pt>
                <c:pt idx="18">
                  <c:v>1294.5699115441791</c:v>
                </c:pt>
                <c:pt idx="19">
                  <c:v>1372.24410623683</c:v>
                </c:pt>
                <c:pt idx="20">
                  <c:v>1454.5787526110405</c:v>
                </c:pt>
                <c:pt idx="21">
                  <c:v>1541.8534777677032</c:v>
                </c:pt>
                <c:pt idx="22">
                  <c:v>1634.3646864337657</c:v>
                </c:pt>
                <c:pt idx="23">
                  <c:v>1732.4265676197913</c:v>
                </c:pt>
                <c:pt idx="24">
                  <c:v>1836.3721616769785</c:v>
                </c:pt>
                <c:pt idx="25">
                  <c:v>1946.554491377598</c:v>
                </c:pt>
                <c:pt idx="26">
                  <c:v>2063.3477608602543</c:v>
                </c:pt>
                <c:pt idx="27">
                  <c:v>2187.1486265118688</c:v>
                </c:pt>
                <c:pt idx="28">
                  <c:v>2318.3775441025809</c:v>
                </c:pt>
                <c:pt idx="29">
                  <c:v>2457.480196748736</c:v>
                </c:pt>
              </c:numCache>
            </c:numRef>
          </c:val>
          <c:smooth val="0"/>
          <c:extLst>
            <c:ext xmlns:c16="http://schemas.microsoft.com/office/drawing/2014/chart" uri="{C3380CC4-5D6E-409C-BE32-E72D297353CC}">
              <c16:uniqueId val="{00000000-F27D-49BB-98B8-EEAD2564A0EE}"/>
            </c:ext>
          </c:extLst>
        </c:ser>
        <c:dLbls>
          <c:showLegendKey val="0"/>
          <c:showVal val="0"/>
          <c:showCatName val="0"/>
          <c:showSerName val="0"/>
          <c:showPercent val="0"/>
          <c:showBubbleSize val="0"/>
        </c:dLbls>
        <c:smooth val="0"/>
        <c:axId val="187945888"/>
        <c:axId val="187946448"/>
      </c:lineChart>
      <c:catAx>
        <c:axId val="187945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7946448"/>
        <c:crosses val="autoZero"/>
        <c:auto val="1"/>
        <c:lblAlgn val="ctr"/>
        <c:lblOffset val="100"/>
        <c:tickLblSkip val="5"/>
        <c:tickMarkSkip val="1"/>
        <c:noMultiLvlLbl val="0"/>
      </c:catAx>
      <c:valAx>
        <c:axId val="187946448"/>
        <c:scaling>
          <c:orientation val="minMax"/>
          <c:min val="0"/>
        </c:scaling>
        <c:delete val="0"/>
        <c:axPos val="l"/>
        <c:majorGridlines>
          <c:spPr>
            <a:ln w="3175">
              <a:solidFill>
                <a:srgbClr val="000000"/>
              </a:solidFill>
              <a:prstDash val="solid"/>
            </a:ln>
          </c:spPr>
        </c:majorGridlines>
        <c:numFmt formatCode="&quot;$&quot;#,##0_);\(&quot;$&quot;#,##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87945888"/>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a:ea typeface="Arial"/>
                <a:cs typeface="Arial"/>
              </a:defRPr>
            </a:pPr>
            <a:r>
              <a:rPr lang="en-US"/>
              <a:t>Historic Vacancy</a:t>
            </a:r>
          </a:p>
        </c:rich>
      </c:tx>
      <c:layout>
        <c:manualLayout>
          <c:xMode val="edge"/>
          <c:yMode val="edge"/>
          <c:x val="0.46263902071663709"/>
          <c:y val="3.6231884057971092E-2"/>
        </c:manualLayout>
      </c:layout>
      <c:overlay val="0"/>
      <c:spPr>
        <a:noFill/>
        <a:ln w="25400">
          <a:noFill/>
        </a:ln>
      </c:spPr>
    </c:title>
    <c:autoTitleDeleted val="0"/>
    <c:plotArea>
      <c:layout>
        <c:manualLayout>
          <c:layoutTarget val="inner"/>
          <c:xMode val="edge"/>
          <c:yMode val="edge"/>
          <c:x val="0.15619707346027589"/>
          <c:y val="0.21376887231400141"/>
          <c:w val="0.82003463566644663"/>
          <c:h val="0.54348018384915442"/>
        </c:manualLayout>
      </c:layout>
      <c:lineChart>
        <c:grouping val="standard"/>
        <c:varyColors val="0"/>
        <c:ser>
          <c:idx val="0"/>
          <c:order val="0"/>
          <c:tx>
            <c:v>Vacancy</c:v>
          </c:tx>
          <c:spPr>
            <a:ln w="38100">
              <a:solidFill>
                <a:srgbClr val="000080"/>
              </a:solidFill>
              <a:prstDash val="solid"/>
            </a:ln>
          </c:spPr>
          <c:marker>
            <c:symbol val="none"/>
          </c:marker>
          <c:cat>
            <c:numRef>
              <c:f>'Ch11 Market Analysis'!$G$6:$G$25</c:f>
              <c:numCache>
                <c:formatCode>General</c:formatCode>
                <c:ptCount val="20"/>
                <c:pt idx="0">
                  <c:v>-19</c:v>
                </c:pt>
                <c:pt idx="1">
                  <c:v>-18</c:v>
                </c:pt>
                <c:pt idx="2">
                  <c:v>-17</c:v>
                </c:pt>
                <c:pt idx="3">
                  <c:v>-16</c:v>
                </c:pt>
                <c:pt idx="4">
                  <c:v>-15</c:v>
                </c:pt>
                <c:pt idx="5">
                  <c:v>-14</c:v>
                </c:pt>
                <c:pt idx="6">
                  <c:v>-13</c:v>
                </c:pt>
                <c:pt idx="7">
                  <c:v>-12</c:v>
                </c:pt>
                <c:pt idx="8">
                  <c:v>-11</c:v>
                </c:pt>
                <c:pt idx="9">
                  <c:v>-10</c:v>
                </c:pt>
                <c:pt idx="10">
                  <c:v>-9</c:v>
                </c:pt>
                <c:pt idx="11">
                  <c:v>-8</c:v>
                </c:pt>
                <c:pt idx="12">
                  <c:v>-7</c:v>
                </c:pt>
                <c:pt idx="13">
                  <c:v>-6</c:v>
                </c:pt>
                <c:pt idx="14">
                  <c:v>-5</c:v>
                </c:pt>
                <c:pt idx="15">
                  <c:v>-4</c:v>
                </c:pt>
                <c:pt idx="16">
                  <c:v>-3</c:v>
                </c:pt>
                <c:pt idx="17">
                  <c:v>-2</c:v>
                </c:pt>
                <c:pt idx="18">
                  <c:v>-1</c:v>
                </c:pt>
                <c:pt idx="19">
                  <c:v>0</c:v>
                </c:pt>
              </c:numCache>
            </c:numRef>
          </c:cat>
          <c:val>
            <c:numRef>
              <c:f>'Ch11 Market Analysis'!$Q$6:$Q$25</c:f>
              <c:numCache>
                <c:formatCode>0.00%</c:formatCode>
                <c:ptCount val="20"/>
                <c:pt idx="0">
                  <c:v>0.1376811594202898</c:v>
                </c:pt>
                <c:pt idx="1">
                  <c:v>0.13194444444444442</c:v>
                </c:pt>
                <c:pt idx="2">
                  <c:v>9.589041095890416E-2</c:v>
                </c:pt>
                <c:pt idx="3">
                  <c:v>8.1632653061224469E-2</c:v>
                </c:pt>
                <c:pt idx="4">
                  <c:v>8.6394557823129214E-2</c:v>
                </c:pt>
                <c:pt idx="5">
                  <c:v>9.8236845758711611E-2</c:v>
                </c:pt>
                <c:pt idx="6">
                  <c:v>0.11762383403395338</c:v>
                </c:pt>
                <c:pt idx="7">
                  <c:v>0.14441087336684344</c:v>
                </c:pt>
                <c:pt idx="8">
                  <c:v>0.17082550104681371</c:v>
                </c:pt>
                <c:pt idx="9">
                  <c:v>0.20087725518897603</c:v>
                </c:pt>
                <c:pt idx="10">
                  <c:v>0.21135068565832105</c:v>
                </c:pt>
                <c:pt idx="11">
                  <c:v>0.19972999475622955</c:v>
                </c:pt>
                <c:pt idx="12">
                  <c:v>0.19227133902946703</c:v>
                </c:pt>
                <c:pt idx="13">
                  <c:v>0.19789693234782624</c:v>
                </c:pt>
                <c:pt idx="14">
                  <c:v>0.17875240474690834</c:v>
                </c:pt>
                <c:pt idx="15">
                  <c:v>0.16826645777163407</c:v>
                </c:pt>
                <c:pt idx="16">
                  <c:v>0.13833255652203102</c:v>
                </c:pt>
                <c:pt idx="17">
                  <c:v>0.1140221815559449</c:v>
                </c:pt>
                <c:pt idx="18">
                  <c:v>0.10370956204325121</c:v>
                </c:pt>
                <c:pt idx="19">
                  <c:v>0.11355347425066209</c:v>
                </c:pt>
              </c:numCache>
            </c:numRef>
          </c:val>
          <c:smooth val="0"/>
          <c:extLst>
            <c:ext xmlns:c16="http://schemas.microsoft.com/office/drawing/2014/chart" uri="{C3380CC4-5D6E-409C-BE32-E72D297353CC}">
              <c16:uniqueId val="{00000000-B258-4BE8-A0A8-2B0FE7E74267}"/>
            </c:ext>
          </c:extLst>
        </c:ser>
        <c:dLbls>
          <c:showLegendKey val="0"/>
          <c:showVal val="0"/>
          <c:showCatName val="0"/>
          <c:showSerName val="0"/>
          <c:showPercent val="0"/>
          <c:showBubbleSize val="0"/>
        </c:dLbls>
        <c:smooth val="0"/>
        <c:axId val="189110048"/>
        <c:axId val="189110608"/>
      </c:lineChart>
      <c:catAx>
        <c:axId val="18911004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Year</a:t>
                </a:r>
              </a:p>
            </c:rich>
          </c:tx>
          <c:layout>
            <c:manualLayout>
              <c:xMode val="edge"/>
              <c:yMode val="edge"/>
              <c:x val="0.53736097928336157"/>
              <c:y val="0.8659450720833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9110608"/>
        <c:crosses val="autoZero"/>
        <c:auto val="1"/>
        <c:lblAlgn val="ctr"/>
        <c:lblOffset val="100"/>
        <c:tickLblSkip val="1"/>
        <c:tickMarkSkip val="1"/>
        <c:noMultiLvlLbl val="0"/>
      </c:catAx>
      <c:valAx>
        <c:axId val="189110608"/>
        <c:scaling>
          <c:orientation val="minMax"/>
        </c:scaling>
        <c:delete val="0"/>
        <c:axPos val="l"/>
        <c:majorGridlines>
          <c:spPr>
            <a:ln w="3175">
              <a:solidFill>
                <a:srgbClr val="000000"/>
              </a:solidFill>
              <a:prstDash val="solid"/>
            </a:ln>
          </c:spPr>
        </c:majorGridlines>
        <c:title>
          <c:tx>
            <c:rich>
              <a:bodyPr/>
              <a:lstStyle/>
              <a:p>
                <a:pPr>
                  <a:defRPr sz="1400" b="1" i="0" u="none" strike="noStrike" baseline="0">
                    <a:solidFill>
                      <a:srgbClr val="000000"/>
                    </a:solidFill>
                    <a:latin typeface="Arial"/>
                    <a:ea typeface="Arial"/>
                    <a:cs typeface="Arial"/>
                  </a:defRPr>
                </a:pPr>
                <a:r>
                  <a:rPr lang="en-US"/>
                  <a:t>Vacancy</a:t>
                </a:r>
              </a:p>
            </c:rich>
          </c:tx>
          <c:layout>
            <c:manualLayout>
              <c:xMode val="edge"/>
              <c:yMode val="edge"/>
              <c:x val="2.5437125961971299E-2"/>
              <c:y val="0.39130586937502576"/>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9110048"/>
        <c:crosses val="autoZero"/>
        <c:crossBetween val="between"/>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Historic Market Rents</a:t>
            </a:r>
            <a:endParaRPr lang="en-US" sz="1000" b="0"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n-US" sz="1000" b="0" i="0" u="none" strike="noStrike" baseline="0">
              <a:solidFill>
                <a:srgbClr val="000000"/>
              </a:solidFill>
              <a:latin typeface="Arial"/>
              <a:cs typeface="Arial"/>
            </a:endParaRPr>
          </a:p>
        </c:rich>
      </c:tx>
      <c:layout>
        <c:manualLayout>
          <c:xMode val="edge"/>
          <c:yMode val="edge"/>
          <c:x val="0.47937441306075423"/>
          <c:y val="3.6101083032490974E-2"/>
        </c:manualLayout>
      </c:layout>
      <c:overlay val="0"/>
      <c:spPr>
        <a:noFill/>
        <a:ln w="25400">
          <a:noFill/>
        </a:ln>
      </c:spPr>
    </c:title>
    <c:autoTitleDeleted val="0"/>
    <c:plotArea>
      <c:layout>
        <c:manualLayout>
          <c:layoutTarget val="inner"/>
          <c:xMode val="edge"/>
          <c:yMode val="edge"/>
          <c:x val="0.11009190751013521"/>
          <c:y val="0.27797882935686169"/>
          <c:w val="0.86850282591328887"/>
          <c:h val="0.47292502137336034"/>
        </c:manualLayout>
      </c:layout>
      <c:lineChart>
        <c:grouping val="standard"/>
        <c:varyColors val="0"/>
        <c:ser>
          <c:idx val="0"/>
          <c:order val="0"/>
          <c:tx>
            <c:v>Rent</c:v>
          </c:tx>
          <c:spPr>
            <a:ln w="38100">
              <a:solidFill>
                <a:srgbClr val="000080"/>
              </a:solidFill>
              <a:prstDash val="solid"/>
            </a:ln>
          </c:spPr>
          <c:marker>
            <c:symbol val="none"/>
          </c:marker>
          <c:cat>
            <c:numRef>
              <c:f>'Ch11 Market Analysis'!$G$6:$G$25</c:f>
              <c:numCache>
                <c:formatCode>General</c:formatCode>
                <c:ptCount val="20"/>
                <c:pt idx="0">
                  <c:v>-19</c:v>
                </c:pt>
                <c:pt idx="1">
                  <c:v>-18</c:v>
                </c:pt>
                <c:pt idx="2">
                  <c:v>-17</c:v>
                </c:pt>
                <c:pt idx="3">
                  <c:v>-16</c:v>
                </c:pt>
                <c:pt idx="4">
                  <c:v>-15</c:v>
                </c:pt>
                <c:pt idx="5">
                  <c:v>-14</c:v>
                </c:pt>
                <c:pt idx="6">
                  <c:v>-13</c:v>
                </c:pt>
                <c:pt idx="7">
                  <c:v>-12</c:v>
                </c:pt>
                <c:pt idx="8">
                  <c:v>-11</c:v>
                </c:pt>
                <c:pt idx="9">
                  <c:v>-10</c:v>
                </c:pt>
                <c:pt idx="10">
                  <c:v>-9</c:v>
                </c:pt>
                <c:pt idx="11">
                  <c:v>-8</c:v>
                </c:pt>
                <c:pt idx="12">
                  <c:v>-7</c:v>
                </c:pt>
                <c:pt idx="13">
                  <c:v>-6</c:v>
                </c:pt>
                <c:pt idx="14">
                  <c:v>-5</c:v>
                </c:pt>
                <c:pt idx="15">
                  <c:v>-4</c:v>
                </c:pt>
                <c:pt idx="16">
                  <c:v>-3</c:v>
                </c:pt>
                <c:pt idx="17">
                  <c:v>-2</c:v>
                </c:pt>
                <c:pt idx="18">
                  <c:v>-1</c:v>
                </c:pt>
                <c:pt idx="19">
                  <c:v>0</c:v>
                </c:pt>
              </c:numCache>
            </c:numRef>
          </c:cat>
          <c:val>
            <c:numRef>
              <c:f>'Ch11 Market Analysis'!$U$6:$U$25</c:f>
              <c:numCache>
                <c:formatCode>"$"#,##0.00</c:formatCode>
                <c:ptCount val="20"/>
                <c:pt idx="0">
                  <c:v>4.76</c:v>
                </c:pt>
                <c:pt idx="1">
                  <c:v>5.3844154682005403</c:v>
                </c:pt>
                <c:pt idx="2">
                  <c:v>6.3084341490949321</c:v>
                </c:pt>
                <c:pt idx="3">
                  <c:v>7.7023341903206122</c:v>
                </c:pt>
                <c:pt idx="4">
                  <c:v>9.4393485067036469</c:v>
                </c:pt>
                <c:pt idx="5">
                  <c:v>10.743481147464452</c:v>
                </c:pt>
                <c:pt idx="6">
                  <c:v>12.06634039430398</c:v>
                </c:pt>
                <c:pt idx="7">
                  <c:v>13.015404066896574</c:v>
                </c:pt>
                <c:pt idx="8">
                  <c:v>12.836622605664987</c:v>
                </c:pt>
                <c:pt idx="9">
                  <c:v>12.432732877239909</c:v>
                </c:pt>
                <c:pt idx="10">
                  <c:v>11.289093833043836</c:v>
                </c:pt>
                <c:pt idx="11">
                  <c:v>10.329779810366174</c:v>
                </c:pt>
                <c:pt idx="12">
                  <c:v>9.718703745593448</c:v>
                </c:pt>
                <c:pt idx="13">
                  <c:v>9.4795747534704198</c:v>
                </c:pt>
                <c:pt idx="14">
                  <c:v>9.2237330789901915</c:v>
                </c:pt>
                <c:pt idx="15">
                  <c:v>9.0307569164658332</c:v>
                </c:pt>
                <c:pt idx="16">
                  <c:v>9.327199073974322</c:v>
                </c:pt>
                <c:pt idx="17">
                  <c:v>10.401048732765487</c:v>
                </c:pt>
                <c:pt idx="18">
                  <c:v>11.857121350410095</c:v>
                </c:pt>
                <c:pt idx="19">
                  <c:v>13.332837242014449</c:v>
                </c:pt>
              </c:numCache>
            </c:numRef>
          </c:val>
          <c:smooth val="0"/>
          <c:extLst>
            <c:ext xmlns:c16="http://schemas.microsoft.com/office/drawing/2014/chart" uri="{C3380CC4-5D6E-409C-BE32-E72D297353CC}">
              <c16:uniqueId val="{00000000-EF62-4400-BB30-1E92F8C5B73F}"/>
            </c:ext>
          </c:extLst>
        </c:ser>
        <c:dLbls>
          <c:showLegendKey val="0"/>
          <c:showVal val="0"/>
          <c:showCatName val="0"/>
          <c:showSerName val="0"/>
          <c:showPercent val="0"/>
          <c:showBubbleSize val="0"/>
        </c:dLbls>
        <c:smooth val="0"/>
        <c:axId val="189112848"/>
        <c:axId val="189113408"/>
      </c:lineChart>
      <c:catAx>
        <c:axId val="18911284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86238660534405676"/>
              <c:y val="0.87003761713901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113408"/>
        <c:crosses val="autoZero"/>
        <c:auto val="1"/>
        <c:lblAlgn val="ctr"/>
        <c:lblOffset val="100"/>
        <c:tickLblSkip val="1"/>
        <c:tickMarkSkip val="1"/>
        <c:noMultiLvlLbl val="0"/>
      </c:catAx>
      <c:valAx>
        <c:axId val="189113408"/>
        <c:scaling>
          <c:orientation val="minMax"/>
        </c:scaling>
        <c:delete val="0"/>
        <c:axPos val="l"/>
        <c:majorGridlines>
          <c:spPr>
            <a:ln w="3175">
              <a:solidFill>
                <a:srgbClr val="000000"/>
              </a:solidFill>
              <a:prstDash val="solid"/>
            </a:ln>
          </c:spPr>
        </c:majorGridlines>
        <c:title>
          <c:tx>
            <c:rich>
              <a:bodyPr/>
              <a:lstStyle/>
              <a:p>
                <a:pPr>
                  <a:defRPr sz="1400" b="1" i="0" u="none" strike="noStrike" baseline="0">
                    <a:solidFill>
                      <a:srgbClr val="000000"/>
                    </a:solidFill>
                    <a:latin typeface="Arial"/>
                    <a:ea typeface="Arial"/>
                    <a:cs typeface="Arial"/>
                  </a:defRPr>
                </a:pPr>
                <a:r>
                  <a:rPr lang="en-US"/>
                  <a:t>Rent</a:t>
                </a:r>
              </a:p>
            </c:rich>
          </c:tx>
          <c:layout>
            <c:manualLayout>
              <c:xMode val="edge"/>
              <c:yMode val="edge"/>
              <c:x val="2.2759677976032816E-2"/>
              <c:y val="0.407942996295138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112848"/>
        <c:crosses val="autoZero"/>
        <c:crossBetween val="between"/>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a:ea typeface="Arial"/>
                <a:cs typeface="Arial"/>
              </a:defRPr>
            </a:pPr>
            <a:r>
              <a:rPr lang="en-US"/>
              <a:t>Rent Growth</a:t>
            </a:r>
          </a:p>
        </c:rich>
      </c:tx>
      <c:layout>
        <c:manualLayout>
          <c:xMode val="edge"/>
          <c:yMode val="edge"/>
          <c:x val="0.46263918375390789"/>
          <c:y val="3.6231842860797739E-2"/>
        </c:manualLayout>
      </c:layout>
      <c:overlay val="0"/>
      <c:spPr>
        <a:noFill/>
        <a:ln w="25400">
          <a:noFill/>
        </a:ln>
      </c:spPr>
    </c:title>
    <c:autoTitleDeleted val="0"/>
    <c:plotArea>
      <c:layout>
        <c:manualLayout>
          <c:layoutTarget val="inner"/>
          <c:xMode val="edge"/>
          <c:yMode val="edge"/>
          <c:x val="0.16382266210159419"/>
          <c:y val="0.21299676535136108"/>
          <c:w val="0.8122873662537381"/>
          <c:h val="0.6137194933852782"/>
        </c:manualLayout>
      </c:layout>
      <c:lineChart>
        <c:grouping val="standard"/>
        <c:varyColors val="0"/>
        <c:ser>
          <c:idx val="0"/>
          <c:order val="0"/>
          <c:tx>
            <c:v>Rent growth</c:v>
          </c:tx>
          <c:spPr>
            <a:ln w="38100">
              <a:solidFill>
                <a:srgbClr val="000080"/>
              </a:solidFill>
              <a:prstDash val="solid"/>
            </a:ln>
          </c:spPr>
          <c:marker>
            <c:symbol val="none"/>
          </c:marker>
          <c:cat>
            <c:numRef>
              <c:f>'Ch11 Market Analysis'!$S$7:$S$25</c:f>
              <c:numCache>
                <c:formatCode>General</c:formatCode>
                <c:ptCount val="19"/>
                <c:pt idx="0">
                  <c:v>-18</c:v>
                </c:pt>
                <c:pt idx="1">
                  <c:v>-17</c:v>
                </c:pt>
                <c:pt idx="2">
                  <c:v>-16</c:v>
                </c:pt>
                <c:pt idx="3">
                  <c:v>-15</c:v>
                </c:pt>
                <c:pt idx="4">
                  <c:v>-14</c:v>
                </c:pt>
                <c:pt idx="5">
                  <c:v>-13</c:v>
                </c:pt>
                <c:pt idx="6">
                  <c:v>-12</c:v>
                </c:pt>
                <c:pt idx="7">
                  <c:v>-11</c:v>
                </c:pt>
                <c:pt idx="8">
                  <c:v>-10</c:v>
                </c:pt>
                <c:pt idx="9">
                  <c:v>-9</c:v>
                </c:pt>
                <c:pt idx="10">
                  <c:v>-8</c:v>
                </c:pt>
                <c:pt idx="11">
                  <c:v>-7</c:v>
                </c:pt>
                <c:pt idx="12">
                  <c:v>-6</c:v>
                </c:pt>
                <c:pt idx="13">
                  <c:v>-5</c:v>
                </c:pt>
                <c:pt idx="14">
                  <c:v>-4</c:v>
                </c:pt>
                <c:pt idx="15">
                  <c:v>-3</c:v>
                </c:pt>
                <c:pt idx="16">
                  <c:v>-2</c:v>
                </c:pt>
                <c:pt idx="17">
                  <c:v>-1</c:v>
                </c:pt>
                <c:pt idx="18">
                  <c:v>0</c:v>
                </c:pt>
              </c:numCache>
            </c:numRef>
          </c:cat>
          <c:val>
            <c:numRef>
              <c:f>'Ch11 Market Analysis'!$V$7:$V$25</c:f>
              <c:numCache>
                <c:formatCode>0.00%</c:formatCode>
                <c:ptCount val="19"/>
                <c:pt idx="0">
                  <c:v>0.13117972021019761</c:v>
                </c:pt>
                <c:pt idx="1">
                  <c:v>0.17160984072486452</c:v>
                </c:pt>
                <c:pt idx="2">
                  <c:v>0.22095816620764161</c:v>
                </c:pt>
                <c:pt idx="3">
                  <c:v>0.22551791099455409</c:v>
                </c:pt>
                <c:pt idx="4">
                  <c:v>0.13815917908260664</c:v>
                </c:pt>
                <c:pt idx="5">
                  <c:v>0.12313134157188269</c:v>
                </c:pt>
                <c:pt idx="6">
                  <c:v>7.8653812305892509E-2</c:v>
                </c:pt>
                <c:pt idx="7">
                  <c:v>-1.3736143750335061E-2</c:v>
                </c:pt>
                <c:pt idx="8">
                  <c:v>-3.1463862484111274E-2</c:v>
                </c:pt>
                <c:pt idx="9">
                  <c:v>-9.1986134946218157E-2</c:v>
                </c:pt>
                <c:pt idx="10">
                  <c:v>-8.4977061654824243E-2</c:v>
                </c:pt>
                <c:pt idx="11">
                  <c:v>-5.9156736735036464E-2</c:v>
                </c:pt>
                <c:pt idx="12">
                  <c:v>-2.4605029475402093E-2</c:v>
                </c:pt>
                <c:pt idx="13">
                  <c:v>-2.6988729044682757E-2</c:v>
                </c:pt>
                <c:pt idx="14">
                  <c:v>-2.0921698500135512E-2</c:v>
                </c:pt>
                <c:pt idx="15">
                  <c:v>3.2825837330200447E-2</c:v>
                </c:pt>
                <c:pt idx="16">
                  <c:v>0.1151309895151188</c:v>
                </c:pt>
                <c:pt idx="17">
                  <c:v>0.13999286562879704</c:v>
                </c:pt>
                <c:pt idx="18">
                  <c:v>0.1244581925066757</c:v>
                </c:pt>
              </c:numCache>
            </c:numRef>
          </c:val>
          <c:smooth val="0"/>
          <c:extLst>
            <c:ext xmlns:c16="http://schemas.microsoft.com/office/drawing/2014/chart" uri="{C3380CC4-5D6E-409C-BE32-E72D297353CC}">
              <c16:uniqueId val="{00000000-83EE-4207-9ED6-262D21F1661F}"/>
            </c:ext>
          </c:extLst>
        </c:ser>
        <c:dLbls>
          <c:showLegendKey val="0"/>
          <c:showVal val="0"/>
          <c:showCatName val="0"/>
          <c:showSerName val="0"/>
          <c:showPercent val="0"/>
          <c:showBubbleSize val="0"/>
        </c:dLbls>
        <c:smooth val="0"/>
        <c:axId val="189115648"/>
        <c:axId val="189116208"/>
      </c:lineChart>
      <c:catAx>
        <c:axId val="18911564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Year</a:t>
                </a:r>
              </a:p>
            </c:rich>
          </c:tx>
          <c:layout>
            <c:manualLayout>
              <c:xMode val="edge"/>
              <c:yMode val="edge"/>
              <c:x val="0.53736081624609344"/>
              <c:y val="0.8659450240200138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9116208"/>
        <c:crosses val="autoZero"/>
        <c:auto val="1"/>
        <c:lblAlgn val="ctr"/>
        <c:lblOffset val="100"/>
        <c:tickLblSkip val="1"/>
        <c:tickMarkSkip val="1"/>
        <c:noMultiLvlLbl val="0"/>
      </c:catAx>
      <c:valAx>
        <c:axId val="189116208"/>
        <c:scaling>
          <c:orientation val="minMax"/>
        </c:scaling>
        <c:delete val="0"/>
        <c:axPos val="l"/>
        <c:majorGridlines>
          <c:spPr>
            <a:ln w="3175">
              <a:solidFill>
                <a:srgbClr val="000000"/>
              </a:solidFill>
              <a:prstDash val="solid"/>
            </a:ln>
          </c:spPr>
        </c:majorGridlines>
        <c:title>
          <c:tx>
            <c:rich>
              <a:bodyPr/>
              <a:lstStyle/>
              <a:p>
                <a:pPr>
                  <a:defRPr sz="1400" b="1" i="0" u="none" strike="noStrike" baseline="0">
                    <a:solidFill>
                      <a:srgbClr val="000000"/>
                    </a:solidFill>
                    <a:latin typeface="Arial"/>
                    <a:ea typeface="Arial"/>
                    <a:cs typeface="Arial"/>
                  </a:defRPr>
                </a:pPr>
                <a:r>
                  <a:rPr lang="en-US"/>
                  <a:t>Rent growth</a:t>
                </a:r>
              </a:p>
            </c:rich>
          </c:tx>
          <c:layout>
            <c:manualLayout>
              <c:xMode val="edge"/>
              <c:yMode val="edge"/>
              <c:x val="2.5437281090716912E-2"/>
              <c:y val="0.39130579796659115"/>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9115648"/>
        <c:crosses val="autoZero"/>
        <c:crossBetween val="between"/>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Historic Market Rents and Vacancy Rates</a:t>
            </a:r>
            <a:endParaRPr lang="en-US" sz="1000" b="0"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n-US" sz="1000" b="0" i="0" u="none" strike="noStrike" baseline="0">
              <a:solidFill>
                <a:srgbClr val="000000"/>
              </a:solidFill>
              <a:latin typeface="Arial"/>
              <a:cs typeface="Arial"/>
            </a:endParaRPr>
          </a:p>
        </c:rich>
      </c:tx>
      <c:layout>
        <c:manualLayout>
          <c:xMode val="edge"/>
          <c:yMode val="edge"/>
          <c:x val="0.4063068254748104"/>
          <c:y val="3.6100966102641428E-2"/>
        </c:manualLayout>
      </c:layout>
      <c:overlay val="0"/>
      <c:spPr>
        <a:noFill/>
        <a:ln w="25400">
          <a:noFill/>
        </a:ln>
      </c:spPr>
    </c:title>
    <c:autoTitleDeleted val="0"/>
    <c:plotArea>
      <c:layout>
        <c:manualLayout>
          <c:layoutTarget val="inner"/>
          <c:xMode val="edge"/>
          <c:yMode val="edge"/>
          <c:x val="0.13659359190556492"/>
          <c:y val="0.34397282237928983"/>
          <c:w val="0.69814502529511124"/>
          <c:h val="0.48227117364518801"/>
        </c:manualLayout>
      </c:layout>
      <c:lineChart>
        <c:grouping val="standard"/>
        <c:varyColors val="0"/>
        <c:ser>
          <c:idx val="1"/>
          <c:order val="1"/>
          <c:tx>
            <c:v>Vacancy</c:v>
          </c:tx>
          <c:spPr>
            <a:ln w="38100">
              <a:solidFill>
                <a:srgbClr val="800000"/>
              </a:solidFill>
              <a:prstDash val="solid"/>
            </a:ln>
          </c:spPr>
          <c:marker>
            <c:symbol val="none"/>
          </c:marker>
          <c:cat>
            <c:numRef>
              <c:f>'Ch11 Market Analysis'!$S$6:$S$25</c:f>
              <c:numCache>
                <c:formatCode>General</c:formatCode>
                <c:ptCount val="20"/>
                <c:pt idx="0">
                  <c:v>-19</c:v>
                </c:pt>
                <c:pt idx="1">
                  <c:v>-18</c:v>
                </c:pt>
                <c:pt idx="2">
                  <c:v>-17</c:v>
                </c:pt>
                <c:pt idx="3">
                  <c:v>-16</c:v>
                </c:pt>
                <c:pt idx="4">
                  <c:v>-15</c:v>
                </c:pt>
                <c:pt idx="5">
                  <c:v>-14</c:v>
                </c:pt>
                <c:pt idx="6">
                  <c:v>-13</c:v>
                </c:pt>
                <c:pt idx="7">
                  <c:v>-12</c:v>
                </c:pt>
                <c:pt idx="8">
                  <c:v>-11</c:v>
                </c:pt>
                <c:pt idx="9">
                  <c:v>-10</c:v>
                </c:pt>
                <c:pt idx="10">
                  <c:v>-9</c:v>
                </c:pt>
                <c:pt idx="11">
                  <c:v>-8</c:v>
                </c:pt>
                <c:pt idx="12">
                  <c:v>-7</c:v>
                </c:pt>
                <c:pt idx="13">
                  <c:v>-6</c:v>
                </c:pt>
                <c:pt idx="14">
                  <c:v>-5</c:v>
                </c:pt>
                <c:pt idx="15">
                  <c:v>-4</c:v>
                </c:pt>
                <c:pt idx="16">
                  <c:v>-3</c:v>
                </c:pt>
                <c:pt idx="17">
                  <c:v>-2</c:v>
                </c:pt>
                <c:pt idx="18">
                  <c:v>-1</c:v>
                </c:pt>
                <c:pt idx="19">
                  <c:v>0</c:v>
                </c:pt>
              </c:numCache>
            </c:numRef>
          </c:cat>
          <c:val>
            <c:numRef>
              <c:f>'Ch11 Market Analysis'!$Q$6:$Q$25</c:f>
              <c:numCache>
                <c:formatCode>0.00%</c:formatCode>
                <c:ptCount val="20"/>
                <c:pt idx="0">
                  <c:v>0.1376811594202898</c:v>
                </c:pt>
                <c:pt idx="1">
                  <c:v>0.13194444444444442</c:v>
                </c:pt>
                <c:pt idx="2">
                  <c:v>9.589041095890416E-2</c:v>
                </c:pt>
                <c:pt idx="3">
                  <c:v>8.1632653061224469E-2</c:v>
                </c:pt>
                <c:pt idx="4">
                  <c:v>8.6394557823129214E-2</c:v>
                </c:pt>
                <c:pt idx="5">
                  <c:v>9.8236845758711611E-2</c:v>
                </c:pt>
                <c:pt idx="6">
                  <c:v>0.11762383403395338</c:v>
                </c:pt>
                <c:pt idx="7">
                  <c:v>0.14441087336684344</c:v>
                </c:pt>
                <c:pt idx="8">
                  <c:v>0.17082550104681371</c:v>
                </c:pt>
                <c:pt idx="9">
                  <c:v>0.20087725518897603</c:v>
                </c:pt>
                <c:pt idx="10">
                  <c:v>0.21135068565832105</c:v>
                </c:pt>
                <c:pt idx="11">
                  <c:v>0.19972999475622955</c:v>
                </c:pt>
                <c:pt idx="12">
                  <c:v>0.19227133902946703</c:v>
                </c:pt>
                <c:pt idx="13">
                  <c:v>0.19789693234782624</c:v>
                </c:pt>
                <c:pt idx="14">
                  <c:v>0.17875240474690834</c:v>
                </c:pt>
                <c:pt idx="15">
                  <c:v>0.16826645777163407</c:v>
                </c:pt>
                <c:pt idx="16">
                  <c:v>0.13833255652203102</c:v>
                </c:pt>
                <c:pt idx="17">
                  <c:v>0.1140221815559449</c:v>
                </c:pt>
                <c:pt idx="18">
                  <c:v>0.10370956204325121</c:v>
                </c:pt>
                <c:pt idx="19">
                  <c:v>0.11355347425066209</c:v>
                </c:pt>
              </c:numCache>
            </c:numRef>
          </c:val>
          <c:smooth val="0"/>
          <c:extLst>
            <c:ext xmlns:c16="http://schemas.microsoft.com/office/drawing/2014/chart" uri="{C3380CC4-5D6E-409C-BE32-E72D297353CC}">
              <c16:uniqueId val="{00000000-EC19-40BE-BEF6-8B67C92E83A5}"/>
            </c:ext>
          </c:extLst>
        </c:ser>
        <c:dLbls>
          <c:showLegendKey val="0"/>
          <c:showVal val="0"/>
          <c:showCatName val="0"/>
          <c:showSerName val="0"/>
          <c:showPercent val="0"/>
          <c:showBubbleSize val="0"/>
        </c:dLbls>
        <c:marker val="1"/>
        <c:smooth val="0"/>
        <c:axId val="189609680"/>
        <c:axId val="189610240"/>
      </c:lineChart>
      <c:lineChart>
        <c:grouping val="standard"/>
        <c:varyColors val="0"/>
        <c:ser>
          <c:idx val="0"/>
          <c:order val="0"/>
          <c:tx>
            <c:v>Rent</c:v>
          </c:tx>
          <c:spPr>
            <a:ln w="38100">
              <a:solidFill>
                <a:srgbClr val="000080"/>
              </a:solidFill>
              <a:prstDash val="solid"/>
            </a:ln>
          </c:spPr>
          <c:marker>
            <c:symbol val="none"/>
          </c:marker>
          <c:val>
            <c:numRef>
              <c:f>'Ch11 Market Analysis'!$U$6:$U$25</c:f>
              <c:numCache>
                <c:formatCode>"$"#,##0.00</c:formatCode>
                <c:ptCount val="20"/>
                <c:pt idx="0">
                  <c:v>4.76</c:v>
                </c:pt>
                <c:pt idx="1">
                  <c:v>5.3844154682005403</c:v>
                </c:pt>
                <c:pt idx="2">
                  <c:v>6.3084341490949321</c:v>
                </c:pt>
                <c:pt idx="3">
                  <c:v>7.7023341903206122</c:v>
                </c:pt>
                <c:pt idx="4">
                  <c:v>9.4393485067036469</c:v>
                </c:pt>
                <c:pt idx="5">
                  <c:v>10.743481147464452</c:v>
                </c:pt>
                <c:pt idx="6">
                  <c:v>12.06634039430398</c:v>
                </c:pt>
                <c:pt idx="7">
                  <c:v>13.015404066896574</c:v>
                </c:pt>
                <c:pt idx="8">
                  <c:v>12.836622605664987</c:v>
                </c:pt>
                <c:pt idx="9">
                  <c:v>12.432732877239909</c:v>
                </c:pt>
                <c:pt idx="10">
                  <c:v>11.289093833043836</c:v>
                </c:pt>
                <c:pt idx="11">
                  <c:v>10.329779810366174</c:v>
                </c:pt>
                <c:pt idx="12">
                  <c:v>9.718703745593448</c:v>
                </c:pt>
                <c:pt idx="13">
                  <c:v>9.4795747534704198</c:v>
                </c:pt>
                <c:pt idx="14">
                  <c:v>9.2237330789901915</c:v>
                </c:pt>
                <c:pt idx="15">
                  <c:v>9.0307569164658332</c:v>
                </c:pt>
                <c:pt idx="16">
                  <c:v>9.327199073974322</c:v>
                </c:pt>
                <c:pt idx="17">
                  <c:v>10.401048732765487</c:v>
                </c:pt>
                <c:pt idx="18">
                  <c:v>11.857121350410095</c:v>
                </c:pt>
                <c:pt idx="19">
                  <c:v>13.332837242014449</c:v>
                </c:pt>
              </c:numCache>
            </c:numRef>
          </c:val>
          <c:smooth val="0"/>
          <c:extLst>
            <c:ext xmlns:c16="http://schemas.microsoft.com/office/drawing/2014/chart" uri="{C3380CC4-5D6E-409C-BE32-E72D297353CC}">
              <c16:uniqueId val="{00000001-EC19-40BE-BEF6-8B67C92E83A5}"/>
            </c:ext>
          </c:extLst>
        </c:ser>
        <c:dLbls>
          <c:showLegendKey val="0"/>
          <c:showVal val="0"/>
          <c:showCatName val="0"/>
          <c:showSerName val="0"/>
          <c:showPercent val="0"/>
          <c:showBubbleSize val="0"/>
        </c:dLbls>
        <c:marker val="1"/>
        <c:smooth val="0"/>
        <c:axId val="189610800"/>
        <c:axId val="189611360"/>
      </c:lineChart>
      <c:catAx>
        <c:axId val="18960968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Year</a:t>
                </a:r>
              </a:p>
            </c:rich>
          </c:tx>
          <c:layout>
            <c:manualLayout>
              <c:xMode val="edge"/>
              <c:yMode val="edge"/>
              <c:x val="0.78752107925801063"/>
              <c:y val="0.897166098918486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610240"/>
        <c:crosses val="autoZero"/>
        <c:auto val="1"/>
        <c:lblAlgn val="ctr"/>
        <c:lblOffset val="100"/>
        <c:tickLblSkip val="1"/>
        <c:tickMarkSkip val="1"/>
        <c:noMultiLvlLbl val="0"/>
      </c:catAx>
      <c:valAx>
        <c:axId val="189610240"/>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Rent</a:t>
                </a:r>
              </a:p>
            </c:rich>
          </c:tx>
          <c:layout>
            <c:manualLayout>
              <c:xMode val="edge"/>
              <c:yMode val="edge"/>
              <c:x val="0.89544688026981445"/>
              <c:y val="0.4893635635971045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609680"/>
        <c:crosses val="autoZero"/>
        <c:crossBetween val="between"/>
      </c:valAx>
      <c:catAx>
        <c:axId val="189610800"/>
        <c:scaling>
          <c:orientation val="minMax"/>
        </c:scaling>
        <c:delete val="1"/>
        <c:axPos val="b"/>
        <c:majorTickMark val="out"/>
        <c:minorTickMark val="none"/>
        <c:tickLblPos val="none"/>
        <c:crossAx val="189611360"/>
        <c:crosses val="autoZero"/>
        <c:auto val="1"/>
        <c:lblAlgn val="ctr"/>
        <c:lblOffset val="100"/>
        <c:noMultiLvlLbl val="0"/>
      </c:catAx>
      <c:valAx>
        <c:axId val="189611360"/>
        <c:scaling>
          <c:orientation val="minMax"/>
        </c:scaling>
        <c:delete val="0"/>
        <c:axPos val="r"/>
        <c:title>
          <c:tx>
            <c:rich>
              <a:bodyPr/>
              <a:lstStyle/>
              <a:p>
                <a:pPr>
                  <a:defRPr sz="1200" b="0" i="0" u="none" strike="noStrike" baseline="0">
                    <a:solidFill>
                      <a:srgbClr val="000000"/>
                    </a:solidFill>
                    <a:latin typeface="Arial"/>
                    <a:ea typeface="Arial"/>
                    <a:cs typeface="Arial"/>
                  </a:defRPr>
                </a:pPr>
                <a:r>
                  <a:rPr lang="en-US"/>
                  <a:t>Vacancy</a:t>
                </a:r>
              </a:p>
            </c:rich>
          </c:tx>
          <c:layout>
            <c:manualLayout>
              <c:xMode val="edge"/>
              <c:yMode val="edge"/>
              <c:x val="2.6981450252951088E-2"/>
              <c:y val="0.4539021983954141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610800"/>
        <c:crosses val="max"/>
        <c:crossBetween val="between"/>
      </c:valAx>
      <c:spPr>
        <a:noFill/>
        <a:ln w="3175">
          <a:solidFill>
            <a:srgbClr val="000000"/>
          </a:solidFill>
          <a:prstDash val="solid"/>
        </a:ln>
      </c:spPr>
    </c:plotArea>
    <c:legend>
      <c:legendPos val="r"/>
      <c:layout>
        <c:manualLayout>
          <c:xMode val="edge"/>
          <c:yMode val="edge"/>
          <c:x val="0.33895446880269969"/>
          <c:y val="0.6595767018484392"/>
          <c:w val="0.15345699831365933"/>
          <c:h val="0.15248264179743562"/>
        </c:manualLayout>
      </c:layout>
      <c:overlay val="0"/>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600074</xdr:colOff>
      <xdr:row>1</xdr:row>
      <xdr:rowOff>123825</xdr:rowOff>
    </xdr:from>
    <xdr:to>
      <xdr:col>5</xdr:col>
      <xdr:colOff>114299</xdr:colOff>
      <xdr:row>16</xdr:row>
      <xdr:rowOff>76200</xdr:rowOff>
    </xdr:to>
    <xdr:pic>
      <xdr:nvPicPr>
        <xdr:cNvPr id="22938" name="Picture 1">
          <a:extLst>
            <a:ext uri="{FF2B5EF4-FFF2-40B4-BE49-F238E27FC236}">
              <a16:creationId xmlns:a16="http://schemas.microsoft.com/office/drawing/2014/main" id="{00000000-0008-0000-0000-00009A59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09674" y="285750"/>
          <a:ext cx="1952625" cy="2381250"/>
        </a:xfrm>
        <a:prstGeom prst="rect">
          <a:avLst/>
        </a:prstGeom>
        <a:noFill/>
        <a:ln w="1">
          <a:noFill/>
          <a:miter lim="800000"/>
          <a:headEnd/>
          <a:tailEnd/>
        </a:ln>
      </xdr:spPr>
    </xdr:pic>
    <xdr:clientData/>
  </xdr:twoCellAnchor>
  <xdr:twoCellAnchor>
    <xdr:from>
      <xdr:col>2</xdr:col>
      <xdr:colOff>47625</xdr:colOff>
      <xdr:row>37</xdr:row>
      <xdr:rowOff>142874</xdr:rowOff>
    </xdr:from>
    <xdr:to>
      <xdr:col>9</xdr:col>
      <xdr:colOff>447675</xdr:colOff>
      <xdr:row>57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66825" y="6134099"/>
          <a:ext cx="4667250" cy="3171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IS A LARGE EXCEL FILE WITH MULTIPLE SHEETS/TABS CORRESPONDING TO CHAPTER WORK DONE IN THE TEXT.  HOWEVER THERE ARE MULTIPLE EDITIONS OF THE TEXT CURRENTLY AVAILABLE.</a:t>
          </a:r>
          <a:endParaRPr lang="en-US" sz="1100"/>
        </a:p>
        <a:p>
          <a:endParaRPr lang="en-US" sz="1100"/>
        </a:p>
        <a:p>
          <a:r>
            <a:rPr lang="en-US" sz="1100"/>
            <a:t>THESE SPREADSHEETS (originally based on 14th edition of text)</a:t>
          </a:r>
          <a:r>
            <a:rPr lang="en-US" sz="1100" baseline="0"/>
            <a:t> HAVE BEEN UPDATED </a:t>
          </a:r>
          <a:r>
            <a:rPr lang="en-US" sz="1100"/>
            <a:t>FOR LATER EDITIONS where it is used in course.</a:t>
          </a:r>
          <a:r>
            <a:rPr lang="en-US" sz="1100" baseline="0"/>
            <a:t> </a:t>
          </a:r>
          <a:r>
            <a:rPr lang="en-US" sz="1100"/>
            <a:t>YOU SHOULD NAVIGATE TO THE VERSION OF TEXT THAT YOU ARE USING</a:t>
          </a:r>
          <a:r>
            <a:rPr lang="en-US" sz="1100" baseline="0"/>
            <a:t> if a different version exists.</a:t>
          </a:r>
        </a:p>
        <a:p>
          <a:endParaRPr lang="en-US" sz="1100" baseline="0"/>
        </a:p>
        <a:p>
          <a:r>
            <a:rPr lang="en-US" sz="1100"/>
            <a:t>MANY OF THESE SPREADSHEETS HAVE BEEN EDITED BY GEORGE</a:t>
          </a:r>
          <a:r>
            <a:rPr lang="en-US" sz="1100" baseline="0"/>
            <a:t> </a:t>
          </a:r>
          <a:r>
            <a:rPr lang="en-US" sz="1100"/>
            <a:t>DECOURCY, and the relevant tabs are indicated by COLORED TABS. VIDEOS ARE USUALLY BASED ON 16e.</a:t>
          </a:r>
        </a:p>
        <a:p>
          <a:endParaRPr lang="en-US" sz="1100"/>
        </a:p>
        <a:p>
          <a:r>
            <a:rPr lang="en-US" sz="1100"/>
            <a:t>I have left the</a:t>
          </a:r>
          <a:r>
            <a:rPr lang="en-US" sz="1100" baseline="0"/>
            <a:t> original "unedited" (not colored) tabs here though we do not use them. They may be of help, but have not been edited or updated.</a:t>
          </a:r>
          <a:endParaRPr lang="en-US" sz="1100"/>
        </a:p>
        <a:p>
          <a:endParaRPr lang="en-US" sz="1100"/>
        </a:p>
      </xdr:txBody>
    </xdr:sp>
    <xdr:clientData/>
  </xdr:twoCellAnchor>
  <xdr:twoCellAnchor editAs="oneCell">
    <xdr:from>
      <xdr:col>2</xdr:col>
      <xdr:colOff>28472</xdr:colOff>
      <xdr:row>19</xdr:row>
      <xdr:rowOff>28575</xdr:rowOff>
    </xdr:from>
    <xdr:to>
      <xdr:col>5</xdr:col>
      <xdr:colOff>107342</xdr:colOff>
      <xdr:row>34</xdr:row>
      <xdr:rowOff>57149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247672" y="3105150"/>
          <a:ext cx="1907670" cy="2457449"/>
        </a:xfrm>
        <a:prstGeom prst="rect">
          <a:avLst/>
        </a:prstGeom>
      </xdr:spPr>
    </xdr:pic>
    <xdr:clientData/>
  </xdr:twoCellAnchor>
  <xdr:twoCellAnchor editAs="oneCell">
    <xdr:from>
      <xdr:col>6</xdr:col>
      <xdr:colOff>0</xdr:colOff>
      <xdr:row>18</xdr:row>
      <xdr:rowOff>114300</xdr:rowOff>
    </xdr:from>
    <xdr:to>
      <xdr:col>9</xdr:col>
      <xdr:colOff>76200</xdr:colOff>
      <xdr:row>34</xdr:row>
      <xdr:rowOff>47625</xdr:rowOff>
    </xdr:to>
    <xdr:pic>
      <xdr:nvPicPr>
        <xdr:cNvPr id="5" name="Picture 4">
          <a:extLst>
            <a:ext uri="{FF2B5EF4-FFF2-40B4-BE49-F238E27FC236}">
              <a16:creationId xmlns:a16="http://schemas.microsoft.com/office/drawing/2014/main" id="{C98CF41E-122C-422A-BEC3-D0767C88FA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57600" y="3028950"/>
          <a:ext cx="19050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523874</xdr:colOff>
      <xdr:row>2</xdr:row>
      <xdr:rowOff>19050</xdr:rowOff>
    </xdr:from>
    <xdr:to>
      <xdr:col>9</xdr:col>
      <xdr:colOff>122210</xdr:colOff>
      <xdr:row>16</xdr:row>
      <xdr:rowOff>123825</xdr:rowOff>
    </xdr:to>
    <xdr:pic>
      <xdr:nvPicPr>
        <xdr:cNvPr id="6" name="plahover0" descr="Real Estate Finance &amp; Investments (Real Estate Finance and Investments) 15th Edition - PDF Version">
          <a:extLst>
            <a:ext uri="{FF2B5EF4-FFF2-40B4-BE49-F238E27FC236}">
              <a16:creationId xmlns:a16="http://schemas.microsoft.com/office/drawing/2014/main" id="{409FC3E0-78ED-4BB2-8A34-400E618C339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1874" y="342900"/>
          <a:ext cx="2036736" cy="2371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771525</xdr:colOff>
      <xdr:row>140</xdr:row>
      <xdr:rowOff>9525</xdr:rowOff>
    </xdr:from>
    <xdr:to>
      <xdr:col>7</xdr:col>
      <xdr:colOff>200025</xdr:colOff>
      <xdr:row>146</xdr:row>
      <xdr:rowOff>114300</xdr:rowOff>
    </xdr:to>
    <xdr:sp macro="" textlink="">
      <xdr:nvSpPr>
        <xdr:cNvPr id="2" name="TextBox 1">
          <a:extLst>
            <a:ext uri="{FF2B5EF4-FFF2-40B4-BE49-F238E27FC236}">
              <a16:creationId xmlns:a16="http://schemas.microsoft.com/office/drawing/2014/main" id="{E34A0B42-D01A-4064-B991-F48ADE2B651F}"/>
            </a:ext>
          </a:extLst>
        </xdr:cNvPr>
        <xdr:cNvSpPr txBox="1"/>
      </xdr:nvSpPr>
      <xdr:spPr>
        <a:xfrm>
          <a:off x="4200525" y="23364825"/>
          <a:ext cx="3352800"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r>
            <a:rPr lang="en-US" sz="1100" baseline="0"/>
            <a:t>  IRR formula in excel allows reference to the entire range of cash flows. </a:t>
          </a:r>
        </a:p>
        <a:p>
          <a:endParaRPr lang="en-US" sz="1100" baseline="0"/>
        </a:p>
        <a:p>
          <a:r>
            <a:rPr lang="en-US" sz="1100" baseline="0"/>
            <a:t>NPV formula references only "future" cash flows and we must then subtract the Year 0 investment.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152400</xdr:colOff>
      <xdr:row>91</xdr:row>
      <xdr:rowOff>161925</xdr:rowOff>
    </xdr:from>
    <xdr:to>
      <xdr:col>8</xdr:col>
      <xdr:colOff>276225</xdr:colOff>
      <xdr:row>101</xdr:row>
      <xdr:rowOff>0</xdr:rowOff>
    </xdr:to>
    <xdr:sp macro="" textlink="">
      <xdr:nvSpPr>
        <xdr:cNvPr id="1044797" name="Right Brace 1">
          <a:extLst>
            <a:ext uri="{FF2B5EF4-FFF2-40B4-BE49-F238E27FC236}">
              <a16:creationId xmlns:a16="http://schemas.microsoft.com/office/drawing/2014/main" id="{00000000-0008-0000-1800-00003DF10F00}"/>
            </a:ext>
          </a:extLst>
        </xdr:cNvPr>
        <xdr:cNvSpPr>
          <a:spLocks/>
        </xdr:cNvSpPr>
      </xdr:nvSpPr>
      <xdr:spPr bwMode="auto">
        <a:xfrm>
          <a:off x="7658100" y="15344775"/>
          <a:ext cx="123825" cy="1552575"/>
        </a:xfrm>
        <a:prstGeom prst="rightBrace">
          <a:avLst>
            <a:gd name="adj1" fmla="val 8359"/>
            <a:gd name="adj2" fmla="val 50000"/>
          </a:avLst>
        </a:prstGeom>
        <a:solidFill>
          <a:srgbClr val="FFFFFF"/>
        </a:solidFill>
        <a:ln w="9525" algn="ctr">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190500</xdr:colOff>
      <xdr:row>64</xdr:row>
      <xdr:rowOff>28575</xdr:rowOff>
    </xdr:from>
    <xdr:to>
      <xdr:col>5</xdr:col>
      <xdr:colOff>342900</xdr:colOff>
      <xdr:row>66</xdr:row>
      <xdr:rowOff>123825</xdr:rowOff>
    </xdr:to>
    <xdr:sp macro="" textlink="">
      <xdr:nvSpPr>
        <xdr:cNvPr id="1103928" name="Left Brace 1">
          <a:extLst>
            <a:ext uri="{FF2B5EF4-FFF2-40B4-BE49-F238E27FC236}">
              <a16:creationId xmlns:a16="http://schemas.microsoft.com/office/drawing/2014/main" id="{00000000-0008-0000-1900-000038D81000}"/>
            </a:ext>
          </a:extLst>
        </xdr:cNvPr>
        <xdr:cNvSpPr>
          <a:spLocks/>
        </xdr:cNvSpPr>
      </xdr:nvSpPr>
      <xdr:spPr bwMode="auto">
        <a:xfrm>
          <a:off x="5734050" y="10725150"/>
          <a:ext cx="152400" cy="419100"/>
        </a:xfrm>
        <a:prstGeom prst="leftBrace">
          <a:avLst>
            <a:gd name="adj1" fmla="val 8339"/>
            <a:gd name="adj2" fmla="val 50000"/>
          </a:avLst>
        </a:prstGeom>
        <a:solidFill>
          <a:srgbClr val="FFFFFF"/>
        </a:solidFill>
        <a:ln w="9525" algn="ctr">
          <a:solidFill>
            <a:srgbClr val="000000"/>
          </a:solidFill>
          <a:round/>
          <a:headEnd/>
          <a:tailEnd/>
        </a:ln>
      </xdr:spPr>
    </xdr:sp>
    <xdr:clientData/>
  </xdr:twoCellAnchor>
  <xdr:twoCellAnchor>
    <xdr:from>
      <xdr:col>5</xdr:col>
      <xdr:colOff>152400</xdr:colOff>
      <xdr:row>77</xdr:row>
      <xdr:rowOff>47625</xdr:rowOff>
    </xdr:from>
    <xdr:to>
      <xdr:col>5</xdr:col>
      <xdr:colOff>504825</xdr:colOff>
      <xdr:row>77</xdr:row>
      <xdr:rowOff>114300</xdr:rowOff>
    </xdr:to>
    <xdr:sp macro="" textlink="">
      <xdr:nvSpPr>
        <xdr:cNvPr id="1103929" name="Left Arrow 2">
          <a:extLst>
            <a:ext uri="{FF2B5EF4-FFF2-40B4-BE49-F238E27FC236}">
              <a16:creationId xmlns:a16="http://schemas.microsoft.com/office/drawing/2014/main" id="{00000000-0008-0000-1900-000039D81000}"/>
            </a:ext>
          </a:extLst>
        </xdr:cNvPr>
        <xdr:cNvSpPr>
          <a:spLocks noChangeArrowheads="1"/>
        </xdr:cNvSpPr>
      </xdr:nvSpPr>
      <xdr:spPr bwMode="auto">
        <a:xfrm>
          <a:off x="5695950" y="12849225"/>
          <a:ext cx="352425" cy="66675"/>
        </a:xfrm>
        <a:prstGeom prst="leftArrow">
          <a:avLst>
            <a:gd name="adj1" fmla="val 50000"/>
            <a:gd name="adj2" fmla="val 49994"/>
          </a:avLst>
        </a:prstGeom>
        <a:solidFill>
          <a:srgbClr val="FFFFFF"/>
        </a:solidFill>
        <a:ln w="9525" algn="ctr">
          <a:solidFill>
            <a:srgbClr val="000000"/>
          </a:solidFill>
          <a:round/>
          <a:headEnd/>
          <a:tailEnd/>
        </a:ln>
      </xdr:spPr>
    </xdr:sp>
    <xdr:clientData/>
  </xdr:twoCellAnchor>
  <xdr:twoCellAnchor>
    <xdr:from>
      <xdr:col>3</xdr:col>
      <xdr:colOff>323850</xdr:colOff>
      <xdr:row>84</xdr:row>
      <xdr:rowOff>38100</xdr:rowOff>
    </xdr:from>
    <xdr:to>
      <xdr:col>4</xdr:col>
      <xdr:colOff>19050</xdr:colOff>
      <xdr:row>85</xdr:row>
      <xdr:rowOff>38100</xdr:rowOff>
    </xdr:to>
    <xdr:sp macro="" textlink="">
      <xdr:nvSpPr>
        <xdr:cNvPr id="2" name="Left Arrow 1">
          <a:extLst>
            <a:ext uri="{FF2B5EF4-FFF2-40B4-BE49-F238E27FC236}">
              <a16:creationId xmlns:a16="http://schemas.microsoft.com/office/drawing/2014/main" id="{00000000-0008-0000-1900-000002000000}"/>
            </a:ext>
          </a:extLst>
        </xdr:cNvPr>
        <xdr:cNvSpPr/>
      </xdr:nvSpPr>
      <xdr:spPr bwMode="auto">
        <a:xfrm>
          <a:off x="3790950" y="14020800"/>
          <a:ext cx="523875" cy="171450"/>
        </a:xfrm>
        <a:prstGeom prst="left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285750</xdr:colOff>
      <xdr:row>95</xdr:row>
      <xdr:rowOff>9525</xdr:rowOff>
    </xdr:from>
    <xdr:to>
      <xdr:col>3</xdr:col>
      <xdr:colOff>809625</xdr:colOff>
      <xdr:row>96</xdr:row>
      <xdr:rowOff>9525</xdr:rowOff>
    </xdr:to>
    <xdr:sp macro="" textlink="">
      <xdr:nvSpPr>
        <xdr:cNvPr id="5" name="Left Arrow 4">
          <a:extLst>
            <a:ext uri="{FF2B5EF4-FFF2-40B4-BE49-F238E27FC236}">
              <a16:creationId xmlns:a16="http://schemas.microsoft.com/office/drawing/2014/main" id="{00000000-0008-0000-1900-000005000000}"/>
            </a:ext>
          </a:extLst>
        </xdr:cNvPr>
        <xdr:cNvSpPr/>
      </xdr:nvSpPr>
      <xdr:spPr bwMode="auto">
        <a:xfrm>
          <a:off x="3752850" y="15878175"/>
          <a:ext cx="523875" cy="171450"/>
        </a:xfrm>
        <a:prstGeom prst="left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190500</xdr:colOff>
      <xdr:row>64</xdr:row>
      <xdr:rowOff>28575</xdr:rowOff>
    </xdr:from>
    <xdr:to>
      <xdr:col>5</xdr:col>
      <xdr:colOff>342900</xdr:colOff>
      <xdr:row>66</xdr:row>
      <xdr:rowOff>123825</xdr:rowOff>
    </xdr:to>
    <xdr:sp macro="" textlink="">
      <xdr:nvSpPr>
        <xdr:cNvPr id="2" name="Left Brace 1">
          <a:extLst>
            <a:ext uri="{FF2B5EF4-FFF2-40B4-BE49-F238E27FC236}">
              <a16:creationId xmlns:a16="http://schemas.microsoft.com/office/drawing/2014/main" id="{45A13B58-1E0E-448C-B342-59508AE9A6F6}"/>
            </a:ext>
          </a:extLst>
        </xdr:cNvPr>
        <xdr:cNvSpPr>
          <a:spLocks/>
        </xdr:cNvSpPr>
      </xdr:nvSpPr>
      <xdr:spPr bwMode="auto">
        <a:xfrm>
          <a:off x="5734050" y="10753725"/>
          <a:ext cx="152400" cy="419100"/>
        </a:xfrm>
        <a:prstGeom prst="leftBrace">
          <a:avLst>
            <a:gd name="adj1" fmla="val 8339"/>
            <a:gd name="adj2" fmla="val 50000"/>
          </a:avLst>
        </a:prstGeom>
        <a:solidFill>
          <a:srgbClr val="FFFFFF"/>
        </a:solidFill>
        <a:ln w="9525" algn="ctr">
          <a:solidFill>
            <a:srgbClr val="000000"/>
          </a:solidFill>
          <a:round/>
          <a:headEnd/>
          <a:tailEnd/>
        </a:ln>
      </xdr:spPr>
    </xdr:sp>
    <xdr:clientData/>
  </xdr:twoCellAnchor>
  <xdr:twoCellAnchor>
    <xdr:from>
      <xdr:col>5</xdr:col>
      <xdr:colOff>152400</xdr:colOff>
      <xdr:row>78</xdr:row>
      <xdr:rowOff>47625</xdr:rowOff>
    </xdr:from>
    <xdr:to>
      <xdr:col>5</xdr:col>
      <xdr:colOff>504825</xdr:colOff>
      <xdr:row>78</xdr:row>
      <xdr:rowOff>114300</xdr:rowOff>
    </xdr:to>
    <xdr:sp macro="" textlink="">
      <xdr:nvSpPr>
        <xdr:cNvPr id="3" name="Left Arrow 2">
          <a:extLst>
            <a:ext uri="{FF2B5EF4-FFF2-40B4-BE49-F238E27FC236}">
              <a16:creationId xmlns:a16="http://schemas.microsoft.com/office/drawing/2014/main" id="{6675CACE-4C68-4523-975C-8FAD3631C333}"/>
            </a:ext>
          </a:extLst>
        </xdr:cNvPr>
        <xdr:cNvSpPr>
          <a:spLocks noChangeArrowheads="1"/>
        </xdr:cNvSpPr>
      </xdr:nvSpPr>
      <xdr:spPr bwMode="auto">
        <a:xfrm>
          <a:off x="5695950" y="12877800"/>
          <a:ext cx="352425" cy="66675"/>
        </a:xfrm>
        <a:prstGeom prst="leftArrow">
          <a:avLst>
            <a:gd name="adj1" fmla="val 50000"/>
            <a:gd name="adj2" fmla="val 49994"/>
          </a:avLst>
        </a:prstGeom>
        <a:solidFill>
          <a:srgbClr val="FFFFFF"/>
        </a:solidFill>
        <a:ln w="9525" algn="ctr">
          <a:solidFill>
            <a:srgbClr val="000000"/>
          </a:solidFill>
          <a:round/>
          <a:headEnd/>
          <a:tailEnd/>
        </a:ln>
      </xdr:spPr>
    </xdr:sp>
    <xdr:clientData/>
  </xdr:twoCellAnchor>
  <xdr:twoCellAnchor>
    <xdr:from>
      <xdr:col>3</xdr:col>
      <xdr:colOff>323850</xdr:colOff>
      <xdr:row>85</xdr:row>
      <xdr:rowOff>38100</xdr:rowOff>
    </xdr:from>
    <xdr:to>
      <xdr:col>4</xdr:col>
      <xdr:colOff>19050</xdr:colOff>
      <xdr:row>86</xdr:row>
      <xdr:rowOff>38100</xdr:rowOff>
    </xdr:to>
    <xdr:sp macro="" textlink="">
      <xdr:nvSpPr>
        <xdr:cNvPr id="4" name="Left Arrow 1">
          <a:extLst>
            <a:ext uri="{FF2B5EF4-FFF2-40B4-BE49-F238E27FC236}">
              <a16:creationId xmlns:a16="http://schemas.microsoft.com/office/drawing/2014/main" id="{15D7E954-4AD2-4556-820A-C88806149E22}"/>
            </a:ext>
          </a:extLst>
        </xdr:cNvPr>
        <xdr:cNvSpPr/>
      </xdr:nvSpPr>
      <xdr:spPr bwMode="auto">
        <a:xfrm>
          <a:off x="3790950" y="14049375"/>
          <a:ext cx="523875" cy="171450"/>
        </a:xfrm>
        <a:prstGeom prst="left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285750</xdr:colOff>
      <xdr:row>96</xdr:row>
      <xdr:rowOff>9525</xdr:rowOff>
    </xdr:from>
    <xdr:to>
      <xdr:col>3</xdr:col>
      <xdr:colOff>809625</xdr:colOff>
      <xdr:row>97</xdr:row>
      <xdr:rowOff>9525</xdr:rowOff>
    </xdr:to>
    <xdr:sp macro="" textlink="">
      <xdr:nvSpPr>
        <xdr:cNvPr id="5" name="Left Arrow 4">
          <a:extLst>
            <a:ext uri="{FF2B5EF4-FFF2-40B4-BE49-F238E27FC236}">
              <a16:creationId xmlns:a16="http://schemas.microsoft.com/office/drawing/2014/main" id="{894F3745-F9E9-4837-98BA-A2800AFAC697}"/>
            </a:ext>
          </a:extLst>
        </xdr:cNvPr>
        <xdr:cNvSpPr/>
      </xdr:nvSpPr>
      <xdr:spPr bwMode="auto">
        <a:xfrm>
          <a:off x="3752850" y="15906750"/>
          <a:ext cx="523875" cy="171450"/>
        </a:xfrm>
        <a:prstGeom prst="left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866775</xdr:colOff>
      <xdr:row>68</xdr:row>
      <xdr:rowOff>57150</xdr:rowOff>
    </xdr:from>
    <xdr:to>
      <xdr:col>2</xdr:col>
      <xdr:colOff>1038225</xdr:colOff>
      <xdr:row>73</xdr:row>
      <xdr:rowOff>76200</xdr:rowOff>
    </xdr:to>
    <xdr:sp macro="" textlink="">
      <xdr:nvSpPr>
        <xdr:cNvPr id="2" name="Left Bracket 1">
          <a:extLst>
            <a:ext uri="{FF2B5EF4-FFF2-40B4-BE49-F238E27FC236}">
              <a16:creationId xmlns:a16="http://schemas.microsoft.com/office/drawing/2014/main" id="{00000000-0008-0000-2000-000002000000}"/>
            </a:ext>
          </a:extLst>
        </xdr:cNvPr>
        <xdr:cNvSpPr/>
      </xdr:nvSpPr>
      <xdr:spPr bwMode="auto">
        <a:xfrm>
          <a:off x="3162300" y="11401425"/>
          <a:ext cx="171450" cy="828675"/>
        </a:xfrm>
        <a:prstGeom prst="leftBracket">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txBody>
        <a:bodyPr vertOverflow="clip" wrap="square" lIns="18288" tIns="0" rIns="0" bIns="0" rtlCol="0" anchor="ctr" upright="1"/>
        <a:lstStyle/>
        <a:p>
          <a:endParaRPr lang="en-US"/>
        </a:p>
      </xdr:txBody>
    </xdr:sp>
    <xdr:clientData/>
  </xdr:twoCellAnchor>
  <xdr:twoCellAnchor>
    <xdr:from>
      <xdr:col>3</xdr:col>
      <xdr:colOff>142875</xdr:colOff>
      <xdr:row>14</xdr:row>
      <xdr:rowOff>38100</xdr:rowOff>
    </xdr:from>
    <xdr:to>
      <xdr:col>3</xdr:col>
      <xdr:colOff>428625</xdr:colOff>
      <xdr:row>15</xdr:row>
      <xdr:rowOff>9525</xdr:rowOff>
    </xdr:to>
    <xdr:sp macro="" textlink="">
      <xdr:nvSpPr>
        <xdr:cNvPr id="4" name="Left Arrow 3">
          <a:extLst>
            <a:ext uri="{FF2B5EF4-FFF2-40B4-BE49-F238E27FC236}">
              <a16:creationId xmlns:a16="http://schemas.microsoft.com/office/drawing/2014/main" id="{00000000-0008-0000-2000-000004000000}"/>
            </a:ext>
          </a:extLst>
        </xdr:cNvPr>
        <xdr:cNvSpPr/>
      </xdr:nvSpPr>
      <xdr:spPr bwMode="auto">
        <a:xfrm>
          <a:off x="4105275" y="2524125"/>
          <a:ext cx="285750" cy="133350"/>
        </a:xfrm>
        <a:prstGeom prst="leftArrow">
          <a:avLst/>
        </a:prstGeom>
        <a:solidFill>
          <a:schemeClr val="tx2">
            <a:lumMod val="60000"/>
            <a:lumOff val="4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85725</xdr:colOff>
      <xdr:row>7</xdr:row>
      <xdr:rowOff>9525</xdr:rowOff>
    </xdr:from>
    <xdr:to>
      <xdr:col>3</xdr:col>
      <xdr:colOff>371475</xdr:colOff>
      <xdr:row>7</xdr:row>
      <xdr:rowOff>142875</xdr:rowOff>
    </xdr:to>
    <xdr:sp macro="" textlink="">
      <xdr:nvSpPr>
        <xdr:cNvPr id="5" name="Left Arrow 4">
          <a:extLst>
            <a:ext uri="{FF2B5EF4-FFF2-40B4-BE49-F238E27FC236}">
              <a16:creationId xmlns:a16="http://schemas.microsoft.com/office/drawing/2014/main" id="{00000000-0008-0000-2000-000005000000}"/>
            </a:ext>
          </a:extLst>
        </xdr:cNvPr>
        <xdr:cNvSpPr/>
      </xdr:nvSpPr>
      <xdr:spPr bwMode="auto">
        <a:xfrm>
          <a:off x="4048125" y="1362075"/>
          <a:ext cx="285750" cy="133350"/>
        </a:xfrm>
        <a:prstGeom prst="leftArrow">
          <a:avLst/>
        </a:prstGeom>
        <a:solidFill>
          <a:schemeClr val="tx2">
            <a:lumMod val="60000"/>
            <a:lumOff val="4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xdr:col>
      <xdr:colOff>742950</xdr:colOff>
      <xdr:row>10</xdr:row>
      <xdr:rowOff>47626</xdr:rowOff>
    </xdr:from>
    <xdr:to>
      <xdr:col>7</xdr:col>
      <xdr:colOff>600075</xdr:colOff>
      <xdr:row>11</xdr:row>
      <xdr:rowOff>152401</xdr:rowOff>
    </xdr:to>
    <xdr:sp macro="" textlink="">
      <xdr:nvSpPr>
        <xdr:cNvPr id="6" name="TextBox 5">
          <a:extLst>
            <a:ext uri="{FF2B5EF4-FFF2-40B4-BE49-F238E27FC236}">
              <a16:creationId xmlns:a16="http://schemas.microsoft.com/office/drawing/2014/main" id="{00000000-0008-0000-2000-000006000000}"/>
            </a:ext>
          </a:extLst>
        </xdr:cNvPr>
        <xdr:cNvSpPr txBox="1"/>
      </xdr:nvSpPr>
      <xdr:spPr>
        <a:xfrm>
          <a:off x="5419725" y="1885951"/>
          <a:ext cx="20478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See Sensitivity Analysis below</a:t>
          </a:r>
        </a:p>
      </xdr:txBody>
    </xdr:sp>
    <xdr:clientData/>
  </xdr:twoCellAnchor>
  <xdr:twoCellAnchor>
    <xdr:from>
      <xdr:col>3</xdr:col>
      <xdr:colOff>542927</xdr:colOff>
      <xdr:row>7</xdr:row>
      <xdr:rowOff>133351</xdr:rowOff>
    </xdr:from>
    <xdr:to>
      <xdr:col>4</xdr:col>
      <xdr:colOff>742950</xdr:colOff>
      <xdr:row>11</xdr:row>
      <xdr:rowOff>19051</xdr:rowOff>
    </xdr:to>
    <xdr:cxnSp macro="">
      <xdr:nvCxnSpPr>
        <xdr:cNvPr id="8" name="Straight Arrow Connector 7">
          <a:extLst>
            <a:ext uri="{FF2B5EF4-FFF2-40B4-BE49-F238E27FC236}">
              <a16:creationId xmlns:a16="http://schemas.microsoft.com/office/drawing/2014/main" id="{00000000-0008-0000-2000-000008000000}"/>
            </a:ext>
          </a:extLst>
        </xdr:cNvPr>
        <xdr:cNvCxnSpPr>
          <a:stCxn id="6" idx="1"/>
        </xdr:cNvCxnSpPr>
      </xdr:nvCxnSpPr>
      <xdr:spPr bwMode="auto">
        <a:xfrm flipH="1" flipV="1">
          <a:off x="4505327" y="1485901"/>
          <a:ext cx="914398" cy="5334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590553</xdr:colOff>
      <xdr:row>11</xdr:row>
      <xdr:rowOff>19051</xdr:rowOff>
    </xdr:from>
    <xdr:to>
      <xdr:col>4</xdr:col>
      <xdr:colOff>742950</xdr:colOff>
      <xdr:row>14</xdr:row>
      <xdr:rowOff>76200</xdr:rowOff>
    </xdr:to>
    <xdr:cxnSp macro="">
      <xdr:nvCxnSpPr>
        <xdr:cNvPr id="9" name="Straight Arrow Connector 8">
          <a:extLst>
            <a:ext uri="{FF2B5EF4-FFF2-40B4-BE49-F238E27FC236}">
              <a16:creationId xmlns:a16="http://schemas.microsoft.com/office/drawing/2014/main" id="{00000000-0008-0000-2000-000009000000}"/>
            </a:ext>
          </a:extLst>
        </xdr:cNvPr>
        <xdr:cNvCxnSpPr>
          <a:stCxn id="6" idx="1"/>
        </xdr:cNvCxnSpPr>
      </xdr:nvCxnSpPr>
      <xdr:spPr bwMode="auto">
        <a:xfrm flipH="1">
          <a:off x="4552953" y="2019301"/>
          <a:ext cx="866772" cy="54292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0</xdr:col>
      <xdr:colOff>295275</xdr:colOff>
      <xdr:row>83</xdr:row>
      <xdr:rowOff>19050</xdr:rowOff>
    </xdr:from>
    <xdr:to>
      <xdr:col>0</xdr:col>
      <xdr:colOff>581025</xdr:colOff>
      <xdr:row>91</xdr:row>
      <xdr:rowOff>95250</xdr:rowOff>
    </xdr:to>
    <xdr:sp macro="" textlink="">
      <xdr:nvSpPr>
        <xdr:cNvPr id="3" name="Left Brace 2">
          <a:extLst>
            <a:ext uri="{FF2B5EF4-FFF2-40B4-BE49-F238E27FC236}">
              <a16:creationId xmlns:a16="http://schemas.microsoft.com/office/drawing/2014/main" id="{00000000-0008-0000-2000-000003000000}"/>
            </a:ext>
          </a:extLst>
        </xdr:cNvPr>
        <xdr:cNvSpPr/>
      </xdr:nvSpPr>
      <xdr:spPr bwMode="auto">
        <a:xfrm>
          <a:off x="295275" y="13792200"/>
          <a:ext cx="285750" cy="1371600"/>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171450</xdr:colOff>
      <xdr:row>104</xdr:row>
      <xdr:rowOff>114300</xdr:rowOff>
    </xdr:from>
    <xdr:to>
      <xdr:col>8</xdr:col>
      <xdr:colOff>161925</xdr:colOff>
      <xdr:row>121</xdr:row>
      <xdr:rowOff>152400</xdr:rowOff>
    </xdr:to>
    <xdr:cxnSp macro="">
      <xdr:nvCxnSpPr>
        <xdr:cNvPr id="11" name="Elbow Connector 10">
          <a:extLst>
            <a:ext uri="{FF2B5EF4-FFF2-40B4-BE49-F238E27FC236}">
              <a16:creationId xmlns:a16="http://schemas.microsoft.com/office/drawing/2014/main" id="{00000000-0008-0000-2000-00000B000000}"/>
            </a:ext>
          </a:extLst>
        </xdr:cNvPr>
        <xdr:cNvCxnSpPr/>
      </xdr:nvCxnSpPr>
      <xdr:spPr bwMode="auto">
        <a:xfrm>
          <a:off x="4133850" y="17364075"/>
          <a:ext cx="3905250" cy="2886075"/>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352424</xdr:colOff>
      <xdr:row>117</xdr:row>
      <xdr:rowOff>57150</xdr:rowOff>
    </xdr:from>
    <xdr:to>
      <xdr:col>8</xdr:col>
      <xdr:colOff>666749</xdr:colOff>
      <xdr:row>126</xdr:row>
      <xdr:rowOff>66675</xdr:rowOff>
    </xdr:to>
    <xdr:sp macro="" textlink="">
      <xdr:nvSpPr>
        <xdr:cNvPr id="12" name="Left Brace 11">
          <a:extLst>
            <a:ext uri="{FF2B5EF4-FFF2-40B4-BE49-F238E27FC236}">
              <a16:creationId xmlns:a16="http://schemas.microsoft.com/office/drawing/2014/main" id="{00000000-0008-0000-2000-00000C000000}"/>
            </a:ext>
          </a:extLst>
        </xdr:cNvPr>
        <xdr:cNvSpPr/>
      </xdr:nvSpPr>
      <xdr:spPr bwMode="auto">
        <a:xfrm>
          <a:off x="8229599" y="19478625"/>
          <a:ext cx="314325" cy="1504950"/>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38100</xdr:colOff>
      <xdr:row>84</xdr:row>
      <xdr:rowOff>114300</xdr:rowOff>
    </xdr:from>
    <xdr:to>
      <xdr:col>3</xdr:col>
      <xdr:colOff>866775</xdr:colOff>
      <xdr:row>88</xdr:row>
      <xdr:rowOff>85725</xdr:rowOff>
    </xdr:to>
    <xdr:cxnSp macro="">
      <xdr:nvCxnSpPr>
        <xdr:cNvPr id="1437865" name="Elbow Connector 4">
          <a:extLst>
            <a:ext uri="{FF2B5EF4-FFF2-40B4-BE49-F238E27FC236}">
              <a16:creationId xmlns:a16="http://schemas.microsoft.com/office/drawing/2014/main" id="{00000000-0008-0000-2100-0000A9F01500}"/>
            </a:ext>
          </a:extLst>
        </xdr:cNvPr>
        <xdr:cNvCxnSpPr>
          <a:cxnSpLocks noChangeShapeType="1"/>
        </xdr:cNvCxnSpPr>
      </xdr:nvCxnSpPr>
      <xdr:spPr bwMode="auto">
        <a:xfrm flipV="1">
          <a:off x="4362450" y="14163675"/>
          <a:ext cx="828675" cy="800100"/>
        </a:xfrm>
        <a:prstGeom prst="bentConnector3">
          <a:avLst>
            <a:gd name="adj1" fmla="val 50000"/>
          </a:avLst>
        </a:prstGeom>
        <a:noFill/>
        <a:ln w="9525" algn="ctr">
          <a:solidFill>
            <a:srgbClr val="000000"/>
          </a:solidFill>
          <a:round/>
          <a:headEnd/>
          <a:tailEnd type="arrow" w="med" len="med"/>
        </a:ln>
      </xdr:spPr>
    </xdr:cxnSp>
    <xdr:clientData/>
  </xdr:twoCellAnchor>
  <xdr:twoCellAnchor>
    <xdr:from>
      <xdr:col>0</xdr:col>
      <xdr:colOff>257175</xdr:colOff>
      <xdr:row>26</xdr:row>
      <xdr:rowOff>133350</xdr:rowOff>
    </xdr:from>
    <xdr:to>
      <xdr:col>0</xdr:col>
      <xdr:colOff>514350</xdr:colOff>
      <xdr:row>32</xdr:row>
      <xdr:rowOff>0</xdr:rowOff>
    </xdr:to>
    <xdr:sp macro="" textlink="">
      <xdr:nvSpPr>
        <xdr:cNvPr id="2" name="Left Brace 1">
          <a:extLst>
            <a:ext uri="{FF2B5EF4-FFF2-40B4-BE49-F238E27FC236}">
              <a16:creationId xmlns:a16="http://schemas.microsoft.com/office/drawing/2014/main" id="{00000000-0008-0000-2100-000002000000}"/>
            </a:ext>
          </a:extLst>
        </xdr:cNvPr>
        <xdr:cNvSpPr/>
      </xdr:nvSpPr>
      <xdr:spPr bwMode="auto">
        <a:xfrm>
          <a:off x="257175" y="4600575"/>
          <a:ext cx="257175" cy="866775"/>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19050</xdr:colOff>
      <xdr:row>9</xdr:row>
      <xdr:rowOff>57150</xdr:rowOff>
    </xdr:from>
    <xdr:to>
      <xdr:col>7</xdr:col>
      <xdr:colOff>600075</xdr:colOff>
      <xdr:row>22</xdr:row>
      <xdr:rowOff>85725</xdr:rowOff>
    </xdr:to>
    <xdr:sp macro="" textlink="">
      <xdr:nvSpPr>
        <xdr:cNvPr id="2458" name="Line 1">
          <a:extLst>
            <a:ext uri="{FF2B5EF4-FFF2-40B4-BE49-F238E27FC236}">
              <a16:creationId xmlns:a16="http://schemas.microsoft.com/office/drawing/2014/main" id="{00000000-0008-0000-2200-00009A090000}"/>
            </a:ext>
          </a:extLst>
        </xdr:cNvPr>
        <xdr:cNvSpPr>
          <a:spLocks noChangeShapeType="1"/>
        </xdr:cNvSpPr>
      </xdr:nvSpPr>
      <xdr:spPr bwMode="auto">
        <a:xfrm flipV="1">
          <a:off x="3419475" y="1685925"/>
          <a:ext cx="3038475" cy="2143125"/>
        </a:xfrm>
        <a:prstGeom prst="line">
          <a:avLst/>
        </a:prstGeom>
        <a:noFill/>
        <a:ln w="9525">
          <a:solidFill>
            <a:srgbClr val="339966"/>
          </a:solidFill>
          <a:round/>
          <a:headEnd/>
          <a:tailEnd type="triangle" w="med" len="me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19050</xdr:colOff>
      <xdr:row>9</xdr:row>
      <xdr:rowOff>57150</xdr:rowOff>
    </xdr:from>
    <xdr:to>
      <xdr:col>7</xdr:col>
      <xdr:colOff>600075</xdr:colOff>
      <xdr:row>22</xdr:row>
      <xdr:rowOff>85725</xdr:rowOff>
    </xdr:to>
    <xdr:sp macro="" textlink="">
      <xdr:nvSpPr>
        <xdr:cNvPr id="21914" name="Line 1">
          <a:extLst>
            <a:ext uri="{FF2B5EF4-FFF2-40B4-BE49-F238E27FC236}">
              <a16:creationId xmlns:a16="http://schemas.microsoft.com/office/drawing/2014/main" id="{00000000-0008-0000-2400-00009A550000}"/>
            </a:ext>
          </a:extLst>
        </xdr:cNvPr>
        <xdr:cNvSpPr>
          <a:spLocks noChangeShapeType="1"/>
        </xdr:cNvSpPr>
      </xdr:nvSpPr>
      <xdr:spPr bwMode="auto">
        <a:xfrm flipV="1">
          <a:off x="3419475" y="1685925"/>
          <a:ext cx="3038475" cy="2143125"/>
        </a:xfrm>
        <a:prstGeom prst="line">
          <a:avLst/>
        </a:prstGeom>
        <a:noFill/>
        <a:ln w="9525">
          <a:solidFill>
            <a:srgbClr val="339966"/>
          </a:solidFill>
          <a:round/>
          <a:headEnd/>
          <a:tailEnd type="triangle" w="med" len="me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4</xdr:col>
      <xdr:colOff>9525</xdr:colOff>
      <xdr:row>9</xdr:row>
      <xdr:rowOff>85725</xdr:rowOff>
    </xdr:from>
    <xdr:to>
      <xdr:col>8</xdr:col>
      <xdr:colOff>600075</xdr:colOff>
      <xdr:row>22</xdr:row>
      <xdr:rowOff>95250</xdr:rowOff>
    </xdr:to>
    <xdr:sp macro="" textlink="">
      <xdr:nvSpPr>
        <xdr:cNvPr id="4506" name="Line 1">
          <a:extLst>
            <a:ext uri="{FF2B5EF4-FFF2-40B4-BE49-F238E27FC236}">
              <a16:creationId xmlns:a16="http://schemas.microsoft.com/office/drawing/2014/main" id="{00000000-0008-0000-2500-00009A110000}"/>
            </a:ext>
          </a:extLst>
        </xdr:cNvPr>
        <xdr:cNvSpPr>
          <a:spLocks noChangeShapeType="1"/>
        </xdr:cNvSpPr>
      </xdr:nvSpPr>
      <xdr:spPr bwMode="auto">
        <a:xfrm flipV="1">
          <a:off x="3590925" y="1714500"/>
          <a:ext cx="3857625" cy="2124075"/>
        </a:xfrm>
        <a:prstGeom prst="line">
          <a:avLst/>
        </a:prstGeom>
        <a:noFill/>
        <a:ln w="9525">
          <a:solidFill>
            <a:srgbClr val="339966"/>
          </a:solidFill>
          <a:round/>
          <a:headEnd/>
          <a:tailEnd type="triangle" w="med" len="me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247650</xdr:colOff>
      <xdr:row>28</xdr:row>
      <xdr:rowOff>190500</xdr:rowOff>
    </xdr:from>
    <xdr:to>
      <xdr:col>5</xdr:col>
      <xdr:colOff>390525</xdr:colOff>
      <xdr:row>35</xdr:row>
      <xdr:rowOff>123825</xdr:rowOff>
    </xdr:to>
    <xdr:sp macro="" textlink="">
      <xdr:nvSpPr>
        <xdr:cNvPr id="6583516" name="AutoShape 1">
          <a:extLst>
            <a:ext uri="{FF2B5EF4-FFF2-40B4-BE49-F238E27FC236}">
              <a16:creationId xmlns:a16="http://schemas.microsoft.com/office/drawing/2014/main" id="{00000000-0008-0000-2800-0000DC746400}"/>
            </a:ext>
          </a:extLst>
        </xdr:cNvPr>
        <xdr:cNvSpPr>
          <a:spLocks/>
        </xdr:cNvSpPr>
      </xdr:nvSpPr>
      <xdr:spPr bwMode="auto">
        <a:xfrm>
          <a:off x="5457825" y="4933950"/>
          <a:ext cx="142875" cy="1095375"/>
        </a:xfrm>
        <a:prstGeom prst="rightBrace">
          <a:avLst>
            <a:gd name="adj1" fmla="val 63889"/>
            <a:gd name="adj2" fmla="val 50000"/>
          </a:avLst>
        </a:prstGeom>
        <a:noFill/>
        <a:ln w="9525">
          <a:solidFill>
            <a:srgbClr val="000000"/>
          </a:solidFill>
          <a:round/>
          <a:headEnd/>
          <a:tailEnd/>
        </a:ln>
      </xdr:spPr>
    </xdr:sp>
    <xdr:clientData/>
  </xdr:twoCellAnchor>
  <xdr:twoCellAnchor>
    <xdr:from>
      <xdr:col>5</xdr:col>
      <xdr:colOff>485775</xdr:colOff>
      <xdr:row>31</xdr:row>
      <xdr:rowOff>38100</xdr:rowOff>
    </xdr:from>
    <xdr:to>
      <xdr:col>7</xdr:col>
      <xdr:colOff>219075</xdr:colOff>
      <xdr:row>33</xdr:row>
      <xdr:rowOff>104775</xdr:rowOff>
    </xdr:to>
    <xdr:sp macro="" textlink="">
      <xdr:nvSpPr>
        <xdr:cNvPr id="5122" name="Text Box 2">
          <a:extLst>
            <a:ext uri="{FF2B5EF4-FFF2-40B4-BE49-F238E27FC236}">
              <a16:creationId xmlns:a16="http://schemas.microsoft.com/office/drawing/2014/main" id="{00000000-0008-0000-2800-000002140000}"/>
            </a:ext>
          </a:extLst>
        </xdr:cNvPr>
        <xdr:cNvSpPr txBox="1">
          <a:spLocks noChangeArrowheads="1"/>
        </xdr:cNvSpPr>
      </xdr:nvSpPr>
      <xdr:spPr bwMode="auto">
        <a:xfrm>
          <a:off x="5695950" y="5295900"/>
          <a:ext cx="1838325" cy="3905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1" i="0" u="none" strike="noStrike" baseline="0">
              <a:solidFill>
                <a:srgbClr val="0000FF"/>
              </a:solidFill>
              <a:latin typeface="Arial"/>
              <a:cs typeface="Arial"/>
            </a:rPr>
            <a:t>Same for own and lease, so no difference.</a:t>
          </a:r>
        </a:p>
      </xdr:txBody>
    </xdr:sp>
    <xdr:clientData/>
  </xdr:twoCellAnchor>
  <xdr:twoCellAnchor>
    <xdr:from>
      <xdr:col>3</xdr:col>
      <xdr:colOff>38100</xdr:colOff>
      <xdr:row>65</xdr:row>
      <xdr:rowOff>180975</xdr:rowOff>
    </xdr:from>
    <xdr:to>
      <xdr:col>3</xdr:col>
      <xdr:colOff>695325</xdr:colOff>
      <xdr:row>65</xdr:row>
      <xdr:rowOff>180975</xdr:rowOff>
    </xdr:to>
    <xdr:sp macro="" textlink="">
      <xdr:nvSpPr>
        <xdr:cNvPr id="6583518" name="Line 8">
          <a:extLst>
            <a:ext uri="{FF2B5EF4-FFF2-40B4-BE49-F238E27FC236}">
              <a16:creationId xmlns:a16="http://schemas.microsoft.com/office/drawing/2014/main" id="{00000000-0008-0000-2800-0000DE746400}"/>
            </a:ext>
          </a:extLst>
        </xdr:cNvPr>
        <xdr:cNvSpPr>
          <a:spLocks noChangeShapeType="1"/>
        </xdr:cNvSpPr>
      </xdr:nvSpPr>
      <xdr:spPr bwMode="auto">
        <a:xfrm flipH="1" flipV="1">
          <a:off x="3105150" y="11191875"/>
          <a:ext cx="657225" cy="0"/>
        </a:xfrm>
        <a:prstGeom prst="line">
          <a:avLst/>
        </a:prstGeom>
        <a:noFill/>
        <a:ln w="9525">
          <a:solidFill>
            <a:srgbClr val="000000"/>
          </a:solidFill>
          <a:round/>
          <a:headEnd/>
          <a:tailEnd type="triangle" w="med" len="me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238125</xdr:colOff>
      <xdr:row>21</xdr:row>
      <xdr:rowOff>142875</xdr:rowOff>
    </xdr:from>
    <xdr:to>
      <xdr:col>19</xdr:col>
      <xdr:colOff>152400</xdr:colOff>
      <xdr:row>43</xdr:row>
      <xdr:rowOff>133350</xdr:rowOff>
    </xdr:to>
    <xdr:graphicFrame macro="">
      <xdr:nvGraphicFramePr>
        <xdr:cNvPr id="13722" name="Chart 1">
          <a:extLst>
            <a:ext uri="{FF2B5EF4-FFF2-40B4-BE49-F238E27FC236}">
              <a16:creationId xmlns:a16="http://schemas.microsoft.com/office/drawing/2014/main" id="{00000000-0008-0000-0300-00009A3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247650</xdr:colOff>
      <xdr:row>28</xdr:row>
      <xdr:rowOff>190500</xdr:rowOff>
    </xdr:from>
    <xdr:to>
      <xdr:col>5</xdr:col>
      <xdr:colOff>390525</xdr:colOff>
      <xdr:row>35</xdr:row>
      <xdr:rowOff>123825</xdr:rowOff>
    </xdr:to>
    <xdr:sp macro="" textlink="">
      <xdr:nvSpPr>
        <xdr:cNvPr id="6856884" name="AutoShape 1">
          <a:extLst>
            <a:ext uri="{FF2B5EF4-FFF2-40B4-BE49-F238E27FC236}">
              <a16:creationId xmlns:a16="http://schemas.microsoft.com/office/drawing/2014/main" id="{00000000-0008-0000-2900-0000B4A06800}"/>
            </a:ext>
          </a:extLst>
        </xdr:cNvPr>
        <xdr:cNvSpPr>
          <a:spLocks/>
        </xdr:cNvSpPr>
      </xdr:nvSpPr>
      <xdr:spPr bwMode="auto">
        <a:xfrm>
          <a:off x="5514975" y="4933950"/>
          <a:ext cx="142875" cy="1095375"/>
        </a:xfrm>
        <a:prstGeom prst="rightBrace">
          <a:avLst>
            <a:gd name="adj1" fmla="val 63889"/>
            <a:gd name="adj2" fmla="val 50000"/>
          </a:avLst>
        </a:prstGeom>
        <a:noFill/>
        <a:ln w="9525">
          <a:solidFill>
            <a:srgbClr val="000000"/>
          </a:solidFill>
          <a:round/>
          <a:headEnd/>
          <a:tailEnd/>
        </a:ln>
      </xdr:spPr>
    </xdr:sp>
    <xdr:clientData/>
  </xdr:twoCellAnchor>
  <xdr:twoCellAnchor>
    <xdr:from>
      <xdr:col>5</xdr:col>
      <xdr:colOff>485775</xdr:colOff>
      <xdr:row>31</xdr:row>
      <xdr:rowOff>38100</xdr:rowOff>
    </xdr:from>
    <xdr:to>
      <xdr:col>7</xdr:col>
      <xdr:colOff>219075</xdr:colOff>
      <xdr:row>33</xdr:row>
      <xdr:rowOff>133350</xdr:rowOff>
    </xdr:to>
    <xdr:sp macro="" textlink="">
      <xdr:nvSpPr>
        <xdr:cNvPr id="3" name="Text Box 2">
          <a:extLst>
            <a:ext uri="{FF2B5EF4-FFF2-40B4-BE49-F238E27FC236}">
              <a16:creationId xmlns:a16="http://schemas.microsoft.com/office/drawing/2014/main" id="{00000000-0008-0000-2900-000003000000}"/>
            </a:ext>
          </a:extLst>
        </xdr:cNvPr>
        <xdr:cNvSpPr txBox="1">
          <a:spLocks noChangeArrowheads="1"/>
        </xdr:cNvSpPr>
      </xdr:nvSpPr>
      <xdr:spPr bwMode="auto">
        <a:xfrm>
          <a:off x="5753100" y="5295900"/>
          <a:ext cx="1876425" cy="4191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1" i="0" u="none" strike="noStrike" baseline="0">
              <a:solidFill>
                <a:srgbClr val="0000FF"/>
              </a:solidFill>
              <a:latin typeface="Arial"/>
              <a:cs typeface="Arial"/>
            </a:rPr>
            <a:t>Same for own and lease, so no difference.  Error on original formula for COGS</a:t>
          </a:r>
        </a:p>
        <a:p>
          <a:pPr algn="l" rtl="0">
            <a:defRPr sz="1000"/>
          </a:pPr>
          <a:endParaRPr lang="en-US" sz="900" b="1" i="0" u="none" strike="noStrike" baseline="0">
            <a:solidFill>
              <a:srgbClr val="0000FF"/>
            </a:solidFill>
            <a:latin typeface="Arial"/>
            <a:cs typeface="Arial"/>
          </a:endParaRPr>
        </a:p>
      </xdr:txBody>
    </xdr:sp>
    <xdr:clientData/>
  </xdr:twoCellAnchor>
  <xdr:twoCellAnchor>
    <xdr:from>
      <xdr:col>3</xdr:col>
      <xdr:colOff>38100</xdr:colOff>
      <xdr:row>66</xdr:row>
      <xdr:rowOff>180975</xdr:rowOff>
    </xdr:from>
    <xdr:to>
      <xdr:col>3</xdr:col>
      <xdr:colOff>695325</xdr:colOff>
      <xdr:row>66</xdr:row>
      <xdr:rowOff>180975</xdr:rowOff>
    </xdr:to>
    <xdr:sp macro="" textlink="">
      <xdr:nvSpPr>
        <xdr:cNvPr id="6856886" name="Line 8">
          <a:extLst>
            <a:ext uri="{FF2B5EF4-FFF2-40B4-BE49-F238E27FC236}">
              <a16:creationId xmlns:a16="http://schemas.microsoft.com/office/drawing/2014/main" id="{00000000-0008-0000-2900-0000B6A06800}"/>
            </a:ext>
          </a:extLst>
        </xdr:cNvPr>
        <xdr:cNvSpPr>
          <a:spLocks noChangeShapeType="1"/>
        </xdr:cNvSpPr>
      </xdr:nvSpPr>
      <xdr:spPr bwMode="auto">
        <a:xfrm flipH="1" flipV="1">
          <a:off x="3162300" y="11363325"/>
          <a:ext cx="657225" cy="0"/>
        </a:xfrm>
        <a:prstGeom prst="line">
          <a:avLst/>
        </a:prstGeom>
        <a:noFill/>
        <a:ln w="9525">
          <a:solidFill>
            <a:srgbClr val="000000"/>
          </a:solidFill>
          <a:round/>
          <a:headEnd/>
          <a:tailEnd type="triangle" w="med" len="me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209550</xdr:colOff>
      <xdr:row>84</xdr:row>
      <xdr:rowOff>28575</xdr:rowOff>
    </xdr:from>
    <xdr:to>
      <xdr:col>0</xdr:col>
      <xdr:colOff>447675</xdr:colOff>
      <xdr:row>110</xdr:row>
      <xdr:rowOff>133350</xdr:rowOff>
    </xdr:to>
    <xdr:sp macro="" textlink="">
      <xdr:nvSpPr>
        <xdr:cNvPr id="2" name="Left Brace 1">
          <a:extLst>
            <a:ext uri="{FF2B5EF4-FFF2-40B4-BE49-F238E27FC236}">
              <a16:creationId xmlns:a16="http://schemas.microsoft.com/office/drawing/2014/main" id="{00000000-0008-0000-2A00-000002000000}"/>
            </a:ext>
          </a:extLst>
        </xdr:cNvPr>
        <xdr:cNvSpPr/>
      </xdr:nvSpPr>
      <xdr:spPr bwMode="auto">
        <a:xfrm>
          <a:off x="209550" y="13230225"/>
          <a:ext cx="238125" cy="4381500"/>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123825</xdr:colOff>
      <xdr:row>47</xdr:row>
      <xdr:rowOff>171449</xdr:rowOff>
    </xdr:from>
    <xdr:to>
      <xdr:col>9</xdr:col>
      <xdr:colOff>476250</xdr:colOff>
      <xdr:row>67</xdr:row>
      <xdr:rowOff>104774</xdr:rowOff>
    </xdr:to>
    <xdr:sp macro="" textlink="">
      <xdr:nvSpPr>
        <xdr:cNvPr id="3" name="Right Brace 2">
          <a:extLst>
            <a:ext uri="{FF2B5EF4-FFF2-40B4-BE49-F238E27FC236}">
              <a16:creationId xmlns:a16="http://schemas.microsoft.com/office/drawing/2014/main" id="{00000000-0008-0000-2A00-000003000000}"/>
            </a:ext>
          </a:extLst>
        </xdr:cNvPr>
        <xdr:cNvSpPr/>
      </xdr:nvSpPr>
      <xdr:spPr bwMode="auto">
        <a:xfrm>
          <a:off x="9248775" y="7896224"/>
          <a:ext cx="352425" cy="357187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95250</xdr:colOff>
      <xdr:row>34</xdr:row>
      <xdr:rowOff>38100</xdr:rowOff>
    </xdr:from>
    <xdr:to>
      <xdr:col>9</xdr:col>
      <xdr:colOff>352425</xdr:colOff>
      <xdr:row>46</xdr:row>
      <xdr:rowOff>104775</xdr:rowOff>
    </xdr:to>
    <xdr:sp macro="" textlink="">
      <xdr:nvSpPr>
        <xdr:cNvPr id="10" name="Right Brace 9">
          <a:extLst>
            <a:ext uri="{FF2B5EF4-FFF2-40B4-BE49-F238E27FC236}">
              <a16:creationId xmlns:a16="http://schemas.microsoft.com/office/drawing/2014/main" id="{00000000-0008-0000-2A00-00000A000000}"/>
            </a:ext>
          </a:extLst>
        </xdr:cNvPr>
        <xdr:cNvSpPr/>
      </xdr:nvSpPr>
      <xdr:spPr bwMode="auto">
        <a:xfrm>
          <a:off x="9220200" y="5791200"/>
          <a:ext cx="257175" cy="1866900"/>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152400</xdr:colOff>
      <xdr:row>83</xdr:row>
      <xdr:rowOff>142874</xdr:rowOff>
    </xdr:from>
    <xdr:to>
      <xdr:col>10</xdr:col>
      <xdr:colOff>38100</xdr:colOff>
      <xdr:row>111</xdr:row>
      <xdr:rowOff>28575</xdr:rowOff>
    </xdr:to>
    <xdr:sp macro="" textlink="">
      <xdr:nvSpPr>
        <xdr:cNvPr id="11" name="Right Brace 10">
          <a:extLst>
            <a:ext uri="{FF2B5EF4-FFF2-40B4-BE49-F238E27FC236}">
              <a16:creationId xmlns:a16="http://schemas.microsoft.com/office/drawing/2014/main" id="{00000000-0008-0000-2A00-00000B000000}"/>
            </a:ext>
          </a:extLst>
        </xdr:cNvPr>
        <xdr:cNvSpPr/>
      </xdr:nvSpPr>
      <xdr:spPr bwMode="auto">
        <a:xfrm>
          <a:off x="9277350" y="14163674"/>
          <a:ext cx="495300" cy="4505326"/>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209550</xdr:colOff>
      <xdr:row>84</xdr:row>
      <xdr:rowOff>28575</xdr:rowOff>
    </xdr:from>
    <xdr:to>
      <xdr:col>0</xdr:col>
      <xdr:colOff>447675</xdr:colOff>
      <xdr:row>110</xdr:row>
      <xdr:rowOff>133350</xdr:rowOff>
    </xdr:to>
    <xdr:sp macro="" textlink="">
      <xdr:nvSpPr>
        <xdr:cNvPr id="2" name="Left Brace 1">
          <a:extLst>
            <a:ext uri="{FF2B5EF4-FFF2-40B4-BE49-F238E27FC236}">
              <a16:creationId xmlns:a16="http://schemas.microsoft.com/office/drawing/2014/main" id="{EE76B6A1-CD10-4145-A808-16ECC2049462}"/>
            </a:ext>
          </a:extLst>
        </xdr:cNvPr>
        <xdr:cNvSpPr/>
      </xdr:nvSpPr>
      <xdr:spPr bwMode="auto">
        <a:xfrm>
          <a:off x="209550" y="14382750"/>
          <a:ext cx="238125" cy="4381500"/>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123825</xdr:colOff>
      <xdr:row>47</xdr:row>
      <xdr:rowOff>171449</xdr:rowOff>
    </xdr:from>
    <xdr:to>
      <xdr:col>9</xdr:col>
      <xdr:colOff>476250</xdr:colOff>
      <xdr:row>67</xdr:row>
      <xdr:rowOff>104774</xdr:rowOff>
    </xdr:to>
    <xdr:sp macro="" textlink="">
      <xdr:nvSpPr>
        <xdr:cNvPr id="3" name="Right Brace 2">
          <a:extLst>
            <a:ext uri="{FF2B5EF4-FFF2-40B4-BE49-F238E27FC236}">
              <a16:creationId xmlns:a16="http://schemas.microsoft.com/office/drawing/2014/main" id="{0434132A-0028-4E2D-8501-04CB6B475CB4}"/>
            </a:ext>
          </a:extLst>
        </xdr:cNvPr>
        <xdr:cNvSpPr/>
      </xdr:nvSpPr>
      <xdr:spPr bwMode="auto">
        <a:xfrm>
          <a:off x="9248775" y="8058149"/>
          <a:ext cx="352425" cy="357187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95250</xdr:colOff>
      <xdr:row>34</xdr:row>
      <xdr:rowOff>38100</xdr:rowOff>
    </xdr:from>
    <xdr:to>
      <xdr:col>9</xdr:col>
      <xdr:colOff>352425</xdr:colOff>
      <xdr:row>46</xdr:row>
      <xdr:rowOff>104775</xdr:rowOff>
    </xdr:to>
    <xdr:sp macro="" textlink="">
      <xdr:nvSpPr>
        <xdr:cNvPr id="4" name="Right Brace 3">
          <a:extLst>
            <a:ext uri="{FF2B5EF4-FFF2-40B4-BE49-F238E27FC236}">
              <a16:creationId xmlns:a16="http://schemas.microsoft.com/office/drawing/2014/main" id="{28EE6A4F-2948-4764-BBC4-161AC1857784}"/>
            </a:ext>
          </a:extLst>
        </xdr:cNvPr>
        <xdr:cNvSpPr/>
      </xdr:nvSpPr>
      <xdr:spPr bwMode="auto">
        <a:xfrm>
          <a:off x="9220200" y="5791200"/>
          <a:ext cx="257175" cy="202882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152400</xdr:colOff>
      <xdr:row>83</xdr:row>
      <xdr:rowOff>142874</xdr:rowOff>
    </xdr:from>
    <xdr:to>
      <xdr:col>10</xdr:col>
      <xdr:colOff>38100</xdr:colOff>
      <xdr:row>111</xdr:row>
      <xdr:rowOff>28575</xdr:rowOff>
    </xdr:to>
    <xdr:sp macro="" textlink="">
      <xdr:nvSpPr>
        <xdr:cNvPr id="5" name="Right Brace 4">
          <a:extLst>
            <a:ext uri="{FF2B5EF4-FFF2-40B4-BE49-F238E27FC236}">
              <a16:creationId xmlns:a16="http://schemas.microsoft.com/office/drawing/2014/main" id="{1E0D858F-762C-4721-8EB7-71BFC80505A8}"/>
            </a:ext>
          </a:extLst>
        </xdr:cNvPr>
        <xdr:cNvSpPr/>
      </xdr:nvSpPr>
      <xdr:spPr bwMode="auto">
        <a:xfrm>
          <a:off x="9277350" y="14325599"/>
          <a:ext cx="495300" cy="4505326"/>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95250</xdr:colOff>
      <xdr:row>113</xdr:row>
      <xdr:rowOff>104775</xdr:rowOff>
    </xdr:from>
    <xdr:to>
      <xdr:col>12</xdr:col>
      <xdr:colOff>457200</xdr:colOff>
      <xdr:row>122</xdr:row>
      <xdr:rowOff>133350</xdr:rowOff>
    </xdr:to>
    <xdr:sp macro="" textlink="">
      <xdr:nvSpPr>
        <xdr:cNvPr id="7107" name="Right Brace 1">
          <a:extLst>
            <a:ext uri="{FF2B5EF4-FFF2-40B4-BE49-F238E27FC236}">
              <a16:creationId xmlns:a16="http://schemas.microsoft.com/office/drawing/2014/main" id="{00000000-0008-0000-2B00-0000C31B0000}"/>
            </a:ext>
          </a:extLst>
        </xdr:cNvPr>
        <xdr:cNvSpPr>
          <a:spLocks/>
        </xdr:cNvSpPr>
      </xdr:nvSpPr>
      <xdr:spPr bwMode="auto">
        <a:xfrm>
          <a:off x="9734550" y="18897600"/>
          <a:ext cx="361950" cy="1485900"/>
        </a:xfrm>
        <a:prstGeom prst="rightBrace">
          <a:avLst>
            <a:gd name="adj1" fmla="val 8325"/>
            <a:gd name="adj2" fmla="val 50000"/>
          </a:avLst>
        </a:prstGeom>
        <a:solidFill>
          <a:srgbClr val="B9CDE5"/>
        </a:solidFill>
        <a:ln w="9525" algn="ctr">
          <a:solidFill>
            <a:srgbClr val="000000"/>
          </a:solidFill>
          <a:round/>
          <a:headEnd/>
          <a:tailEnd/>
        </a:ln>
      </xdr:spPr>
    </xdr:sp>
    <xdr:clientData/>
  </xdr:twoCellAnchor>
  <xdr:twoCellAnchor>
    <xdr:from>
      <xdr:col>4</xdr:col>
      <xdr:colOff>266700</xdr:colOff>
      <xdr:row>63</xdr:row>
      <xdr:rowOff>161925</xdr:rowOff>
    </xdr:from>
    <xdr:to>
      <xdr:col>4</xdr:col>
      <xdr:colOff>571500</xdr:colOff>
      <xdr:row>69</xdr:row>
      <xdr:rowOff>28575</xdr:rowOff>
    </xdr:to>
    <xdr:sp macro="" textlink="">
      <xdr:nvSpPr>
        <xdr:cNvPr id="7108" name="Right Brace 2">
          <a:extLst>
            <a:ext uri="{FF2B5EF4-FFF2-40B4-BE49-F238E27FC236}">
              <a16:creationId xmlns:a16="http://schemas.microsoft.com/office/drawing/2014/main" id="{00000000-0008-0000-2B00-0000C41B0000}"/>
            </a:ext>
          </a:extLst>
        </xdr:cNvPr>
        <xdr:cNvSpPr>
          <a:spLocks/>
        </xdr:cNvSpPr>
      </xdr:nvSpPr>
      <xdr:spPr bwMode="auto">
        <a:xfrm>
          <a:off x="3448050" y="10715625"/>
          <a:ext cx="304800" cy="857250"/>
        </a:xfrm>
        <a:prstGeom prst="rightBrace">
          <a:avLst>
            <a:gd name="adj1" fmla="val 8333"/>
            <a:gd name="adj2" fmla="val 50000"/>
          </a:avLst>
        </a:prstGeom>
        <a:solidFill>
          <a:srgbClr val="FFFFFF"/>
        </a:solidFill>
        <a:ln w="9525" algn="ctr">
          <a:solidFill>
            <a:srgbClr val="000000"/>
          </a:solidFill>
          <a:round/>
          <a:headEnd/>
          <a:tailEnd/>
        </a:ln>
      </xdr:spPr>
    </xdr:sp>
    <xdr:clientData/>
  </xdr:twoCellAnchor>
  <xdr:twoCellAnchor>
    <xdr:from>
      <xdr:col>9</xdr:col>
      <xdr:colOff>38100</xdr:colOff>
      <xdr:row>63</xdr:row>
      <xdr:rowOff>104775</xdr:rowOff>
    </xdr:from>
    <xdr:to>
      <xdr:col>11</xdr:col>
      <xdr:colOff>847725</xdr:colOff>
      <xdr:row>66</xdr:row>
      <xdr:rowOff>47625</xdr:rowOff>
    </xdr:to>
    <xdr:sp macro="" textlink="">
      <xdr:nvSpPr>
        <xdr:cNvPr id="7109" name="Right Brace 3">
          <a:extLst>
            <a:ext uri="{FF2B5EF4-FFF2-40B4-BE49-F238E27FC236}">
              <a16:creationId xmlns:a16="http://schemas.microsoft.com/office/drawing/2014/main" id="{00000000-0008-0000-2B00-0000C51B0000}"/>
            </a:ext>
          </a:extLst>
        </xdr:cNvPr>
        <xdr:cNvSpPr>
          <a:spLocks/>
        </xdr:cNvSpPr>
      </xdr:nvSpPr>
      <xdr:spPr bwMode="auto">
        <a:xfrm rot="5400000">
          <a:off x="8281988" y="9739312"/>
          <a:ext cx="438150" cy="2276475"/>
        </a:xfrm>
        <a:prstGeom prst="rightBrace">
          <a:avLst>
            <a:gd name="adj1" fmla="val 8323"/>
            <a:gd name="adj2" fmla="val 50000"/>
          </a:avLst>
        </a:prstGeom>
        <a:solidFill>
          <a:srgbClr val="FFFFFF"/>
        </a:solidFill>
        <a:ln w="9525" algn="ctr">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85725</xdr:colOff>
      <xdr:row>60</xdr:row>
      <xdr:rowOff>104775</xdr:rowOff>
    </xdr:from>
    <xdr:to>
      <xdr:col>8</xdr:col>
      <xdr:colOff>381000</xdr:colOff>
      <xdr:row>60</xdr:row>
      <xdr:rowOff>104775</xdr:rowOff>
    </xdr:to>
    <xdr:cxnSp macro="">
      <xdr:nvCxnSpPr>
        <xdr:cNvPr id="3" name="Straight Arrow Connector 2">
          <a:extLst>
            <a:ext uri="{FF2B5EF4-FFF2-40B4-BE49-F238E27FC236}">
              <a16:creationId xmlns:a16="http://schemas.microsoft.com/office/drawing/2014/main" id="{00000000-0008-0000-2C00-000003000000}"/>
            </a:ext>
          </a:extLst>
        </xdr:cNvPr>
        <xdr:cNvCxnSpPr/>
      </xdr:nvCxnSpPr>
      <xdr:spPr bwMode="auto">
        <a:xfrm flipH="1">
          <a:off x="7839075" y="9248775"/>
          <a:ext cx="295275" cy="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8</xdr:col>
      <xdr:colOff>400050</xdr:colOff>
      <xdr:row>48</xdr:row>
      <xdr:rowOff>104775</xdr:rowOff>
    </xdr:from>
    <xdr:to>
      <xdr:col>8</xdr:col>
      <xdr:colOff>409575</xdr:colOff>
      <xdr:row>60</xdr:row>
      <xdr:rowOff>95250</xdr:rowOff>
    </xdr:to>
    <xdr:cxnSp macro="">
      <xdr:nvCxnSpPr>
        <xdr:cNvPr id="5" name="Straight Connector 4">
          <a:extLst>
            <a:ext uri="{FF2B5EF4-FFF2-40B4-BE49-F238E27FC236}">
              <a16:creationId xmlns:a16="http://schemas.microsoft.com/office/drawing/2014/main" id="{00000000-0008-0000-2C00-000005000000}"/>
            </a:ext>
          </a:extLst>
        </xdr:cNvPr>
        <xdr:cNvCxnSpPr/>
      </xdr:nvCxnSpPr>
      <xdr:spPr bwMode="auto">
        <a:xfrm flipV="1">
          <a:off x="8153400" y="7258050"/>
          <a:ext cx="9525" cy="198120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xdr:col>
      <xdr:colOff>95250</xdr:colOff>
      <xdr:row>48</xdr:row>
      <xdr:rowOff>95250</xdr:rowOff>
    </xdr:from>
    <xdr:to>
      <xdr:col>8</xdr:col>
      <xdr:colOff>419100</xdr:colOff>
      <xdr:row>48</xdr:row>
      <xdr:rowOff>95250</xdr:rowOff>
    </xdr:to>
    <xdr:cxnSp macro="">
      <xdr:nvCxnSpPr>
        <xdr:cNvPr id="7" name="Straight Connector 6">
          <a:extLst>
            <a:ext uri="{FF2B5EF4-FFF2-40B4-BE49-F238E27FC236}">
              <a16:creationId xmlns:a16="http://schemas.microsoft.com/office/drawing/2014/main" id="{00000000-0008-0000-2C00-000007000000}"/>
            </a:ext>
          </a:extLst>
        </xdr:cNvPr>
        <xdr:cNvCxnSpPr/>
      </xdr:nvCxnSpPr>
      <xdr:spPr bwMode="auto">
        <a:xfrm>
          <a:off x="7848600" y="7248525"/>
          <a:ext cx="323850"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28575</xdr:colOff>
      <xdr:row>80</xdr:row>
      <xdr:rowOff>66675</xdr:rowOff>
    </xdr:from>
    <xdr:to>
      <xdr:col>7</xdr:col>
      <xdr:colOff>285750</xdr:colOff>
      <xdr:row>89</xdr:row>
      <xdr:rowOff>104775</xdr:rowOff>
    </xdr:to>
    <xdr:cxnSp macro="">
      <xdr:nvCxnSpPr>
        <xdr:cNvPr id="7" name="Elbow Connector 6">
          <a:extLst>
            <a:ext uri="{FF2B5EF4-FFF2-40B4-BE49-F238E27FC236}">
              <a16:creationId xmlns:a16="http://schemas.microsoft.com/office/drawing/2014/main" id="{00000000-0008-0000-2E00-000007000000}"/>
            </a:ext>
          </a:extLst>
        </xdr:cNvPr>
        <xdr:cNvCxnSpPr/>
      </xdr:nvCxnSpPr>
      <xdr:spPr bwMode="auto">
        <a:xfrm>
          <a:off x="5476875" y="13496925"/>
          <a:ext cx="1552575" cy="1543050"/>
        </a:xfrm>
        <a:prstGeom prst="bentConnector3">
          <a:avLst>
            <a:gd name="adj1" fmla="val 50000"/>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10</xdr:col>
      <xdr:colOff>38100</xdr:colOff>
      <xdr:row>5</xdr:row>
      <xdr:rowOff>28575</xdr:rowOff>
    </xdr:from>
    <xdr:to>
      <xdr:col>14</xdr:col>
      <xdr:colOff>114300</xdr:colOff>
      <xdr:row>17</xdr:row>
      <xdr:rowOff>142875</xdr:rowOff>
    </xdr:to>
    <xdr:sp macro="" textlink="">
      <xdr:nvSpPr>
        <xdr:cNvPr id="2" name="TextBox 1">
          <a:extLst>
            <a:ext uri="{FF2B5EF4-FFF2-40B4-BE49-F238E27FC236}">
              <a16:creationId xmlns:a16="http://schemas.microsoft.com/office/drawing/2014/main" id="{00000000-0008-0000-2E00-000002000000}"/>
            </a:ext>
          </a:extLst>
        </xdr:cNvPr>
        <xdr:cNvSpPr txBox="1"/>
      </xdr:nvSpPr>
      <xdr:spPr>
        <a:xfrm>
          <a:off x="8791575" y="981075"/>
          <a:ext cx="382905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a "simple" distribution model.</a:t>
          </a:r>
          <a:r>
            <a:rPr lang="en-US" sz="1100" baseline="0"/>
            <a:t>  </a:t>
          </a:r>
        </a:p>
        <a:p>
          <a:r>
            <a:rPr lang="en-US" sz="1100" baseline="0"/>
            <a:t>Basic deal is pro-rata 95/5 distribution consistent with money put in. For this reason, we don't need a special waterfall level to repay the initial investment. Super simple.</a:t>
          </a:r>
        </a:p>
        <a:p>
          <a:endParaRPr lang="en-US" sz="1100"/>
        </a:p>
        <a:p>
          <a:r>
            <a:rPr lang="en-US" sz="1100"/>
            <a:t>The one wrinkle</a:t>
          </a:r>
          <a:r>
            <a:rPr lang="en-US" sz="1100" baseline="0"/>
            <a:t> is the slight difference of distribution rates if there is a "Gain on Sale" This is a 90/10 deal giving a slight incentive (promote) to the GP.</a:t>
          </a:r>
        </a:p>
        <a:p>
          <a:endParaRPr lang="en-US" sz="1100"/>
        </a:p>
      </xdr:txBody>
    </xdr:sp>
    <xdr:clientData/>
  </xdr:twoCellAnchor>
  <xdr:twoCellAnchor>
    <xdr:from>
      <xdr:col>9</xdr:col>
      <xdr:colOff>95250</xdr:colOff>
      <xdr:row>6</xdr:row>
      <xdr:rowOff>0</xdr:rowOff>
    </xdr:from>
    <xdr:to>
      <xdr:col>9</xdr:col>
      <xdr:colOff>295275</xdr:colOff>
      <xdr:row>11</xdr:row>
      <xdr:rowOff>57150</xdr:rowOff>
    </xdr:to>
    <xdr:sp macro="" textlink="">
      <xdr:nvSpPr>
        <xdr:cNvPr id="3" name="Right Brace 2">
          <a:extLst>
            <a:ext uri="{FF2B5EF4-FFF2-40B4-BE49-F238E27FC236}">
              <a16:creationId xmlns:a16="http://schemas.microsoft.com/office/drawing/2014/main" id="{00000000-0008-0000-2E00-000003000000}"/>
            </a:ext>
          </a:extLst>
        </xdr:cNvPr>
        <xdr:cNvSpPr/>
      </xdr:nvSpPr>
      <xdr:spPr bwMode="auto">
        <a:xfrm>
          <a:off x="8239125" y="1123950"/>
          <a:ext cx="200025" cy="88582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16</xdr:col>
      <xdr:colOff>76200</xdr:colOff>
      <xdr:row>85</xdr:row>
      <xdr:rowOff>104775</xdr:rowOff>
    </xdr:from>
    <xdr:to>
      <xdr:col>16</xdr:col>
      <xdr:colOff>352425</xdr:colOff>
      <xdr:row>89</xdr:row>
      <xdr:rowOff>0</xdr:rowOff>
    </xdr:to>
    <xdr:sp macro="" textlink="">
      <xdr:nvSpPr>
        <xdr:cNvPr id="4" name="Right Brace 3">
          <a:extLst>
            <a:ext uri="{FF2B5EF4-FFF2-40B4-BE49-F238E27FC236}">
              <a16:creationId xmlns:a16="http://schemas.microsoft.com/office/drawing/2014/main" id="{00000000-0008-0000-2E00-000004000000}"/>
            </a:ext>
          </a:extLst>
        </xdr:cNvPr>
        <xdr:cNvSpPr/>
      </xdr:nvSpPr>
      <xdr:spPr bwMode="auto">
        <a:xfrm>
          <a:off x="13801725" y="14449425"/>
          <a:ext cx="276225" cy="56197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16</xdr:col>
      <xdr:colOff>0</xdr:colOff>
      <xdr:row>112</xdr:row>
      <xdr:rowOff>19050</xdr:rowOff>
    </xdr:from>
    <xdr:to>
      <xdr:col>16</xdr:col>
      <xdr:colOff>381000</xdr:colOff>
      <xdr:row>119</xdr:row>
      <xdr:rowOff>47625</xdr:rowOff>
    </xdr:to>
    <xdr:sp macro="" textlink="">
      <xdr:nvSpPr>
        <xdr:cNvPr id="6" name="Right Brace 5">
          <a:extLst>
            <a:ext uri="{FF2B5EF4-FFF2-40B4-BE49-F238E27FC236}">
              <a16:creationId xmlns:a16="http://schemas.microsoft.com/office/drawing/2014/main" id="{00000000-0008-0000-2E00-000006000000}"/>
            </a:ext>
          </a:extLst>
        </xdr:cNvPr>
        <xdr:cNvSpPr/>
      </xdr:nvSpPr>
      <xdr:spPr bwMode="auto">
        <a:xfrm>
          <a:off x="13725525" y="18916650"/>
          <a:ext cx="381000" cy="120967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16</xdr:col>
      <xdr:colOff>114300</xdr:colOff>
      <xdr:row>78</xdr:row>
      <xdr:rowOff>19050</xdr:rowOff>
    </xdr:from>
    <xdr:to>
      <xdr:col>16</xdr:col>
      <xdr:colOff>390525</xdr:colOff>
      <xdr:row>81</xdr:row>
      <xdr:rowOff>76200</xdr:rowOff>
    </xdr:to>
    <xdr:sp macro="" textlink="">
      <xdr:nvSpPr>
        <xdr:cNvPr id="8" name="Right Brace 7">
          <a:extLst>
            <a:ext uri="{FF2B5EF4-FFF2-40B4-BE49-F238E27FC236}">
              <a16:creationId xmlns:a16="http://schemas.microsoft.com/office/drawing/2014/main" id="{00000000-0008-0000-2E00-000008000000}"/>
            </a:ext>
          </a:extLst>
        </xdr:cNvPr>
        <xdr:cNvSpPr/>
      </xdr:nvSpPr>
      <xdr:spPr bwMode="auto">
        <a:xfrm>
          <a:off x="13839825" y="13173075"/>
          <a:ext cx="276225" cy="56197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6</xdr:col>
      <xdr:colOff>158750</xdr:colOff>
      <xdr:row>4</xdr:row>
      <xdr:rowOff>25400</xdr:rowOff>
    </xdr:from>
    <xdr:to>
      <xdr:col>8</xdr:col>
      <xdr:colOff>547687</xdr:colOff>
      <xdr:row>12</xdr:row>
      <xdr:rowOff>28575</xdr:rowOff>
    </xdr:to>
    <xdr:sp macro="" textlink="">
      <xdr:nvSpPr>
        <xdr:cNvPr id="2" name="TextBox 1">
          <a:extLst>
            <a:ext uri="{FF2B5EF4-FFF2-40B4-BE49-F238E27FC236}">
              <a16:creationId xmlns:a16="http://schemas.microsoft.com/office/drawing/2014/main" id="{00000000-0008-0000-2F00-000002000000}"/>
            </a:ext>
          </a:extLst>
        </xdr:cNvPr>
        <xdr:cNvSpPr txBox="1"/>
      </xdr:nvSpPr>
      <xdr:spPr>
        <a:xfrm>
          <a:off x="5064125" y="806450"/>
          <a:ext cx="2112962" cy="132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Note:</a:t>
          </a:r>
          <a:r>
            <a:rPr lang="en-US" sz="1100" baseline="0"/>
            <a:t> Text example shows the pool carved up into 40 security investment pieces @ $25K each. This complicates the analysis and has not been shown here.</a:t>
          </a:r>
        </a:p>
        <a:p>
          <a:r>
            <a:rPr lang="en-US" sz="1100" baseline="0"/>
            <a:t>10 Year amortization also assumed for simplicity.</a:t>
          </a:r>
          <a:endParaRPr lang="en-US"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485775</xdr:colOff>
      <xdr:row>145</xdr:row>
      <xdr:rowOff>0</xdr:rowOff>
    </xdr:from>
    <xdr:to>
      <xdr:col>7</xdr:col>
      <xdr:colOff>381000</xdr:colOff>
      <xdr:row>167</xdr:row>
      <xdr:rowOff>104775</xdr:rowOff>
    </xdr:to>
    <xdr:graphicFrame macro="">
      <xdr:nvGraphicFramePr>
        <xdr:cNvPr id="11062" name="Chart 1">
          <a:extLst>
            <a:ext uri="{FF2B5EF4-FFF2-40B4-BE49-F238E27FC236}">
              <a16:creationId xmlns:a16="http://schemas.microsoft.com/office/drawing/2014/main" id="{00000000-0008-0000-3000-0000362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2</xdr:col>
      <xdr:colOff>9525</xdr:colOff>
      <xdr:row>185</xdr:row>
      <xdr:rowOff>114300</xdr:rowOff>
    </xdr:from>
    <xdr:to>
      <xdr:col>7</xdr:col>
      <xdr:colOff>647700</xdr:colOff>
      <xdr:row>210</xdr:row>
      <xdr:rowOff>85725</xdr:rowOff>
    </xdr:to>
    <xdr:graphicFrame macro="">
      <xdr:nvGraphicFramePr>
        <xdr:cNvPr id="11063" name="Chart 2">
          <a:extLst>
            <a:ext uri="{FF2B5EF4-FFF2-40B4-BE49-F238E27FC236}">
              <a16:creationId xmlns:a16="http://schemas.microsoft.com/office/drawing/2014/main" id="{00000000-0008-0000-3000-0000372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28.xml><?xml version="1.0" encoding="utf-8"?>
<xdr:wsDr xmlns:xdr="http://schemas.openxmlformats.org/drawingml/2006/spreadsheetDrawing" xmlns:a="http://schemas.openxmlformats.org/drawingml/2006/main">
  <xdr:twoCellAnchor>
    <xdr:from>
      <xdr:col>1</xdr:col>
      <xdr:colOff>333375</xdr:colOff>
      <xdr:row>42</xdr:row>
      <xdr:rowOff>28575</xdr:rowOff>
    </xdr:from>
    <xdr:to>
      <xdr:col>7</xdr:col>
      <xdr:colOff>800100</xdr:colOff>
      <xdr:row>70</xdr:row>
      <xdr:rowOff>28575</xdr:rowOff>
    </xdr:to>
    <xdr:graphicFrame macro="">
      <xdr:nvGraphicFramePr>
        <xdr:cNvPr id="11674" name="Chart 1">
          <a:extLst>
            <a:ext uri="{FF2B5EF4-FFF2-40B4-BE49-F238E27FC236}">
              <a16:creationId xmlns:a16="http://schemas.microsoft.com/office/drawing/2014/main" id="{00000000-0008-0000-3100-00009A2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9.xml><?xml version="1.0" encoding="utf-8"?>
<xdr:wsDr xmlns:xdr="http://schemas.openxmlformats.org/drawingml/2006/spreadsheetDrawing" xmlns:a="http://schemas.openxmlformats.org/drawingml/2006/main">
  <xdr:twoCellAnchor>
    <xdr:from>
      <xdr:col>2</xdr:col>
      <xdr:colOff>771525</xdr:colOff>
      <xdr:row>145</xdr:row>
      <xdr:rowOff>38100</xdr:rowOff>
    </xdr:from>
    <xdr:to>
      <xdr:col>8</xdr:col>
      <xdr:colOff>0</xdr:colOff>
      <xdr:row>168</xdr:row>
      <xdr:rowOff>161925</xdr:rowOff>
    </xdr:to>
    <xdr:graphicFrame macro="">
      <xdr:nvGraphicFramePr>
        <xdr:cNvPr id="18842" name="Chart 1">
          <a:extLst>
            <a:ext uri="{FF2B5EF4-FFF2-40B4-BE49-F238E27FC236}">
              <a16:creationId xmlns:a16="http://schemas.microsoft.com/office/drawing/2014/main" id="{00000000-0008-0000-3200-00009A4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9</xdr:col>
      <xdr:colOff>133350</xdr:colOff>
      <xdr:row>20</xdr:row>
      <xdr:rowOff>28575</xdr:rowOff>
    </xdr:from>
    <xdr:to>
      <xdr:col>17</xdr:col>
      <xdr:colOff>142875</xdr:colOff>
      <xdr:row>36</xdr:row>
      <xdr:rowOff>57150</xdr:rowOff>
    </xdr:to>
    <xdr:graphicFrame macro="">
      <xdr:nvGraphicFramePr>
        <xdr:cNvPr id="1843" name="Chart 1">
          <a:extLst>
            <a:ext uri="{FF2B5EF4-FFF2-40B4-BE49-F238E27FC236}">
              <a16:creationId xmlns:a16="http://schemas.microsoft.com/office/drawing/2014/main" id="{00000000-0008-0000-0400-000033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3</xdr:row>
      <xdr:rowOff>28575</xdr:rowOff>
    </xdr:from>
    <xdr:to>
      <xdr:col>17</xdr:col>
      <xdr:colOff>161925</xdr:colOff>
      <xdr:row>19</xdr:row>
      <xdr:rowOff>104775</xdr:rowOff>
    </xdr:to>
    <xdr:graphicFrame macro="">
      <xdr:nvGraphicFramePr>
        <xdr:cNvPr id="1844" name="Chart 2">
          <a:extLst>
            <a:ext uri="{FF2B5EF4-FFF2-40B4-BE49-F238E27FC236}">
              <a16:creationId xmlns:a16="http://schemas.microsoft.com/office/drawing/2014/main" id="{00000000-0008-0000-0400-000034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10</xdr:col>
      <xdr:colOff>142875</xdr:colOff>
      <xdr:row>19</xdr:row>
      <xdr:rowOff>66675</xdr:rowOff>
    </xdr:from>
    <xdr:to>
      <xdr:col>10</xdr:col>
      <xdr:colOff>885825</xdr:colOff>
      <xdr:row>19</xdr:row>
      <xdr:rowOff>66675</xdr:rowOff>
    </xdr:to>
    <xdr:sp macro="" textlink="">
      <xdr:nvSpPr>
        <xdr:cNvPr id="5458838" name="Line 1">
          <a:extLst>
            <a:ext uri="{FF2B5EF4-FFF2-40B4-BE49-F238E27FC236}">
              <a16:creationId xmlns:a16="http://schemas.microsoft.com/office/drawing/2014/main" id="{00000000-0008-0000-3300-0000964B5300}"/>
            </a:ext>
          </a:extLst>
        </xdr:cNvPr>
        <xdr:cNvSpPr>
          <a:spLocks noChangeShapeType="1"/>
        </xdr:cNvSpPr>
      </xdr:nvSpPr>
      <xdr:spPr bwMode="auto">
        <a:xfrm>
          <a:off x="7810500" y="3095625"/>
          <a:ext cx="742950" cy="0"/>
        </a:xfrm>
        <a:prstGeom prst="line">
          <a:avLst/>
        </a:prstGeom>
        <a:noFill/>
        <a:ln w="9525">
          <a:solidFill>
            <a:srgbClr val="000000"/>
          </a:solidFill>
          <a:round/>
          <a:headEnd/>
          <a:tailEnd/>
        </a:ln>
      </xdr:spPr>
    </xdr:sp>
    <xdr:clientData/>
  </xdr:twoCellAnchor>
  <xdr:twoCellAnchor>
    <xdr:from>
      <xdr:col>10</xdr:col>
      <xdr:colOff>152400</xdr:colOff>
      <xdr:row>21</xdr:row>
      <xdr:rowOff>95250</xdr:rowOff>
    </xdr:from>
    <xdr:to>
      <xdr:col>10</xdr:col>
      <xdr:colOff>895350</xdr:colOff>
      <xdr:row>21</xdr:row>
      <xdr:rowOff>95250</xdr:rowOff>
    </xdr:to>
    <xdr:sp macro="" textlink="">
      <xdr:nvSpPr>
        <xdr:cNvPr id="5458839" name="Line 2">
          <a:extLst>
            <a:ext uri="{FF2B5EF4-FFF2-40B4-BE49-F238E27FC236}">
              <a16:creationId xmlns:a16="http://schemas.microsoft.com/office/drawing/2014/main" id="{00000000-0008-0000-3300-0000974B5300}"/>
            </a:ext>
          </a:extLst>
        </xdr:cNvPr>
        <xdr:cNvSpPr>
          <a:spLocks noChangeShapeType="1"/>
        </xdr:cNvSpPr>
      </xdr:nvSpPr>
      <xdr:spPr bwMode="auto">
        <a:xfrm>
          <a:off x="7820025" y="3533775"/>
          <a:ext cx="742950" cy="0"/>
        </a:xfrm>
        <a:prstGeom prst="line">
          <a:avLst/>
        </a:prstGeom>
        <a:noFill/>
        <a:ln w="9525">
          <a:solidFill>
            <a:srgbClr val="000000"/>
          </a:solidFill>
          <a:round/>
          <a:headEnd/>
          <a:tailEnd/>
        </a:ln>
      </xdr:spPr>
    </xdr:sp>
    <xdr:clientData/>
  </xdr:twoCellAnchor>
  <xdr:twoCellAnchor>
    <xdr:from>
      <xdr:col>10</xdr:col>
      <xdr:colOff>161925</xdr:colOff>
      <xdr:row>23</xdr:row>
      <xdr:rowOff>28575</xdr:rowOff>
    </xdr:from>
    <xdr:to>
      <xdr:col>10</xdr:col>
      <xdr:colOff>904875</xdr:colOff>
      <xdr:row>23</xdr:row>
      <xdr:rowOff>28575</xdr:rowOff>
    </xdr:to>
    <xdr:sp macro="" textlink="">
      <xdr:nvSpPr>
        <xdr:cNvPr id="5458840" name="Line 3">
          <a:extLst>
            <a:ext uri="{FF2B5EF4-FFF2-40B4-BE49-F238E27FC236}">
              <a16:creationId xmlns:a16="http://schemas.microsoft.com/office/drawing/2014/main" id="{00000000-0008-0000-3300-0000984B5300}"/>
            </a:ext>
          </a:extLst>
        </xdr:cNvPr>
        <xdr:cNvSpPr>
          <a:spLocks noChangeShapeType="1"/>
        </xdr:cNvSpPr>
      </xdr:nvSpPr>
      <xdr:spPr bwMode="auto">
        <a:xfrm>
          <a:off x="7829550" y="3790950"/>
          <a:ext cx="742950" cy="0"/>
        </a:xfrm>
        <a:prstGeom prst="line">
          <a:avLst/>
        </a:prstGeom>
        <a:noFill/>
        <a:ln w="9525">
          <a:solidFill>
            <a:srgbClr val="000000"/>
          </a:solidFill>
          <a:round/>
          <a:headEnd/>
          <a:tailEnd/>
        </a:ln>
      </xdr:spPr>
    </xdr:sp>
    <xdr:clientData/>
  </xdr:twoCellAnchor>
  <xdr:twoCellAnchor>
    <xdr:from>
      <xdr:col>10</xdr:col>
      <xdr:colOff>161925</xdr:colOff>
      <xdr:row>23</xdr:row>
      <xdr:rowOff>57150</xdr:rowOff>
    </xdr:from>
    <xdr:to>
      <xdr:col>10</xdr:col>
      <xdr:colOff>904875</xdr:colOff>
      <xdr:row>23</xdr:row>
      <xdr:rowOff>57150</xdr:rowOff>
    </xdr:to>
    <xdr:sp macro="" textlink="">
      <xdr:nvSpPr>
        <xdr:cNvPr id="5458841" name="Line 5">
          <a:extLst>
            <a:ext uri="{FF2B5EF4-FFF2-40B4-BE49-F238E27FC236}">
              <a16:creationId xmlns:a16="http://schemas.microsoft.com/office/drawing/2014/main" id="{00000000-0008-0000-3300-0000994B5300}"/>
            </a:ext>
          </a:extLst>
        </xdr:cNvPr>
        <xdr:cNvSpPr>
          <a:spLocks noChangeShapeType="1"/>
        </xdr:cNvSpPr>
      </xdr:nvSpPr>
      <xdr:spPr bwMode="auto">
        <a:xfrm>
          <a:off x="7829550" y="3819525"/>
          <a:ext cx="742950" cy="0"/>
        </a:xfrm>
        <a:prstGeom prst="line">
          <a:avLst/>
        </a:prstGeom>
        <a:noFill/>
        <a:ln w="9525">
          <a:solidFill>
            <a:srgbClr val="000000"/>
          </a:solidFill>
          <a:round/>
          <a:headEnd/>
          <a:tailEnd/>
        </a:ln>
      </xdr:spPr>
    </xdr:sp>
    <xdr:clientData/>
  </xdr:twoCellAnchor>
  <xdr:twoCellAnchor>
    <xdr:from>
      <xdr:col>3</xdr:col>
      <xdr:colOff>28575</xdr:colOff>
      <xdr:row>21</xdr:row>
      <xdr:rowOff>85725</xdr:rowOff>
    </xdr:from>
    <xdr:to>
      <xdr:col>3</xdr:col>
      <xdr:colOff>771525</xdr:colOff>
      <xdr:row>21</xdr:row>
      <xdr:rowOff>85725</xdr:rowOff>
    </xdr:to>
    <xdr:sp macro="" textlink="">
      <xdr:nvSpPr>
        <xdr:cNvPr id="5458842" name="Line 6">
          <a:extLst>
            <a:ext uri="{FF2B5EF4-FFF2-40B4-BE49-F238E27FC236}">
              <a16:creationId xmlns:a16="http://schemas.microsoft.com/office/drawing/2014/main" id="{00000000-0008-0000-3300-00009A4B5300}"/>
            </a:ext>
          </a:extLst>
        </xdr:cNvPr>
        <xdr:cNvSpPr>
          <a:spLocks noChangeShapeType="1"/>
        </xdr:cNvSpPr>
      </xdr:nvSpPr>
      <xdr:spPr bwMode="auto">
        <a:xfrm>
          <a:off x="2162175" y="3524250"/>
          <a:ext cx="742950" cy="0"/>
        </a:xfrm>
        <a:prstGeom prst="line">
          <a:avLst/>
        </a:prstGeom>
        <a:noFill/>
        <a:ln w="9525">
          <a:solidFill>
            <a:srgbClr val="000000"/>
          </a:solidFill>
          <a:round/>
          <a:headEnd/>
          <a:tailEnd/>
        </a:ln>
      </xdr:spPr>
    </xdr:sp>
    <xdr:clientData/>
  </xdr:twoCellAnchor>
  <xdr:twoCellAnchor>
    <xdr:from>
      <xdr:col>3</xdr:col>
      <xdr:colOff>38100</xdr:colOff>
      <xdr:row>23</xdr:row>
      <xdr:rowOff>38100</xdr:rowOff>
    </xdr:from>
    <xdr:to>
      <xdr:col>4</xdr:col>
      <xdr:colOff>0</xdr:colOff>
      <xdr:row>23</xdr:row>
      <xdr:rowOff>38100</xdr:rowOff>
    </xdr:to>
    <xdr:sp macro="" textlink="">
      <xdr:nvSpPr>
        <xdr:cNvPr id="5458843" name="Line 7">
          <a:extLst>
            <a:ext uri="{FF2B5EF4-FFF2-40B4-BE49-F238E27FC236}">
              <a16:creationId xmlns:a16="http://schemas.microsoft.com/office/drawing/2014/main" id="{00000000-0008-0000-3300-00009B4B5300}"/>
            </a:ext>
          </a:extLst>
        </xdr:cNvPr>
        <xdr:cNvSpPr>
          <a:spLocks noChangeShapeType="1"/>
        </xdr:cNvSpPr>
      </xdr:nvSpPr>
      <xdr:spPr bwMode="auto">
        <a:xfrm>
          <a:off x="2171700" y="3800475"/>
          <a:ext cx="742950" cy="0"/>
        </a:xfrm>
        <a:prstGeom prst="line">
          <a:avLst/>
        </a:prstGeom>
        <a:noFill/>
        <a:ln w="9525">
          <a:solidFill>
            <a:srgbClr val="000000"/>
          </a:solidFill>
          <a:round/>
          <a:headEnd/>
          <a:tailEnd/>
        </a:ln>
      </xdr:spPr>
    </xdr:sp>
    <xdr:clientData/>
  </xdr:twoCellAnchor>
  <xdr:twoCellAnchor>
    <xdr:from>
      <xdr:col>3</xdr:col>
      <xdr:colOff>38100</xdr:colOff>
      <xdr:row>23</xdr:row>
      <xdr:rowOff>66675</xdr:rowOff>
    </xdr:from>
    <xdr:to>
      <xdr:col>4</xdr:col>
      <xdr:colOff>0</xdr:colOff>
      <xdr:row>23</xdr:row>
      <xdr:rowOff>66675</xdr:rowOff>
    </xdr:to>
    <xdr:sp macro="" textlink="">
      <xdr:nvSpPr>
        <xdr:cNvPr id="5458844" name="Line 8">
          <a:extLst>
            <a:ext uri="{FF2B5EF4-FFF2-40B4-BE49-F238E27FC236}">
              <a16:creationId xmlns:a16="http://schemas.microsoft.com/office/drawing/2014/main" id="{00000000-0008-0000-3300-00009C4B5300}"/>
            </a:ext>
          </a:extLst>
        </xdr:cNvPr>
        <xdr:cNvSpPr>
          <a:spLocks noChangeShapeType="1"/>
        </xdr:cNvSpPr>
      </xdr:nvSpPr>
      <xdr:spPr bwMode="auto">
        <a:xfrm>
          <a:off x="2171700" y="3829050"/>
          <a:ext cx="742950" cy="0"/>
        </a:xfrm>
        <a:prstGeom prst="line">
          <a:avLst/>
        </a:prstGeom>
        <a:no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161925</xdr:colOff>
      <xdr:row>36</xdr:row>
      <xdr:rowOff>0</xdr:rowOff>
    </xdr:from>
    <xdr:to>
      <xdr:col>9</xdr:col>
      <xdr:colOff>247650</xdr:colOff>
      <xdr:row>59</xdr:row>
      <xdr:rowOff>114300</xdr:rowOff>
    </xdr:to>
    <xdr:graphicFrame macro="">
      <xdr:nvGraphicFramePr>
        <xdr:cNvPr id="9011" name="Chart 1">
          <a:extLst>
            <a:ext uri="{FF2B5EF4-FFF2-40B4-BE49-F238E27FC236}">
              <a16:creationId xmlns:a16="http://schemas.microsoft.com/office/drawing/2014/main" id="{00000000-0008-0000-3400-000033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161925</xdr:colOff>
      <xdr:row>36</xdr:row>
      <xdr:rowOff>0</xdr:rowOff>
    </xdr:from>
    <xdr:to>
      <xdr:col>9</xdr:col>
      <xdr:colOff>247650</xdr:colOff>
      <xdr:row>59</xdr:row>
      <xdr:rowOff>114300</xdr:rowOff>
    </xdr:to>
    <xdr:graphicFrame macro="">
      <xdr:nvGraphicFramePr>
        <xdr:cNvPr id="9012" name="Chart 2">
          <a:extLst>
            <a:ext uri="{FF2B5EF4-FFF2-40B4-BE49-F238E27FC236}">
              <a16:creationId xmlns:a16="http://schemas.microsoft.com/office/drawing/2014/main" id="{00000000-0008-0000-3400-000034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19</xdr:col>
      <xdr:colOff>19050</xdr:colOff>
      <xdr:row>4</xdr:row>
      <xdr:rowOff>104775</xdr:rowOff>
    </xdr:from>
    <xdr:to>
      <xdr:col>25</xdr:col>
      <xdr:colOff>66675</xdr:colOff>
      <xdr:row>24</xdr:row>
      <xdr:rowOff>123825</xdr:rowOff>
    </xdr:to>
    <xdr:graphicFrame macro="">
      <xdr:nvGraphicFramePr>
        <xdr:cNvPr id="21299" name="Chart 1">
          <a:extLst>
            <a:ext uri="{FF2B5EF4-FFF2-40B4-BE49-F238E27FC236}">
              <a16:creationId xmlns:a16="http://schemas.microsoft.com/office/drawing/2014/main" id="{00000000-0008-0000-0900-000033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19050</xdr:colOff>
      <xdr:row>27</xdr:row>
      <xdr:rowOff>38100</xdr:rowOff>
    </xdr:from>
    <xdr:to>
      <xdr:col>25</xdr:col>
      <xdr:colOff>76200</xdr:colOff>
      <xdr:row>47</xdr:row>
      <xdr:rowOff>66675</xdr:rowOff>
    </xdr:to>
    <xdr:graphicFrame macro="">
      <xdr:nvGraphicFramePr>
        <xdr:cNvPr id="21300" name="Chart 2">
          <a:extLst>
            <a:ext uri="{FF2B5EF4-FFF2-40B4-BE49-F238E27FC236}">
              <a16:creationId xmlns:a16="http://schemas.microsoft.com/office/drawing/2014/main" id="{00000000-0008-0000-0900-000034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29</xdr:row>
      <xdr:rowOff>76200</xdr:rowOff>
    </xdr:from>
    <xdr:to>
      <xdr:col>4</xdr:col>
      <xdr:colOff>504825</xdr:colOff>
      <xdr:row>29</xdr:row>
      <xdr:rowOff>76200</xdr:rowOff>
    </xdr:to>
    <xdr:sp macro="" textlink="">
      <xdr:nvSpPr>
        <xdr:cNvPr id="17203" name="Line 1">
          <a:extLst>
            <a:ext uri="{FF2B5EF4-FFF2-40B4-BE49-F238E27FC236}">
              <a16:creationId xmlns:a16="http://schemas.microsoft.com/office/drawing/2014/main" id="{00000000-0008-0000-0A00-000033430000}"/>
            </a:ext>
          </a:extLst>
        </xdr:cNvPr>
        <xdr:cNvSpPr>
          <a:spLocks noChangeShapeType="1"/>
        </xdr:cNvSpPr>
      </xdr:nvSpPr>
      <xdr:spPr bwMode="auto">
        <a:xfrm flipH="1">
          <a:off x="3267075" y="5086350"/>
          <a:ext cx="1104900" cy="0"/>
        </a:xfrm>
        <a:prstGeom prst="line">
          <a:avLst/>
        </a:prstGeom>
        <a:noFill/>
        <a:ln w="12700">
          <a:solidFill>
            <a:srgbClr val="000000"/>
          </a:solidFill>
          <a:round/>
          <a:headEnd/>
          <a:tailEnd type="triangle" w="med" len="med"/>
        </a:ln>
      </xdr:spPr>
    </xdr:sp>
    <xdr:clientData/>
  </xdr:twoCellAnchor>
  <xdr:twoCellAnchor>
    <xdr:from>
      <xdr:col>3</xdr:col>
      <xdr:colOff>47625</xdr:colOff>
      <xdr:row>71</xdr:row>
      <xdr:rowOff>76200</xdr:rowOff>
    </xdr:from>
    <xdr:to>
      <xdr:col>4</xdr:col>
      <xdr:colOff>542925</xdr:colOff>
      <xdr:row>71</xdr:row>
      <xdr:rowOff>76200</xdr:rowOff>
    </xdr:to>
    <xdr:sp macro="" textlink="">
      <xdr:nvSpPr>
        <xdr:cNvPr id="17204" name="Line 2">
          <a:extLst>
            <a:ext uri="{FF2B5EF4-FFF2-40B4-BE49-F238E27FC236}">
              <a16:creationId xmlns:a16="http://schemas.microsoft.com/office/drawing/2014/main" id="{00000000-0008-0000-0A00-000034430000}"/>
            </a:ext>
          </a:extLst>
        </xdr:cNvPr>
        <xdr:cNvSpPr>
          <a:spLocks noChangeShapeType="1"/>
        </xdr:cNvSpPr>
      </xdr:nvSpPr>
      <xdr:spPr bwMode="auto">
        <a:xfrm flipH="1">
          <a:off x="3305175" y="12106275"/>
          <a:ext cx="1104900" cy="0"/>
        </a:xfrm>
        <a:prstGeom prst="line">
          <a:avLst/>
        </a:prstGeom>
        <a:noFill/>
        <a:ln w="12700">
          <a:solidFill>
            <a:srgbClr val="000000"/>
          </a:solidFill>
          <a:round/>
          <a:headEnd/>
          <a:tailEnd type="triangle" w="med" len="me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314325</xdr:colOff>
      <xdr:row>59</xdr:row>
      <xdr:rowOff>180975</xdr:rowOff>
    </xdr:from>
    <xdr:to>
      <xdr:col>8</xdr:col>
      <xdr:colOff>133350</xdr:colOff>
      <xdr:row>73</xdr:row>
      <xdr:rowOff>142875</xdr:rowOff>
    </xdr:to>
    <xdr:graphicFrame macro="">
      <xdr:nvGraphicFramePr>
        <xdr:cNvPr id="7518409" name="Chart 1">
          <a:extLst>
            <a:ext uri="{FF2B5EF4-FFF2-40B4-BE49-F238E27FC236}">
              <a16:creationId xmlns:a16="http://schemas.microsoft.com/office/drawing/2014/main" id="{00000000-0008-0000-1300-0000C9B8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752475</xdr:colOff>
      <xdr:row>59</xdr:row>
      <xdr:rowOff>171450</xdr:rowOff>
    </xdr:from>
    <xdr:to>
      <xdr:col>17</xdr:col>
      <xdr:colOff>323850</xdr:colOff>
      <xdr:row>73</xdr:row>
      <xdr:rowOff>142875</xdr:rowOff>
    </xdr:to>
    <xdr:graphicFrame macro="">
      <xdr:nvGraphicFramePr>
        <xdr:cNvPr id="7518410" name="Chart 2">
          <a:extLst>
            <a:ext uri="{FF2B5EF4-FFF2-40B4-BE49-F238E27FC236}">
              <a16:creationId xmlns:a16="http://schemas.microsoft.com/office/drawing/2014/main" id="{00000000-0008-0000-1300-0000CAB8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571500</xdr:colOff>
      <xdr:row>74</xdr:row>
      <xdr:rowOff>180975</xdr:rowOff>
    </xdr:from>
    <xdr:to>
      <xdr:col>8</xdr:col>
      <xdr:colOff>361950</xdr:colOff>
      <xdr:row>88</xdr:row>
      <xdr:rowOff>152400</xdr:rowOff>
    </xdr:to>
    <xdr:graphicFrame macro="">
      <xdr:nvGraphicFramePr>
        <xdr:cNvPr id="7518411" name="Chart 3">
          <a:extLst>
            <a:ext uri="{FF2B5EF4-FFF2-40B4-BE49-F238E27FC236}">
              <a16:creationId xmlns:a16="http://schemas.microsoft.com/office/drawing/2014/main" id="{00000000-0008-0000-1300-0000CBB8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44</xdr:row>
      <xdr:rowOff>152400</xdr:rowOff>
    </xdr:from>
    <xdr:to>
      <xdr:col>8</xdr:col>
      <xdr:colOff>142875</xdr:colOff>
      <xdr:row>58</xdr:row>
      <xdr:rowOff>171450</xdr:rowOff>
    </xdr:to>
    <xdr:graphicFrame macro="">
      <xdr:nvGraphicFramePr>
        <xdr:cNvPr id="7518412" name="Chart 4">
          <a:extLst>
            <a:ext uri="{FF2B5EF4-FFF2-40B4-BE49-F238E27FC236}">
              <a16:creationId xmlns:a16="http://schemas.microsoft.com/office/drawing/2014/main" id="{00000000-0008-0000-1300-0000CCB8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91</xdr:row>
      <xdr:rowOff>19050</xdr:rowOff>
    </xdr:from>
    <xdr:to>
      <xdr:col>8</xdr:col>
      <xdr:colOff>504825</xdr:colOff>
      <xdr:row>106</xdr:row>
      <xdr:rowOff>66675</xdr:rowOff>
    </xdr:to>
    <xdr:graphicFrame macro="">
      <xdr:nvGraphicFramePr>
        <xdr:cNvPr id="7518413" name="Chart 5">
          <a:extLst>
            <a:ext uri="{FF2B5EF4-FFF2-40B4-BE49-F238E27FC236}">
              <a16:creationId xmlns:a16="http://schemas.microsoft.com/office/drawing/2014/main" id="{00000000-0008-0000-1300-0000CDB8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28575</xdr:colOff>
      <xdr:row>44</xdr:row>
      <xdr:rowOff>66675</xdr:rowOff>
    </xdr:from>
    <xdr:to>
      <xdr:col>17</xdr:col>
      <xdr:colOff>257175</xdr:colOff>
      <xdr:row>58</xdr:row>
      <xdr:rowOff>95250</xdr:rowOff>
    </xdr:to>
    <xdr:graphicFrame macro="">
      <xdr:nvGraphicFramePr>
        <xdr:cNvPr id="7518414" name="Chart 6">
          <a:extLst>
            <a:ext uri="{FF2B5EF4-FFF2-40B4-BE49-F238E27FC236}">
              <a16:creationId xmlns:a16="http://schemas.microsoft.com/office/drawing/2014/main" id="{00000000-0008-0000-1300-0000CEB8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9525</xdr:colOff>
      <xdr:row>75</xdr:row>
      <xdr:rowOff>28575</xdr:rowOff>
    </xdr:from>
    <xdr:to>
      <xdr:col>16</xdr:col>
      <xdr:colOff>590550</xdr:colOff>
      <xdr:row>89</xdr:row>
      <xdr:rowOff>9525</xdr:rowOff>
    </xdr:to>
    <xdr:graphicFrame macro="">
      <xdr:nvGraphicFramePr>
        <xdr:cNvPr id="7518415" name="Chart 7">
          <a:extLst>
            <a:ext uri="{FF2B5EF4-FFF2-40B4-BE49-F238E27FC236}">
              <a16:creationId xmlns:a16="http://schemas.microsoft.com/office/drawing/2014/main" id="{00000000-0008-0000-1300-0000CFB8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228600</xdr:colOff>
      <xdr:row>49</xdr:row>
      <xdr:rowOff>133350</xdr:rowOff>
    </xdr:from>
    <xdr:to>
      <xdr:col>27</xdr:col>
      <xdr:colOff>447675</xdr:colOff>
      <xdr:row>67</xdr:row>
      <xdr:rowOff>85725</xdr:rowOff>
    </xdr:to>
    <xdr:graphicFrame macro="">
      <xdr:nvGraphicFramePr>
        <xdr:cNvPr id="7518416" name="Chart 8">
          <a:extLst>
            <a:ext uri="{FF2B5EF4-FFF2-40B4-BE49-F238E27FC236}">
              <a16:creationId xmlns:a16="http://schemas.microsoft.com/office/drawing/2014/main" id="{00000000-0008-0000-1300-0000D0B8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771525</xdr:colOff>
      <xdr:row>37</xdr:row>
      <xdr:rowOff>9525</xdr:rowOff>
    </xdr:from>
    <xdr:to>
      <xdr:col>8</xdr:col>
      <xdr:colOff>200025</xdr:colOff>
      <xdr:row>45</xdr:row>
      <xdr:rowOff>114300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4371975" y="4267200"/>
          <a:ext cx="2676525"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r>
            <a:rPr lang="en-US" sz="1100" baseline="0"/>
            <a:t>  IRR formula in excel allows reference to the entire range of cash flows. </a:t>
          </a:r>
        </a:p>
        <a:p>
          <a:endParaRPr lang="en-US" sz="1100" baseline="0"/>
        </a:p>
        <a:p>
          <a:r>
            <a:rPr lang="en-US" sz="1100" baseline="0"/>
            <a:t>NPV formula references only "future" cash flows and we must then subtract the Year 0 investment.</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295275</xdr:colOff>
      <xdr:row>104</xdr:row>
      <xdr:rowOff>161925</xdr:rowOff>
    </xdr:from>
    <xdr:to>
      <xdr:col>4</xdr:col>
      <xdr:colOff>733425</xdr:colOff>
      <xdr:row>130</xdr:row>
      <xdr:rowOff>123825</xdr:rowOff>
    </xdr:to>
    <xdr:sp macro="" textlink="">
      <xdr:nvSpPr>
        <xdr:cNvPr id="2" name="Right Brace 1">
          <a:extLst>
            <a:ext uri="{FF2B5EF4-FFF2-40B4-BE49-F238E27FC236}">
              <a16:creationId xmlns:a16="http://schemas.microsoft.com/office/drawing/2014/main" id="{00000000-0008-0000-1600-000002000000}"/>
            </a:ext>
          </a:extLst>
        </xdr:cNvPr>
        <xdr:cNvSpPr/>
      </xdr:nvSpPr>
      <xdr:spPr bwMode="auto">
        <a:xfrm>
          <a:off x="4400550" y="17640300"/>
          <a:ext cx="438150" cy="4400550"/>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771525</xdr:colOff>
      <xdr:row>140</xdr:row>
      <xdr:rowOff>9525</xdr:rowOff>
    </xdr:from>
    <xdr:to>
      <xdr:col>7</xdr:col>
      <xdr:colOff>200025</xdr:colOff>
      <xdr:row>146</xdr:row>
      <xdr:rowOff>114300</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4371975" y="4267200"/>
          <a:ext cx="2676525"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r>
            <a:rPr lang="en-US" sz="1100" baseline="0"/>
            <a:t>  IRR formula in excel allows reference to the entire range of cash flows. </a:t>
          </a:r>
        </a:p>
        <a:p>
          <a:endParaRPr lang="en-US" sz="1100" baseline="0"/>
        </a:p>
        <a:p>
          <a:r>
            <a:rPr lang="en-US" sz="1100" baseline="0"/>
            <a:t>NPV formula references only "future" cash flows and we must then subtract the Year 0 investment.</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indiana.edu/~cres/R510/download/Ex20_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indiana.edu/~cres/R510/download/Finance/10th%20edition/Chapters/Chapter%2019%20templates/c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indiana.edu/~cres/R510/download/Finance/10th%20edition/Chapters/Chapter%2019%20templates/IO-P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gad075000\Documents\_UTD\Courses\FIN6322%20-F16\Selected%20Solutions\14e_Excel_stud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CREIF &amp; S&amp;P"/>
      <sheetName val="REITs &amp; S&amp;P"/>
      <sheetName val="A"/>
    </sheetNames>
    <sheetDataSet>
      <sheetData sheetId="0"/>
      <sheetData sheetId="1">
        <row r="11">
          <cell r="D11">
            <v>0.10256580965724643</v>
          </cell>
          <cell r="E11">
            <v>3.9374304347826114E-2</v>
          </cell>
          <cell r="F11">
            <v>3.9374304347826112</v>
          </cell>
        </row>
        <row r="12">
          <cell r="D12">
            <v>9.9699466842594398E-2</v>
          </cell>
          <cell r="E12">
            <v>3.9434344565217411E-2</v>
          </cell>
          <cell r="F12">
            <v>3.9434344565217412</v>
          </cell>
        </row>
        <row r="13">
          <cell r="D13">
            <v>9.6926697633896594E-2</v>
          </cell>
          <cell r="E13">
            <v>3.9494384782608721E-2</v>
          </cell>
          <cell r="F13">
            <v>3.949438478260872</v>
          </cell>
        </row>
        <row r="14">
          <cell r="D14">
            <v>9.4255760498720725E-2</v>
          </cell>
          <cell r="E14">
            <v>3.9554425000000018E-2</v>
          </cell>
          <cell r="F14">
            <v>3.955442500000002</v>
          </cell>
        </row>
        <row r="15">
          <cell r="D15">
            <v>9.1695554459503378E-2</v>
          </cell>
          <cell r="E15">
            <v>3.9614465217391329E-2</v>
          </cell>
          <cell r="F15">
            <v>3.9614465217391328</v>
          </cell>
        </row>
        <row r="16">
          <cell r="D16">
            <v>8.9255608650344487E-2</v>
          </cell>
          <cell r="E16">
            <v>3.9674505434782625E-2</v>
          </cell>
          <cell r="F16">
            <v>3.9674505434782628</v>
          </cell>
        </row>
        <row r="17">
          <cell r="D17">
            <v>8.6946048161577236E-2</v>
          </cell>
          <cell r="E17">
            <v>3.9734545652173922E-2</v>
          </cell>
          <cell r="F17">
            <v>3.9734545652173923</v>
          </cell>
        </row>
        <row r="18">
          <cell r="D18">
            <v>8.4777529769104062E-2</v>
          </cell>
          <cell r="E18">
            <v>3.9794585869565233E-2</v>
          </cell>
          <cell r="F18">
            <v>3.9794585869565231</v>
          </cell>
        </row>
        <row r="19">
          <cell r="D19">
            <v>8.2761141026761451E-2</v>
          </cell>
          <cell r="E19">
            <v>3.9854626086956536E-2</v>
          </cell>
          <cell r="F19">
            <v>3.9854626086956535</v>
          </cell>
        </row>
        <row r="20">
          <cell r="D20">
            <v>8.0908256821018112E-2</v>
          </cell>
          <cell r="E20">
            <v>3.991466630434784E-2</v>
          </cell>
          <cell r="F20">
            <v>3.9914666304347839</v>
          </cell>
        </row>
        <row r="21">
          <cell r="D21">
            <v>7.9230349153871005E-2</v>
          </cell>
          <cell r="E21">
            <v>3.9974706521739137E-2</v>
          </cell>
          <cell r="F21">
            <v>3.9974706521739138</v>
          </cell>
        </row>
        <row r="22">
          <cell r="D22">
            <v>7.7738748894852619E-2</v>
          </cell>
          <cell r="E22">
            <v>4.0034746739130447E-2</v>
          </cell>
          <cell r="F22">
            <v>4.0034746739130451</v>
          </cell>
        </row>
        <row r="23">
          <cell r="D23">
            <v>7.6444362642995103E-2</v>
          </cell>
          <cell r="E23">
            <v>4.0094786956521744E-2</v>
          </cell>
          <cell r="F23">
            <v>4.0094786956521746</v>
          </cell>
        </row>
        <row r="24">
          <cell r="D24">
            <v>7.5357353506573591E-2</v>
          </cell>
          <cell r="E24">
            <v>4.0154827173913048E-2</v>
          </cell>
          <cell r="F24">
            <v>4.015482717391305</v>
          </cell>
        </row>
        <row r="25">
          <cell r="D25">
            <v>7.4486800995879857E-2</v>
          </cell>
          <cell r="E25">
            <v>4.0214867391304351E-2</v>
          </cell>
          <cell r="F25">
            <v>4.0214867391304354</v>
          </cell>
        </row>
        <row r="26">
          <cell r="D26">
            <v>7.3840361355759068E-2</v>
          </cell>
          <cell r="E26">
            <v>4.0274907608695655E-2</v>
          </cell>
          <cell r="F26">
            <v>4.0274907608695658</v>
          </cell>
        </row>
        <row r="27">
          <cell r="D27">
            <v>7.3423954232678723E-2</v>
          </cell>
          <cell r="E27">
            <v>4.0334947826086959E-2</v>
          </cell>
          <cell r="F27">
            <v>4.0334947826086962</v>
          </cell>
        </row>
        <row r="28">
          <cell r="D28">
            <v>7.3241503211226341E-2</v>
          </cell>
          <cell r="E28">
            <v>4.0394988043478255E-2</v>
          </cell>
          <cell r="F28">
            <v>4.0394988043478257</v>
          </cell>
        </row>
        <row r="29">
          <cell r="D29">
            <v>7.329475545754835E-2</v>
          </cell>
          <cell r="E29">
            <v>4.0455028260869566E-2</v>
          </cell>
          <cell r="F29">
            <v>4.045502826086957</v>
          </cell>
        </row>
        <row r="30">
          <cell r="D30">
            <v>7.358319923724238E-2</v>
          </cell>
          <cell r="E30">
            <v>4.0515068478260863E-2</v>
          </cell>
          <cell r="F30">
            <v>4.0515068478260865</v>
          </cell>
        </row>
        <row r="31">
          <cell r="D31">
            <v>7.4104088212849348E-2</v>
          </cell>
          <cell r="E31">
            <v>4.0575108695652173E-2</v>
          </cell>
          <cell r="F31">
            <v>4.0575108695652169</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h20 CMBS"/>
    </sheetNames>
    <sheetDataSet>
      <sheetData sheetId="0">
        <row r="171">
          <cell r="D171">
            <v>0</v>
          </cell>
          <cell r="E171">
            <v>0.19104004814636055</v>
          </cell>
        </row>
        <row r="172">
          <cell r="D172">
            <v>0.05</v>
          </cell>
          <cell r="E172">
            <v>0.17331256212247201</v>
          </cell>
        </row>
        <row r="173">
          <cell r="D173">
            <v>0.1</v>
          </cell>
          <cell r="E173">
            <v>0.16098670463276857</v>
          </cell>
        </row>
        <row r="174">
          <cell r="D174">
            <v>0.15000000000000002</v>
          </cell>
          <cell r="E174">
            <v>0.15532835618367249</v>
          </cell>
        </row>
        <row r="175">
          <cell r="D175">
            <v>0.2</v>
          </cell>
          <cell r="E175">
            <v>0.14993493952328116</v>
          </cell>
        </row>
        <row r="176">
          <cell r="D176">
            <v>0.25</v>
          </cell>
          <cell r="E176">
            <v>0.14737549187106463</v>
          </cell>
        </row>
        <row r="177">
          <cell r="D177">
            <v>0.3</v>
          </cell>
          <cell r="E177">
            <v>0.14738328611616652</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h20 CMBS"/>
    </sheetNames>
    <sheetDataSet>
      <sheetData sheetId="0">
        <row r="60">
          <cell r="F60">
            <v>0.2</v>
          </cell>
        </row>
        <row r="134">
          <cell r="C134" t="str">
            <v>Prepayment</v>
          </cell>
          <cell r="D134">
            <v>399.74017857832689</v>
          </cell>
          <cell r="E134">
            <v>358.11775557400102</v>
          </cell>
        </row>
        <row r="135">
          <cell r="C135">
            <v>0</v>
          </cell>
          <cell r="D135">
            <v>0.30004894282811623</v>
          </cell>
          <cell r="E135">
            <v>5.3792676242975117E-2</v>
          </cell>
        </row>
        <row r="136">
          <cell r="C136">
            <v>0.05</v>
          </cell>
          <cell r="D136">
            <v>0.25320354178881338</v>
          </cell>
          <cell r="E136">
            <v>6.5681770075035173E-2</v>
          </cell>
        </row>
        <row r="137">
          <cell r="C137">
            <v>0.1</v>
          </cell>
          <cell r="D137">
            <v>0.20622497798526063</v>
          </cell>
          <cell r="E137">
            <v>7.9037589924664753E-2</v>
          </cell>
        </row>
        <row r="138">
          <cell r="C138">
            <v>0.15000000000000002</v>
          </cell>
          <cell r="D138">
            <v>0.15911549935311234</v>
          </cell>
          <cell r="E138">
            <v>9.3672789192370182E-2</v>
          </cell>
        </row>
        <row r="139">
          <cell r="C139">
            <v>0.2</v>
          </cell>
          <cell r="D139">
            <v>0.11187787934534389</v>
          </cell>
          <cell r="E139">
            <v>0.10935888548657445</v>
          </cell>
        </row>
        <row r="140">
          <cell r="C140">
            <v>0.25</v>
          </cell>
          <cell r="D140">
            <v>6.4515379452903615E-2</v>
          </cell>
          <cell r="E140">
            <v>0.12586561470778773</v>
          </cell>
        </row>
        <row r="141">
          <cell r="C141">
            <v>0.3</v>
          </cell>
          <cell r="D141">
            <v>1.7031669609579192E-2</v>
          </cell>
          <cell r="E141">
            <v>0.14298917762938032</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h4 Eff Cost"/>
      <sheetName val="Ch4 Eff Cost Simple"/>
      <sheetName val="Ch4 CAM"/>
      <sheetName val="Ch4 GPM"/>
      <sheetName val="Ch5 ARM No Caps"/>
      <sheetName val="Ch5 ARM Int Cap"/>
      <sheetName val="Ch5 ARM Pmt Cap"/>
      <sheetName val="Ch5 PLAM"/>
      <sheetName val="Ch5 PLAM Graphs"/>
      <sheetName val="Ch5 SAM"/>
      <sheetName val="Ch6 Incremental Cost"/>
      <sheetName val="Ch6 Combined Cost 2 loans"/>
      <sheetName val="Ch7 Rent vs Own"/>
      <sheetName val="Ch9 Eff.Rent"/>
      <sheetName val="Ch10 Mort Eq Cap"/>
      <sheetName val="Ch10 H&amp;BU"/>
      <sheetName val="Ch 10 Apartment"/>
      <sheetName val="Ch11 Market Anal"/>
      <sheetName val="Ch11 Lease"/>
      <sheetName val="Ch11 Basic Investment Anal"/>
      <sheetName val="Ch11 ATIRR"/>
      <sheetName val="Ch12 Leverage"/>
      <sheetName val="Ch12 Participation"/>
      <sheetName val="Ch12 Sale Leaseback of Land"/>
      <sheetName val="Ch12 Convertible Mortgage"/>
      <sheetName val="Ch12 Accrual Loan"/>
      <sheetName val="Ch13 Risk"/>
      <sheetName val="Ch 13 Risk and Leverage"/>
      <sheetName val="Ch13 Retail"/>
      <sheetName val="Ch13 Industrial"/>
      <sheetName val="Ch14 Return if Held"/>
      <sheetName val="Ch14 MRR"/>
      <sheetName val="Ch14 Return with Refinancing"/>
      <sheetName val="Ch14 Renovation"/>
      <sheetName val="Ch14 Installment Sale"/>
      <sheetName val="Ch 14 Exchange"/>
      <sheetName val="Ch15 Lease_Own"/>
      <sheetName val="Ch16 Const"/>
      <sheetName val="Ch17 Land Dev"/>
      <sheetName val="Ch18 IRR Pref"/>
      <sheetName val="Ch18 IRR Lookback"/>
      <sheetName val="Ch18 Partner"/>
      <sheetName val="Ch19 MPS"/>
      <sheetName val="Ch20 CMO"/>
      <sheetName val="Ch20 Floater"/>
      <sheetName val="CH20 IO_PO"/>
      <sheetName val="Ch20 CMBS"/>
      <sheetName val="Ch22_Fronti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4">
          <cell r="C4">
            <v>10000000</v>
          </cell>
          <cell r="F4">
            <v>8000000</v>
          </cell>
        </row>
        <row r="5">
          <cell r="C5">
            <v>0.1</v>
          </cell>
        </row>
        <row r="6">
          <cell r="C6">
            <v>5</v>
          </cell>
        </row>
        <row r="11">
          <cell r="I11">
            <v>0.08</v>
          </cell>
          <cell r="K11">
            <v>6000000</v>
          </cell>
        </row>
        <row r="16">
          <cell r="I16">
            <v>0.1</v>
          </cell>
          <cell r="K16">
            <v>3000000</v>
          </cell>
        </row>
        <row r="18">
          <cell r="K18">
            <v>1000000</v>
          </cell>
        </row>
        <row r="20">
          <cell r="K20">
            <v>10000000</v>
          </cell>
        </row>
      </sheetData>
      <sheetData sheetId="4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20.bin"/><Relationship Id="rId4" Type="http://schemas.openxmlformats.org/officeDocument/2006/relationships/comments" Target="../comments6.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22.bin"/><Relationship Id="rId4" Type="http://schemas.openxmlformats.org/officeDocument/2006/relationships/comments" Target="../comments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1.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23.bin"/><Relationship Id="rId4" Type="http://schemas.openxmlformats.org/officeDocument/2006/relationships/comments" Target="../comments10.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24.bin"/><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28.bin"/><Relationship Id="rId4" Type="http://schemas.openxmlformats.org/officeDocument/2006/relationships/comments" Target="../comments14.xm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29.bin"/><Relationship Id="rId4" Type="http://schemas.openxmlformats.org/officeDocument/2006/relationships/comments" Target="../comments1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5.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6.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1.xml"/><Relationship Id="rId1" Type="http://schemas.openxmlformats.org/officeDocument/2006/relationships/printerSettings" Target="../printerSettings/printerSettings37.bin"/><Relationship Id="rId4" Type="http://schemas.openxmlformats.org/officeDocument/2006/relationships/comments" Target="../comments16.xml"/></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2.xml"/><Relationship Id="rId1" Type="http://schemas.openxmlformats.org/officeDocument/2006/relationships/printerSettings" Target="../printerSettings/printerSettings38.bin"/><Relationship Id="rId4" Type="http://schemas.openxmlformats.org/officeDocument/2006/relationships/comments" Target="../comments17.xml"/></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3.xml"/><Relationship Id="rId1" Type="http://schemas.openxmlformats.org/officeDocument/2006/relationships/printerSettings" Target="../printerSettings/printerSettings39.bin"/><Relationship Id="rId4" Type="http://schemas.openxmlformats.org/officeDocument/2006/relationships/comments" Target="../comments18.xml"/></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4.xml"/><Relationship Id="rId1" Type="http://schemas.openxmlformats.org/officeDocument/2006/relationships/printerSettings" Target="../printerSettings/printerSettings40.bin"/><Relationship Id="rId4" Type="http://schemas.openxmlformats.org/officeDocument/2006/relationships/comments" Target="../comments19.x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5.xml"/><Relationship Id="rId1" Type="http://schemas.openxmlformats.org/officeDocument/2006/relationships/printerSettings" Target="../printerSettings/printerSettings42.bin"/><Relationship Id="rId4" Type="http://schemas.openxmlformats.org/officeDocument/2006/relationships/comments" Target="../comments20.xml"/></Relationships>
</file>

<file path=xl/worksheets/_rels/sheet5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6.xml"/><Relationship Id="rId1" Type="http://schemas.openxmlformats.org/officeDocument/2006/relationships/printerSettings" Target="../printerSettings/printerSettings43.bin"/><Relationship Id="rId4" Type="http://schemas.openxmlformats.org/officeDocument/2006/relationships/comments" Target="../comments21.xml"/></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7.xml"/><Relationship Id="rId1" Type="http://schemas.openxmlformats.org/officeDocument/2006/relationships/printerSettings" Target="../printerSettings/printerSettings44.bin"/><Relationship Id="rId4" Type="http://schemas.openxmlformats.org/officeDocument/2006/relationships/comments" Target="../comments2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45.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30.xml"/><Relationship Id="rId1" Type="http://schemas.openxmlformats.org/officeDocument/2006/relationships/printerSettings" Target="../printerSettings/printerSettings46.bin"/><Relationship Id="rId4" Type="http://schemas.openxmlformats.org/officeDocument/2006/relationships/comments" Target="../comments23.xml"/></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7.bin"/></Relationships>
</file>

<file path=xl/worksheets/_rels/sheet5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48.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9" workbookViewId="0">
      <selection activeCell="B38" sqref="B38"/>
    </sheetView>
  </sheetViews>
  <sheetFormatPr defaultRowHeight="12.5"/>
  <sheetData/>
  <phoneticPr fontId="39" type="noConversion"/>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93"/>
  <sheetViews>
    <sheetView workbookViewId="0">
      <selection activeCell="P39" sqref="P39"/>
    </sheetView>
  </sheetViews>
  <sheetFormatPr defaultRowHeight="12.5"/>
  <cols>
    <col min="4" max="4" width="13.81640625" customWidth="1"/>
    <col min="5" max="5" width="11.81640625" customWidth="1"/>
    <col min="6" max="6" width="10.1796875" customWidth="1"/>
    <col min="7" max="7" width="9.7265625" customWidth="1"/>
    <col min="8" max="8" width="10" customWidth="1"/>
    <col min="9" max="9" width="13.1796875" customWidth="1"/>
    <col min="10" max="10" width="11.1796875" customWidth="1"/>
  </cols>
  <sheetData>
    <row r="1" spans="2:18" ht="13" thickBot="1">
      <c r="N1" s="83"/>
    </row>
    <row r="2" spans="2:18" ht="18.5" thickBot="1">
      <c r="B2" s="1525" t="s">
        <v>1004</v>
      </c>
      <c r="C2" s="1526"/>
      <c r="D2" s="1526"/>
      <c r="E2" s="1526"/>
      <c r="F2" s="1526"/>
      <c r="G2" s="1526"/>
      <c r="H2" s="1526"/>
      <c r="I2" s="1526"/>
      <c r="J2" s="1526"/>
      <c r="K2" s="1526"/>
      <c r="L2" s="1527"/>
      <c r="N2" s="83"/>
    </row>
    <row r="3" spans="2:18" ht="16" thickBot="1">
      <c r="B3" s="1528" t="s">
        <v>32</v>
      </c>
      <c r="C3" s="1529"/>
      <c r="D3" s="1529"/>
      <c r="E3" s="1529"/>
      <c r="F3" s="1529"/>
      <c r="G3" s="1529"/>
      <c r="H3" s="1529"/>
      <c r="I3" s="1529"/>
      <c r="J3" s="1529"/>
      <c r="K3" s="1529"/>
      <c r="L3" s="1530"/>
      <c r="N3" s="83"/>
    </row>
    <row r="4" spans="2:18">
      <c r="B4" s="124"/>
      <c r="C4" s="209"/>
      <c r="I4" s="209"/>
      <c r="L4" s="126"/>
      <c r="N4" s="83"/>
    </row>
    <row r="5" spans="2:18" ht="13">
      <c r="B5" s="210" t="s">
        <v>1076</v>
      </c>
      <c r="C5" s="211"/>
      <c r="D5" s="211"/>
      <c r="E5" s="211"/>
      <c r="F5" s="211"/>
      <c r="G5" s="212"/>
      <c r="H5" s="212"/>
      <c r="I5" s="209"/>
      <c r="L5" s="126"/>
      <c r="N5" s="83"/>
    </row>
    <row r="6" spans="2:18" ht="13" thickBot="1">
      <c r="B6" s="213"/>
      <c r="C6" s="22"/>
      <c r="D6" s="22"/>
      <c r="E6" s="22"/>
      <c r="F6" s="22"/>
      <c r="G6" s="22"/>
      <c r="L6" s="126"/>
      <c r="N6" s="83"/>
    </row>
    <row r="7" spans="2:18" ht="13.5" thickBot="1">
      <c r="B7" s="213"/>
      <c r="C7" s="1531" t="s">
        <v>827</v>
      </c>
      <c r="D7" s="1532"/>
      <c r="E7" s="1532"/>
      <c r="F7" s="1532"/>
      <c r="G7" s="1533"/>
      <c r="H7" s="22"/>
      <c r="L7" s="126"/>
      <c r="N7" s="83"/>
      <c r="O7" s="1" t="s">
        <v>262</v>
      </c>
      <c r="P7" s="1" t="s">
        <v>823</v>
      </c>
      <c r="Q7" s="1" t="s">
        <v>262</v>
      </c>
      <c r="R7" s="1" t="s">
        <v>209</v>
      </c>
    </row>
    <row r="8" spans="2:18">
      <c r="B8" s="213"/>
      <c r="C8" s="124"/>
      <c r="G8" s="126"/>
      <c r="H8" s="22"/>
      <c r="L8" s="126"/>
      <c r="N8" s="83"/>
      <c r="O8">
        <v>0</v>
      </c>
      <c r="P8" s="43">
        <f>D23</f>
        <v>95000</v>
      </c>
      <c r="Q8">
        <v>1</v>
      </c>
      <c r="R8" s="8">
        <f>E23</f>
        <v>453.54453069218653</v>
      </c>
    </row>
    <row r="9" spans="2:18">
      <c r="B9" s="213"/>
      <c r="C9" s="145" t="s">
        <v>460</v>
      </c>
      <c r="D9" s="39"/>
      <c r="E9" s="39"/>
      <c r="F9" s="150">
        <v>95000</v>
      </c>
      <c r="G9" s="146"/>
      <c r="H9" s="22"/>
      <c r="L9" s="126"/>
      <c r="N9" s="83"/>
      <c r="O9">
        <f>O8+1</f>
        <v>1</v>
      </c>
      <c r="P9" s="43">
        <f>D35</f>
        <v>98926.636311715192</v>
      </c>
      <c r="Q9">
        <f>Q8+1</f>
        <v>2</v>
      </c>
      <c r="R9" s="43">
        <f>E35</f>
        <v>480.75720253371782</v>
      </c>
    </row>
    <row r="10" spans="2:18">
      <c r="B10" s="213"/>
      <c r="C10" s="145" t="s">
        <v>825</v>
      </c>
      <c r="D10" s="39"/>
      <c r="E10" s="39"/>
      <c r="F10" s="151">
        <v>0.04</v>
      </c>
      <c r="G10" s="146"/>
      <c r="H10" s="22"/>
      <c r="L10" s="126"/>
      <c r="N10" s="83"/>
      <c r="O10">
        <f t="shared" ref="O10:Q38" si="0">O9+1</f>
        <v>2</v>
      </c>
      <c r="P10" s="43">
        <f>D47</f>
        <v>102905.88443364843</v>
      </c>
      <c r="Q10">
        <f t="shared" si="0"/>
        <v>3</v>
      </c>
      <c r="R10" s="43">
        <f>E47</f>
        <v>509.60263468574095</v>
      </c>
    </row>
    <row r="11" spans="2:18">
      <c r="B11" s="213"/>
      <c r="C11" s="145" t="s">
        <v>371</v>
      </c>
      <c r="D11" s="39"/>
      <c r="E11" s="39"/>
      <c r="F11" s="152">
        <v>30</v>
      </c>
      <c r="G11" s="147" t="s">
        <v>816</v>
      </c>
      <c r="H11" s="22"/>
      <c r="L11" s="126"/>
      <c r="N11" s="83"/>
      <c r="O11">
        <f t="shared" si="0"/>
        <v>3</v>
      </c>
      <c r="P11" s="43">
        <f>D59</f>
        <v>106922.01943649919</v>
      </c>
      <c r="Q11">
        <f t="shared" si="0"/>
        <v>4</v>
      </c>
      <c r="R11" s="43">
        <f>E59</f>
        <v>540.17879276688529</v>
      </c>
    </row>
    <row r="12" spans="2:18" ht="13" thickBot="1">
      <c r="B12" s="213"/>
      <c r="C12" s="148" t="s">
        <v>214</v>
      </c>
      <c r="D12" s="63"/>
      <c r="E12" s="63"/>
      <c r="F12" s="153">
        <v>6</v>
      </c>
      <c r="G12" s="149"/>
      <c r="H12" s="22"/>
      <c r="L12" s="126"/>
      <c r="N12" s="83"/>
      <c r="O12">
        <f t="shared" si="0"/>
        <v>4</v>
      </c>
      <c r="P12" s="43">
        <f>D71</f>
        <v>110956.42457384904</v>
      </c>
      <c r="Q12">
        <f t="shared" si="0"/>
        <v>5</v>
      </c>
      <c r="R12" s="43">
        <f>E71</f>
        <v>572.58952033289825</v>
      </c>
    </row>
    <row r="13" spans="2:18">
      <c r="B13" s="124"/>
      <c r="C13" s="39"/>
      <c r="D13" s="39"/>
      <c r="E13" s="39"/>
      <c r="F13" s="39"/>
      <c r="G13" s="39"/>
      <c r="L13" s="126"/>
      <c r="N13" s="83"/>
      <c r="O13">
        <f t="shared" si="0"/>
        <v>5</v>
      </c>
      <c r="P13" s="43">
        <f>D83</f>
        <v>114987.21673357744</v>
      </c>
      <c r="Q13">
        <f t="shared" si="0"/>
        <v>6</v>
      </c>
      <c r="R13" s="43">
        <f>E83</f>
        <v>606.94489155287226</v>
      </c>
    </row>
    <row r="14" spans="2:18">
      <c r="B14" s="124"/>
      <c r="C14" s="22" t="s">
        <v>30</v>
      </c>
      <c r="F14" s="214">
        <f>PMT(F10/12,F11*12,-F9)</f>
        <v>453.54453069218653</v>
      </c>
      <c r="L14" s="126"/>
      <c r="N14" s="83"/>
      <c r="O14">
        <f t="shared" si="0"/>
        <v>6</v>
      </c>
      <c r="P14" s="43">
        <f>D95</f>
        <v>118988.82867188781</v>
      </c>
      <c r="Q14">
        <f t="shared" si="0"/>
        <v>7</v>
      </c>
      <c r="R14" s="43">
        <f>E95</f>
        <v>643.36158504604452</v>
      </c>
    </row>
    <row r="15" spans="2:18">
      <c r="B15" s="124"/>
      <c r="C15" s="22" t="s">
        <v>819</v>
      </c>
      <c r="F15" s="214">
        <f>F14*12</f>
        <v>5442.5343683062383</v>
      </c>
      <c r="G15" s="22" t="s">
        <v>820</v>
      </c>
      <c r="L15" s="126"/>
      <c r="N15" s="83"/>
      <c r="O15">
        <f t="shared" si="0"/>
        <v>7</v>
      </c>
      <c r="P15" s="43">
        <f>D107</f>
        <v>122931.54329636002</v>
      </c>
      <c r="Q15">
        <f t="shared" si="0"/>
        <v>8</v>
      </c>
      <c r="R15" s="43">
        <f>E107</f>
        <v>681.96328014880726</v>
      </c>
    </row>
    <row r="16" spans="2:18">
      <c r="B16" s="124"/>
      <c r="C16" s="22" t="s">
        <v>818</v>
      </c>
      <c r="F16" s="215">
        <f>F15/F9</f>
        <v>5.7289835455855143E-2</v>
      </c>
      <c r="G16" s="22"/>
      <c r="H16" s="22"/>
      <c r="L16" s="126"/>
      <c r="N16" s="83"/>
      <c r="O16">
        <f t="shared" si="0"/>
        <v>8</v>
      </c>
      <c r="P16" s="43">
        <f>D119</f>
        <v>126780.97475955733</v>
      </c>
      <c r="Q16">
        <f t="shared" si="0"/>
        <v>9</v>
      </c>
      <c r="R16" s="43">
        <f>E119</f>
        <v>722.8810769577359</v>
      </c>
    </row>
    <row r="17" spans="2:18">
      <c r="B17" s="124"/>
      <c r="C17" s="22" t="s">
        <v>1002</v>
      </c>
      <c r="F17" s="215">
        <f>F84</f>
        <v>0.04</v>
      </c>
      <c r="G17" s="22"/>
      <c r="H17" s="22"/>
      <c r="L17" s="126"/>
      <c r="N17" s="83"/>
      <c r="O17">
        <f t="shared" si="0"/>
        <v>9</v>
      </c>
      <c r="P17" s="43">
        <f>D131</f>
        <v>130497.49056674159</v>
      </c>
      <c r="Q17">
        <f t="shared" si="0"/>
        <v>10</v>
      </c>
      <c r="R17" s="43">
        <f>E131</f>
        <v>766.25394157519975</v>
      </c>
    </row>
    <row r="18" spans="2:18">
      <c r="B18" s="124"/>
      <c r="L18" s="126"/>
      <c r="N18" s="83"/>
      <c r="O18">
        <f t="shared" si="0"/>
        <v>10</v>
      </c>
      <c r="P18" s="43">
        <f>D143</f>
        <v>134035.56828465706</v>
      </c>
      <c r="Q18">
        <f t="shared" si="0"/>
        <v>11</v>
      </c>
      <c r="R18" s="43">
        <f>E143</f>
        <v>812.22917806971202</v>
      </c>
    </row>
    <row r="19" spans="2:18">
      <c r="B19" s="124"/>
      <c r="C19" t="s">
        <v>828</v>
      </c>
      <c r="D19" s="22"/>
      <c r="L19" s="126"/>
      <c r="O19">
        <f t="shared" si="0"/>
        <v>11</v>
      </c>
      <c r="P19" s="43">
        <f>D155</f>
        <v>137343.07975701473</v>
      </c>
      <c r="Q19">
        <f t="shared" si="0"/>
        <v>12</v>
      </c>
      <c r="R19" s="43">
        <f>E155</f>
        <v>860.96292875389474</v>
      </c>
    </row>
    <row r="20" spans="2:18" ht="13" thickBot="1">
      <c r="B20" s="124"/>
      <c r="L20" s="126"/>
      <c r="O20">
        <f t="shared" si="0"/>
        <v>12</v>
      </c>
      <c r="P20" s="43">
        <f>D167</f>
        <v>140360.49497950394</v>
      </c>
      <c r="Q20">
        <f t="shared" si="0"/>
        <v>13</v>
      </c>
      <c r="R20" s="43">
        <f>E167</f>
        <v>912.62070447912799</v>
      </c>
    </row>
    <row r="21" spans="2:18" ht="13.5" thickBot="1">
      <c r="B21" s="157" t="s">
        <v>262</v>
      </c>
      <c r="C21" s="157" t="s">
        <v>216</v>
      </c>
      <c r="D21" s="157" t="s">
        <v>821</v>
      </c>
      <c r="E21" s="157" t="s">
        <v>209</v>
      </c>
      <c r="F21" s="157" t="s">
        <v>822</v>
      </c>
      <c r="G21" s="157" t="s">
        <v>210</v>
      </c>
      <c r="H21" s="157" t="s">
        <v>387</v>
      </c>
      <c r="I21" s="157" t="s">
        <v>33</v>
      </c>
      <c r="J21" s="156" t="s">
        <v>824</v>
      </c>
      <c r="K21" s="700" t="s">
        <v>31</v>
      </c>
      <c r="L21" s="126"/>
      <c r="O21">
        <f t="shared" si="0"/>
        <v>13</v>
      </c>
      <c r="P21" s="43">
        <f>D179</f>
        <v>143019.99695542562</v>
      </c>
      <c r="Q21">
        <f t="shared" si="0"/>
        <v>14</v>
      </c>
      <c r="R21" s="43">
        <f>E179</f>
        <v>967.37794674787574</v>
      </c>
    </row>
    <row r="22" spans="2:18">
      <c r="B22" s="124"/>
      <c r="C22">
        <v>0</v>
      </c>
      <c r="J22" s="158">
        <f>-(F9-F12/100*F9)</f>
        <v>-89300</v>
      </c>
      <c r="L22" s="126"/>
      <c r="O22">
        <f t="shared" si="0"/>
        <v>14</v>
      </c>
      <c r="P22" s="43">
        <f>D191</f>
        <v>145244.49793416617</v>
      </c>
      <c r="Q22">
        <f t="shared" si="0"/>
        <v>15</v>
      </c>
      <c r="R22" s="43">
        <f>E191</f>
        <v>1025.4206235527486</v>
      </c>
    </row>
    <row r="23" spans="2:18">
      <c r="B23" s="159" t="s">
        <v>815</v>
      </c>
      <c r="C23">
        <v>1</v>
      </c>
      <c r="D23" s="11">
        <f>F9</f>
        <v>95000</v>
      </c>
      <c r="E23" s="11">
        <f>F14</f>
        <v>453.54453069218653</v>
      </c>
      <c r="F23" s="23">
        <f>F10</f>
        <v>0.04</v>
      </c>
      <c r="G23" s="160">
        <f t="shared" ref="G23:G54" si="1">(F23/12)*D23</f>
        <v>316.66666666666669</v>
      </c>
      <c r="H23" s="160">
        <f t="shared" ref="H23:H54" si="2">E23-G23</f>
        <v>136.87786402551984</v>
      </c>
      <c r="I23" s="161">
        <f t="shared" ref="I23:I33" si="3">D23-H23</f>
        <v>94863.122135974481</v>
      </c>
      <c r="J23" s="162">
        <f t="shared" ref="J23:J54" si="4">E23</f>
        <v>453.54453069218653</v>
      </c>
      <c r="L23" s="126"/>
      <c r="O23">
        <f t="shared" si="0"/>
        <v>15</v>
      </c>
      <c r="P23" s="43">
        <f>D203</f>
        <v>146946.54641964202</v>
      </c>
      <c r="Q23">
        <f t="shared" si="0"/>
        <v>16</v>
      </c>
      <c r="R23" s="43">
        <f>E203</f>
        <v>1086.9458609659134</v>
      </c>
    </row>
    <row r="24" spans="2:18">
      <c r="B24" s="159"/>
      <c r="C24">
        <f t="shared" ref="C24:C34" si="5">1+C23</f>
        <v>2</v>
      </c>
      <c r="D24" s="161">
        <f t="shared" ref="D24:D55" si="6">I23</f>
        <v>94863.122135974481</v>
      </c>
      <c r="E24" s="161">
        <f t="shared" ref="E24:E34" si="7">E23</f>
        <v>453.54453069218653</v>
      </c>
      <c r="F24" s="23">
        <f t="shared" ref="F24:F34" si="8">F23</f>
        <v>0.04</v>
      </c>
      <c r="G24" s="160">
        <f t="shared" si="1"/>
        <v>316.21040711991498</v>
      </c>
      <c r="H24" s="160">
        <f t="shared" si="2"/>
        <v>137.33412357227155</v>
      </c>
      <c r="I24" s="161">
        <f t="shared" si="3"/>
        <v>94725.788012402205</v>
      </c>
      <c r="J24" s="162">
        <f t="shared" si="4"/>
        <v>453.54453069218653</v>
      </c>
      <c r="L24" s="126"/>
      <c r="O24">
        <f t="shared" si="0"/>
        <v>16</v>
      </c>
      <c r="P24" s="43">
        <f>D215</f>
        <v>148027.11321452583</v>
      </c>
      <c r="Q24">
        <f t="shared" si="0"/>
        <v>17</v>
      </c>
      <c r="R24" s="43">
        <f>E215</f>
        <v>1152.1626126238684</v>
      </c>
    </row>
    <row r="25" spans="2:18">
      <c r="B25" s="159"/>
      <c r="C25">
        <f t="shared" si="5"/>
        <v>3</v>
      </c>
      <c r="D25" s="161">
        <f t="shared" si="6"/>
        <v>94725.788012402205</v>
      </c>
      <c r="E25" s="161">
        <f t="shared" si="7"/>
        <v>453.54453069218653</v>
      </c>
      <c r="F25" s="23">
        <f t="shared" si="8"/>
        <v>0.04</v>
      </c>
      <c r="G25" s="160">
        <f t="shared" si="1"/>
        <v>315.75262670800737</v>
      </c>
      <c r="H25" s="160">
        <f t="shared" si="2"/>
        <v>137.79190398417916</v>
      </c>
      <c r="I25" s="161">
        <f t="shared" si="3"/>
        <v>94587.996108418025</v>
      </c>
      <c r="J25" s="162">
        <f t="shared" si="4"/>
        <v>453.54453069218653</v>
      </c>
      <c r="L25" s="126"/>
      <c r="O25">
        <f t="shared" si="0"/>
        <v>17</v>
      </c>
      <c r="P25" s="43">
        <f>D227</f>
        <v>148374.24352747094</v>
      </c>
      <c r="Q25">
        <f t="shared" si="0"/>
        <v>18</v>
      </c>
      <c r="R25" s="43">
        <f>E227</f>
        <v>1221.2923693813009</v>
      </c>
    </row>
    <row r="26" spans="2:18">
      <c r="B26" s="159"/>
      <c r="C26">
        <f t="shared" si="5"/>
        <v>4</v>
      </c>
      <c r="D26" s="161">
        <f t="shared" si="6"/>
        <v>94587.996108418025</v>
      </c>
      <c r="E26" s="161">
        <f t="shared" si="7"/>
        <v>453.54453069218653</v>
      </c>
      <c r="F26" s="23">
        <f t="shared" si="8"/>
        <v>0.04</v>
      </c>
      <c r="G26" s="160">
        <f t="shared" si="1"/>
        <v>315.29332036139346</v>
      </c>
      <c r="H26" s="160">
        <f t="shared" si="2"/>
        <v>138.25121033079307</v>
      </c>
      <c r="I26" s="161">
        <f t="shared" si="3"/>
        <v>94449.744898087229</v>
      </c>
      <c r="J26" s="162">
        <f t="shared" si="4"/>
        <v>453.54453069218653</v>
      </c>
      <c r="L26" s="126"/>
      <c r="O26">
        <f t="shared" si="0"/>
        <v>18</v>
      </c>
      <c r="P26" s="43">
        <f>D239</f>
        <v>147861.56080248332</v>
      </c>
      <c r="Q26">
        <f t="shared" si="0"/>
        <v>19</v>
      </c>
      <c r="R26" s="43">
        <f>E239</f>
        <v>1294.5699115441791</v>
      </c>
    </row>
    <row r="27" spans="2:18">
      <c r="B27" s="159"/>
      <c r="C27">
        <f t="shared" si="5"/>
        <v>5</v>
      </c>
      <c r="D27" s="161">
        <f t="shared" si="6"/>
        <v>94449.744898087229</v>
      </c>
      <c r="E27" s="161">
        <f t="shared" si="7"/>
        <v>453.54453069218653</v>
      </c>
      <c r="F27" s="23">
        <f t="shared" si="8"/>
        <v>0.04</v>
      </c>
      <c r="G27" s="160">
        <f t="shared" si="1"/>
        <v>314.83248299362413</v>
      </c>
      <c r="H27" s="160">
        <f t="shared" si="2"/>
        <v>138.7120476985624</v>
      </c>
      <c r="I27" s="161">
        <f t="shared" si="3"/>
        <v>94311.03285038867</v>
      </c>
      <c r="J27" s="162">
        <f t="shared" si="4"/>
        <v>453.54453069218653</v>
      </c>
      <c r="L27" s="126"/>
      <c r="O27">
        <f t="shared" si="0"/>
        <v>19</v>
      </c>
      <c r="P27" s="43">
        <f>D251</f>
        <v>146346.60641858826</v>
      </c>
      <c r="Q27">
        <f t="shared" si="0"/>
        <v>20</v>
      </c>
      <c r="R27" s="43">
        <f>E251</f>
        <v>1372.24410623683</v>
      </c>
    </row>
    <row r="28" spans="2:18">
      <c r="B28" s="159"/>
      <c r="C28">
        <f t="shared" si="5"/>
        <v>6</v>
      </c>
      <c r="D28" s="161">
        <f t="shared" si="6"/>
        <v>94311.03285038867</v>
      </c>
      <c r="E28" s="161">
        <f t="shared" si="7"/>
        <v>453.54453069218653</v>
      </c>
      <c r="F28" s="23">
        <f t="shared" si="8"/>
        <v>0.04</v>
      </c>
      <c r="G28" s="160">
        <f t="shared" si="1"/>
        <v>314.37010950129559</v>
      </c>
      <c r="H28" s="160">
        <f t="shared" si="2"/>
        <v>139.17442119089094</v>
      </c>
      <c r="I28" s="161">
        <f t="shared" si="3"/>
        <v>94171.858429197775</v>
      </c>
      <c r="J28" s="162">
        <f t="shared" si="4"/>
        <v>453.54453069218653</v>
      </c>
      <c r="L28" s="126"/>
      <c r="O28">
        <f t="shared" si="0"/>
        <v>20</v>
      </c>
      <c r="P28" s="43">
        <f>D263</f>
        <v>143668.99773915115</v>
      </c>
      <c r="Q28">
        <f t="shared" si="0"/>
        <v>21</v>
      </c>
      <c r="R28" s="43">
        <f>E263</f>
        <v>1454.5787526110405</v>
      </c>
    </row>
    <row r="29" spans="2:18">
      <c r="B29" s="159"/>
      <c r="C29">
        <f t="shared" si="5"/>
        <v>7</v>
      </c>
      <c r="D29" s="161">
        <f t="shared" si="6"/>
        <v>94171.858429197775</v>
      </c>
      <c r="E29" s="161">
        <f t="shared" si="7"/>
        <v>453.54453069218653</v>
      </c>
      <c r="F29" s="23">
        <f t="shared" si="8"/>
        <v>0.04</v>
      </c>
      <c r="G29" s="160">
        <f t="shared" si="1"/>
        <v>313.90619476399263</v>
      </c>
      <c r="H29" s="160">
        <f t="shared" si="2"/>
        <v>139.6383359281939</v>
      </c>
      <c r="I29" s="161">
        <f t="shared" si="3"/>
        <v>94032.220093269585</v>
      </c>
      <c r="J29" s="162">
        <f t="shared" si="4"/>
        <v>453.54453069218653</v>
      </c>
      <c r="L29" s="126"/>
      <c r="O29">
        <f t="shared" si="0"/>
        <v>21</v>
      </c>
      <c r="P29" s="43">
        <f>D275</f>
        <v>139648.38514724106</v>
      </c>
      <c r="Q29">
        <f t="shared" si="0"/>
        <v>22</v>
      </c>
      <c r="R29" s="43">
        <f>E275</f>
        <v>1541.8534777677032</v>
      </c>
    </row>
    <row r="30" spans="2:18">
      <c r="B30" s="159"/>
      <c r="C30">
        <f t="shared" si="5"/>
        <v>8</v>
      </c>
      <c r="D30" s="161">
        <f t="shared" si="6"/>
        <v>94032.220093269585</v>
      </c>
      <c r="E30" s="161">
        <f t="shared" si="7"/>
        <v>453.54453069218653</v>
      </c>
      <c r="F30" s="23">
        <f t="shared" si="8"/>
        <v>0.04</v>
      </c>
      <c r="G30" s="160">
        <f t="shared" si="1"/>
        <v>313.44073364423195</v>
      </c>
      <c r="H30" s="160">
        <f t="shared" si="2"/>
        <v>140.10379704795457</v>
      </c>
      <c r="I30" s="161">
        <f t="shared" si="3"/>
        <v>93892.116296221633</v>
      </c>
      <c r="J30" s="162">
        <f t="shared" si="4"/>
        <v>453.54453069218653</v>
      </c>
      <c r="L30" s="126"/>
      <c r="O30">
        <f t="shared" si="0"/>
        <v>22</v>
      </c>
      <c r="P30" s="43">
        <f>D287</f>
        <v>134082.18666818159</v>
      </c>
      <c r="Q30">
        <f t="shared" si="0"/>
        <v>23</v>
      </c>
      <c r="R30" s="43">
        <f>E287</f>
        <v>1634.3646864337657</v>
      </c>
    </row>
    <row r="31" spans="2:18">
      <c r="B31" s="159"/>
      <c r="C31">
        <f t="shared" si="5"/>
        <v>9</v>
      </c>
      <c r="D31" s="161">
        <f t="shared" si="6"/>
        <v>93892.116296221633</v>
      </c>
      <c r="E31" s="161">
        <f t="shared" si="7"/>
        <v>453.54453069218653</v>
      </c>
      <c r="F31" s="23">
        <f t="shared" si="8"/>
        <v>0.04</v>
      </c>
      <c r="G31" s="160">
        <f t="shared" si="1"/>
        <v>312.97372098740544</v>
      </c>
      <c r="H31" s="160">
        <f t="shared" si="2"/>
        <v>140.57080970478108</v>
      </c>
      <c r="I31" s="161">
        <f t="shared" si="3"/>
        <v>93751.545486516858</v>
      </c>
      <c r="J31" s="162">
        <f t="shared" si="4"/>
        <v>453.54453069218653</v>
      </c>
      <c r="L31" s="126"/>
      <c r="O31">
        <f t="shared" si="0"/>
        <v>23</v>
      </c>
      <c r="P31" s="43">
        <f>D299</f>
        <v>126743.07653294902</v>
      </c>
      <c r="Q31">
        <f t="shared" si="0"/>
        <v>24</v>
      </c>
      <c r="R31" s="43">
        <f>E299</f>
        <v>1732.4265676197913</v>
      </c>
    </row>
    <row r="32" spans="2:18">
      <c r="B32" s="159"/>
      <c r="C32">
        <f t="shared" si="5"/>
        <v>10</v>
      </c>
      <c r="D32" s="161">
        <f t="shared" si="6"/>
        <v>93751.545486516858</v>
      </c>
      <c r="E32" s="161">
        <f t="shared" si="7"/>
        <v>453.54453069218653</v>
      </c>
      <c r="F32" s="23">
        <f t="shared" si="8"/>
        <v>0.04</v>
      </c>
      <c r="G32" s="160">
        <f t="shared" si="1"/>
        <v>312.50515162172286</v>
      </c>
      <c r="H32" s="160">
        <f t="shared" si="2"/>
        <v>141.03937907046367</v>
      </c>
      <c r="I32" s="161">
        <f t="shared" si="3"/>
        <v>93610.506107446388</v>
      </c>
      <c r="J32" s="162">
        <f t="shared" si="4"/>
        <v>453.54453069218653</v>
      </c>
      <c r="L32" s="126"/>
      <c r="O32">
        <f t="shared" si="0"/>
        <v>24</v>
      </c>
      <c r="P32" s="43">
        <f>D311</f>
        <v>117376.20155431962</v>
      </c>
      <c r="Q32">
        <f t="shared" si="0"/>
        <v>25</v>
      </c>
      <c r="R32" s="43">
        <f>E311</f>
        <v>1836.3721616769785</v>
      </c>
    </row>
    <row r="33" spans="2:18">
      <c r="B33" s="159"/>
      <c r="C33">
        <f t="shared" si="5"/>
        <v>11</v>
      </c>
      <c r="D33" s="161">
        <f t="shared" si="6"/>
        <v>93610.506107446388</v>
      </c>
      <c r="E33" s="161">
        <f t="shared" si="7"/>
        <v>453.54453069218653</v>
      </c>
      <c r="F33" s="23">
        <f t="shared" si="8"/>
        <v>0.04</v>
      </c>
      <c r="G33" s="160">
        <f t="shared" si="1"/>
        <v>312.03502035815467</v>
      </c>
      <c r="H33" s="160">
        <f t="shared" si="2"/>
        <v>141.50951033403186</v>
      </c>
      <c r="I33" s="161">
        <f t="shared" si="3"/>
        <v>93468.99659711236</v>
      </c>
      <c r="J33" s="162">
        <f t="shared" si="4"/>
        <v>453.54453069218653</v>
      </c>
      <c r="L33" s="126"/>
      <c r="O33">
        <f t="shared" si="0"/>
        <v>25</v>
      </c>
      <c r="P33" s="43">
        <f>D323</f>
        <v>105696.09644731834</v>
      </c>
      <c r="Q33">
        <f t="shared" si="0"/>
        <v>26</v>
      </c>
      <c r="R33" s="43">
        <f>E323</f>
        <v>1946.554491377598</v>
      </c>
    </row>
    <row r="34" spans="2:18">
      <c r="B34" s="159"/>
      <c r="C34">
        <f t="shared" si="5"/>
        <v>12</v>
      </c>
      <c r="D34" s="161">
        <f t="shared" si="6"/>
        <v>93468.99659711236</v>
      </c>
      <c r="E34" s="161">
        <f t="shared" si="7"/>
        <v>453.54453069218653</v>
      </c>
      <c r="F34" s="23">
        <f t="shared" si="8"/>
        <v>0.04</v>
      </c>
      <c r="G34" s="160">
        <f t="shared" si="1"/>
        <v>311.56332199037456</v>
      </c>
      <c r="H34" s="160">
        <f t="shared" si="2"/>
        <v>141.98120870181197</v>
      </c>
      <c r="I34" s="701">
        <f>(D34-H34)*(1+K34)</f>
        <v>98926.636311715192</v>
      </c>
      <c r="J34" s="162">
        <f t="shared" si="4"/>
        <v>453.54453069218653</v>
      </c>
      <c r="K34" s="702">
        <v>0.06</v>
      </c>
      <c r="L34" s="126"/>
      <c r="O34">
        <f t="shared" si="0"/>
        <v>26</v>
      </c>
      <c r="P34" s="43">
        <f>D335</f>
        <v>91383.266199749909</v>
      </c>
      <c r="Q34">
        <f t="shared" si="0"/>
        <v>27</v>
      </c>
      <c r="R34" s="43">
        <f>E335</f>
        <v>2063.3477608602543</v>
      </c>
    </row>
    <row r="35" spans="2:18">
      <c r="B35" s="159">
        <v>2</v>
      </c>
      <c r="C35">
        <v>1</v>
      </c>
      <c r="D35" s="701">
        <f t="shared" si="6"/>
        <v>98926.636311715192</v>
      </c>
      <c r="E35" s="161">
        <f>PMT(F35/12,($F$11-B35+1)*12,-D35)</f>
        <v>480.75720253371782</v>
      </c>
      <c r="F35" s="23">
        <f t="shared" ref="F35:F81" si="9">F34</f>
        <v>0.04</v>
      </c>
      <c r="G35" s="160">
        <f t="shared" si="1"/>
        <v>329.75545437238401</v>
      </c>
      <c r="H35" s="160">
        <f t="shared" si="2"/>
        <v>151.00174816133381</v>
      </c>
      <c r="I35" s="161">
        <f t="shared" ref="I35:I45" si="10">D35-H35</f>
        <v>98775.63456355386</v>
      </c>
      <c r="J35" s="162">
        <f t="shared" si="4"/>
        <v>480.75720253371782</v>
      </c>
      <c r="L35" s="126"/>
      <c r="O35">
        <f t="shared" si="0"/>
        <v>27</v>
      </c>
      <c r="P35" s="43">
        <f>D347</f>
        <v>74080.400257786547</v>
      </c>
      <c r="Q35">
        <f t="shared" si="0"/>
        <v>28</v>
      </c>
      <c r="R35" s="43">
        <f>E347</f>
        <v>2187.1486265118688</v>
      </c>
    </row>
    <row r="36" spans="2:18">
      <c r="B36" s="159"/>
      <c r="C36">
        <f t="shared" ref="C36:C46" si="11">1+C35</f>
        <v>2</v>
      </c>
      <c r="D36" s="161">
        <f t="shared" si="6"/>
        <v>98775.63456355386</v>
      </c>
      <c r="E36" s="161">
        <f t="shared" ref="E36:E46" si="12">E35</f>
        <v>480.75720253371782</v>
      </c>
      <c r="F36" s="23">
        <f t="shared" si="9"/>
        <v>0.04</v>
      </c>
      <c r="G36" s="160">
        <f t="shared" si="1"/>
        <v>329.25211521184622</v>
      </c>
      <c r="H36" s="160">
        <f t="shared" si="2"/>
        <v>151.5050873218716</v>
      </c>
      <c r="I36" s="161">
        <f t="shared" si="10"/>
        <v>98624.129476231989</v>
      </c>
      <c r="J36" s="162">
        <f t="shared" si="4"/>
        <v>480.75720253371782</v>
      </c>
      <c r="L36" s="126"/>
      <c r="O36">
        <f t="shared" si="0"/>
        <v>28</v>
      </c>
      <c r="P36" s="43">
        <f>D359</f>
        <v>53388.179603069068</v>
      </c>
      <c r="Q36">
        <f t="shared" si="0"/>
        <v>29</v>
      </c>
      <c r="R36" s="43">
        <f>E359</f>
        <v>2318.3775441025809</v>
      </c>
    </row>
    <row r="37" spans="2:18">
      <c r="B37" s="159"/>
      <c r="C37">
        <f t="shared" si="11"/>
        <v>3</v>
      </c>
      <c r="D37" s="161">
        <f t="shared" si="6"/>
        <v>98624.129476231989</v>
      </c>
      <c r="E37" s="161">
        <f t="shared" si="12"/>
        <v>480.75720253371782</v>
      </c>
      <c r="F37" s="23">
        <f t="shared" si="9"/>
        <v>0.04</v>
      </c>
      <c r="G37" s="160">
        <f t="shared" si="1"/>
        <v>328.74709825410667</v>
      </c>
      <c r="H37" s="160">
        <f t="shared" si="2"/>
        <v>152.01010427961114</v>
      </c>
      <c r="I37" s="161">
        <f t="shared" si="10"/>
        <v>98472.119371952373</v>
      </c>
      <c r="J37" s="162">
        <f t="shared" si="4"/>
        <v>480.75720253371782</v>
      </c>
      <c r="L37" s="126"/>
      <c r="O37">
        <f t="shared" si="0"/>
        <v>29</v>
      </c>
      <c r="P37" s="43">
        <f>D371</f>
        <v>28860.633725492055</v>
      </c>
      <c r="Q37">
        <f t="shared" si="0"/>
        <v>30</v>
      </c>
      <c r="R37" s="43">
        <f>E371</f>
        <v>2457.480196748736</v>
      </c>
    </row>
    <row r="38" spans="2:18">
      <c r="B38" s="159"/>
      <c r="C38">
        <f t="shared" si="11"/>
        <v>4</v>
      </c>
      <c r="D38" s="161">
        <f t="shared" si="6"/>
        <v>98472.119371952373</v>
      </c>
      <c r="E38" s="161">
        <f t="shared" si="12"/>
        <v>480.75720253371782</v>
      </c>
      <c r="F38" s="23">
        <f t="shared" si="9"/>
        <v>0.04</v>
      </c>
      <c r="G38" s="160">
        <f t="shared" si="1"/>
        <v>328.24039790650795</v>
      </c>
      <c r="H38" s="160">
        <f t="shared" si="2"/>
        <v>152.51680462720986</v>
      </c>
      <c r="I38" s="161">
        <f t="shared" si="10"/>
        <v>98319.602567325157</v>
      </c>
      <c r="J38" s="162">
        <f t="shared" si="4"/>
        <v>480.75720253371782</v>
      </c>
      <c r="L38" s="126"/>
      <c r="O38">
        <f t="shared" si="0"/>
        <v>30</v>
      </c>
      <c r="P38" s="43">
        <f>D384</f>
        <v>0</v>
      </c>
    </row>
    <row r="39" spans="2:18">
      <c r="B39" s="159"/>
      <c r="C39">
        <f t="shared" si="11"/>
        <v>5</v>
      </c>
      <c r="D39" s="161">
        <f t="shared" si="6"/>
        <v>98319.602567325157</v>
      </c>
      <c r="E39" s="161">
        <f t="shared" si="12"/>
        <v>480.75720253371782</v>
      </c>
      <c r="F39" s="23">
        <f t="shared" si="9"/>
        <v>0.04</v>
      </c>
      <c r="G39" s="160">
        <f t="shared" si="1"/>
        <v>327.73200855775053</v>
      </c>
      <c r="H39" s="160">
        <f t="shared" si="2"/>
        <v>153.02519397596728</v>
      </c>
      <c r="I39" s="161">
        <f t="shared" si="10"/>
        <v>98166.577373349195</v>
      </c>
      <c r="J39" s="162">
        <f t="shared" si="4"/>
        <v>480.75720253371782</v>
      </c>
      <c r="L39" s="126"/>
    </row>
    <row r="40" spans="2:18">
      <c r="B40" s="159"/>
      <c r="C40">
        <f t="shared" si="11"/>
        <v>6</v>
      </c>
      <c r="D40" s="161">
        <f t="shared" si="6"/>
        <v>98166.577373349195</v>
      </c>
      <c r="E40" s="161">
        <f t="shared" si="12"/>
        <v>480.75720253371782</v>
      </c>
      <c r="F40" s="23">
        <f t="shared" si="9"/>
        <v>0.04</v>
      </c>
      <c r="G40" s="160">
        <f t="shared" si="1"/>
        <v>327.22192457783069</v>
      </c>
      <c r="H40" s="160">
        <f t="shared" si="2"/>
        <v>153.53527795588712</v>
      </c>
      <c r="I40" s="161">
        <f t="shared" si="10"/>
        <v>98013.042095393306</v>
      </c>
      <c r="J40" s="162">
        <f t="shared" si="4"/>
        <v>480.75720253371782</v>
      </c>
      <c r="L40" s="126"/>
    </row>
    <row r="41" spans="2:18">
      <c r="B41" s="159"/>
      <c r="C41">
        <f t="shared" si="11"/>
        <v>7</v>
      </c>
      <c r="D41" s="161">
        <f t="shared" si="6"/>
        <v>98013.042095393306</v>
      </c>
      <c r="E41" s="161">
        <f t="shared" si="12"/>
        <v>480.75720253371782</v>
      </c>
      <c r="F41" s="23">
        <f t="shared" si="9"/>
        <v>0.04</v>
      </c>
      <c r="G41" s="160">
        <f t="shared" si="1"/>
        <v>326.71014031797773</v>
      </c>
      <c r="H41" s="160">
        <f t="shared" si="2"/>
        <v>154.04706221574008</v>
      </c>
      <c r="I41" s="161">
        <f t="shared" si="10"/>
        <v>97858.995033177562</v>
      </c>
      <c r="J41" s="162">
        <f t="shared" si="4"/>
        <v>480.75720253371782</v>
      </c>
      <c r="L41" s="126"/>
    </row>
    <row r="42" spans="2:18">
      <c r="B42" s="159"/>
      <c r="C42">
        <f t="shared" si="11"/>
        <v>8</v>
      </c>
      <c r="D42" s="161">
        <f t="shared" si="6"/>
        <v>97858.995033177562</v>
      </c>
      <c r="E42" s="161">
        <f t="shared" si="12"/>
        <v>480.75720253371782</v>
      </c>
      <c r="F42" s="23">
        <f t="shared" si="9"/>
        <v>0.04</v>
      </c>
      <c r="G42" s="160">
        <f t="shared" si="1"/>
        <v>326.19665011059192</v>
      </c>
      <c r="H42" s="160">
        <f t="shared" si="2"/>
        <v>154.5605524231259</v>
      </c>
      <c r="I42" s="161">
        <f t="shared" si="10"/>
        <v>97704.43448075444</v>
      </c>
      <c r="J42" s="162">
        <f t="shared" si="4"/>
        <v>480.75720253371782</v>
      </c>
      <c r="L42" s="126"/>
    </row>
    <row r="43" spans="2:18">
      <c r="B43" s="159"/>
      <c r="C43">
        <f t="shared" si="11"/>
        <v>9</v>
      </c>
      <c r="D43" s="161">
        <f t="shared" si="6"/>
        <v>97704.43448075444</v>
      </c>
      <c r="E43" s="161">
        <f t="shared" si="12"/>
        <v>480.75720253371782</v>
      </c>
      <c r="F43" s="23">
        <f t="shared" si="9"/>
        <v>0.04</v>
      </c>
      <c r="G43" s="160">
        <f t="shared" si="1"/>
        <v>325.68144826918149</v>
      </c>
      <c r="H43" s="160">
        <f t="shared" si="2"/>
        <v>155.07575426453633</v>
      </c>
      <c r="I43" s="161">
        <f t="shared" si="10"/>
        <v>97549.358726489911</v>
      </c>
      <c r="J43" s="162">
        <f t="shared" si="4"/>
        <v>480.75720253371782</v>
      </c>
      <c r="L43" s="126"/>
    </row>
    <row r="44" spans="2:18">
      <c r="B44" s="159"/>
      <c r="C44">
        <f t="shared" si="11"/>
        <v>10</v>
      </c>
      <c r="D44" s="161">
        <f t="shared" si="6"/>
        <v>97549.358726489911</v>
      </c>
      <c r="E44" s="161">
        <f t="shared" si="12"/>
        <v>480.75720253371782</v>
      </c>
      <c r="F44" s="23">
        <f t="shared" si="9"/>
        <v>0.04</v>
      </c>
      <c r="G44" s="160">
        <f t="shared" si="1"/>
        <v>325.16452908829973</v>
      </c>
      <c r="H44" s="160">
        <f t="shared" si="2"/>
        <v>155.59267344541809</v>
      </c>
      <c r="I44" s="161">
        <f t="shared" si="10"/>
        <v>97393.766053044499</v>
      </c>
      <c r="J44" s="162">
        <f t="shared" si="4"/>
        <v>480.75720253371782</v>
      </c>
      <c r="L44" s="126"/>
    </row>
    <row r="45" spans="2:18">
      <c r="B45" s="159"/>
      <c r="C45">
        <f t="shared" si="11"/>
        <v>11</v>
      </c>
      <c r="D45" s="161">
        <f t="shared" si="6"/>
        <v>97393.766053044499</v>
      </c>
      <c r="E45" s="161">
        <f t="shared" si="12"/>
        <v>480.75720253371782</v>
      </c>
      <c r="F45" s="23">
        <f t="shared" si="9"/>
        <v>0.04</v>
      </c>
      <c r="G45" s="160">
        <f t="shared" si="1"/>
        <v>324.64588684348166</v>
      </c>
      <c r="H45" s="160">
        <f t="shared" si="2"/>
        <v>156.11131569023615</v>
      </c>
      <c r="I45" s="161">
        <f t="shared" si="10"/>
        <v>97237.654737354256</v>
      </c>
      <c r="J45" s="162">
        <f t="shared" si="4"/>
        <v>480.75720253371782</v>
      </c>
      <c r="L45" s="126"/>
    </row>
    <row r="46" spans="2:18">
      <c r="B46" s="159"/>
      <c r="C46">
        <f t="shared" si="11"/>
        <v>12</v>
      </c>
      <c r="D46" s="161">
        <f t="shared" si="6"/>
        <v>97237.654737354256</v>
      </c>
      <c r="E46" s="161">
        <f t="shared" si="12"/>
        <v>480.75720253371782</v>
      </c>
      <c r="F46" s="23">
        <f t="shared" si="9"/>
        <v>0.04</v>
      </c>
      <c r="G46" s="160">
        <f t="shared" si="1"/>
        <v>324.12551579118087</v>
      </c>
      <c r="H46" s="160">
        <f t="shared" si="2"/>
        <v>156.63168674253694</v>
      </c>
      <c r="I46" s="701">
        <f>(D46-H46)*(1+K46)</f>
        <v>102905.88443364843</v>
      </c>
      <c r="J46" s="162">
        <f t="shared" si="4"/>
        <v>480.75720253371782</v>
      </c>
      <c r="K46" s="702">
        <v>0.06</v>
      </c>
      <c r="L46" s="126"/>
    </row>
    <row r="47" spans="2:18">
      <c r="B47" s="159">
        <v>3</v>
      </c>
      <c r="C47">
        <v>1</v>
      </c>
      <c r="D47" s="701">
        <f t="shared" si="6"/>
        <v>102905.88443364843</v>
      </c>
      <c r="E47" s="161">
        <f>PMT(F47/12,($F$11-B47+1)*12,-D47)</f>
        <v>509.60263468574095</v>
      </c>
      <c r="F47" s="23">
        <f t="shared" si="9"/>
        <v>0.04</v>
      </c>
      <c r="G47" s="160">
        <f t="shared" si="1"/>
        <v>343.01961477882816</v>
      </c>
      <c r="H47" s="160">
        <f t="shared" si="2"/>
        <v>166.5830199069128</v>
      </c>
      <c r="I47" s="161">
        <f t="shared" ref="I47:I57" si="13">D47-H47</f>
        <v>102739.30141374152</v>
      </c>
      <c r="J47" s="162">
        <f t="shared" si="4"/>
        <v>509.60263468574095</v>
      </c>
      <c r="L47" s="126"/>
    </row>
    <row r="48" spans="2:18">
      <c r="B48" s="159"/>
      <c r="C48">
        <f t="shared" ref="C48:C58" si="14">1+C47</f>
        <v>2</v>
      </c>
      <c r="D48" s="161">
        <f t="shared" si="6"/>
        <v>102739.30141374152</v>
      </c>
      <c r="E48" s="161">
        <f t="shared" ref="E48:E58" si="15">E47</f>
        <v>509.60263468574095</v>
      </c>
      <c r="F48" s="23">
        <f t="shared" si="9"/>
        <v>0.04</v>
      </c>
      <c r="G48" s="160">
        <f t="shared" si="1"/>
        <v>342.46433804580505</v>
      </c>
      <c r="H48" s="160">
        <f t="shared" si="2"/>
        <v>167.1382966399359</v>
      </c>
      <c r="I48" s="161">
        <f t="shared" si="13"/>
        <v>102572.16311710158</v>
      </c>
      <c r="J48" s="162">
        <f t="shared" si="4"/>
        <v>509.60263468574095</v>
      </c>
      <c r="L48" s="126"/>
    </row>
    <row r="49" spans="2:12">
      <c r="B49" s="159"/>
      <c r="C49">
        <f t="shared" si="14"/>
        <v>3</v>
      </c>
      <c r="D49" s="161">
        <f t="shared" si="6"/>
        <v>102572.16311710158</v>
      </c>
      <c r="E49" s="161">
        <f t="shared" si="15"/>
        <v>509.60263468574095</v>
      </c>
      <c r="F49" s="23">
        <f t="shared" si="9"/>
        <v>0.04</v>
      </c>
      <c r="G49" s="160">
        <f t="shared" si="1"/>
        <v>341.90721039033861</v>
      </c>
      <c r="H49" s="160">
        <f t="shared" si="2"/>
        <v>167.69542429540235</v>
      </c>
      <c r="I49" s="161">
        <f t="shared" si="13"/>
        <v>102404.46769280617</v>
      </c>
      <c r="J49" s="162">
        <f t="shared" si="4"/>
        <v>509.60263468574095</v>
      </c>
      <c r="L49" s="126"/>
    </row>
    <row r="50" spans="2:12">
      <c r="B50" s="159"/>
      <c r="C50">
        <f t="shared" si="14"/>
        <v>4</v>
      </c>
      <c r="D50" s="161">
        <f t="shared" si="6"/>
        <v>102404.46769280617</v>
      </c>
      <c r="E50" s="161">
        <f t="shared" si="15"/>
        <v>509.60263468574095</v>
      </c>
      <c r="F50" s="23">
        <f t="shared" si="9"/>
        <v>0.04</v>
      </c>
      <c r="G50" s="160">
        <f t="shared" si="1"/>
        <v>341.34822564268723</v>
      </c>
      <c r="H50" s="160">
        <f t="shared" si="2"/>
        <v>168.25440904305373</v>
      </c>
      <c r="I50" s="161">
        <f t="shared" si="13"/>
        <v>102236.21328376311</v>
      </c>
      <c r="J50" s="162">
        <f t="shared" si="4"/>
        <v>509.60263468574095</v>
      </c>
      <c r="L50" s="126"/>
    </row>
    <row r="51" spans="2:12">
      <c r="B51" s="159"/>
      <c r="C51">
        <f t="shared" si="14"/>
        <v>5</v>
      </c>
      <c r="D51" s="161">
        <f t="shared" si="6"/>
        <v>102236.21328376311</v>
      </c>
      <c r="E51" s="161">
        <f t="shared" si="15"/>
        <v>509.60263468574095</v>
      </c>
      <c r="F51" s="23">
        <f t="shared" si="9"/>
        <v>0.04</v>
      </c>
      <c r="G51" s="160">
        <f t="shared" si="1"/>
        <v>340.78737761254371</v>
      </c>
      <c r="H51" s="160">
        <f t="shared" si="2"/>
        <v>168.81525707319724</v>
      </c>
      <c r="I51" s="161">
        <f t="shared" si="13"/>
        <v>102067.39802668992</v>
      </c>
      <c r="J51" s="162">
        <f t="shared" si="4"/>
        <v>509.60263468574095</v>
      </c>
      <c r="L51" s="126"/>
    </row>
    <row r="52" spans="2:12">
      <c r="B52" s="159"/>
      <c r="C52">
        <f t="shared" si="14"/>
        <v>6</v>
      </c>
      <c r="D52" s="161">
        <f t="shared" si="6"/>
        <v>102067.39802668992</v>
      </c>
      <c r="E52" s="161">
        <f t="shared" si="15"/>
        <v>509.60263468574095</v>
      </c>
      <c r="F52" s="23">
        <f t="shared" si="9"/>
        <v>0.04</v>
      </c>
      <c r="G52" s="160">
        <f t="shared" si="1"/>
        <v>340.2246600889664</v>
      </c>
      <c r="H52" s="160">
        <f t="shared" si="2"/>
        <v>169.37797459677455</v>
      </c>
      <c r="I52" s="161">
        <f t="shared" si="13"/>
        <v>101898.02005209314</v>
      </c>
      <c r="J52" s="162">
        <f t="shared" si="4"/>
        <v>509.60263468574095</v>
      </c>
      <c r="L52" s="126"/>
    </row>
    <row r="53" spans="2:12">
      <c r="B53" s="159"/>
      <c r="C53">
        <f t="shared" si="14"/>
        <v>7</v>
      </c>
      <c r="D53" s="161">
        <f t="shared" si="6"/>
        <v>101898.02005209314</v>
      </c>
      <c r="E53" s="161">
        <f t="shared" si="15"/>
        <v>509.60263468574095</v>
      </c>
      <c r="F53" s="23">
        <f t="shared" si="9"/>
        <v>0.04</v>
      </c>
      <c r="G53" s="160">
        <f t="shared" si="1"/>
        <v>339.66006684031049</v>
      </c>
      <c r="H53" s="160">
        <f t="shared" si="2"/>
        <v>169.94256784543046</v>
      </c>
      <c r="I53" s="161">
        <f t="shared" si="13"/>
        <v>101728.07748424771</v>
      </c>
      <c r="J53" s="162">
        <f t="shared" si="4"/>
        <v>509.60263468574095</v>
      </c>
      <c r="L53" s="126"/>
    </row>
    <row r="54" spans="2:12">
      <c r="B54" s="159"/>
      <c r="C54">
        <f t="shared" si="14"/>
        <v>8</v>
      </c>
      <c r="D54" s="161">
        <f t="shared" si="6"/>
        <v>101728.07748424771</v>
      </c>
      <c r="E54" s="161">
        <f t="shared" si="15"/>
        <v>509.60263468574095</v>
      </c>
      <c r="F54" s="23">
        <f t="shared" si="9"/>
        <v>0.04</v>
      </c>
      <c r="G54" s="160">
        <f t="shared" si="1"/>
        <v>339.09359161415904</v>
      </c>
      <c r="H54" s="160">
        <f t="shared" si="2"/>
        <v>170.50904307158191</v>
      </c>
      <c r="I54" s="161">
        <f t="shared" si="13"/>
        <v>101557.56844117613</v>
      </c>
      <c r="J54" s="162">
        <f t="shared" si="4"/>
        <v>509.60263468574095</v>
      </c>
      <c r="L54" s="126"/>
    </row>
    <row r="55" spans="2:12">
      <c r="B55" s="159"/>
      <c r="C55">
        <f t="shared" si="14"/>
        <v>9</v>
      </c>
      <c r="D55" s="161">
        <f t="shared" si="6"/>
        <v>101557.56844117613</v>
      </c>
      <c r="E55" s="161">
        <f t="shared" si="15"/>
        <v>509.60263468574095</v>
      </c>
      <c r="F55" s="23">
        <f t="shared" si="9"/>
        <v>0.04</v>
      </c>
      <c r="G55" s="160">
        <f t="shared" ref="G55:G81" si="16">(F55/12)*D55</f>
        <v>338.52522813725381</v>
      </c>
      <c r="H55" s="160">
        <f t="shared" ref="H55:H81" si="17">E55-G55</f>
        <v>171.07740654848715</v>
      </c>
      <c r="I55" s="161">
        <f t="shared" si="13"/>
        <v>101386.49103462764</v>
      </c>
      <c r="J55" s="162">
        <f t="shared" ref="J55:J81" si="18">E55</f>
        <v>509.60263468574095</v>
      </c>
      <c r="L55" s="126"/>
    </row>
    <row r="56" spans="2:12">
      <c r="B56" s="159"/>
      <c r="C56">
        <f t="shared" si="14"/>
        <v>10</v>
      </c>
      <c r="D56" s="161">
        <f t="shared" ref="D56:D81" si="19">I55</f>
        <v>101386.49103462764</v>
      </c>
      <c r="E56" s="161">
        <f t="shared" si="15"/>
        <v>509.60263468574095</v>
      </c>
      <c r="F56" s="23">
        <f t="shared" si="9"/>
        <v>0.04</v>
      </c>
      <c r="G56" s="160">
        <f t="shared" si="16"/>
        <v>337.95497011542551</v>
      </c>
      <c r="H56" s="160">
        <f t="shared" si="17"/>
        <v>171.64766457031544</v>
      </c>
      <c r="I56" s="161">
        <f t="shared" si="13"/>
        <v>101214.84337005732</v>
      </c>
      <c r="J56" s="162">
        <f t="shared" si="18"/>
        <v>509.60263468574095</v>
      </c>
      <c r="L56" s="126"/>
    </row>
    <row r="57" spans="2:12">
      <c r="B57" s="159"/>
      <c r="C57">
        <f t="shared" si="14"/>
        <v>11</v>
      </c>
      <c r="D57" s="161">
        <f t="shared" si="19"/>
        <v>101214.84337005732</v>
      </c>
      <c r="E57" s="161">
        <f t="shared" si="15"/>
        <v>509.60263468574095</v>
      </c>
      <c r="F57" s="23">
        <f t="shared" si="9"/>
        <v>0.04</v>
      </c>
      <c r="G57" s="160">
        <f t="shared" si="16"/>
        <v>337.38281123352442</v>
      </c>
      <c r="H57" s="160">
        <f t="shared" si="17"/>
        <v>172.21982345221653</v>
      </c>
      <c r="I57" s="161">
        <f t="shared" si="13"/>
        <v>101042.6235466051</v>
      </c>
      <c r="J57" s="162">
        <f t="shared" si="18"/>
        <v>509.60263468574095</v>
      </c>
      <c r="L57" s="126"/>
    </row>
    <row r="58" spans="2:12">
      <c r="B58" s="159"/>
      <c r="C58">
        <f t="shared" si="14"/>
        <v>12</v>
      </c>
      <c r="D58" s="161">
        <f t="shared" si="19"/>
        <v>101042.6235466051</v>
      </c>
      <c r="E58" s="161">
        <f t="shared" si="15"/>
        <v>509.60263468574095</v>
      </c>
      <c r="F58" s="23">
        <f t="shared" si="9"/>
        <v>0.04</v>
      </c>
      <c r="G58" s="160">
        <f t="shared" si="16"/>
        <v>336.80874515535038</v>
      </c>
      <c r="H58" s="160">
        <f t="shared" si="17"/>
        <v>172.79388953039057</v>
      </c>
      <c r="I58" s="701">
        <f>(D58-H58)*(1+K58)</f>
        <v>106922.01943649919</v>
      </c>
      <c r="J58" s="162">
        <f t="shared" si="18"/>
        <v>509.60263468574095</v>
      </c>
      <c r="K58" s="702">
        <v>0.06</v>
      </c>
      <c r="L58" s="126"/>
    </row>
    <row r="59" spans="2:12">
      <c r="B59" s="159">
        <v>4</v>
      </c>
      <c r="C59">
        <v>1</v>
      </c>
      <c r="D59" s="701">
        <f t="shared" si="19"/>
        <v>106922.01943649919</v>
      </c>
      <c r="E59" s="161">
        <f>PMT(F59/12,($F$11-B59+1)*12,-D59)</f>
        <v>540.17879276688529</v>
      </c>
      <c r="F59" s="23">
        <f t="shared" si="9"/>
        <v>0.04</v>
      </c>
      <c r="G59" s="160">
        <f t="shared" si="16"/>
        <v>356.40673145499733</v>
      </c>
      <c r="H59" s="160">
        <f t="shared" si="17"/>
        <v>183.77206131188797</v>
      </c>
      <c r="I59" s="161">
        <f t="shared" ref="I59:I69" si="20">D59-H59</f>
        <v>106738.2473751873</v>
      </c>
      <c r="J59" s="162">
        <f t="shared" si="18"/>
        <v>540.17879276688529</v>
      </c>
      <c r="L59" s="126"/>
    </row>
    <row r="60" spans="2:12">
      <c r="B60" s="159"/>
      <c r="C60">
        <f t="shared" ref="C60:C70" si="21">1+C59</f>
        <v>2</v>
      </c>
      <c r="D60" s="161">
        <f t="shared" si="19"/>
        <v>106738.2473751873</v>
      </c>
      <c r="E60" s="161">
        <f t="shared" ref="E60:E70" si="22">E59</f>
        <v>540.17879276688529</v>
      </c>
      <c r="F60" s="23">
        <f t="shared" si="9"/>
        <v>0.04</v>
      </c>
      <c r="G60" s="160">
        <f t="shared" si="16"/>
        <v>355.79415791729105</v>
      </c>
      <c r="H60" s="160">
        <f t="shared" si="17"/>
        <v>184.38463484959425</v>
      </c>
      <c r="I60" s="161">
        <f t="shared" si="20"/>
        <v>106553.8627403377</v>
      </c>
      <c r="J60" s="162">
        <f t="shared" si="18"/>
        <v>540.17879276688529</v>
      </c>
      <c r="L60" s="126"/>
    </row>
    <row r="61" spans="2:12">
      <c r="B61" s="159"/>
      <c r="C61">
        <f t="shared" si="21"/>
        <v>3</v>
      </c>
      <c r="D61" s="161">
        <f t="shared" si="19"/>
        <v>106553.8627403377</v>
      </c>
      <c r="E61" s="161">
        <f t="shared" si="22"/>
        <v>540.17879276688529</v>
      </c>
      <c r="F61" s="23">
        <f t="shared" si="9"/>
        <v>0.04</v>
      </c>
      <c r="G61" s="160">
        <f t="shared" si="16"/>
        <v>355.17954246779237</v>
      </c>
      <c r="H61" s="160">
        <f t="shared" si="17"/>
        <v>184.99925029909292</v>
      </c>
      <c r="I61" s="161">
        <f t="shared" si="20"/>
        <v>106368.86349003861</v>
      </c>
      <c r="J61" s="162">
        <f t="shared" si="18"/>
        <v>540.17879276688529</v>
      </c>
      <c r="L61" s="126"/>
    </row>
    <row r="62" spans="2:12">
      <c r="B62" s="159"/>
      <c r="C62">
        <f t="shared" si="21"/>
        <v>4</v>
      </c>
      <c r="D62" s="161">
        <f t="shared" si="19"/>
        <v>106368.86349003861</v>
      </c>
      <c r="E62" s="161">
        <f t="shared" si="22"/>
        <v>540.17879276688529</v>
      </c>
      <c r="F62" s="23">
        <f t="shared" si="9"/>
        <v>0.04</v>
      </c>
      <c r="G62" s="160">
        <f t="shared" si="16"/>
        <v>354.56287830012872</v>
      </c>
      <c r="H62" s="160">
        <f t="shared" si="17"/>
        <v>185.61591446675658</v>
      </c>
      <c r="I62" s="161">
        <f t="shared" si="20"/>
        <v>106183.24757557185</v>
      </c>
      <c r="J62" s="162">
        <f t="shared" si="18"/>
        <v>540.17879276688529</v>
      </c>
      <c r="L62" s="126"/>
    </row>
    <row r="63" spans="2:12">
      <c r="B63" s="159"/>
      <c r="C63">
        <f t="shared" si="21"/>
        <v>5</v>
      </c>
      <c r="D63" s="161">
        <f t="shared" si="19"/>
        <v>106183.24757557185</v>
      </c>
      <c r="E63" s="161">
        <f t="shared" si="22"/>
        <v>540.17879276688529</v>
      </c>
      <c r="F63" s="23">
        <f t="shared" si="9"/>
        <v>0.04</v>
      </c>
      <c r="G63" s="160">
        <f t="shared" si="16"/>
        <v>353.94415858523951</v>
      </c>
      <c r="H63" s="160">
        <f t="shared" si="17"/>
        <v>186.23463418164579</v>
      </c>
      <c r="I63" s="161">
        <f t="shared" si="20"/>
        <v>105997.0129413902</v>
      </c>
      <c r="J63" s="162">
        <f t="shared" si="18"/>
        <v>540.17879276688529</v>
      </c>
      <c r="L63" s="126"/>
    </row>
    <row r="64" spans="2:12">
      <c r="B64" s="159"/>
      <c r="C64">
        <f t="shared" si="21"/>
        <v>6</v>
      </c>
      <c r="D64" s="161">
        <f t="shared" si="19"/>
        <v>105997.0129413902</v>
      </c>
      <c r="E64" s="161">
        <f t="shared" si="22"/>
        <v>540.17879276688529</v>
      </c>
      <c r="F64" s="23">
        <f t="shared" si="9"/>
        <v>0.04</v>
      </c>
      <c r="G64" s="160">
        <f t="shared" si="16"/>
        <v>353.32337647130072</v>
      </c>
      <c r="H64" s="160">
        <f t="shared" si="17"/>
        <v>186.85541629558458</v>
      </c>
      <c r="I64" s="161">
        <f t="shared" si="20"/>
        <v>105810.15752509462</v>
      </c>
      <c r="J64" s="162">
        <f t="shared" si="18"/>
        <v>540.17879276688529</v>
      </c>
      <c r="L64" s="126"/>
    </row>
    <row r="65" spans="2:12">
      <c r="B65" s="159"/>
      <c r="C65">
        <f t="shared" si="21"/>
        <v>7</v>
      </c>
      <c r="D65" s="161">
        <f t="shared" si="19"/>
        <v>105810.15752509462</v>
      </c>
      <c r="E65" s="161">
        <f t="shared" si="22"/>
        <v>540.17879276688529</v>
      </c>
      <c r="F65" s="23">
        <f t="shared" si="9"/>
        <v>0.04</v>
      </c>
      <c r="G65" s="160">
        <f t="shared" si="16"/>
        <v>352.70052508364876</v>
      </c>
      <c r="H65" s="160">
        <f t="shared" si="17"/>
        <v>187.47826768323654</v>
      </c>
      <c r="I65" s="161">
        <f t="shared" si="20"/>
        <v>105622.67925741138</v>
      </c>
      <c r="J65" s="162">
        <f t="shared" si="18"/>
        <v>540.17879276688529</v>
      </c>
      <c r="L65" s="126"/>
    </row>
    <row r="66" spans="2:12">
      <c r="B66" s="159"/>
      <c r="C66">
        <f t="shared" si="21"/>
        <v>8</v>
      </c>
      <c r="D66" s="161">
        <f t="shared" si="19"/>
        <v>105622.67925741138</v>
      </c>
      <c r="E66" s="161">
        <f t="shared" si="22"/>
        <v>540.17879276688529</v>
      </c>
      <c r="F66" s="23">
        <f t="shared" si="9"/>
        <v>0.04</v>
      </c>
      <c r="G66" s="160">
        <f t="shared" si="16"/>
        <v>352.07559752470462</v>
      </c>
      <c r="H66" s="160">
        <f t="shared" si="17"/>
        <v>188.10319524218067</v>
      </c>
      <c r="I66" s="161">
        <f t="shared" si="20"/>
        <v>105434.5760621692</v>
      </c>
      <c r="J66" s="162">
        <f t="shared" si="18"/>
        <v>540.17879276688529</v>
      </c>
      <c r="K66" s="11"/>
      <c r="L66" s="126"/>
    </row>
    <row r="67" spans="2:12">
      <c r="B67" s="159"/>
      <c r="C67">
        <f t="shared" si="21"/>
        <v>9</v>
      </c>
      <c r="D67" s="161">
        <f t="shared" si="19"/>
        <v>105434.5760621692</v>
      </c>
      <c r="E67" s="161">
        <f t="shared" si="22"/>
        <v>540.17879276688529</v>
      </c>
      <c r="F67" s="23">
        <f t="shared" si="9"/>
        <v>0.04</v>
      </c>
      <c r="G67" s="160">
        <f t="shared" si="16"/>
        <v>351.44858687389734</v>
      </c>
      <c r="H67" s="160">
        <f t="shared" si="17"/>
        <v>188.73020589298795</v>
      </c>
      <c r="I67" s="161">
        <f t="shared" si="20"/>
        <v>105245.84585627621</v>
      </c>
      <c r="J67" s="162">
        <f t="shared" si="18"/>
        <v>540.17879276688529</v>
      </c>
      <c r="L67" s="126"/>
    </row>
    <row r="68" spans="2:12">
      <c r="B68" s="159"/>
      <c r="C68">
        <f t="shared" si="21"/>
        <v>10</v>
      </c>
      <c r="D68" s="161">
        <f t="shared" si="19"/>
        <v>105245.84585627621</v>
      </c>
      <c r="E68" s="161">
        <f t="shared" si="22"/>
        <v>540.17879276688529</v>
      </c>
      <c r="F68" s="23">
        <f t="shared" si="9"/>
        <v>0.04</v>
      </c>
      <c r="G68" s="160">
        <f t="shared" si="16"/>
        <v>350.81948618758742</v>
      </c>
      <c r="H68" s="160">
        <f t="shared" si="17"/>
        <v>189.35930657929788</v>
      </c>
      <c r="I68" s="161">
        <f t="shared" si="20"/>
        <v>105056.48654969691</v>
      </c>
      <c r="J68" s="162">
        <f t="shared" si="18"/>
        <v>540.17879276688529</v>
      </c>
      <c r="L68" s="126"/>
    </row>
    <row r="69" spans="2:12">
      <c r="B69" s="159"/>
      <c r="C69">
        <f t="shared" si="21"/>
        <v>11</v>
      </c>
      <c r="D69" s="161">
        <f t="shared" si="19"/>
        <v>105056.48654969691</v>
      </c>
      <c r="E69" s="161">
        <f t="shared" si="22"/>
        <v>540.17879276688529</v>
      </c>
      <c r="F69" s="23">
        <f t="shared" si="9"/>
        <v>0.04</v>
      </c>
      <c r="G69" s="160">
        <f t="shared" si="16"/>
        <v>350.18828849898972</v>
      </c>
      <c r="H69" s="160">
        <f t="shared" si="17"/>
        <v>189.99050426789557</v>
      </c>
      <c r="I69" s="161">
        <f t="shared" si="20"/>
        <v>104866.49604542901</v>
      </c>
      <c r="J69" s="162">
        <f t="shared" si="18"/>
        <v>540.17879276688529</v>
      </c>
      <c r="L69" s="126"/>
    </row>
    <row r="70" spans="2:12">
      <c r="B70" s="159"/>
      <c r="C70">
        <f t="shared" si="21"/>
        <v>12</v>
      </c>
      <c r="D70" s="161">
        <f t="shared" si="19"/>
        <v>104866.49604542901</v>
      </c>
      <c r="E70" s="161">
        <f t="shared" si="22"/>
        <v>540.17879276688529</v>
      </c>
      <c r="F70" s="23">
        <f t="shared" si="9"/>
        <v>0.04</v>
      </c>
      <c r="G70" s="160">
        <f t="shared" si="16"/>
        <v>349.55498681809672</v>
      </c>
      <c r="H70" s="160">
        <f t="shared" si="17"/>
        <v>190.62380594878857</v>
      </c>
      <c r="I70" s="701">
        <f>(D70-H70)*(1+K70)</f>
        <v>110956.42457384904</v>
      </c>
      <c r="J70" s="162">
        <f t="shared" si="18"/>
        <v>540.17879276688529</v>
      </c>
      <c r="K70" s="702">
        <v>0.06</v>
      </c>
      <c r="L70" s="126"/>
    </row>
    <row r="71" spans="2:12">
      <c r="B71" s="159">
        <v>5</v>
      </c>
      <c r="C71">
        <v>1</v>
      </c>
      <c r="D71" s="701">
        <f t="shared" si="19"/>
        <v>110956.42457384904</v>
      </c>
      <c r="E71" s="161">
        <f>PMT(F71/12,($F$11-B71+1)*12,-D71)</f>
        <v>572.58952033289825</v>
      </c>
      <c r="F71" s="23">
        <f t="shared" si="9"/>
        <v>0.04</v>
      </c>
      <c r="G71" s="160">
        <f t="shared" si="16"/>
        <v>369.85474857949686</v>
      </c>
      <c r="H71" s="160">
        <f t="shared" si="17"/>
        <v>202.73477175340139</v>
      </c>
      <c r="I71" s="161">
        <f t="shared" ref="I71:I81" si="23">D71-H71</f>
        <v>110753.68980209564</v>
      </c>
      <c r="J71" s="162">
        <f t="shared" si="18"/>
        <v>572.58952033289825</v>
      </c>
      <c r="L71" s="126"/>
    </row>
    <row r="72" spans="2:12">
      <c r="B72" s="159"/>
      <c r="C72">
        <f t="shared" ref="C72:C82" si="24">1+C71</f>
        <v>2</v>
      </c>
      <c r="D72" s="161">
        <f t="shared" si="19"/>
        <v>110753.68980209564</v>
      </c>
      <c r="E72" s="161">
        <f t="shared" ref="E72:E82" si="25">E71</f>
        <v>572.58952033289825</v>
      </c>
      <c r="F72" s="23">
        <f t="shared" si="9"/>
        <v>0.04</v>
      </c>
      <c r="G72" s="160">
        <f t="shared" si="16"/>
        <v>369.17896600698549</v>
      </c>
      <c r="H72" s="160">
        <f t="shared" si="17"/>
        <v>203.41055432591276</v>
      </c>
      <c r="I72" s="161">
        <f t="shared" si="23"/>
        <v>110550.27924776974</v>
      </c>
      <c r="J72" s="162">
        <f t="shared" si="18"/>
        <v>572.58952033289825</v>
      </c>
      <c r="L72" s="126"/>
    </row>
    <row r="73" spans="2:12">
      <c r="B73" s="159"/>
      <c r="C73">
        <f t="shared" si="24"/>
        <v>3</v>
      </c>
      <c r="D73" s="161">
        <f t="shared" si="19"/>
        <v>110550.27924776974</v>
      </c>
      <c r="E73" s="161">
        <f t="shared" si="25"/>
        <v>572.58952033289825</v>
      </c>
      <c r="F73" s="23">
        <f t="shared" si="9"/>
        <v>0.04</v>
      </c>
      <c r="G73" s="160">
        <f t="shared" si="16"/>
        <v>368.50093082589916</v>
      </c>
      <c r="H73" s="160">
        <f t="shared" si="17"/>
        <v>204.08858950699909</v>
      </c>
      <c r="I73" s="161">
        <f t="shared" si="23"/>
        <v>110346.19065826274</v>
      </c>
      <c r="J73" s="162">
        <f t="shared" si="18"/>
        <v>572.58952033289825</v>
      </c>
      <c r="L73" s="126"/>
    </row>
    <row r="74" spans="2:12">
      <c r="B74" s="159"/>
      <c r="C74">
        <f t="shared" si="24"/>
        <v>4</v>
      </c>
      <c r="D74" s="161">
        <f t="shared" si="19"/>
        <v>110346.19065826274</v>
      </c>
      <c r="E74" s="161">
        <f t="shared" si="25"/>
        <v>572.58952033289825</v>
      </c>
      <c r="F74" s="23">
        <f t="shared" si="9"/>
        <v>0.04</v>
      </c>
      <c r="G74" s="160">
        <f t="shared" si="16"/>
        <v>367.82063552754249</v>
      </c>
      <c r="H74" s="160">
        <f t="shared" si="17"/>
        <v>204.76888480535575</v>
      </c>
      <c r="I74" s="161">
        <f t="shared" si="23"/>
        <v>110141.42177345739</v>
      </c>
      <c r="J74" s="162">
        <f t="shared" si="18"/>
        <v>572.58952033289825</v>
      </c>
      <c r="L74" s="126"/>
    </row>
    <row r="75" spans="2:12">
      <c r="B75" s="159"/>
      <c r="C75">
        <f t="shared" si="24"/>
        <v>5</v>
      </c>
      <c r="D75" s="161">
        <f t="shared" si="19"/>
        <v>110141.42177345739</v>
      </c>
      <c r="E75" s="161">
        <f t="shared" si="25"/>
        <v>572.58952033289825</v>
      </c>
      <c r="F75" s="23">
        <f t="shared" si="9"/>
        <v>0.04</v>
      </c>
      <c r="G75" s="160">
        <f t="shared" si="16"/>
        <v>367.13807257819133</v>
      </c>
      <c r="H75" s="160">
        <f t="shared" si="17"/>
        <v>205.45144775470692</v>
      </c>
      <c r="I75" s="161">
        <f t="shared" si="23"/>
        <v>109935.97032570268</v>
      </c>
      <c r="J75" s="162">
        <f t="shared" si="18"/>
        <v>572.58952033289825</v>
      </c>
      <c r="L75" s="126"/>
    </row>
    <row r="76" spans="2:12">
      <c r="B76" s="159"/>
      <c r="C76">
        <f t="shared" si="24"/>
        <v>6</v>
      </c>
      <c r="D76" s="161">
        <f t="shared" si="19"/>
        <v>109935.97032570268</v>
      </c>
      <c r="E76" s="161">
        <f t="shared" si="25"/>
        <v>572.58952033289825</v>
      </c>
      <c r="F76" s="23">
        <f t="shared" si="9"/>
        <v>0.04</v>
      </c>
      <c r="G76" s="160">
        <f t="shared" si="16"/>
        <v>366.45323441900899</v>
      </c>
      <c r="H76" s="160">
        <f t="shared" si="17"/>
        <v>206.13628591388925</v>
      </c>
      <c r="I76" s="161">
        <f t="shared" si="23"/>
        <v>109729.8340397888</v>
      </c>
      <c r="J76" s="162">
        <f t="shared" si="18"/>
        <v>572.58952033289825</v>
      </c>
      <c r="L76" s="126"/>
    </row>
    <row r="77" spans="2:12">
      <c r="B77" s="159"/>
      <c r="C77">
        <f t="shared" si="24"/>
        <v>7</v>
      </c>
      <c r="D77" s="161">
        <f t="shared" si="19"/>
        <v>109729.8340397888</v>
      </c>
      <c r="E77" s="161">
        <f t="shared" si="25"/>
        <v>572.58952033289825</v>
      </c>
      <c r="F77" s="23">
        <f t="shared" si="9"/>
        <v>0.04</v>
      </c>
      <c r="G77" s="160">
        <f t="shared" si="16"/>
        <v>365.76611346596269</v>
      </c>
      <c r="H77" s="160">
        <f t="shared" si="17"/>
        <v>206.82340686693556</v>
      </c>
      <c r="I77" s="161">
        <f t="shared" si="23"/>
        <v>109523.01063292185</v>
      </c>
      <c r="J77" s="162">
        <f t="shared" si="18"/>
        <v>572.58952033289825</v>
      </c>
      <c r="L77" s="126"/>
    </row>
    <row r="78" spans="2:12">
      <c r="B78" s="159"/>
      <c r="C78">
        <f t="shared" si="24"/>
        <v>8</v>
      </c>
      <c r="D78" s="161">
        <f t="shared" si="19"/>
        <v>109523.01063292185</v>
      </c>
      <c r="E78" s="161">
        <f t="shared" si="25"/>
        <v>572.58952033289825</v>
      </c>
      <c r="F78" s="23">
        <f t="shared" si="9"/>
        <v>0.04</v>
      </c>
      <c r="G78" s="160">
        <f t="shared" si="16"/>
        <v>365.07670210973953</v>
      </c>
      <c r="H78" s="160">
        <f t="shared" si="17"/>
        <v>207.51281822315872</v>
      </c>
      <c r="I78" s="161">
        <f t="shared" si="23"/>
        <v>109315.4978146987</v>
      </c>
      <c r="J78" s="162">
        <f t="shared" si="18"/>
        <v>572.58952033289825</v>
      </c>
      <c r="L78" s="126"/>
    </row>
    <row r="79" spans="2:12">
      <c r="B79" s="159"/>
      <c r="C79">
        <f t="shared" si="24"/>
        <v>9</v>
      </c>
      <c r="D79" s="161">
        <f t="shared" si="19"/>
        <v>109315.4978146987</v>
      </c>
      <c r="E79" s="161">
        <f t="shared" si="25"/>
        <v>572.58952033289825</v>
      </c>
      <c r="F79" s="23">
        <f t="shared" si="9"/>
        <v>0.04</v>
      </c>
      <c r="G79" s="160">
        <f t="shared" si="16"/>
        <v>364.38499271566235</v>
      </c>
      <c r="H79" s="160">
        <f t="shared" si="17"/>
        <v>208.2045276172359</v>
      </c>
      <c r="I79" s="161">
        <f t="shared" si="23"/>
        <v>109107.29328708145</v>
      </c>
      <c r="J79" s="162">
        <f t="shared" si="18"/>
        <v>572.58952033289825</v>
      </c>
      <c r="L79" s="126"/>
    </row>
    <row r="80" spans="2:12">
      <c r="B80" s="159"/>
      <c r="C80">
        <f t="shared" si="24"/>
        <v>10</v>
      </c>
      <c r="D80" s="161">
        <f t="shared" si="19"/>
        <v>109107.29328708145</v>
      </c>
      <c r="E80" s="161">
        <f t="shared" si="25"/>
        <v>572.58952033289825</v>
      </c>
      <c r="F80" s="23">
        <f t="shared" si="9"/>
        <v>0.04</v>
      </c>
      <c r="G80" s="160">
        <f t="shared" si="16"/>
        <v>363.69097762360485</v>
      </c>
      <c r="H80" s="160">
        <f t="shared" si="17"/>
        <v>208.89854270929339</v>
      </c>
      <c r="I80" s="161">
        <f t="shared" si="23"/>
        <v>108898.39474437216</v>
      </c>
      <c r="J80" s="162">
        <f t="shared" si="18"/>
        <v>572.58952033289825</v>
      </c>
      <c r="L80" s="126"/>
    </row>
    <row r="81" spans="2:12">
      <c r="B81" s="159"/>
      <c r="C81">
        <f t="shared" si="24"/>
        <v>11</v>
      </c>
      <c r="D81" s="161">
        <f t="shared" si="19"/>
        <v>108898.39474437216</v>
      </c>
      <c r="E81" s="161">
        <f t="shared" si="25"/>
        <v>572.58952033289825</v>
      </c>
      <c r="F81" s="23">
        <f t="shared" si="9"/>
        <v>0.04</v>
      </c>
      <c r="G81" s="160">
        <f t="shared" si="16"/>
        <v>362.99464914790718</v>
      </c>
      <c r="H81" s="160">
        <f t="shared" si="17"/>
        <v>209.59487118499106</v>
      </c>
      <c r="I81" s="161">
        <f t="shared" si="23"/>
        <v>108688.79987318716</v>
      </c>
      <c r="J81" s="162">
        <f t="shared" si="18"/>
        <v>572.58952033289825</v>
      </c>
      <c r="L81" s="126"/>
    </row>
    <row r="82" spans="2:12">
      <c r="B82" s="159"/>
      <c r="C82">
        <f t="shared" si="24"/>
        <v>12</v>
      </c>
      <c r="D82" s="161">
        <f t="shared" ref="D82:D145" si="26">I81</f>
        <v>108688.79987318716</v>
      </c>
      <c r="E82" s="161">
        <f t="shared" si="25"/>
        <v>572.58952033289825</v>
      </c>
      <c r="F82" s="23">
        <f t="shared" ref="F82:F145" si="27">F81</f>
        <v>0.04</v>
      </c>
      <c r="G82" s="160">
        <f t="shared" ref="G82:G145" si="28">(F82/12)*D82</f>
        <v>362.29599957729056</v>
      </c>
      <c r="H82" s="160">
        <f t="shared" ref="H82:H145" si="29">E82-G82</f>
        <v>210.29352075560769</v>
      </c>
      <c r="I82" s="701">
        <f>(D82-H82)*(1+K82)</f>
        <v>114987.21673357744</v>
      </c>
      <c r="J82" s="162">
        <f t="shared" ref="J82:J145" si="30">E82</f>
        <v>572.58952033289825</v>
      </c>
      <c r="K82" s="702">
        <v>0.06</v>
      </c>
      <c r="L82" s="126"/>
    </row>
    <row r="83" spans="2:12">
      <c r="B83" s="159">
        <v>6</v>
      </c>
      <c r="C83">
        <v>1</v>
      </c>
      <c r="D83" s="701">
        <f t="shared" si="26"/>
        <v>114987.21673357744</v>
      </c>
      <c r="E83" s="161">
        <f>PMT(F83/12,($F$11-B83+1)*12,-D83)</f>
        <v>606.94489155287226</v>
      </c>
      <c r="F83" s="23">
        <f t="shared" si="27"/>
        <v>0.04</v>
      </c>
      <c r="G83" s="160">
        <f t="shared" si="28"/>
        <v>383.29072244525815</v>
      </c>
      <c r="H83" s="160">
        <f t="shared" si="29"/>
        <v>223.65416910761411</v>
      </c>
      <c r="I83" s="161">
        <f t="shared" ref="I83:I93" si="31">D83-H83</f>
        <v>114763.56256446983</v>
      </c>
      <c r="J83" s="162">
        <f t="shared" si="30"/>
        <v>606.94489155287226</v>
      </c>
      <c r="L83" s="126"/>
    </row>
    <row r="84" spans="2:12">
      <c r="B84" s="159"/>
      <c r="C84">
        <f t="shared" ref="C84:C94" si="32">1+C83</f>
        <v>2</v>
      </c>
      <c r="D84" s="161">
        <f t="shared" si="26"/>
        <v>114763.56256446983</v>
      </c>
      <c r="E84" s="161">
        <f t="shared" ref="E84:E94" si="33">E83</f>
        <v>606.94489155287226</v>
      </c>
      <c r="F84" s="23">
        <f t="shared" si="27"/>
        <v>0.04</v>
      </c>
      <c r="G84" s="160">
        <f t="shared" si="28"/>
        <v>382.54520854823278</v>
      </c>
      <c r="H84" s="160">
        <f t="shared" si="29"/>
        <v>224.39968300463948</v>
      </c>
      <c r="I84" s="161">
        <f t="shared" si="31"/>
        <v>114539.16288146519</v>
      </c>
      <c r="J84" s="162">
        <f t="shared" si="30"/>
        <v>606.94489155287226</v>
      </c>
      <c r="L84" s="126"/>
    </row>
    <row r="85" spans="2:12">
      <c r="B85" s="159"/>
      <c r="C85">
        <f t="shared" si="32"/>
        <v>3</v>
      </c>
      <c r="D85" s="161">
        <f t="shared" si="26"/>
        <v>114539.16288146519</v>
      </c>
      <c r="E85" s="161">
        <f t="shared" si="33"/>
        <v>606.94489155287226</v>
      </c>
      <c r="F85" s="23">
        <f t="shared" si="27"/>
        <v>0.04</v>
      </c>
      <c r="G85" s="160">
        <f t="shared" si="28"/>
        <v>381.79720960488402</v>
      </c>
      <c r="H85" s="160">
        <f t="shared" si="29"/>
        <v>225.14768194798825</v>
      </c>
      <c r="I85" s="161">
        <f t="shared" si="31"/>
        <v>114314.01519951721</v>
      </c>
      <c r="J85" s="162">
        <f t="shared" si="30"/>
        <v>606.94489155287226</v>
      </c>
      <c r="L85" s="126"/>
    </row>
    <row r="86" spans="2:12" ht="13" thickBot="1">
      <c r="B86" s="159"/>
      <c r="C86">
        <f t="shared" si="32"/>
        <v>4</v>
      </c>
      <c r="D86" s="161">
        <f t="shared" si="26"/>
        <v>114314.01519951721</v>
      </c>
      <c r="E86" s="161">
        <f t="shared" si="33"/>
        <v>606.94489155287226</v>
      </c>
      <c r="F86" s="23">
        <f t="shared" si="27"/>
        <v>0.04</v>
      </c>
      <c r="G86" s="160">
        <f t="shared" si="28"/>
        <v>381.04671733172404</v>
      </c>
      <c r="H86" s="160">
        <f t="shared" si="29"/>
        <v>225.89817422114822</v>
      </c>
      <c r="I86" s="161">
        <f t="shared" si="31"/>
        <v>114088.11702529606</v>
      </c>
      <c r="J86" s="162">
        <f t="shared" si="30"/>
        <v>606.94489155287226</v>
      </c>
      <c r="L86" s="135"/>
    </row>
    <row r="87" spans="2:12">
      <c r="B87" s="159"/>
      <c r="C87">
        <f t="shared" si="32"/>
        <v>5</v>
      </c>
      <c r="D87" s="161">
        <f t="shared" si="26"/>
        <v>114088.11702529606</v>
      </c>
      <c r="E87" s="161">
        <f t="shared" si="33"/>
        <v>606.94489155287226</v>
      </c>
      <c r="F87" s="23">
        <f t="shared" si="27"/>
        <v>0.04</v>
      </c>
      <c r="G87" s="160">
        <f t="shared" si="28"/>
        <v>380.29372341765355</v>
      </c>
      <c r="H87" s="160">
        <f t="shared" si="29"/>
        <v>226.65116813521871</v>
      </c>
      <c r="I87" s="161">
        <f t="shared" si="31"/>
        <v>113861.46585716085</v>
      </c>
      <c r="J87" s="162">
        <f t="shared" si="30"/>
        <v>606.94489155287226</v>
      </c>
    </row>
    <row r="88" spans="2:12">
      <c r="B88" s="159"/>
      <c r="C88">
        <f t="shared" si="32"/>
        <v>6</v>
      </c>
      <c r="D88" s="161">
        <f t="shared" si="26"/>
        <v>113861.46585716085</v>
      </c>
      <c r="E88" s="161">
        <f t="shared" si="33"/>
        <v>606.94489155287226</v>
      </c>
      <c r="F88" s="23">
        <f t="shared" si="27"/>
        <v>0.04</v>
      </c>
      <c r="G88" s="160">
        <f t="shared" si="28"/>
        <v>379.53821952386949</v>
      </c>
      <c r="H88" s="160">
        <f t="shared" si="29"/>
        <v>227.40667202900278</v>
      </c>
      <c r="I88" s="161">
        <f t="shared" si="31"/>
        <v>113634.05918513185</v>
      </c>
      <c r="J88" s="162">
        <f t="shared" si="30"/>
        <v>606.94489155287226</v>
      </c>
    </row>
    <row r="89" spans="2:12">
      <c r="B89" s="159"/>
      <c r="C89">
        <f t="shared" si="32"/>
        <v>7</v>
      </c>
      <c r="D89" s="161">
        <f t="shared" si="26"/>
        <v>113634.05918513185</v>
      </c>
      <c r="E89" s="161">
        <f t="shared" si="33"/>
        <v>606.94489155287226</v>
      </c>
      <c r="F89" s="23">
        <f t="shared" si="27"/>
        <v>0.04</v>
      </c>
      <c r="G89" s="160">
        <f t="shared" si="28"/>
        <v>378.78019728377285</v>
      </c>
      <c r="H89" s="160">
        <f t="shared" si="29"/>
        <v>228.16469426909941</v>
      </c>
      <c r="I89" s="161">
        <f t="shared" si="31"/>
        <v>113405.89449086275</v>
      </c>
      <c r="J89" s="162">
        <f t="shared" si="30"/>
        <v>606.94489155287226</v>
      </c>
    </row>
    <row r="90" spans="2:12">
      <c r="B90" s="159"/>
      <c r="C90">
        <f t="shared" si="32"/>
        <v>8</v>
      </c>
      <c r="D90" s="161">
        <f t="shared" si="26"/>
        <v>113405.89449086275</v>
      </c>
      <c r="E90" s="161">
        <f t="shared" si="33"/>
        <v>606.94489155287226</v>
      </c>
      <c r="F90" s="23">
        <f t="shared" si="27"/>
        <v>0.04</v>
      </c>
      <c r="G90" s="160">
        <f t="shared" si="28"/>
        <v>378.01964830287585</v>
      </c>
      <c r="H90" s="160">
        <f t="shared" si="29"/>
        <v>228.92524324999641</v>
      </c>
      <c r="I90" s="161">
        <f t="shared" si="31"/>
        <v>113176.96924761275</v>
      </c>
      <c r="J90" s="162">
        <f t="shared" si="30"/>
        <v>606.94489155287226</v>
      </c>
    </row>
    <row r="91" spans="2:12">
      <c r="B91" s="159"/>
      <c r="C91">
        <f t="shared" si="32"/>
        <v>9</v>
      </c>
      <c r="D91" s="161">
        <f t="shared" si="26"/>
        <v>113176.96924761275</v>
      </c>
      <c r="E91" s="161">
        <f t="shared" si="33"/>
        <v>606.94489155287226</v>
      </c>
      <c r="F91" s="23">
        <f t="shared" si="27"/>
        <v>0.04</v>
      </c>
      <c r="G91" s="160">
        <f t="shared" si="28"/>
        <v>377.25656415870918</v>
      </c>
      <c r="H91" s="160">
        <f t="shared" si="29"/>
        <v>229.68832739416308</v>
      </c>
      <c r="I91" s="161">
        <f t="shared" si="31"/>
        <v>112947.28092021859</v>
      </c>
      <c r="J91" s="162">
        <f t="shared" si="30"/>
        <v>606.94489155287226</v>
      </c>
    </row>
    <row r="92" spans="2:12">
      <c r="B92" s="159"/>
      <c r="C92">
        <f t="shared" si="32"/>
        <v>10</v>
      </c>
      <c r="D92" s="161">
        <f t="shared" si="26"/>
        <v>112947.28092021859</v>
      </c>
      <c r="E92" s="161">
        <f t="shared" si="33"/>
        <v>606.94489155287226</v>
      </c>
      <c r="F92" s="23">
        <f t="shared" si="27"/>
        <v>0.04</v>
      </c>
      <c r="G92" s="160">
        <f t="shared" si="28"/>
        <v>376.49093640072863</v>
      </c>
      <c r="H92" s="160">
        <f t="shared" si="29"/>
        <v>230.45395515214364</v>
      </c>
      <c r="I92" s="161">
        <f t="shared" si="31"/>
        <v>112716.82696506644</v>
      </c>
      <c r="J92" s="162">
        <f t="shared" si="30"/>
        <v>606.94489155287226</v>
      </c>
    </row>
    <row r="93" spans="2:12">
      <c r="B93" s="159"/>
      <c r="C93">
        <f t="shared" si="32"/>
        <v>11</v>
      </c>
      <c r="D93" s="161">
        <f t="shared" si="26"/>
        <v>112716.82696506644</v>
      </c>
      <c r="E93" s="161">
        <f t="shared" si="33"/>
        <v>606.94489155287226</v>
      </c>
      <c r="F93" s="23">
        <f t="shared" si="27"/>
        <v>0.04</v>
      </c>
      <c r="G93" s="160">
        <f t="shared" si="28"/>
        <v>375.7227565502215</v>
      </c>
      <c r="H93" s="160">
        <f t="shared" si="29"/>
        <v>231.22213500265076</v>
      </c>
      <c r="I93" s="161">
        <f t="shared" si="31"/>
        <v>112485.60483006379</v>
      </c>
      <c r="J93" s="162">
        <f t="shared" si="30"/>
        <v>606.94489155287226</v>
      </c>
    </row>
    <row r="94" spans="2:12">
      <c r="B94" s="159"/>
      <c r="C94">
        <f t="shared" si="32"/>
        <v>12</v>
      </c>
      <c r="D94" s="161">
        <f t="shared" si="26"/>
        <v>112485.60483006379</v>
      </c>
      <c r="E94" s="161">
        <f t="shared" si="33"/>
        <v>606.94489155287226</v>
      </c>
      <c r="F94" s="23">
        <f t="shared" si="27"/>
        <v>0.04</v>
      </c>
      <c r="G94" s="160">
        <f t="shared" si="28"/>
        <v>374.95201610021269</v>
      </c>
      <c r="H94" s="160">
        <f t="shared" si="29"/>
        <v>231.99287545265958</v>
      </c>
      <c r="I94" s="701">
        <f>(D94-H94)*(1+K94)</f>
        <v>118988.82867188781</v>
      </c>
      <c r="J94" s="162">
        <f t="shared" si="30"/>
        <v>606.94489155287226</v>
      </c>
      <c r="K94" s="702">
        <v>0.06</v>
      </c>
    </row>
    <row r="95" spans="2:12">
      <c r="B95" s="159">
        <f>B83+1</f>
        <v>7</v>
      </c>
      <c r="C95">
        <v>1</v>
      </c>
      <c r="D95" s="701">
        <f t="shared" si="26"/>
        <v>118988.82867188781</v>
      </c>
      <c r="E95" s="161">
        <f>PMT(F95/12,($F$11-B95+1)*12,-D95)</f>
        <v>643.36158504604452</v>
      </c>
      <c r="F95" s="23">
        <f t="shared" si="27"/>
        <v>0.04</v>
      </c>
      <c r="G95" s="160">
        <f t="shared" si="28"/>
        <v>396.62942890629273</v>
      </c>
      <c r="H95" s="160">
        <f t="shared" si="29"/>
        <v>246.73215613975179</v>
      </c>
      <c r="I95" s="161">
        <f t="shared" ref="I95:I105" si="34">D95-H95</f>
        <v>118742.09651574805</v>
      </c>
      <c r="J95" s="162">
        <f t="shared" si="30"/>
        <v>643.36158504604452</v>
      </c>
    </row>
    <row r="96" spans="2:12">
      <c r="B96" s="159"/>
      <c r="C96">
        <f t="shared" ref="C96:C106" si="35">1+C95</f>
        <v>2</v>
      </c>
      <c r="D96" s="161">
        <f t="shared" si="26"/>
        <v>118742.09651574805</v>
      </c>
      <c r="E96" s="161">
        <f t="shared" ref="E96:E106" si="36">E95</f>
        <v>643.36158504604452</v>
      </c>
      <c r="F96" s="23">
        <f t="shared" si="27"/>
        <v>0.04</v>
      </c>
      <c r="G96" s="160">
        <f t="shared" si="28"/>
        <v>395.80698838582686</v>
      </c>
      <c r="H96" s="160">
        <f t="shared" si="29"/>
        <v>247.55459666021767</v>
      </c>
      <c r="I96" s="161">
        <f t="shared" si="34"/>
        <v>118494.54191908783</v>
      </c>
      <c r="J96" s="162">
        <f t="shared" si="30"/>
        <v>643.36158504604452</v>
      </c>
    </row>
    <row r="97" spans="2:11">
      <c r="B97" s="159"/>
      <c r="C97">
        <f t="shared" si="35"/>
        <v>3</v>
      </c>
      <c r="D97" s="161">
        <f t="shared" si="26"/>
        <v>118494.54191908783</v>
      </c>
      <c r="E97" s="161">
        <f t="shared" si="36"/>
        <v>643.36158504604452</v>
      </c>
      <c r="F97" s="23">
        <f t="shared" si="27"/>
        <v>0.04</v>
      </c>
      <c r="G97" s="160">
        <f t="shared" si="28"/>
        <v>394.98180639695948</v>
      </c>
      <c r="H97" s="160">
        <f t="shared" si="29"/>
        <v>248.37977864908504</v>
      </c>
      <c r="I97" s="161">
        <f t="shared" si="34"/>
        <v>118246.16214043874</v>
      </c>
      <c r="J97" s="162">
        <f t="shared" si="30"/>
        <v>643.36158504604452</v>
      </c>
    </row>
    <row r="98" spans="2:11">
      <c r="B98" s="159"/>
      <c r="C98">
        <f t="shared" si="35"/>
        <v>4</v>
      </c>
      <c r="D98" s="161">
        <f t="shared" si="26"/>
        <v>118246.16214043874</v>
      </c>
      <c r="E98" s="161">
        <f t="shared" si="36"/>
        <v>643.36158504604452</v>
      </c>
      <c r="F98" s="23">
        <f t="shared" si="27"/>
        <v>0.04</v>
      </c>
      <c r="G98" s="160">
        <f t="shared" si="28"/>
        <v>394.15387380146251</v>
      </c>
      <c r="H98" s="160">
        <f t="shared" si="29"/>
        <v>249.20771124458201</v>
      </c>
      <c r="I98" s="161">
        <f t="shared" si="34"/>
        <v>117996.95442919416</v>
      </c>
      <c r="J98" s="162">
        <f t="shared" si="30"/>
        <v>643.36158504604452</v>
      </c>
    </row>
    <row r="99" spans="2:11">
      <c r="B99" s="159"/>
      <c r="C99">
        <f t="shared" si="35"/>
        <v>5</v>
      </c>
      <c r="D99" s="161">
        <f t="shared" si="26"/>
        <v>117996.95442919416</v>
      </c>
      <c r="E99" s="161">
        <f t="shared" si="36"/>
        <v>643.36158504604452</v>
      </c>
      <c r="F99" s="23">
        <f t="shared" si="27"/>
        <v>0.04</v>
      </c>
      <c r="G99" s="160">
        <f t="shared" si="28"/>
        <v>393.3231814306472</v>
      </c>
      <c r="H99" s="160">
        <f t="shared" si="29"/>
        <v>250.03840361539733</v>
      </c>
      <c r="I99" s="161">
        <f t="shared" si="34"/>
        <v>117746.91602557876</v>
      </c>
      <c r="J99" s="162">
        <f t="shared" si="30"/>
        <v>643.36158504604452</v>
      </c>
    </row>
    <row r="100" spans="2:11">
      <c r="B100" s="159"/>
      <c r="C100">
        <f t="shared" si="35"/>
        <v>6</v>
      </c>
      <c r="D100" s="161">
        <f t="shared" si="26"/>
        <v>117746.91602557876</v>
      </c>
      <c r="E100" s="161">
        <f t="shared" si="36"/>
        <v>643.36158504604452</v>
      </c>
      <c r="F100" s="23">
        <f t="shared" si="27"/>
        <v>0.04</v>
      </c>
      <c r="G100" s="160">
        <f t="shared" si="28"/>
        <v>392.48972008526255</v>
      </c>
      <c r="H100" s="160">
        <f t="shared" si="29"/>
        <v>250.87186496078198</v>
      </c>
      <c r="I100" s="161">
        <f t="shared" si="34"/>
        <v>117496.04416061798</v>
      </c>
      <c r="J100" s="162">
        <f t="shared" si="30"/>
        <v>643.36158504604452</v>
      </c>
    </row>
    <row r="101" spans="2:11">
      <c r="B101" s="159"/>
      <c r="C101">
        <f t="shared" si="35"/>
        <v>7</v>
      </c>
      <c r="D101" s="161">
        <f t="shared" si="26"/>
        <v>117496.04416061798</v>
      </c>
      <c r="E101" s="161">
        <f t="shared" si="36"/>
        <v>643.36158504604452</v>
      </c>
      <c r="F101" s="23">
        <f t="shared" si="27"/>
        <v>0.04</v>
      </c>
      <c r="G101" s="160">
        <f t="shared" si="28"/>
        <v>391.65348053539327</v>
      </c>
      <c r="H101" s="160">
        <f t="shared" si="29"/>
        <v>251.70810451065125</v>
      </c>
      <c r="I101" s="161">
        <f t="shared" si="34"/>
        <v>117244.33605610734</v>
      </c>
      <c r="J101" s="162">
        <f t="shared" si="30"/>
        <v>643.36158504604452</v>
      </c>
    </row>
    <row r="102" spans="2:11">
      <c r="B102" s="159"/>
      <c r="C102">
        <f t="shared" si="35"/>
        <v>8</v>
      </c>
      <c r="D102" s="161">
        <f t="shared" si="26"/>
        <v>117244.33605610734</v>
      </c>
      <c r="E102" s="161">
        <f t="shared" si="36"/>
        <v>643.36158504604452</v>
      </c>
      <c r="F102" s="23">
        <f t="shared" si="27"/>
        <v>0.04</v>
      </c>
      <c r="G102" s="160">
        <f t="shared" si="28"/>
        <v>390.8144535203578</v>
      </c>
      <c r="H102" s="160">
        <f t="shared" si="29"/>
        <v>252.54713152568672</v>
      </c>
      <c r="I102" s="161">
        <f t="shared" si="34"/>
        <v>116991.78892458165</v>
      </c>
      <c r="J102" s="162">
        <f t="shared" si="30"/>
        <v>643.36158504604452</v>
      </c>
    </row>
    <row r="103" spans="2:11">
      <c r="B103" s="159"/>
      <c r="C103">
        <f t="shared" si="35"/>
        <v>9</v>
      </c>
      <c r="D103" s="161">
        <f t="shared" si="26"/>
        <v>116991.78892458165</v>
      </c>
      <c r="E103" s="161">
        <f t="shared" si="36"/>
        <v>643.36158504604452</v>
      </c>
      <c r="F103" s="23">
        <f t="shared" si="27"/>
        <v>0.04</v>
      </c>
      <c r="G103" s="160">
        <f t="shared" si="28"/>
        <v>389.97262974860553</v>
      </c>
      <c r="H103" s="160">
        <f t="shared" si="29"/>
        <v>253.388955297439</v>
      </c>
      <c r="I103" s="161">
        <f t="shared" si="34"/>
        <v>116738.3999692842</v>
      </c>
      <c r="J103" s="162">
        <f t="shared" si="30"/>
        <v>643.36158504604452</v>
      </c>
    </row>
    <row r="104" spans="2:11">
      <c r="B104" s="159"/>
      <c r="C104">
        <f t="shared" si="35"/>
        <v>10</v>
      </c>
      <c r="D104" s="161">
        <f t="shared" si="26"/>
        <v>116738.3999692842</v>
      </c>
      <c r="E104" s="161">
        <f t="shared" si="36"/>
        <v>643.36158504604452</v>
      </c>
      <c r="F104" s="23">
        <f t="shared" si="27"/>
        <v>0.04</v>
      </c>
      <c r="G104" s="160">
        <f t="shared" si="28"/>
        <v>389.12799989761402</v>
      </c>
      <c r="H104" s="160">
        <f t="shared" si="29"/>
        <v>254.23358514843051</v>
      </c>
      <c r="I104" s="161">
        <f t="shared" si="34"/>
        <v>116484.16638413578</v>
      </c>
      <c r="J104" s="162">
        <f t="shared" si="30"/>
        <v>643.36158504604452</v>
      </c>
    </row>
    <row r="105" spans="2:11">
      <c r="B105" s="159"/>
      <c r="C105">
        <f t="shared" si="35"/>
        <v>11</v>
      </c>
      <c r="D105" s="161">
        <f t="shared" si="26"/>
        <v>116484.16638413578</v>
      </c>
      <c r="E105" s="161">
        <f t="shared" si="36"/>
        <v>643.36158504604452</v>
      </c>
      <c r="F105" s="23">
        <f t="shared" si="27"/>
        <v>0.04</v>
      </c>
      <c r="G105" s="160">
        <f t="shared" si="28"/>
        <v>388.28055461378597</v>
      </c>
      <c r="H105" s="160">
        <f t="shared" si="29"/>
        <v>255.08103043225856</v>
      </c>
      <c r="I105" s="161">
        <f t="shared" si="34"/>
        <v>116229.08535370353</v>
      </c>
      <c r="J105" s="162">
        <f t="shared" si="30"/>
        <v>643.36158504604452</v>
      </c>
    </row>
    <row r="106" spans="2:11">
      <c r="B106" s="159"/>
      <c r="C106">
        <f t="shared" si="35"/>
        <v>12</v>
      </c>
      <c r="D106" s="161">
        <f t="shared" si="26"/>
        <v>116229.08535370353</v>
      </c>
      <c r="E106" s="161">
        <f t="shared" si="36"/>
        <v>643.36158504604452</v>
      </c>
      <c r="F106" s="23">
        <f t="shared" si="27"/>
        <v>0.04</v>
      </c>
      <c r="G106" s="160">
        <f t="shared" si="28"/>
        <v>387.43028451234511</v>
      </c>
      <c r="H106" s="160">
        <f t="shared" si="29"/>
        <v>255.93130053369941</v>
      </c>
      <c r="I106" s="701">
        <f>(D106-H106)*(1+K106)</f>
        <v>122931.54329636002</v>
      </c>
      <c r="J106" s="162">
        <f t="shared" si="30"/>
        <v>643.36158504604452</v>
      </c>
      <c r="K106" s="702">
        <v>0.06</v>
      </c>
    </row>
    <row r="107" spans="2:11">
      <c r="B107" s="159">
        <f>B95+1</f>
        <v>8</v>
      </c>
      <c r="C107">
        <v>1</v>
      </c>
      <c r="D107" s="701">
        <f t="shared" si="26"/>
        <v>122931.54329636002</v>
      </c>
      <c r="E107" s="161">
        <f>PMT(F107/12,($F$11-B107+1)*12,-D107)</f>
        <v>681.96328014880726</v>
      </c>
      <c r="F107" s="23">
        <f t="shared" si="27"/>
        <v>0.04</v>
      </c>
      <c r="G107" s="160">
        <f t="shared" si="28"/>
        <v>409.77181098786673</v>
      </c>
      <c r="H107" s="160">
        <f t="shared" si="29"/>
        <v>272.19146916094053</v>
      </c>
      <c r="I107" s="161">
        <f t="shared" ref="I107:I117" si="37">D107-H107</f>
        <v>122659.35182719908</v>
      </c>
      <c r="J107" s="162">
        <f t="shared" si="30"/>
        <v>681.96328014880726</v>
      </c>
    </row>
    <row r="108" spans="2:11">
      <c r="B108" s="159"/>
      <c r="C108">
        <f t="shared" ref="C108:C118" si="38">1+C107</f>
        <v>2</v>
      </c>
      <c r="D108" s="161">
        <f t="shared" si="26"/>
        <v>122659.35182719908</v>
      </c>
      <c r="E108" s="161">
        <f t="shared" ref="E108:E118" si="39">E107</f>
        <v>681.96328014880726</v>
      </c>
      <c r="F108" s="23">
        <f t="shared" si="27"/>
        <v>0.04</v>
      </c>
      <c r="G108" s="160">
        <f t="shared" si="28"/>
        <v>408.86450609066361</v>
      </c>
      <c r="H108" s="160">
        <f t="shared" si="29"/>
        <v>273.09877405814365</v>
      </c>
      <c r="I108" s="161">
        <f t="shared" si="37"/>
        <v>122386.25305314093</v>
      </c>
      <c r="J108" s="162">
        <f t="shared" si="30"/>
        <v>681.96328014880726</v>
      </c>
    </row>
    <row r="109" spans="2:11">
      <c r="B109" s="159"/>
      <c r="C109">
        <f t="shared" si="38"/>
        <v>3</v>
      </c>
      <c r="D109" s="161">
        <f t="shared" si="26"/>
        <v>122386.25305314093</v>
      </c>
      <c r="E109" s="161">
        <f t="shared" si="39"/>
        <v>681.96328014880726</v>
      </c>
      <c r="F109" s="23">
        <f t="shared" si="27"/>
        <v>0.04</v>
      </c>
      <c r="G109" s="160">
        <f t="shared" si="28"/>
        <v>407.95417684380311</v>
      </c>
      <c r="H109" s="160">
        <f t="shared" si="29"/>
        <v>274.00910330500415</v>
      </c>
      <c r="I109" s="161">
        <f t="shared" si="37"/>
        <v>122112.24394983593</v>
      </c>
      <c r="J109" s="162">
        <f t="shared" si="30"/>
        <v>681.96328014880726</v>
      </c>
    </row>
    <row r="110" spans="2:11">
      <c r="B110" s="159"/>
      <c r="C110">
        <f t="shared" si="38"/>
        <v>4</v>
      </c>
      <c r="D110" s="161">
        <f t="shared" si="26"/>
        <v>122112.24394983593</v>
      </c>
      <c r="E110" s="161">
        <f t="shared" si="39"/>
        <v>681.96328014880726</v>
      </c>
      <c r="F110" s="23">
        <f t="shared" si="27"/>
        <v>0.04</v>
      </c>
      <c r="G110" s="160">
        <f t="shared" si="28"/>
        <v>407.04081316611979</v>
      </c>
      <c r="H110" s="160">
        <f t="shared" si="29"/>
        <v>274.92246698268747</v>
      </c>
      <c r="I110" s="161">
        <f t="shared" si="37"/>
        <v>121837.32148285324</v>
      </c>
      <c r="J110" s="162">
        <f t="shared" si="30"/>
        <v>681.96328014880726</v>
      </c>
    </row>
    <row r="111" spans="2:11">
      <c r="B111" s="159"/>
      <c r="C111">
        <f t="shared" si="38"/>
        <v>5</v>
      </c>
      <c r="D111" s="161">
        <f t="shared" si="26"/>
        <v>121837.32148285324</v>
      </c>
      <c r="E111" s="161">
        <f t="shared" si="39"/>
        <v>681.96328014880726</v>
      </c>
      <c r="F111" s="23">
        <f t="shared" si="27"/>
        <v>0.04</v>
      </c>
      <c r="G111" s="160">
        <f t="shared" si="28"/>
        <v>406.12440494284414</v>
      </c>
      <c r="H111" s="160">
        <f t="shared" si="29"/>
        <v>275.83887520596312</v>
      </c>
      <c r="I111" s="161">
        <f t="shared" si="37"/>
        <v>121561.48260764727</v>
      </c>
      <c r="J111" s="162">
        <f t="shared" si="30"/>
        <v>681.96328014880726</v>
      </c>
    </row>
    <row r="112" spans="2:11">
      <c r="B112" s="159"/>
      <c r="C112">
        <f t="shared" si="38"/>
        <v>6</v>
      </c>
      <c r="D112" s="161">
        <f t="shared" si="26"/>
        <v>121561.48260764727</v>
      </c>
      <c r="E112" s="161">
        <f t="shared" si="39"/>
        <v>681.96328014880726</v>
      </c>
      <c r="F112" s="23">
        <f t="shared" si="27"/>
        <v>0.04</v>
      </c>
      <c r="G112" s="160">
        <f t="shared" si="28"/>
        <v>405.20494202549094</v>
      </c>
      <c r="H112" s="160">
        <f t="shared" si="29"/>
        <v>276.75833812331632</v>
      </c>
      <c r="I112" s="161">
        <f t="shared" si="37"/>
        <v>121284.72426952395</v>
      </c>
      <c r="J112" s="162">
        <f t="shared" si="30"/>
        <v>681.96328014880726</v>
      </c>
    </row>
    <row r="113" spans="2:11">
      <c r="B113" s="159"/>
      <c r="C113">
        <f t="shared" si="38"/>
        <v>7</v>
      </c>
      <c r="D113" s="161">
        <f t="shared" si="26"/>
        <v>121284.72426952395</v>
      </c>
      <c r="E113" s="161">
        <f t="shared" si="39"/>
        <v>681.96328014880726</v>
      </c>
      <c r="F113" s="23">
        <f t="shared" si="27"/>
        <v>0.04</v>
      </c>
      <c r="G113" s="160">
        <f t="shared" si="28"/>
        <v>404.28241423174654</v>
      </c>
      <c r="H113" s="160">
        <f t="shared" si="29"/>
        <v>277.68086591706071</v>
      </c>
      <c r="I113" s="161">
        <f t="shared" si="37"/>
        <v>121007.04340360689</v>
      </c>
      <c r="J113" s="162">
        <f t="shared" si="30"/>
        <v>681.96328014880726</v>
      </c>
    </row>
    <row r="114" spans="2:11">
      <c r="B114" s="159"/>
      <c r="C114">
        <f t="shared" si="38"/>
        <v>8</v>
      </c>
      <c r="D114" s="161">
        <f t="shared" si="26"/>
        <v>121007.04340360689</v>
      </c>
      <c r="E114" s="161">
        <f t="shared" si="39"/>
        <v>681.96328014880726</v>
      </c>
      <c r="F114" s="23">
        <f t="shared" si="27"/>
        <v>0.04</v>
      </c>
      <c r="G114" s="160">
        <f t="shared" si="28"/>
        <v>403.35681134535633</v>
      </c>
      <c r="H114" s="160">
        <f t="shared" si="29"/>
        <v>278.60646880345092</v>
      </c>
      <c r="I114" s="161">
        <f t="shared" si="37"/>
        <v>120728.43693480344</v>
      </c>
      <c r="J114" s="162">
        <f t="shared" si="30"/>
        <v>681.96328014880726</v>
      </c>
    </row>
    <row r="115" spans="2:11">
      <c r="B115" s="159"/>
      <c r="C115">
        <f t="shared" si="38"/>
        <v>9</v>
      </c>
      <c r="D115" s="161">
        <f t="shared" si="26"/>
        <v>120728.43693480344</v>
      </c>
      <c r="E115" s="161">
        <f t="shared" si="39"/>
        <v>681.96328014880726</v>
      </c>
      <c r="F115" s="23">
        <f t="shared" si="27"/>
        <v>0.04</v>
      </c>
      <c r="G115" s="160">
        <f t="shared" si="28"/>
        <v>402.42812311601148</v>
      </c>
      <c r="H115" s="160">
        <f t="shared" si="29"/>
        <v>279.53515703279578</v>
      </c>
      <c r="I115" s="161">
        <f t="shared" si="37"/>
        <v>120448.90177777065</v>
      </c>
      <c r="J115" s="162">
        <f t="shared" si="30"/>
        <v>681.96328014880726</v>
      </c>
    </row>
    <row r="116" spans="2:11">
      <c r="B116" s="159"/>
      <c r="C116">
        <f t="shared" si="38"/>
        <v>10</v>
      </c>
      <c r="D116" s="161">
        <f t="shared" si="26"/>
        <v>120448.90177777065</v>
      </c>
      <c r="E116" s="161">
        <f t="shared" si="39"/>
        <v>681.96328014880726</v>
      </c>
      <c r="F116" s="23">
        <f t="shared" si="27"/>
        <v>0.04</v>
      </c>
      <c r="G116" s="160">
        <f t="shared" si="28"/>
        <v>401.49633925923553</v>
      </c>
      <c r="H116" s="160">
        <f t="shared" si="29"/>
        <v>280.46694088957173</v>
      </c>
      <c r="I116" s="161">
        <f t="shared" si="37"/>
        <v>120168.43483688108</v>
      </c>
      <c r="J116" s="162">
        <f t="shared" si="30"/>
        <v>681.96328014880726</v>
      </c>
    </row>
    <row r="117" spans="2:11">
      <c r="B117" s="159"/>
      <c r="C117">
        <f t="shared" si="38"/>
        <v>11</v>
      </c>
      <c r="D117" s="161">
        <f t="shared" si="26"/>
        <v>120168.43483688108</v>
      </c>
      <c r="E117" s="161">
        <f t="shared" si="39"/>
        <v>681.96328014880726</v>
      </c>
      <c r="F117" s="23">
        <f t="shared" si="27"/>
        <v>0.04</v>
      </c>
      <c r="G117" s="160">
        <f t="shared" si="28"/>
        <v>400.56144945627028</v>
      </c>
      <c r="H117" s="160">
        <f t="shared" si="29"/>
        <v>281.40183069253698</v>
      </c>
      <c r="I117" s="161">
        <f t="shared" si="37"/>
        <v>119887.03300618853</v>
      </c>
      <c r="J117" s="162">
        <f t="shared" si="30"/>
        <v>681.96328014880726</v>
      </c>
    </row>
    <row r="118" spans="2:11">
      <c r="B118" s="159"/>
      <c r="C118">
        <f t="shared" si="38"/>
        <v>12</v>
      </c>
      <c r="D118" s="161">
        <f t="shared" si="26"/>
        <v>119887.03300618853</v>
      </c>
      <c r="E118" s="161">
        <f t="shared" si="39"/>
        <v>681.96328014880726</v>
      </c>
      <c r="F118" s="23">
        <f t="shared" si="27"/>
        <v>0.04</v>
      </c>
      <c r="G118" s="160">
        <f t="shared" si="28"/>
        <v>399.62344335396182</v>
      </c>
      <c r="H118" s="160">
        <f t="shared" si="29"/>
        <v>282.33983679484544</v>
      </c>
      <c r="I118" s="701">
        <f>(D118-H118)*(1+K118)</f>
        <v>126780.97475955733</v>
      </c>
      <c r="J118" s="162">
        <f t="shared" si="30"/>
        <v>681.96328014880726</v>
      </c>
      <c r="K118" s="702">
        <v>0.06</v>
      </c>
    </row>
    <row r="119" spans="2:11">
      <c r="B119" s="159">
        <f>B107+1</f>
        <v>9</v>
      </c>
      <c r="C119">
        <v>1</v>
      </c>
      <c r="D119" s="701">
        <f t="shared" si="26"/>
        <v>126780.97475955733</v>
      </c>
      <c r="E119" s="161">
        <f>PMT(F119/12,($F$11-B119+1)*12,-D119)</f>
        <v>722.8810769577359</v>
      </c>
      <c r="F119" s="23">
        <f t="shared" si="27"/>
        <v>0.04</v>
      </c>
      <c r="G119" s="160">
        <f t="shared" si="28"/>
        <v>422.60324919852445</v>
      </c>
      <c r="H119" s="160">
        <f t="shared" si="29"/>
        <v>300.27782775921145</v>
      </c>
      <c r="I119" s="161">
        <f t="shared" ref="I119:I129" si="40">D119-H119</f>
        <v>126480.69693179811</v>
      </c>
      <c r="J119" s="162">
        <f t="shared" si="30"/>
        <v>722.8810769577359</v>
      </c>
    </row>
    <row r="120" spans="2:11">
      <c r="B120" s="159"/>
      <c r="C120">
        <f t="shared" ref="C120:C130" si="41">1+C119</f>
        <v>2</v>
      </c>
      <c r="D120" s="161">
        <f t="shared" si="26"/>
        <v>126480.69693179811</v>
      </c>
      <c r="E120" s="161">
        <f t="shared" ref="E120:E130" si="42">E119</f>
        <v>722.8810769577359</v>
      </c>
      <c r="F120" s="23">
        <f t="shared" si="27"/>
        <v>0.04</v>
      </c>
      <c r="G120" s="160">
        <f t="shared" si="28"/>
        <v>421.60232310599372</v>
      </c>
      <c r="H120" s="160">
        <f t="shared" si="29"/>
        <v>301.27875385174218</v>
      </c>
      <c r="I120" s="161">
        <f t="shared" si="40"/>
        <v>126179.41817794637</v>
      </c>
      <c r="J120" s="162">
        <f t="shared" si="30"/>
        <v>722.8810769577359</v>
      </c>
    </row>
    <row r="121" spans="2:11">
      <c r="B121" s="159"/>
      <c r="C121">
        <f t="shared" si="41"/>
        <v>3</v>
      </c>
      <c r="D121" s="161">
        <f t="shared" si="26"/>
        <v>126179.41817794637</v>
      </c>
      <c r="E121" s="161">
        <f t="shared" si="42"/>
        <v>722.8810769577359</v>
      </c>
      <c r="F121" s="23">
        <f t="shared" si="27"/>
        <v>0.04</v>
      </c>
      <c r="G121" s="160">
        <f t="shared" si="28"/>
        <v>420.59806059315457</v>
      </c>
      <c r="H121" s="160">
        <f t="shared" si="29"/>
        <v>302.28301636458133</v>
      </c>
      <c r="I121" s="161">
        <f t="shared" si="40"/>
        <v>125877.13516158178</v>
      </c>
      <c r="J121" s="162">
        <f t="shared" si="30"/>
        <v>722.8810769577359</v>
      </c>
    </row>
    <row r="122" spans="2:11">
      <c r="B122" s="159"/>
      <c r="C122">
        <f t="shared" si="41"/>
        <v>4</v>
      </c>
      <c r="D122" s="161">
        <f t="shared" si="26"/>
        <v>125877.13516158178</v>
      </c>
      <c r="E122" s="161">
        <f t="shared" si="42"/>
        <v>722.8810769577359</v>
      </c>
      <c r="F122" s="23">
        <f t="shared" si="27"/>
        <v>0.04</v>
      </c>
      <c r="G122" s="160">
        <f t="shared" si="28"/>
        <v>419.59045053860598</v>
      </c>
      <c r="H122" s="160">
        <f t="shared" si="29"/>
        <v>303.29062641912992</v>
      </c>
      <c r="I122" s="161">
        <f t="shared" si="40"/>
        <v>125573.84453516266</v>
      </c>
      <c r="J122" s="162">
        <f t="shared" si="30"/>
        <v>722.8810769577359</v>
      </c>
    </row>
    <row r="123" spans="2:11">
      <c r="B123" s="159"/>
      <c r="C123">
        <f t="shared" si="41"/>
        <v>5</v>
      </c>
      <c r="D123" s="161">
        <f t="shared" si="26"/>
        <v>125573.84453516266</v>
      </c>
      <c r="E123" s="161">
        <f t="shared" si="42"/>
        <v>722.8810769577359</v>
      </c>
      <c r="F123" s="23">
        <f t="shared" si="27"/>
        <v>0.04</v>
      </c>
      <c r="G123" s="160">
        <f t="shared" si="28"/>
        <v>418.57948178387556</v>
      </c>
      <c r="H123" s="160">
        <f t="shared" si="29"/>
        <v>304.30159517386033</v>
      </c>
      <c r="I123" s="161">
        <f t="shared" si="40"/>
        <v>125269.54293998879</v>
      </c>
      <c r="J123" s="162">
        <f t="shared" si="30"/>
        <v>722.8810769577359</v>
      </c>
    </row>
    <row r="124" spans="2:11">
      <c r="B124" s="159"/>
      <c r="C124">
        <f t="shared" si="41"/>
        <v>6</v>
      </c>
      <c r="D124" s="161">
        <f t="shared" si="26"/>
        <v>125269.54293998879</v>
      </c>
      <c r="E124" s="161">
        <f t="shared" si="42"/>
        <v>722.8810769577359</v>
      </c>
      <c r="F124" s="23">
        <f t="shared" si="27"/>
        <v>0.04</v>
      </c>
      <c r="G124" s="160">
        <f t="shared" si="28"/>
        <v>417.56514313329603</v>
      </c>
      <c r="H124" s="160">
        <f t="shared" si="29"/>
        <v>305.31593382443987</v>
      </c>
      <c r="I124" s="161">
        <f t="shared" si="40"/>
        <v>124964.22700616435</v>
      </c>
      <c r="J124" s="162">
        <f t="shared" si="30"/>
        <v>722.8810769577359</v>
      </c>
    </row>
    <row r="125" spans="2:11">
      <c r="B125" s="159"/>
      <c r="C125">
        <f t="shared" si="41"/>
        <v>7</v>
      </c>
      <c r="D125" s="161">
        <f t="shared" si="26"/>
        <v>124964.22700616435</v>
      </c>
      <c r="E125" s="161">
        <f t="shared" si="42"/>
        <v>722.8810769577359</v>
      </c>
      <c r="F125" s="23">
        <f t="shared" si="27"/>
        <v>0.04</v>
      </c>
      <c r="G125" s="160">
        <f t="shared" si="28"/>
        <v>416.54742335388119</v>
      </c>
      <c r="H125" s="160">
        <f t="shared" si="29"/>
        <v>306.33365360385471</v>
      </c>
      <c r="I125" s="161">
        <f t="shared" si="40"/>
        <v>124657.8933525605</v>
      </c>
      <c r="J125" s="162">
        <f t="shared" si="30"/>
        <v>722.8810769577359</v>
      </c>
    </row>
    <row r="126" spans="2:11">
      <c r="B126" s="159"/>
      <c r="C126">
        <f t="shared" si="41"/>
        <v>8</v>
      </c>
      <c r="D126" s="161">
        <f t="shared" si="26"/>
        <v>124657.8933525605</v>
      </c>
      <c r="E126" s="161">
        <f t="shared" si="42"/>
        <v>722.8810769577359</v>
      </c>
      <c r="F126" s="23">
        <f t="shared" si="27"/>
        <v>0.04</v>
      </c>
      <c r="G126" s="160">
        <f t="shared" si="28"/>
        <v>415.52631117520167</v>
      </c>
      <c r="H126" s="160">
        <f t="shared" si="29"/>
        <v>307.35476578253423</v>
      </c>
      <c r="I126" s="161">
        <f t="shared" si="40"/>
        <v>124350.53858677796</v>
      </c>
      <c r="J126" s="162">
        <f t="shared" si="30"/>
        <v>722.8810769577359</v>
      </c>
    </row>
    <row r="127" spans="2:11">
      <c r="B127" s="159"/>
      <c r="C127">
        <f t="shared" si="41"/>
        <v>9</v>
      </c>
      <c r="D127" s="161">
        <f t="shared" si="26"/>
        <v>124350.53858677796</v>
      </c>
      <c r="E127" s="161">
        <f t="shared" si="42"/>
        <v>722.8810769577359</v>
      </c>
      <c r="F127" s="23">
        <f t="shared" si="27"/>
        <v>0.04</v>
      </c>
      <c r="G127" s="160">
        <f t="shared" si="28"/>
        <v>414.50179528925986</v>
      </c>
      <c r="H127" s="160">
        <f t="shared" si="29"/>
        <v>308.37928166847604</v>
      </c>
      <c r="I127" s="161">
        <f t="shared" si="40"/>
        <v>124042.15930510948</v>
      </c>
      <c r="J127" s="162">
        <f t="shared" si="30"/>
        <v>722.8810769577359</v>
      </c>
    </row>
    <row r="128" spans="2:11">
      <c r="B128" s="159"/>
      <c r="C128">
        <f t="shared" si="41"/>
        <v>10</v>
      </c>
      <c r="D128" s="161">
        <f t="shared" si="26"/>
        <v>124042.15930510948</v>
      </c>
      <c r="E128" s="161">
        <f t="shared" si="42"/>
        <v>722.8810769577359</v>
      </c>
      <c r="F128" s="23">
        <f t="shared" si="27"/>
        <v>0.04</v>
      </c>
      <c r="G128" s="160">
        <f t="shared" si="28"/>
        <v>413.47386435036498</v>
      </c>
      <c r="H128" s="160">
        <f t="shared" si="29"/>
        <v>309.40721260737092</v>
      </c>
      <c r="I128" s="161">
        <f t="shared" si="40"/>
        <v>123732.75209250211</v>
      </c>
      <c r="J128" s="162">
        <f t="shared" si="30"/>
        <v>722.8810769577359</v>
      </c>
    </row>
    <row r="129" spans="2:11">
      <c r="B129" s="159"/>
      <c r="C129">
        <f t="shared" si="41"/>
        <v>11</v>
      </c>
      <c r="D129" s="161">
        <f t="shared" si="26"/>
        <v>123732.75209250211</v>
      </c>
      <c r="E129" s="161">
        <f t="shared" si="42"/>
        <v>722.8810769577359</v>
      </c>
      <c r="F129" s="23">
        <f t="shared" si="27"/>
        <v>0.04</v>
      </c>
      <c r="G129" s="160">
        <f t="shared" si="28"/>
        <v>412.44250697500706</v>
      </c>
      <c r="H129" s="160">
        <f t="shared" si="29"/>
        <v>310.43856998272884</v>
      </c>
      <c r="I129" s="161">
        <f t="shared" si="40"/>
        <v>123422.31352251938</v>
      </c>
      <c r="J129" s="162">
        <f t="shared" si="30"/>
        <v>722.8810769577359</v>
      </c>
    </row>
    <row r="130" spans="2:11">
      <c r="B130" s="159"/>
      <c r="C130">
        <f t="shared" si="41"/>
        <v>12</v>
      </c>
      <c r="D130" s="161">
        <f t="shared" si="26"/>
        <v>123422.31352251938</v>
      </c>
      <c r="E130" s="161">
        <f t="shared" si="42"/>
        <v>722.8810769577359</v>
      </c>
      <c r="F130" s="23">
        <f t="shared" si="27"/>
        <v>0.04</v>
      </c>
      <c r="G130" s="160">
        <f t="shared" si="28"/>
        <v>411.4077117417313</v>
      </c>
      <c r="H130" s="160">
        <f t="shared" si="29"/>
        <v>311.47336521600459</v>
      </c>
      <c r="I130" s="701">
        <f>(D130-H130)*(1+K130)</f>
        <v>130497.49056674159</v>
      </c>
      <c r="J130" s="162">
        <f t="shared" si="30"/>
        <v>722.8810769577359</v>
      </c>
      <c r="K130" s="702">
        <v>0.06</v>
      </c>
    </row>
    <row r="131" spans="2:11">
      <c r="B131" s="159">
        <f>B119+1</f>
        <v>10</v>
      </c>
      <c r="C131">
        <v>1</v>
      </c>
      <c r="D131" s="701">
        <f t="shared" si="26"/>
        <v>130497.49056674159</v>
      </c>
      <c r="E131" s="161">
        <f>PMT(F131/12,($F$11-B131+1)*12,-D131)</f>
        <v>766.25394157519975</v>
      </c>
      <c r="F131" s="23">
        <f t="shared" si="27"/>
        <v>0.04</v>
      </c>
      <c r="G131" s="160">
        <f t="shared" si="28"/>
        <v>434.99163522247198</v>
      </c>
      <c r="H131" s="160">
        <f t="shared" si="29"/>
        <v>331.26230635272776</v>
      </c>
      <c r="I131" s="161">
        <f t="shared" ref="I131:I141" si="43">D131-H131</f>
        <v>130166.22826038886</v>
      </c>
      <c r="J131" s="162">
        <f t="shared" si="30"/>
        <v>766.25394157519975</v>
      </c>
    </row>
    <row r="132" spans="2:11">
      <c r="B132" s="159"/>
      <c r="C132">
        <f t="shared" ref="C132:C142" si="44">1+C131</f>
        <v>2</v>
      </c>
      <c r="D132" s="161">
        <f t="shared" si="26"/>
        <v>130166.22826038886</v>
      </c>
      <c r="E132" s="161">
        <f t="shared" ref="E132:E142" si="45">E131</f>
        <v>766.25394157519975</v>
      </c>
      <c r="F132" s="23">
        <f t="shared" si="27"/>
        <v>0.04</v>
      </c>
      <c r="G132" s="160">
        <f t="shared" si="28"/>
        <v>433.88742753462958</v>
      </c>
      <c r="H132" s="160">
        <f t="shared" si="29"/>
        <v>332.36651404057017</v>
      </c>
      <c r="I132" s="161">
        <f t="shared" si="43"/>
        <v>129833.8617463483</v>
      </c>
      <c r="J132" s="162">
        <f t="shared" si="30"/>
        <v>766.25394157519975</v>
      </c>
    </row>
    <row r="133" spans="2:11">
      <c r="B133" s="159"/>
      <c r="C133">
        <f t="shared" si="44"/>
        <v>3</v>
      </c>
      <c r="D133" s="161">
        <f t="shared" si="26"/>
        <v>129833.8617463483</v>
      </c>
      <c r="E133" s="161">
        <f t="shared" si="45"/>
        <v>766.25394157519975</v>
      </c>
      <c r="F133" s="23">
        <f t="shared" si="27"/>
        <v>0.04</v>
      </c>
      <c r="G133" s="160">
        <f t="shared" si="28"/>
        <v>432.77953915449433</v>
      </c>
      <c r="H133" s="160">
        <f t="shared" si="29"/>
        <v>333.47440242070542</v>
      </c>
      <c r="I133" s="161">
        <f t="shared" si="43"/>
        <v>129500.38734392759</v>
      </c>
      <c r="J133" s="162">
        <f t="shared" si="30"/>
        <v>766.25394157519975</v>
      </c>
    </row>
    <row r="134" spans="2:11">
      <c r="B134" s="159"/>
      <c r="C134">
        <f t="shared" si="44"/>
        <v>4</v>
      </c>
      <c r="D134" s="161">
        <f t="shared" si="26"/>
        <v>129500.38734392759</v>
      </c>
      <c r="E134" s="161">
        <f t="shared" si="45"/>
        <v>766.25394157519975</v>
      </c>
      <c r="F134" s="23">
        <f t="shared" si="27"/>
        <v>0.04</v>
      </c>
      <c r="G134" s="160">
        <f t="shared" si="28"/>
        <v>431.66795781309202</v>
      </c>
      <c r="H134" s="160">
        <f t="shared" si="29"/>
        <v>334.58598376210773</v>
      </c>
      <c r="I134" s="161">
        <f t="shared" si="43"/>
        <v>129165.80136016548</v>
      </c>
      <c r="J134" s="162">
        <f t="shared" si="30"/>
        <v>766.25394157519975</v>
      </c>
    </row>
    <row r="135" spans="2:11">
      <c r="B135" s="159"/>
      <c r="C135">
        <f t="shared" si="44"/>
        <v>5</v>
      </c>
      <c r="D135" s="161">
        <f t="shared" si="26"/>
        <v>129165.80136016548</v>
      </c>
      <c r="E135" s="161">
        <f t="shared" si="45"/>
        <v>766.25394157519975</v>
      </c>
      <c r="F135" s="23">
        <f t="shared" si="27"/>
        <v>0.04</v>
      </c>
      <c r="G135" s="160">
        <f t="shared" si="28"/>
        <v>430.55267120055163</v>
      </c>
      <c r="H135" s="160">
        <f t="shared" si="29"/>
        <v>335.70127037464812</v>
      </c>
      <c r="I135" s="161">
        <f t="shared" si="43"/>
        <v>128830.10008979084</v>
      </c>
      <c r="J135" s="162">
        <f t="shared" si="30"/>
        <v>766.25394157519975</v>
      </c>
    </row>
    <row r="136" spans="2:11">
      <c r="B136" s="159"/>
      <c r="C136">
        <f t="shared" si="44"/>
        <v>6</v>
      </c>
      <c r="D136" s="161">
        <f t="shared" si="26"/>
        <v>128830.10008979084</v>
      </c>
      <c r="E136" s="161">
        <f t="shared" si="45"/>
        <v>766.25394157519975</v>
      </c>
      <c r="F136" s="23">
        <f t="shared" si="27"/>
        <v>0.04</v>
      </c>
      <c r="G136" s="160">
        <f t="shared" si="28"/>
        <v>429.43366696596951</v>
      </c>
      <c r="H136" s="160">
        <f t="shared" si="29"/>
        <v>336.82027460923024</v>
      </c>
      <c r="I136" s="161">
        <f t="shared" si="43"/>
        <v>128493.27981518161</v>
      </c>
      <c r="J136" s="162">
        <f t="shared" si="30"/>
        <v>766.25394157519975</v>
      </c>
    </row>
    <row r="137" spans="2:11">
      <c r="B137" s="159"/>
      <c r="C137">
        <f t="shared" si="44"/>
        <v>7</v>
      </c>
      <c r="D137" s="161">
        <f t="shared" si="26"/>
        <v>128493.27981518161</v>
      </c>
      <c r="E137" s="161">
        <f t="shared" si="45"/>
        <v>766.25394157519975</v>
      </c>
      <c r="F137" s="23">
        <f t="shared" si="27"/>
        <v>0.04</v>
      </c>
      <c r="G137" s="160">
        <f t="shared" si="28"/>
        <v>428.31093271727207</v>
      </c>
      <c r="H137" s="160">
        <f t="shared" si="29"/>
        <v>337.94300885792768</v>
      </c>
      <c r="I137" s="161">
        <f t="shared" si="43"/>
        <v>128155.33680632368</v>
      </c>
      <c r="J137" s="162">
        <f t="shared" si="30"/>
        <v>766.25394157519975</v>
      </c>
    </row>
    <row r="138" spans="2:11">
      <c r="B138" s="159"/>
      <c r="C138">
        <f t="shared" si="44"/>
        <v>8</v>
      </c>
      <c r="D138" s="161">
        <f t="shared" si="26"/>
        <v>128155.33680632368</v>
      </c>
      <c r="E138" s="161">
        <f t="shared" si="45"/>
        <v>766.25394157519975</v>
      </c>
      <c r="F138" s="23">
        <f t="shared" si="27"/>
        <v>0.04</v>
      </c>
      <c r="G138" s="160">
        <f t="shared" si="28"/>
        <v>427.18445602107897</v>
      </c>
      <c r="H138" s="160">
        <f t="shared" si="29"/>
        <v>339.06948555412077</v>
      </c>
      <c r="I138" s="161">
        <f t="shared" si="43"/>
        <v>127816.26732076956</v>
      </c>
      <c r="J138" s="162">
        <f t="shared" si="30"/>
        <v>766.25394157519975</v>
      </c>
    </row>
    <row r="139" spans="2:11">
      <c r="B139" s="159"/>
      <c r="C139">
        <f t="shared" si="44"/>
        <v>9</v>
      </c>
      <c r="D139" s="161">
        <f t="shared" si="26"/>
        <v>127816.26732076956</v>
      </c>
      <c r="E139" s="161">
        <f t="shared" si="45"/>
        <v>766.25394157519975</v>
      </c>
      <c r="F139" s="23">
        <f t="shared" si="27"/>
        <v>0.04</v>
      </c>
      <c r="G139" s="160">
        <f t="shared" si="28"/>
        <v>426.05422440256524</v>
      </c>
      <c r="H139" s="160">
        <f t="shared" si="29"/>
        <v>340.19971717263451</v>
      </c>
      <c r="I139" s="161">
        <f t="shared" si="43"/>
        <v>127476.06760359692</v>
      </c>
      <c r="J139" s="162">
        <f t="shared" si="30"/>
        <v>766.25394157519975</v>
      </c>
    </row>
    <row r="140" spans="2:11">
      <c r="B140" s="159"/>
      <c r="C140">
        <f t="shared" si="44"/>
        <v>10</v>
      </c>
      <c r="D140" s="161">
        <f t="shared" si="26"/>
        <v>127476.06760359692</v>
      </c>
      <c r="E140" s="161">
        <f t="shared" si="45"/>
        <v>766.25394157519975</v>
      </c>
      <c r="F140" s="23">
        <f t="shared" si="27"/>
        <v>0.04</v>
      </c>
      <c r="G140" s="160">
        <f t="shared" si="28"/>
        <v>424.9202253453231</v>
      </c>
      <c r="H140" s="160">
        <f t="shared" si="29"/>
        <v>341.33371622987664</v>
      </c>
      <c r="I140" s="161">
        <f t="shared" si="43"/>
        <v>127134.73388736705</v>
      </c>
      <c r="J140" s="162">
        <f t="shared" si="30"/>
        <v>766.25394157519975</v>
      </c>
    </row>
    <row r="141" spans="2:11">
      <c r="B141" s="159"/>
      <c r="C141">
        <f t="shared" si="44"/>
        <v>11</v>
      </c>
      <c r="D141" s="161">
        <f t="shared" si="26"/>
        <v>127134.73388736705</v>
      </c>
      <c r="E141" s="161">
        <f t="shared" si="45"/>
        <v>766.25394157519975</v>
      </c>
      <c r="F141" s="23">
        <f t="shared" si="27"/>
        <v>0.04</v>
      </c>
      <c r="G141" s="160">
        <f t="shared" si="28"/>
        <v>423.78244629122355</v>
      </c>
      <c r="H141" s="160">
        <f t="shared" si="29"/>
        <v>342.4714952839762</v>
      </c>
      <c r="I141" s="161">
        <f t="shared" si="43"/>
        <v>126792.26239208308</v>
      </c>
      <c r="J141" s="162">
        <f t="shared" si="30"/>
        <v>766.25394157519975</v>
      </c>
    </row>
    <row r="142" spans="2:11">
      <c r="B142" s="159"/>
      <c r="C142">
        <f t="shared" si="44"/>
        <v>12</v>
      </c>
      <c r="D142" s="161">
        <f t="shared" si="26"/>
        <v>126792.26239208308</v>
      </c>
      <c r="E142" s="161">
        <f t="shared" si="45"/>
        <v>766.25394157519975</v>
      </c>
      <c r="F142" s="23">
        <f t="shared" si="27"/>
        <v>0.04</v>
      </c>
      <c r="G142" s="160">
        <f t="shared" si="28"/>
        <v>422.64087464027699</v>
      </c>
      <c r="H142" s="160">
        <f t="shared" si="29"/>
        <v>343.61306693492276</v>
      </c>
      <c r="I142" s="701">
        <f>(D142-H142)*(1+K142)</f>
        <v>134035.56828465706</v>
      </c>
      <c r="J142" s="162">
        <f t="shared" si="30"/>
        <v>766.25394157519975</v>
      </c>
      <c r="K142" s="702">
        <v>0.06</v>
      </c>
    </row>
    <row r="143" spans="2:11">
      <c r="B143" s="159">
        <f>B131+1</f>
        <v>11</v>
      </c>
      <c r="C143">
        <v>1</v>
      </c>
      <c r="D143" s="701">
        <f t="shared" si="26"/>
        <v>134035.56828465706</v>
      </c>
      <c r="E143" s="161">
        <f>PMT(F143/12,($F$11-B143+1)*12,-D143)</f>
        <v>812.22917806971202</v>
      </c>
      <c r="F143" s="23">
        <f t="shared" si="27"/>
        <v>0.04</v>
      </c>
      <c r="G143" s="160">
        <f t="shared" si="28"/>
        <v>446.78522761552352</v>
      </c>
      <c r="H143" s="160">
        <f t="shared" si="29"/>
        <v>365.4439504541885</v>
      </c>
      <c r="I143" s="161">
        <f t="shared" ref="I143:I153" si="46">D143-H143</f>
        <v>133670.12433420288</v>
      </c>
      <c r="J143" s="162">
        <f t="shared" si="30"/>
        <v>812.22917806971202</v>
      </c>
    </row>
    <row r="144" spans="2:11">
      <c r="B144" s="159"/>
      <c r="C144">
        <f t="shared" ref="C144:C154" si="47">1+C143</f>
        <v>2</v>
      </c>
      <c r="D144" s="161">
        <f t="shared" si="26"/>
        <v>133670.12433420288</v>
      </c>
      <c r="E144" s="161">
        <f t="shared" ref="E144:E154" si="48">E143</f>
        <v>812.22917806971202</v>
      </c>
      <c r="F144" s="23">
        <f t="shared" si="27"/>
        <v>0.04</v>
      </c>
      <c r="G144" s="160">
        <f t="shared" si="28"/>
        <v>445.56708111400962</v>
      </c>
      <c r="H144" s="160">
        <f t="shared" si="29"/>
        <v>366.6620969557024</v>
      </c>
      <c r="I144" s="161">
        <f t="shared" si="46"/>
        <v>133303.46223724718</v>
      </c>
      <c r="J144" s="162">
        <f t="shared" si="30"/>
        <v>812.22917806971202</v>
      </c>
    </row>
    <row r="145" spans="2:11">
      <c r="B145" s="159"/>
      <c r="C145">
        <f t="shared" si="47"/>
        <v>3</v>
      </c>
      <c r="D145" s="161">
        <f t="shared" si="26"/>
        <v>133303.46223724718</v>
      </c>
      <c r="E145" s="161">
        <f t="shared" si="48"/>
        <v>812.22917806971202</v>
      </c>
      <c r="F145" s="23">
        <f t="shared" si="27"/>
        <v>0.04</v>
      </c>
      <c r="G145" s="160">
        <f t="shared" si="28"/>
        <v>444.34487412415729</v>
      </c>
      <c r="H145" s="160">
        <f t="shared" si="29"/>
        <v>367.88430394555473</v>
      </c>
      <c r="I145" s="161">
        <f t="shared" si="46"/>
        <v>132935.57793330163</v>
      </c>
      <c r="J145" s="162">
        <f t="shared" si="30"/>
        <v>812.22917806971202</v>
      </c>
    </row>
    <row r="146" spans="2:11">
      <c r="B146" s="159"/>
      <c r="C146">
        <f t="shared" si="47"/>
        <v>4</v>
      </c>
      <c r="D146" s="161">
        <f t="shared" ref="D146:D209" si="49">I145</f>
        <v>132935.57793330163</v>
      </c>
      <c r="E146" s="161">
        <f t="shared" si="48"/>
        <v>812.22917806971202</v>
      </c>
      <c r="F146" s="23">
        <f t="shared" ref="F146:F209" si="50">F145</f>
        <v>0.04</v>
      </c>
      <c r="G146" s="160">
        <f t="shared" ref="G146:G209" si="51">(F146/12)*D146</f>
        <v>443.11859311100545</v>
      </c>
      <c r="H146" s="160">
        <f t="shared" ref="H146:H209" si="52">E146-G146</f>
        <v>369.11058495870657</v>
      </c>
      <c r="I146" s="161">
        <f t="shared" si="46"/>
        <v>132566.46734834291</v>
      </c>
      <c r="J146" s="162">
        <f t="shared" ref="J146:J209" si="53">E146</f>
        <v>812.22917806971202</v>
      </c>
    </row>
    <row r="147" spans="2:11">
      <c r="B147" s="159"/>
      <c r="C147">
        <f t="shared" si="47"/>
        <v>5</v>
      </c>
      <c r="D147" s="161">
        <f t="shared" si="49"/>
        <v>132566.46734834291</v>
      </c>
      <c r="E147" s="161">
        <f t="shared" si="48"/>
        <v>812.22917806971202</v>
      </c>
      <c r="F147" s="23">
        <f t="shared" si="50"/>
        <v>0.04</v>
      </c>
      <c r="G147" s="160">
        <f t="shared" si="51"/>
        <v>441.88822449447639</v>
      </c>
      <c r="H147" s="160">
        <f t="shared" si="52"/>
        <v>370.34095357523563</v>
      </c>
      <c r="I147" s="161">
        <f t="shared" si="46"/>
        <v>132196.12639476766</v>
      </c>
      <c r="J147" s="162">
        <f t="shared" si="53"/>
        <v>812.22917806971202</v>
      </c>
    </row>
    <row r="148" spans="2:11">
      <c r="B148" s="159"/>
      <c r="C148">
        <f t="shared" si="47"/>
        <v>6</v>
      </c>
      <c r="D148" s="161">
        <f t="shared" si="49"/>
        <v>132196.12639476766</v>
      </c>
      <c r="E148" s="161">
        <f t="shared" si="48"/>
        <v>812.22917806971202</v>
      </c>
      <c r="F148" s="23">
        <f t="shared" si="50"/>
        <v>0.04</v>
      </c>
      <c r="G148" s="160">
        <f t="shared" si="51"/>
        <v>440.65375464922556</v>
      </c>
      <c r="H148" s="160">
        <f t="shared" si="52"/>
        <v>371.57542342048646</v>
      </c>
      <c r="I148" s="161">
        <f t="shared" si="46"/>
        <v>131824.55097134717</v>
      </c>
      <c r="J148" s="162">
        <f t="shared" si="53"/>
        <v>812.22917806971202</v>
      </c>
    </row>
    <row r="149" spans="2:11">
      <c r="B149" s="159"/>
      <c r="C149">
        <f t="shared" si="47"/>
        <v>7</v>
      </c>
      <c r="D149" s="161">
        <f t="shared" si="49"/>
        <v>131824.55097134717</v>
      </c>
      <c r="E149" s="161">
        <f t="shared" si="48"/>
        <v>812.22917806971202</v>
      </c>
      <c r="F149" s="23">
        <f t="shared" si="50"/>
        <v>0.04</v>
      </c>
      <c r="G149" s="160">
        <f t="shared" si="51"/>
        <v>439.4151699044906</v>
      </c>
      <c r="H149" s="160">
        <f t="shared" si="52"/>
        <v>372.81400816522142</v>
      </c>
      <c r="I149" s="161">
        <f t="shared" si="46"/>
        <v>131451.73696318196</v>
      </c>
      <c r="J149" s="162">
        <f t="shared" si="53"/>
        <v>812.22917806971202</v>
      </c>
    </row>
    <row r="150" spans="2:11">
      <c r="B150" s="159"/>
      <c r="C150">
        <f t="shared" si="47"/>
        <v>8</v>
      </c>
      <c r="D150" s="161">
        <f t="shared" si="49"/>
        <v>131451.73696318196</v>
      </c>
      <c r="E150" s="161">
        <f t="shared" si="48"/>
        <v>812.22917806971202</v>
      </c>
      <c r="F150" s="23">
        <f t="shared" si="50"/>
        <v>0.04</v>
      </c>
      <c r="G150" s="160">
        <f t="shared" si="51"/>
        <v>438.17245654393992</v>
      </c>
      <c r="H150" s="160">
        <f t="shared" si="52"/>
        <v>374.0567215257721</v>
      </c>
      <c r="I150" s="161">
        <f t="shared" si="46"/>
        <v>131077.6802416562</v>
      </c>
      <c r="J150" s="162">
        <f t="shared" si="53"/>
        <v>812.22917806971202</v>
      </c>
    </row>
    <row r="151" spans="2:11">
      <c r="B151" s="159"/>
      <c r="C151">
        <f t="shared" si="47"/>
        <v>9</v>
      </c>
      <c r="D151" s="161">
        <f t="shared" si="49"/>
        <v>131077.6802416562</v>
      </c>
      <c r="E151" s="161">
        <f t="shared" si="48"/>
        <v>812.22917806971202</v>
      </c>
      <c r="F151" s="23">
        <f t="shared" si="50"/>
        <v>0.04</v>
      </c>
      <c r="G151" s="160">
        <f t="shared" si="51"/>
        <v>436.92560080552067</v>
      </c>
      <c r="H151" s="160">
        <f t="shared" si="52"/>
        <v>375.30357726419135</v>
      </c>
      <c r="I151" s="161">
        <f t="shared" si="46"/>
        <v>130702.37666439201</v>
      </c>
      <c r="J151" s="162">
        <f t="shared" si="53"/>
        <v>812.22917806971202</v>
      </c>
    </row>
    <row r="152" spans="2:11">
      <c r="B152" s="159"/>
      <c r="C152">
        <f t="shared" si="47"/>
        <v>10</v>
      </c>
      <c r="D152" s="161">
        <f t="shared" si="49"/>
        <v>130702.37666439201</v>
      </c>
      <c r="E152" s="161">
        <f t="shared" si="48"/>
        <v>812.22917806971202</v>
      </c>
      <c r="F152" s="23">
        <f t="shared" si="50"/>
        <v>0.04</v>
      </c>
      <c r="G152" s="160">
        <f t="shared" si="51"/>
        <v>435.6745888813067</v>
      </c>
      <c r="H152" s="160">
        <f t="shared" si="52"/>
        <v>376.55458918840532</v>
      </c>
      <c r="I152" s="161">
        <f t="shared" si="46"/>
        <v>130325.8220752036</v>
      </c>
      <c r="J152" s="162">
        <f t="shared" si="53"/>
        <v>812.22917806971202</v>
      </c>
    </row>
    <row r="153" spans="2:11">
      <c r="B153" s="159"/>
      <c r="C153">
        <f t="shared" si="47"/>
        <v>11</v>
      </c>
      <c r="D153" s="161">
        <f t="shared" si="49"/>
        <v>130325.8220752036</v>
      </c>
      <c r="E153" s="161">
        <f t="shared" si="48"/>
        <v>812.22917806971202</v>
      </c>
      <c r="F153" s="23">
        <f t="shared" si="50"/>
        <v>0.04</v>
      </c>
      <c r="G153" s="160">
        <f t="shared" si="51"/>
        <v>434.41940691734538</v>
      </c>
      <c r="H153" s="160">
        <f t="shared" si="52"/>
        <v>377.80977115236664</v>
      </c>
      <c r="I153" s="161">
        <f t="shared" si="46"/>
        <v>129948.01230405123</v>
      </c>
      <c r="J153" s="162">
        <f t="shared" si="53"/>
        <v>812.22917806971202</v>
      </c>
    </row>
    <row r="154" spans="2:11">
      <c r="B154" s="159"/>
      <c r="C154">
        <f t="shared" si="47"/>
        <v>12</v>
      </c>
      <c r="D154" s="161">
        <f t="shared" si="49"/>
        <v>129948.01230405123</v>
      </c>
      <c r="E154" s="161">
        <f t="shared" si="48"/>
        <v>812.22917806971202</v>
      </c>
      <c r="F154" s="23">
        <f t="shared" si="50"/>
        <v>0.04</v>
      </c>
      <c r="G154" s="160">
        <f t="shared" si="51"/>
        <v>433.1600410135041</v>
      </c>
      <c r="H154" s="160">
        <f t="shared" si="52"/>
        <v>379.06913705620792</v>
      </c>
      <c r="I154" s="701">
        <f>(D154-H154)*(1+K154)</f>
        <v>137343.07975701473</v>
      </c>
      <c r="J154" s="162">
        <f t="shared" si="53"/>
        <v>812.22917806971202</v>
      </c>
      <c r="K154" s="702">
        <v>0.06</v>
      </c>
    </row>
    <row r="155" spans="2:11">
      <c r="B155" s="159">
        <f>B143+1</f>
        <v>12</v>
      </c>
      <c r="C155">
        <v>1</v>
      </c>
      <c r="D155" s="701">
        <f t="shared" si="49"/>
        <v>137343.07975701473</v>
      </c>
      <c r="E155" s="161">
        <f>PMT(F155/12,($F$11-B155+1)*12,-D155)</f>
        <v>860.96292875389474</v>
      </c>
      <c r="F155" s="23">
        <f t="shared" si="50"/>
        <v>0.04</v>
      </c>
      <c r="G155" s="160">
        <f t="shared" si="51"/>
        <v>457.81026585671577</v>
      </c>
      <c r="H155" s="160">
        <f t="shared" si="52"/>
        <v>403.15266289717897</v>
      </c>
      <c r="I155" s="161">
        <f t="shared" ref="I155:I165" si="54">D155-H155</f>
        <v>136939.92709411753</v>
      </c>
      <c r="J155" s="162">
        <f t="shared" si="53"/>
        <v>860.96292875389474</v>
      </c>
    </row>
    <row r="156" spans="2:11">
      <c r="B156" s="159"/>
      <c r="C156">
        <f t="shared" ref="C156:C166" si="55">1+C155</f>
        <v>2</v>
      </c>
      <c r="D156" s="161">
        <f t="shared" si="49"/>
        <v>136939.92709411753</v>
      </c>
      <c r="E156" s="161">
        <f t="shared" ref="E156:E166" si="56">E155</f>
        <v>860.96292875389474</v>
      </c>
      <c r="F156" s="23">
        <f t="shared" si="50"/>
        <v>0.04</v>
      </c>
      <c r="G156" s="160">
        <f t="shared" si="51"/>
        <v>456.46642364705849</v>
      </c>
      <c r="H156" s="160">
        <f t="shared" si="52"/>
        <v>404.49650510683625</v>
      </c>
      <c r="I156" s="161">
        <f t="shared" si="54"/>
        <v>136535.43058901071</v>
      </c>
      <c r="J156" s="162">
        <f t="shared" si="53"/>
        <v>860.96292875389474</v>
      </c>
    </row>
    <row r="157" spans="2:11">
      <c r="B157" s="159"/>
      <c r="C157">
        <f t="shared" si="55"/>
        <v>3</v>
      </c>
      <c r="D157" s="161">
        <f t="shared" si="49"/>
        <v>136535.43058901071</v>
      </c>
      <c r="E157" s="161">
        <f t="shared" si="56"/>
        <v>860.96292875389474</v>
      </c>
      <c r="F157" s="23">
        <f t="shared" si="50"/>
        <v>0.04</v>
      </c>
      <c r="G157" s="160">
        <f t="shared" si="51"/>
        <v>455.11810196336904</v>
      </c>
      <c r="H157" s="160">
        <f t="shared" si="52"/>
        <v>405.8448267905257</v>
      </c>
      <c r="I157" s="161">
        <f t="shared" si="54"/>
        <v>136129.58576222017</v>
      </c>
      <c r="J157" s="162">
        <f t="shared" si="53"/>
        <v>860.96292875389474</v>
      </c>
    </row>
    <row r="158" spans="2:11">
      <c r="B158" s="159"/>
      <c r="C158">
        <f t="shared" si="55"/>
        <v>4</v>
      </c>
      <c r="D158" s="161">
        <f t="shared" si="49"/>
        <v>136129.58576222017</v>
      </c>
      <c r="E158" s="161">
        <f t="shared" si="56"/>
        <v>860.96292875389474</v>
      </c>
      <c r="F158" s="23">
        <f t="shared" si="50"/>
        <v>0.04</v>
      </c>
      <c r="G158" s="160">
        <f t="shared" si="51"/>
        <v>453.76528587406727</v>
      </c>
      <c r="H158" s="160">
        <f t="shared" si="52"/>
        <v>407.19764287982747</v>
      </c>
      <c r="I158" s="161">
        <f t="shared" si="54"/>
        <v>135722.38811934035</v>
      </c>
      <c r="J158" s="162">
        <f t="shared" si="53"/>
        <v>860.96292875389474</v>
      </c>
    </row>
    <row r="159" spans="2:11">
      <c r="B159" s="159"/>
      <c r="C159">
        <f t="shared" si="55"/>
        <v>5</v>
      </c>
      <c r="D159" s="161">
        <f t="shared" si="49"/>
        <v>135722.38811934035</v>
      </c>
      <c r="E159" s="161">
        <f t="shared" si="56"/>
        <v>860.96292875389474</v>
      </c>
      <c r="F159" s="23">
        <f t="shared" si="50"/>
        <v>0.04</v>
      </c>
      <c r="G159" s="160">
        <f t="shared" si="51"/>
        <v>452.40796039780122</v>
      </c>
      <c r="H159" s="160">
        <f t="shared" si="52"/>
        <v>408.55496835609353</v>
      </c>
      <c r="I159" s="161">
        <f t="shared" si="54"/>
        <v>135313.83315098425</v>
      </c>
      <c r="J159" s="162">
        <f t="shared" si="53"/>
        <v>860.96292875389474</v>
      </c>
    </row>
    <row r="160" spans="2:11">
      <c r="B160" s="159"/>
      <c r="C160">
        <f t="shared" si="55"/>
        <v>6</v>
      </c>
      <c r="D160" s="161">
        <f t="shared" si="49"/>
        <v>135313.83315098425</v>
      </c>
      <c r="E160" s="161">
        <f t="shared" si="56"/>
        <v>860.96292875389474</v>
      </c>
      <c r="F160" s="23">
        <f t="shared" si="50"/>
        <v>0.04</v>
      </c>
      <c r="G160" s="160">
        <f t="shared" si="51"/>
        <v>451.04611050328089</v>
      </c>
      <c r="H160" s="160">
        <f t="shared" si="52"/>
        <v>409.91681825061386</v>
      </c>
      <c r="I160" s="161">
        <f t="shared" si="54"/>
        <v>134903.91633273364</v>
      </c>
      <c r="J160" s="162">
        <f t="shared" si="53"/>
        <v>860.96292875389474</v>
      </c>
    </row>
    <row r="161" spans="2:11">
      <c r="B161" s="159"/>
      <c r="C161">
        <f t="shared" si="55"/>
        <v>7</v>
      </c>
      <c r="D161" s="161">
        <f t="shared" si="49"/>
        <v>134903.91633273364</v>
      </c>
      <c r="E161" s="161">
        <f t="shared" si="56"/>
        <v>860.96292875389474</v>
      </c>
      <c r="F161" s="23">
        <f t="shared" si="50"/>
        <v>0.04</v>
      </c>
      <c r="G161" s="160">
        <f t="shared" si="51"/>
        <v>449.67972110911217</v>
      </c>
      <c r="H161" s="160">
        <f t="shared" si="52"/>
        <v>411.28320764478258</v>
      </c>
      <c r="I161" s="161">
        <f t="shared" si="54"/>
        <v>134492.63312508885</v>
      </c>
      <c r="J161" s="162">
        <f t="shared" si="53"/>
        <v>860.96292875389474</v>
      </c>
    </row>
    <row r="162" spans="2:11">
      <c r="B162" s="159"/>
      <c r="C162">
        <f t="shared" si="55"/>
        <v>8</v>
      </c>
      <c r="D162" s="161">
        <f t="shared" si="49"/>
        <v>134492.63312508885</v>
      </c>
      <c r="E162" s="161">
        <f t="shared" si="56"/>
        <v>860.96292875389474</v>
      </c>
      <c r="F162" s="23">
        <f t="shared" si="50"/>
        <v>0.04</v>
      </c>
      <c r="G162" s="160">
        <f t="shared" si="51"/>
        <v>448.30877708362954</v>
      </c>
      <c r="H162" s="160">
        <f t="shared" si="52"/>
        <v>412.65415167026521</v>
      </c>
      <c r="I162" s="161">
        <f t="shared" si="54"/>
        <v>134079.97897341859</v>
      </c>
      <c r="J162" s="162">
        <f t="shared" si="53"/>
        <v>860.96292875389474</v>
      </c>
    </row>
    <row r="163" spans="2:11">
      <c r="B163" s="159"/>
      <c r="C163">
        <f t="shared" si="55"/>
        <v>9</v>
      </c>
      <c r="D163" s="161">
        <f t="shared" si="49"/>
        <v>134079.97897341859</v>
      </c>
      <c r="E163" s="161">
        <f t="shared" si="56"/>
        <v>860.96292875389474</v>
      </c>
      <c r="F163" s="23">
        <f t="shared" si="50"/>
        <v>0.04</v>
      </c>
      <c r="G163" s="160">
        <f t="shared" si="51"/>
        <v>446.93326324472866</v>
      </c>
      <c r="H163" s="160">
        <f t="shared" si="52"/>
        <v>414.02966550916608</v>
      </c>
      <c r="I163" s="161">
        <f t="shared" si="54"/>
        <v>133665.94930790941</v>
      </c>
      <c r="J163" s="162">
        <f t="shared" si="53"/>
        <v>860.96292875389474</v>
      </c>
    </row>
    <row r="164" spans="2:11">
      <c r="B164" s="159"/>
      <c r="C164">
        <f t="shared" si="55"/>
        <v>10</v>
      </c>
      <c r="D164" s="161">
        <f t="shared" si="49"/>
        <v>133665.94930790941</v>
      </c>
      <c r="E164" s="161">
        <f t="shared" si="56"/>
        <v>860.96292875389474</v>
      </c>
      <c r="F164" s="23">
        <f t="shared" si="50"/>
        <v>0.04</v>
      </c>
      <c r="G164" s="160">
        <f t="shared" si="51"/>
        <v>445.55316435969809</v>
      </c>
      <c r="H164" s="160">
        <f t="shared" si="52"/>
        <v>415.40976439419666</v>
      </c>
      <c r="I164" s="161">
        <f t="shared" si="54"/>
        <v>133250.53954351522</v>
      </c>
      <c r="J164" s="162">
        <f t="shared" si="53"/>
        <v>860.96292875389474</v>
      </c>
    </row>
    <row r="165" spans="2:11">
      <c r="B165" s="159"/>
      <c r="C165">
        <f t="shared" si="55"/>
        <v>11</v>
      </c>
      <c r="D165" s="161">
        <f t="shared" si="49"/>
        <v>133250.53954351522</v>
      </c>
      <c r="E165" s="161">
        <f t="shared" si="56"/>
        <v>860.96292875389474</v>
      </c>
      <c r="F165" s="23">
        <f t="shared" si="50"/>
        <v>0.04</v>
      </c>
      <c r="G165" s="160">
        <f t="shared" si="51"/>
        <v>444.16846514505073</v>
      </c>
      <c r="H165" s="160">
        <f t="shared" si="52"/>
        <v>416.79446360884401</v>
      </c>
      <c r="I165" s="161">
        <f t="shared" si="54"/>
        <v>132833.74507990637</v>
      </c>
      <c r="J165" s="162">
        <f t="shared" si="53"/>
        <v>860.96292875389474</v>
      </c>
    </row>
    <row r="166" spans="2:11">
      <c r="B166" s="159"/>
      <c r="C166">
        <f t="shared" si="55"/>
        <v>12</v>
      </c>
      <c r="D166" s="161">
        <f t="shared" si="49"/>
        <v>132833.74507990637</v>
      </c>
      <c r="E166" s="161">
        <f t="shared" si="56"/>
        <v>860.96292875389474</v>
      </c>
      <c r="F166" s="23">
        <f t="shared" si="50"/>
        <v>0.04</v>
      </c>
      <c r="G166" s="160">
        <f t="shared" si="51"/>
        <v>442.77915026635458</v>
      </c>
      <c r="H166" s="160">
        <f t="shared" si="52"/>
        <v>418.18377848754017</v>
      </c>
      <c r="I166" s="701">
        <f>(D166-H166)*(1+K166)</f>
        <v>140360.49497950394</v>
      </c>
      <c r="J166" s="162">
        <f t="shared" si="53"/>
        <v>860.96292875389474</v>
      </c>
      <c r="K166" s="702">
        <v>0.06</v>
      </c>
    </row>
    <row r="167" spans="2:11">
      <c r="B167" s="159">
        <f>B155+1</f>
        <v>13</v>
      </c>
      <c r="C167">
        <v>1</v>
      </c>
      <c r="D167" s="701">
        <f t="shared" si="49"/>
        <v>140360.49497950394</v>
      </c>
      <c r="E167" s="161">
        <f>PMT(F167/12,($F$11-B167+1)*12,-D167)</f>
        <v>912.62070447912799</v>
      </c>
      <c r="F167" s="23">
        <f t="shared" si="50"/>
        <v>0.04</v>
      </c>
      <c r="G167" s="160">
        <f t="shared" si="51"/>
        <v>467.8683165983465</v>
      </c>
      <c r="H167" s="160">
        <f t="shared" si="52"/>
        <v>444.7523878807815</v>
      </c>
      <c r="I167" s="161">
        <f t="shared" ref="I167:I177" si="57">D167-H167</f>
        <v>139915.74259162316</v>
      </c>
      <c r="J167" s="162">
        <f t="shared" si="53"/>
        <v>912.62070447912799</v>
      </c>
    </row>
    <row r="168" spans="2:11">
      <c r="B168" s="159"/>
      <c r="C168">
        <f t="shared" ref="C168:C178" si="58">1+C167</f>
        <v>2</v>
      </c>
      <c r="D168" s="161">
        <f t="shared" si="49"/>
        <v>139915.74259162316</v>
      </c>
      <c r="E168" s="161">
        <f t="shared" ref="E168:E178" si="59">E167</f>
        <v>912.62070447912799</v>
      </c>
      <c r="F168" s="23">
        <f t="shared" si="50"/>
        <v>0.04</v>
      </c>
      <c r="G168" s="160">
        <f t="shared" si="51"/>
        <v>466.38580863874387</v>
      </c>
      <c r="H168" s="160">
        <f t="shared" si="52"/>
        <v>446.23489584038413</v>
      </c>
      <c r="I168" s="161">
        <f t="shared" si="57"/>
        <v>139469.50769578278</v>
      </c>
      <c r="J168" s="162">
        <f t="shared" si="53"/>
        <v>912.62070447912799</v>
      </c>
    </row>
    <row r="169" spans="2:11">
      <c r="B169" s="159"/>
      <c r="C169">
        <f t="shared" si="58"/>
        <v>3</v>
      </c>
      <c r="D169" s="161">
        <f t="shared" si="49"/>
        <v>139469.50769578278</v>
      </c>
      <c r="E169" s="161">
        <f t="shared" si="59"/>
        <v>912.62070447912799</v>
      </c>
      <c r="F169" s="23">
        <f t="shared" si="50"/>
        <v>0.04</v>
      </c>
      <c r="G169" s="160">
        <f t="shared" si="51"/>
        <v>464.89835898594265</v>
      </c>
      <c r="H169" s="160">
        <f t="shared" si="52"/>
        <v>447.72234549318534</v>
      </c>
      <c r="I169" s="161">
        <f t="shared" si="57"/>
        <v>139021.7853502896</v>
      </c>
      <c r="J169" s="162">
        <f t="shared" si="53"/>
        <v>912.62070447912799</v>
      </c>
    </row>
    <row r="170" spans="2:11">
      <c r="B170" s="159"/>
      <c r="C170">
        <f t="shared" si="58"/>
        <v>4</v>
      </c>
      <c r="D170" s="161">
        <f t="shared" si="49"/>
        <v>139021.7853502896</v>
      </c>
      <c r="E170" s="161">
        <f t="shared" si="59"/>
        <v>912.62070447912799</v>
      </c>
      <c r="F170" s="23">
        <f t="shared" si="50"/>
        <v>0.04</v>
      </c>
      <c r="G170" s="160">
        <f t="shared" si="51"/>
        <v>463.40595116763205</v>
      </c>
      <c r="H170" s="160">
        <f t="shared" si="52"/>
        <v>449.21475331149594</v>
      </c>
      <c r="I170" s="161">
        <f t="shared" si="57"/>
        <v>138572.5705969781</v>
      </c>
      <c r="J170" s="162">
        <f t="shared" si="53"/>
        <v>912.62070447912799</v>
      </c>
    </row>
    <row r="171" spans="2:11">
      <c r="B171" s="159"/>
      <c r="C171">
        <f t="shared" si="58"/>
        <v>5</v>
      </c>
      <c r="D171" s="161">
        <f t="shared" si="49"/>
        <v>138572.5705969781</v>
      </c>
      <c r="E171" s="161">
        <f t="shared" si="59"/>
        <v>912.62070447912799</v>
      </c>
      <c r="F171" s="23">
        <f t="shared" si="50"/>
        <v>0.04</v>
      </c>
      <c r="G171" s="160">
        <f t="shared" si="51"/>
        <v>461.90856865659367</v>
      </c>
      <c r="H171" s="160">
        <f t="shared" si="52"/>
        <v>450.71213582253432</v>
      </c>
      <c r="I171" s="161">
        <f t="shared" si="57"/>
        <v>138121.85846115556</v>
      </c>
      <c r="J171" s="162">
        <f t="shared" si="53"/>
        <v>912.62070447912799</v>
      </c>
    </row>
    <row r="172" spans="2:11">
      <c r="B172" s="159"/>
      <c r="C172">
        <f t="shared" si="58"/>
        <v>6</v>
      </c>
      <c r="D172" s="161">
        <f t="shared" si="49"/>
        <v>138121.85846115556</v>
      </c>
      <c r="E172" s="161">
        <f t="shared" si="59"/>
        <v>912.62070447912799</v>
      </c>
      <c r="F172" s="23">
        <f t="shared" si="50"/>
        <v>0.04</v>
      </c>
      <c r="G172" s="160">
        <f t="shared" si="51"/>
        <v>460.40619487051856</v>
      </c>
      <c r="H172" s="160">
        <f t="shared" si="52"/>
        <v>452.21450960860943</v>
      </c>
      <c r="I172" s="161">
        <f t="shared" si="57"/>
        <v>137669.64395154695</v>
      </c>
      <c r="J172" s="162">
        <f t="shared" si="53"/>
        <v>912.62070447912799</v>
      </c>
    </row>
    <row r="173" spans="2:11">
      <c r="B173" s="159"/>
      <c r="C173">
        <f t="shared" si="58"/>
        <v>7</v>
      </c>
      <c r="D173" s="161">
        <f t="shared" si="49"/>
        <v>137669.64395154695</v>
      </c>
      <c r="E173" s="161">
        <f t="shared" si="59"/>
        <v>912.62070447912799</v>
      </c>
      <c r="F173" s="23">
        <f t="shared" si="50"/>
        <v>0.04</v>
      </c>
      <c r="G173" s="160">
        <f t="shared" si="51"/>
        <v>458.89881317182324</v>
      </c>
      <c r="H173" s="160">
        <f t="shared" si="52"/>
        <v>453.72189130730476</v>
      </c>
      <c r="I173" s="161">
        <f t="shared" si="57"/>
        <v>137215.92206023965</v>
      </c>
      <c r="J173" s="162">
        <f t="shared" si="53"/>
        <v>912.62070447912799</v>
      </c>
    </row>
    <row r="174" spans="2:11">
      <c r="B174" s="159"/>
      <c r="C174">
        <f t="shared" si="58"/>
        <v>8</v>
      </c>
      <c r="D174" s="161">
        <f t="shared" si="49"/>
        <v>137215.92206023965</v>
      </c>
      <c r="E174" s="161">
        <f t="shared" si="59"/>
        <v>912.62070447912799</v>
      </c>
      <c r="F174" s="23">
        <f t="shared" si="50"/>
        <v>0.04</v>
      </c>
      <c r="G174" s="160">
        <f t="shared" si="51"/>
        <v>457.38640686746555</v>
      </c>
      <c r="H174" s="160">
        <f t="shared" si="52"/>
        <v>455.23429761166244</v>
      </c>
      <c r="I174" s="161">
        <f t="shared" si="57"/>
        <v>136760.68776262799</v>
      </c>
      <c r="J174" s="162">
        <f t="shared" si="53"/>
        <v>912.62070447912799</v>
      </c>
    </row>
    <row r="175" spans="2:11">
      <c r="B175" s="159"/>
      <c r="C175">
        <f t="shared" si="58"/>
        <v>9</v>
      </c>
      <c r="D175" s="161">
        <f t="shared" si="49"/>
        <v>136760.68776262799</v>
      </c>
      <c r="E175" s="161">
        <f t="shared" si="59"/>
        <v>912.62070447912799</v>
      </c>
      <c r="F175" s="23">
        <f t="shared" si="50"/>
        <v>0.04</v>
      </c>
      <c r="G175" s="160">
        <f t="shared" si="51"/>
        <v>455.86895920875997</v>
      </c>
      <c r="H175" s="160">
        <f t="shared" si="52"/>
        <v>456.75174527036802</v>
      </c>
      <c r="I175" s="161">
        <f t="shared" si="57"/>
        <v>136303.93601735763</v>
      </c>
      <c r="J175" s="162">
        <f t="shared" si="53"/>
        <v>912.62070447912799</v>
      </c>
    </row>
    <row r="176" spans="2:11">
      <c r="B176" s="159"/>
      <c r="C176">
        <f t="shared" si="58"/>
        <v>10</v>
      </c>
      <c r="D176" s="161">
        <f t="shared" si="49"/>
        <v>136303.93601735763</v>
      </c>
      <c r="E176" s="161">
        <f t="shared" si="59"/>
        <v>912.62070447912799</v>
      </c>
      <c r="F176" s="23">
        <f t="shared" si="50"/>
        <v>0.04</v>
      </c>
      <c r="G176" s="160">
        <f t="shared" si="51"/>
        <v>454.34645339119214</v>
      </c>
      <c r="H176" s="160">
        <f t="shared" si="52"/>
        <v>458.27425108793585</v>
      </c>
      <c r="I176" s="161">
        <f t="shared" si="57"/>
        <v>135845.66176626968</v>
      </c>
      <c r="J176" s="162">
        <f t="shared" si="53"/>
        <v>912.62070447912799</v>
      </c>
    </row>
    <row r="177" spans="2:11">
      <c r="B177" s="159"/>
      <c r="C177">
        <f t="shared" si="58"/>
        <v>11</v>
      </c>
      <c r="D177" s="161">
        <f t="shared" si="49"/>
        <v>135845.66176626968</v>
      </c>
      <c r="E177" s="161">
        <f t="shared" si="59"/>
        <v>912.62070447912799</v>
      </c>
      <c r="F177" s="23">
        <f t="shared" si="50"/>
        <v>0.04</v>
      </c>
      <c r="G177" s="160">
        <f t="shared" si="51"/>
        <v>452.81887255423231</v>
      </c>
      <c r="H177" s="160">
        <f t="shared" si="52"/>
        <v>459.80183192489568</v>
      </c>
      <c r="I177" s="161">
        <f t="shared" si="57"/>
        <v>135385.85993434477</v>
      </c>
      <c r="J177" s="162">
        <f t="shared" si="53"/>
        <v>912.62070447912799</v>
      </c>
    </row>
    <row r="178" spans="2:11">
      <c r="B178" s="159"/>
      <c r="C178">
        <f t="shared" si="58"/>
        <v>12</v>
      </c>
      <c r="D178" s="161">
        <f t="shared" si="49"/>
        <v>135385.85993434477</v>
      </c>
      <c r="E178" s="161">
        <f t="shared" si="59"/>
        <v>912.62070447912799</v>
      </c>
      <c r="F178" s="23">
        <f t="shared" si="50"/>
        <v>0.04</v>
      </c>
      <c r="G178" s="160">
        <f t="shared" si="51"/>
        <v>451.28619978114926</v>
      </c>
      <c r="H178" s="160">
        <f t="shared" si="52"/>
        <v>461.33450469797873</v>
      </c>
      <c r="I178" s="701">
        <f>(D178-H178)*(1+K178)</f>
        <v>143019.99695542562</v>
      </c>
      <c r="J178" s="162">
        <f t="shared" si="53"/>
        <v>912.62070447912799</v>
      </c>
      <c r="K178" s="702">
        <v>0.06</v>
      </c>
    </row>
    <row r="179" spans="2:11">
      <c r="B179" s="159">
        <f>B167+1</f>
        <v>14</v>
      </c>
      <c r="C179">
        <v>1</v>
      </c>
      <c r="D179" s="701">
        <f t="shared" si="49"/>
        <v>143019.99695542562</v>
      </c>
      <c r="E179" s="161">
        <f>PMT(F179/12,($F$11-B179+1)*12,-D179)</f>
        <v>967.37794674787574</v>
      </c>
      <c r="F179" s="23">
        <f t="shared" si="50"/>
        <v>0.04</v>
      </c>
      <c r="G179" s="160">
        <f t="shared" si="51"/>
        <v>476.73332318475212</v>
      </c>
      <c r="H179" s="160">
        <f t="shared" si="52"/>
        <v>490.64462356312362</v>
      </c>
      <c r="I179" s="161">
        <f t="shared" ref="I179:I189" si="60">D179-H179</f>
        <v>142529.35233186249</v>
      </c>
      <c r="J179" s="162">
        <f t="shared" si="53"/>
        <v>967.37794674787574</v>
      </c>
    </row>
    <row r="180" spans="2:11">
      <c r="B180" s="159"/>
      <c r="C180">
        <f t="shared" ref="C180:C190" si="61">1+C179</f>
        <v>2</v>
      </c>
      <c r="D180" s="161">
        <f t="shared" si="49"/>
        <v>142529.35233186249</v>
      </c>
      <c r="E180" s="161">
        <f t="shared" ref="E180:E190" si="62">E179</f>
        <v>967.37794674787574</v>
      </c>
      <c r="F180" s="23">
        <f t="shared" si="50"/>
        <v>0.04</v>
      </c>
      <c r="G180" s="160">
        <f t="shared" si="51"/>
        <v>475.09784110620836</v>
      </c>
      <c r="H180" s="160">
        <f t="shared" si="52"/>
        <v>492.28010564166738</v>
      </c>
      <c r="I180" s="161">
        <f t="shared" si="60"/>
        <v>142037.07222622083</v>
      </c>
      <c r="J180" s="162">
        <f t="shared" si="53"/>
        <v>967.37794674787574</v>
      </c>
    </row>
    <row r="181" spans="2:11">
      <c r="B181" s="159"/>
      <c r="C181">
        <f t="shared" si="61"/>
        <v>3</v>
      </c>
      <c r="D181" s="161">
        <f t="shared" si="49"/>
        <v>142037.07222622083</v>
      </c>
      <c r="E181" s="161">
        <f t="shared" si="62"/>
        <v>967.37794674787574</v>
      </c>
      <c r="F181" s="23">
        <f t="shared" si="50"/>
        <v>0.04</v>
      </c>
      <c r="G181" s="160">
        <f t="shared" si="51"/>
        <v>473.45690742073612</v>
      </c>
      <c r="H181" s="160">
        <f t="shared" si="52"/>
        <v>493.92103932713962</v>
      </c>
      <c r="I181" s="161">
        <f t="shared" si="60"/>
        <v>141543.15118689369</v>
      </c>
      <c r="J181" s="162">
        <f t="shared" si="53"/>
        <v>967.37794674787574</v>
      </c>
    </row>
    <row r="182" spans="2:11">
      <c r="B182" s="159"/>
      <c r="C182">
        <f t="shared" si="61"/>
        <v>4</v>
      </c>
      <c r="D182" s="161">
        <f t="shared" si="49"/>
        <v>141543.15118689369</v>
      </c>
      <c r="E182" s="161">
        <f t="shared" si="62"/>
        <v>967.37794674787574</v>
      </c>
      <c r="F182" s="23">
        <f t="shared" si="50"/>
        <v>0.04</v>
      </c>
      <c r="G182" s="160">
        <f t="shared" si="51"/>
        <v>471.81050395631235</v>
      </c>
      <c r="H182" s="160">
        <f t="shared" si="52"/>
        <v>495.56744279156339</v>
      </c>
      <c r="I182" s="161">
        <f t="shared" si="60"/>
        <v>141047.58374410213</v>
      </c>
      <c r="J182" s="162">
        <f t="shared" si="53"/>
        <v>967.37794674787574</v>
      </c>
    </row>
    <row r="183" spans="2:11">
      <c r="B183" s="159"/>
      <c r="C183">
        <f t="shared" si="61"/>
        <v>5</v>
      </c>
      <c r="D183" s="161">
        <f t="shared" si="49"/>
        <v>141047.58374410213</v>
      </c>
      <c r="E183" s="161">
        <f t="shared" si="62"/>
        <v>967.37794674787574</v>
      </c>
      <c r="F183" s="23">
        <f t="shared" si="50"/>
        <v>0.04</v>
      </c>
      <c r="G183" s="160">
        <f t="shared" si="51"/>
        <v>470.15861248034048</v>
      </c>
      <c r="H183" s="160">
        <f t="shared" si="52"/>
        <v>497.21933426753526</v>
      </c>
      <c r="I183" s="161">
        <f t="shared" si="60"/>
        <v>140550.36440983458</v>
      </c>
      <c r="J183" s="162">
        <f t="shared" si="53"/>
        <v>967.37794674787574</v>
      </c>
    </row>
    <row r="184" spans="2:11">
      <c r="B184" s="159"/>
      <c r="C184">
        <f t="shared" si="61"/>
        <v>6</v>
      </c>
      <c r="D184" s="161">
        <f t="shared" si="49"/>
        <v>140550.36440983458</v>
      </c>
      <c r="E184" s="161">
        <f t="shared" si="62"/>
        <v>967.37794674787574</v>
      </c>
      <c r="F184" s="23">
        <f t="shared" si="50"/>
        <v>0.04</v>
      </c>
      <c r="G184" s="160">
        <f t="shared" si="51"/>
        <v>468.50121469944867</v>
      </c>
      <c r="H184" s="160">
        <f t="shared" si="52"/>
        <v>498.87673204842707</v>
      </c>
      <c r="I184" s="161">
        <f t="shared" si="60"/>
        <v>140051.48767778615</v>
      </c>
      <c r="J184" s="162">
        <f t="shared" si="53"/>
        <v>967.37794674787574</v>
      </c>
    </row>
    <row r="185" spans="2:11">
      <c r="B185" s="159"/>
      <c r="C185">
        <f t="shared" si="61"/>
        <v>7</v>
      </c>
      <c r="D185" s="161">
        <f t="shared" si="49"/>
        <v>140051.48767778615</v>
      </c>
      <c r="E185" s="161">
        <f t="shared" si="62"/>
        <v>967.37794674787574</v>
      </c>
      <c r="F185" s="23">
        <f t="shared" si="50"/>
        <v>0.04</v>
      </c>
      <c r="G185" s="160">
        <f t="shared" si="51"/>
        <v>466.83829225928719</v>
      </c>
      <c r="H185" s="160">
        <f t="shared" si="52"/>
        <v>500.53965448858855</v>
      </c>
      <c r="I185" s="161">
        <f t="shared" si="60"/>
        <v>139550.94802329756</v>
      </c>
      <c r="J185" s="162">
        <f t="shared" si="53"/>
        <v>967.37794674787574</v>
      </c>
    </row>
    <row r="186" spans="2:11">
      <c r="B186" s="159"/>
      <c r="C186">
        <f t="shared" si="61"/>
        <v>8</v>
      </c>
      <c r="D186" s="161">
        <f t="shared" si="49"/>
        <v>139550.94802329756</v>
      </c>
      <c r="E186" s="161">
        <f t="shared" si="62"/>
        <v>967.37794674787574</v>
      </c>
      <c r="F186" s="23">
        <f t="shared" si="50"/>
        <v>0.04</v>
      </c>
      <c r="G186" s="160">
        <f t="shared" si="51"/>
        <v>465.16982674432523</v>
      </c>
      <c r="H186" s="160">
        <f t="shared" si="52"/>
        <v>502.2081200035505</v>
      </c>
      <c r="I186" s="161">
        <f t="shared" si="60"/>
        <v>139048.73990329402</v>
      </c>
      <c r="J186" s="162">
        <f t="shared" si="53"/>
        <v>967.37794674787574</v>
      </c>
    </row>
    <row r="187" spans="2:11">
      <c r="B187" s="159"/>
      <c r="C187">
        <f t="shared" si="61"/>
        <v>9</v>
      </c>
      <c r="D187" s="161">
        <f t="shared" si="49"/>
        <v>139048.73990329402</v>
      </c>
      <c r="E187" s="161">
        <f t="shared" si="62"/>
        <v>967.37794674787574</v>
      </c>
      <c r="F187" s="23">
        <f t="shared" si="50"/>
        <v>0.04</v>
      </c>
      <c r="G187" s="160">
        <f t="shared" si="51"/>
        <v>463.49579967764674</v>
      </c>
      <c r="H187" s="160">
        <f t="shared" si="52"/>
        <v>503.882147070229</v>
      </c>
      <c r="I187" s="161">
        <f t="shared" si="60"/>
        <v>138544.85775622379</v>
      </c>
      <c r="J187" s="162">
        <f t="shared" si="53"/>
        <v>967.37794674787574</v>
      </c>
    </row>
    <row r="188" spans="2:11">
      <c r="B188" s="159"/>
      <c r="C188">
        <f t="shared" si="61"/>
        <v>10</v>
      </c>
      <c r="D188" s="161">
        <f t="shared" si="49"/>
        <v>138544.85775622379</v>
      </c>
      <c r="E188" s="161">
        <f t="shared" si="62"/>
        <v>967.37794674787574</v>
      </c>
      <c r="F188" s="23">
        <f t="shared" si="50"/>
        <v>0.04</v>
      </c>
      <c r="G188" s="160">
        <f t="shared" si="51"/>
        <v>461.81619252074603</v>
      </c>
      <c r="H188" s="160">
        <f t="shared" si="52"/>
        <v>505.56175422712971</v>
      </c>
      <c r="I188" s="161">
        <f t="shared" si="60"/>
        <v>138039.29600199667</v>
      </c>
      <c r="J188" s="162">
        <f t="shared" si="53"/>
        <v>967.37794674787574</v>
      </c>
    </row>
    <row r="189" spans="2:11">
      <c r="B189" s="159"/>
      <c r="C189">
        <f t="shared" si="61"/>
        <v>11</v>
      </c>
      <c r="D189" s="161">
        <f t="shared" si="49"/>
        <v>138039.29600199667</v>
      </c>
      <c r="E189" s="161">
        <f t="shared" si="62"/>
        <v>967.37794674787574</v>
      </c>
      <c r="F189" s="23">
        <f t="shared" si="50"/>
        <v>0.04</v>
      </c>
      <c r="G189" s="160">
        <f t="shared" si="51"/>
        <v>460.13098667332224</v>
      </c>
      <c r="H189" s="160">
        <f t="shared" si="52"/>
        <v>507.2469600745535</v>
      </c>
      <c r="I189" s="161">
        <f t="shared" si="60"/>
        <v>137532.04904192212</v>
      </c>
      <c r="J189" s="162">
        <f t="shared" si="53"/>
        <v>967.37794674787574</v>
      </c>
    </row>
    <row r="190" spans="2:11">
      <c r="B190" s="159"/>
      <c r="C190">
        <f t="shared" si="61"/>
        <v>12</v>
      </c>
      <c r="D190" s="161">
        <f t="shared" si="49"/>
        <v>137532.04904192212</v>
      </c>
      <c r="E190" s="161">
        <f t="shared" si="62"/>
        <v>967.37794674787574</v>
      </c>
      <c r="F190" s="23">
        <f t="shared" si="50"/>
        <v>0.04</v>
      </c>
      <c r="G190" s="160">
        <f t="shared" si="51"/>
        <v>458.44016347307377</v>
      </c>
      <c r="H190" s="160">
        <f t="shared" si="52"/>
        <v>508.93778327480197</v>
      </c>
      <c r="I190" s="701">
        <f>(D190-H190)*(1+K190)</f>
        <v>145244.49793416617</v>
      </c>
      <c r="J190" s="162">
        <f t="shared" si="53"/>
        <v>967.37794674787574</v>
      </c>
      <c r="K190" s="702">
        <v>0.06</v>
      </c>
    </row>
    <row r="191" spans="2:11">
      <c r="B191" s="159">
        <f>B179+1</f>
        <v>15</v>
      </c>
      <c r="C191">
        <v>1</v>
      </c>
      <c r="D191" s="701">
        <f t="shared" si="49"/>
        <v>145244.49793416617</v>
      </c>
      <c r="E191" s="161">
        <f>PMT(F191/12,($F$11-B191+1)*12,-D191)</f>
        <v>1025.4206235527486</v>
      </c>
      <c r="F191" s="23">
        <f t="shared" si="50"/>
        <v>0.04</v>
      </c>
      <c r="G191" s="160">
        <f t="shared" si="51"/>
        <v>484.1483264472206</v>
      </c>
      <c r="H191" s="160">
        <f t="shared" si="52"/>
        <v>541.27229710552797</v>
      </c>
      <c r="I191" s="161">
        <f t="shared" ref="I191:I201" si="63">D191-H191</f>
        <v>144703.22563706065</v>
      </c>
      <c r="J191" s="162">
        <f t="shared" si="53"/>
        <v>1025.4206235527486</v>
      </c>
    </row>
    <row r="192" spans="2:11">
      <c r="B192" s="159"/>
      <c r="C192">
        <f t="shared" ref="C192:C202" si="64">1+C191</f>
        <v>2</v>
      </c>
      <c r="D192" s="161">
        <f t="shared" si="49"/>
        <v>144703.22563706065</v>
      </c>
      <c r="E192" s="161">
        <f t="shared" ref="E192:E202" si="65">E191</f>
        <v>1025.4206235527486</v>
      </c>
      <c r="F192" s="23">
        <f t="shared" si="50"/>
        <v>0.04</v>
      </c>
      <c r="G192" s="160">
        <f t="shared" si="51"/>
        <v>482.34408545686887</v>
      </c>
      <c r="H192" s="160">
        <f t="shared" si="52"/>
        <v>543.07653809587964</v>
      </c>
      <c r="I192" s="161">
        <f t="shared" si="63"/>
        <v>144160.14909896476</v>
      </c>
      <c r="J192" s="162">
        <f t="shared" si="53"/>
        <v>1025.4206235527486</v>
      </c>
    </row>
    <row r="193" spans="2:11">
      <c r="B193" s="159"/>
      <c r="C193">
        <f t="shared" si="64"/>
        <v>3</v>
      </c>
      <c r="D193" s="161">
        <f t="shared" si="49"/>
        <v>144160.14909896476</v>
      </c>
      <c r="E193" s="161">
        <f t="shared" si="65"/>
        <v>1025.4206235527486</v>
      </c>
      <c r="F193" s="23">
        <f t="shared" si="50"/>
        <v>0.04</v>
      </c>
      <c r="G193" s="160">
        <f t="shared" si="51"/>
        <v>480.53383032988256</v>
      </c>
      <c r="H193" s="160">
        <f t="shared" si="52"/>
        <v>544.886793222866</v>
      </c>
      <c r="I193" s="161">
        <f t="shared" si="63"/>
        <v>143615.2623057419</v>
      </c>
      <c r="J193" s="162">
        <f t="shared" si="53"/>
        <v>1025.4206235527486</v>
      </c>
    </row>
    <row r="194" spans="2:11">
      <c r="B194" s="159"/>
      <c r="C194">
        <f t="shared" si="64"/>
        <v>4</v>
      </c>
      <c r="D194" s="161">
        <f t="shared" si="49"/>
        <v>143615.2623057419</v>
      </c>
      <c r="E194" s="161">
        <f t="shared" si="65"/>
        <v>1025.4206235527486</v>
      </c>
      <c r="F194" s="23">
        <f t="shared" si="50"/>
        <v>0.04</v>
      </c>
      <c r="G194" s="160">
        <f t="shared" si="51"/>
        <v>478.71754101913967</v>
      </c>
      <c r="H194" s="160">
        <f t="shared" si="52"/>
        <v>546.70308253360895</v>
      </c>
      <c r="I194" s="161">
        <f t="shared" si="63"/>
        <v>143068.55922320829</v>
      </c>
      <c r="J194" s="162">
        <f t="shared" si="53"/>
        <v>1025.4206235527486</v>
      </c>
    </row>
    <row r="195" spans="2:11">
      <c r="B195" s="159"/>
      <c r="C195">
        <f t="shared" si="64"/>
        <v>5</v>
      </c>
      <c r="D195" s="161">
        <f t="shared" si="49"/>
        <v>143068.55922320829</v>
      </c>
      <c r="E195" s="161">
        <f t="shared" si="65"/>
        <v>1025.4206235527486</v>
      </c>
      <c r="F195" s="23">
        <f t="shared" si="50"/>
        <v>0.04</v>
      </c>
      <c r="G195" s="160">
        <f t="shared" si="51"/>
        <v>476.89519741069432</v>
      </c>
      <c r="H195" s="160">
        <f t="shared" si="52"/>
        <v>548.52542614205424</v>
      </c>
      <c r="I195" s="161">
        <f t="shared" si="63"/>
        <v>142520.03379706622</v>
      </c>
      <c r="J195" s="162">
        <f t="shared" si="53"/>
        <v>1025.4206235527486</v>
      </c>
    </row>
    <row r="196" spans="2:11">
      <c r="B196" s="159"/>
      <c r="C196">
        <f t="shared" si="64"/>
        <v>6</v>
      </c>
      <c r="D196" s="161">
        <f t="shared" si="49"/>
        <v>142520.03379706622</v>
      </c>
      <c r="E196" s="161">
        <f t="shared" si="65"/>
        <v>1025.4206235527486</v>
      </c>
      <c r="F196" s="23">
        <f t="shared" si="50"/>
        <v>0.04</v>
      </c>
      <c r="G196" s="160">
        <f t="shared" si="51"/>
        <v>475.0667793235541</v>
      </c>
      <c r="H196" s="160">
        <f t="shared" si="52"/>
        <v>550.35384422919446</v>
      </c>
      <c r="I196" s="161">
        <f t="shared" si="63"/>
        <v>141969.67995283703</v>
      </c>
      <c r="J196" s="162">
        <f t="shared" si="53"/>
        <v>1025.4206235527486</v>
      </c>
    </row>
    <row r="197" spans="2:11">
      <c r="B197" s="159"/>
      <c r="C197">
        <f t="shared" si="64"/>
        <v>7</v>
      </c>
      <c r="D197" s="161">
        <f t="shared" si="49"/>
        <v>141969.67995283703</v>
      </c>
      <c r="E197" s="161">
        <f t="shared" si="65"/>
        <v>1025.4206235527486</v>
      </c>
      <c r="F197" s="23">
        <f t="shared" si="50"/>
        <v>0.04</v>
      </c>
      <c r="G197" s="160">
        <f t="shared" si="51"/>
        <v>473.23226650945679</v>
      </c>
      <c r="H197" s="160">
        <f t="shared" si="52"/>
        <v>552.18835704329172</v>
      </c>
      <c r="I197" s="161">
        <f t="shared" si="63"/>
        <v>141417.49159579375</v>
      </c>
      <c r="J197" s="162">
        <f t="shared" si="53"/>
        <v>1025.4206235527486</v>
      </c>
    </row>
    <row r="198" spans="2:11">
      <c r="B198" s="159"/>
      <c r="C198">
        <f t="shared" si="64"/>
        <v>8</v>
      </c>
      <c r="D198" s="161">
        <f t="shared" si="49"/>
        <v>141417.49159579375</v>
      </c>
      <c r="E198" s="161">
        <f t="shared" si="65"/>
        <v>1025.4206235527486</v>
      </c>
      <c r="F198" s="23">
        <f t="shared" si="50"/>
        <v>0.04</v>
      </c>
      <c r="G198" s="160">
        <f t="shared" si="51"/>
        <v>471.39163865264584</v>
      </c>
      <c r="H198" s="160">
        <f t="shared" si="52"/>
        <v>554.02898490010273</v>
      </c>
      <c r="I198" s="161">
        <f t="shared" si="63"/>
        <v>140863.46261089365</v>
      </c>
      <c r="J198" s="162">
        <f t="shared" si="53"/>
        <v>1025.4206235527486</v>
      </c>
    </row>
    <row r="199" spans="2:11">
      <c r="B199" s="159"/>
      <c r="C199">
        <f t="shared" si="64"/>
        <v>9</v>
      </c>
      <c r="D199" s="161">
        <f t="shared" si="49"/>
        <v>140863.46261089365</v>
      </c>
      <c r="E199" s="161">
        <f t="shared" si="65"/>
        <v>1025.4206235527486</v>
      </c>
      <c r="F199" s="23">
        <f t="shared" si="50"/>
        <v>0.04</v>
      </c>
      <c r="G199" s="160">
        <f t="shared" si="51"/>
        <v>469.54487536964552</v>
      </c>
      <c r="H199" s="160">
        <f t="shared" si="52"/>
        <v>555.87574818310304</v>
      </c>
      <c r="I199" s="161">
        <f t="shared" si="63"/>
        <v>140307.58686271054</v>
      </c>
      <c r="J199" s="162">
        <f t="shared" si="53"/>
        <v>1025.4206235527486</v>
      </c>
    </row>
    <row r="200" spans="2:11">
      <c r="B200" s="159"/>
      <c r="C200">
        <f t="shared" si="64"/>
        <v>10</v>
      </c>
      <c r="D200" s="161">
        <f t="shared" si="49"/>
        <v>140307.58686271054</v>
      </c>
      <c r="E200" s="161">
        <f t="shared" si="65"/>
        <v>1025.4206235527486</v>
      </c>
      <c r="F200" s="23">
        <f t="shared" si="50"/>
        <v>0.04</v>
      </c>
      <c r="G200" s="160">
        <f t="shared" si="51"/>
        <v>467.69195620903514</v>
      </c>
      <c r="H200" s="160">
        <f t="shared" si="52"/>
        <v>557.72866734371337</v>
      </c>
      <c r="I200" s="161">
        <f t="shared" si="63"/>
        <v>139749.85819536683</v>
      </c>
      <c r="J200" s="162">
        <f t="shared" si="53"/>
        <v>1025.4206235527486</v>
      </c>
    </row>
    <row r="201" spans="2:11">
      <c r="B201" s="159"/>
      <c r="C201">
        <f t="shared" si="64"/>
        <v>11</v>
      </c>
      <c r="D201" s="161">
        <f t="shared" si="49"/>
        <v>139749.85819536683</v>
      </c>
      <c r="E201" s="161">
        <f t="shared" si="65"/>
        <v>1025.4206235527486</v>
      </c>
      <c r="F201" s="23">
        <f t="shared" si="50"/>
        <v>0.04</v>
      </c>
      <c r="G201" s="160">
        <f t="shared" si="51"/>
        <v>465.8328606512228</v>
      </c>
      <c r="H201" s="160">
        <f t="shared" si="52"/>
        <v>559.58776290152582</v>
      </c>
      <c r="I201" s="161">
        <f t="shared" si="63"/>
        <v>139190.2704324653</v>
      </c>
      <c r="J201" s="162">
        <f t="shared" si="53"/>
        <v>1025.4206235527486</v>
      </c>
    </row>
    <row r="202" spans="2:11">
      <c r="B202" s="159"/>
      <c r="C202">
        <f t="shared" si="64"/>
        <v>12</v>
      </c>
      <c r="D202" s="161">
        <f t="shared" si="49"/>
        <v>139190.2704324653</v>
      </c>
      <c r="E202" s="161">
        <f t="shared" si="65"/>
        <v>1025.4206235527486</v>
      </c>
      <c r="F202" s="23">
        <f t="shared" si="50"/>
        <v>0.04</v>
      </c>
      <c r="G202" s="160">
        <f t="shared" si="51"/>
        <v>463.96756810821768</v>
      </c>
      <c r="H202" s="160">
        <f t="shared" si="52"/>
        <v>561.45305544453095</v>
      </c>
      <c r="I202" s="701">
        <f>(D202-H202)*(1+K202)</f>
        <v>146946.54641964202</v>
      </c>
      <c r="J202" s="162">
        <f t="shared" si="53"/>
        <v>1025.4206235527486</v>
      </c>
      <c r="K202" s="702">
        <v>0.06</v>
      </c>
    </row>
    <row r="203" spans="2:11">
      <c r="B203" s="159">
        <f>B191+1</f>
        <v>16</v>
      </c>
      <c r="C203">
        <v>1</v>
      </c>
      <c r="D203" s="701">
        <f t="shared" si="49"/>
        <v>146946.54641964202</v>
      </c>
      <c r="E203" s="161">
        <f>PMT(F203/12,($F$11-B203+1)*12,-D203)</f>
        <v>1086.9458609659134</v>
      </c>
      <c r="F203" s="23">
        <f t="shared" si="50"/>
        <v>0.04</v>
      </c>
      <c r="G203" s="160">
        <f t="shared" si="51"/>
        <v>489.82182139880678</v>
      </c>
      <c r="H203" s="160">
        <f t="shared" si="52"/>
        <v>597.12403956710659</v>
      </c>
      <c r="I203" s="161">
        <f t="shared" ref="I203:I213" si="66">D203-H203</f>
        <v>146349.42238007492</v>
      </c>
      <c r="J203" s="162">
        <f t="shared" si="53"/>
        <v>1086.9458609659134</v>
      </c>
    </row>
    <row r="204" spans="2:11">
      <c r="B204" s="159"/>
      <c r="C204">
        <f t="shared" ref="C204:C214" si="67">1+C203</f>
        <v>2</v>
      </c>
      <c r="D204" s="161">
        <f t="shared" si="49"/>
        <v>146349.42238007492</v>
      </c>
      <c r="E204" s="161">
        <f t="shared" ref="E204:E214" si="68">E203</f>
        <v>1086.9458609659134</v>
      </c>
      <c r="F204" s="23">
        <f t="shared" si="50"/>
        <v>0.04</v>
      </c>
      <c r="G204" s="160">
        <f t="shared" si="51"/>
        <v>487.83140793358308</v>
      </c>
      <c r="H204" s="160">
        <f t="shared" si="52"/>
        <v>599.1144530323304</v>
      </c>
      <c r="I204" s="161">
        <f t="shared" si="66"/>
        <v>145750.3079270426</v>
      </c>
      <c r="J204" s="162">
        <f t="shared" si="53"/>
        <v>1086.9458609659134</v>
      </c>
    </row>
    <row r="205" spans="2:11">
      <c r="B205" s="159"/>
      <c r="C205">
        <f t="shared" si="67"/>
        <v>3</v>
      </c>
      <c r="D205" s="161">
        <f t="shared" si="49"/>
        <v>145750.3079270426</v>
      </c>
      <c r="E205" s="161">
        <f t="shared" si="68"/>
        <v>1086.9458609659134</v>
      </c>
      <c r="F205" s="23">
        <f t="shared" si="50"/>
        <v>0.04</v>
      </c>
      <c r="G205" s="160">
        <f t="shared" si="51"/>
        <v>485.83435975680868</v>
      </c>
      <c r="H205" s="160">
        <f t="shared" si="52"/>
        <v>601.11150120910474</v>
      </c>
      <c r="I205" s="161">
        <f t="shared" si="66"/>
        <v>145149.19642583348</v>
      </c>
      <c r="J205" s="162">
        <f t="shared" si="53"/>
        <v>1086.9458609659134</v>
      </c>
    </row>
    <row r="206" spans="2:11">
      <c r="B206" s="159"/>
      <c r="C206">
        <f t="shared" si="67"/>
        <v>4</v>
      </c>
      <c r="D206" s="161">
        <f t="shared" si="49"/>
        <v>145149.19642583348</v>
      </c>
      <c r="E206" s="161">
        <f t="shared" si="68"/>
        <v>1086.9458609659134</v>
      </c>
      <c r="F206" s="23">
        <f t="shared" si="50"/>
        <v>0.04</v>
      </c>
      <c r="G206" s="160">
        <f t="shared" si="51"/>
        <v>483.83065475277829</v>
      </c>
      <c r="H206" s="160">
        <f t="shared" si="52"/>
        <v>603.11520621313514</v>
      </c>
      <c r="I206" s="161">
        <f t="shared" si="66"/>
        <v>144546.08121962033</v>
      </c>
      <c r="J206" s="162">
        <f t="shared" si="53"/>
        <v>1086.9458609659134</v>
      </c>
    </row>
    <row r="207" spans="2:11">
      <c r="B207" s="159"/>
      <c r="C207">
        <f t="shared" si="67"/>
        <v>5</v>
      </c>
      <c r="D207" s="161">
        <f t="shared" si="49"/>
        <v>144546.08121962033</v>
      </c>
      <c r="E207" s="161">
        <f t="shared" si="68"/>
        <v>1086.9458609659134</v>
      </c>
      <c r="F207" s="23">
        <f t="shared" si="50"/>
        <v>0.04</v>
      </c>
      <c r="G207" s="160">
        <f t="shared" si="51"/>
        <v>481.8202707320678</v>
      </c>
      <c r="H207" s="160">
        <f t="shared" si="52"/>
        <v>605.12559023384563</v>
      </c>
      <c r="I207" s="161">
        <f t="shared" si="66"/>
        <v>143940.95562938647</v>
      </c>
      <c r="J207" s="162">
        <f t="shared" si="53"/>
        <v>1086.9458609659134</v>
      </c>
    </row>
    <row r="208" spans="2:11">
      <c r="B208" s="159"/>
      <c r="C208">
        <f t="shared" si="67"/>
        <v>6</v>
      </c>
      <c r="D208" s="161">
        <f t="shared" si="49"/>
        <v>143940.95562938647</v>
      </c>
      <c r="E208" s="161">
        <f t="shared" si="68"/>
        <v>1086.9458609659134</v>
      </c>
      <c r="F208" s="23">
        <f t="shared" si="50"/>
        <v>0.04</v>
      </c>
      <c r="G208" s="160">
        <f t="shared" si="51"/>
        <v>479.80318543128828</v>
      </c>
      <c r="H208" s="160">
        <f t="shared" si="52"/>
        <v>607.14267553462514</v>
      </c>
      <c r="I208" s="161">
        <f t="shared" si="66"/>
        <v>143333.81295385186</v>
      </c>
      <c r="J208" s="162">
        <f t="shared" si="53"/>
        <v>1086.9458609659134</v>
      </c>
    </row>
    <row r="209" spans="2:11">
      <c r="B209" s="159"/>
      <c r="C209">
        <f t="shared" si="67"/>
        <v>7</v>
      </c>
      <c r="D209" s="161">
        <f t="shared" si="49"/>
        <v>143333.81295385186</v>
      </c>
      <c r="E209" s="161">
        <f t="shared" si="68"/>
        <v>1086.9458609659134</v>
      </c>
      <c r="F209" s="23">
        <f t="shared" si="50"/>
        <v>0.04</v>
      </c>
      <c r="G209" s="160">
        <f t="shared" si="51"/>
        <v>477.77937651283952</v>
      </c>
      <c r="H209" s="160">
        <f t="shared" si="52"/>
        <v>609.16648445307396</v>
      </c>
      <c r="I209" s="161">
        <f t="shared" si="66"/>
        <v>142724.64646939878</v>
      </c>
      <c r="J209" s="162">
        <f t="shared" si="53"/>
        <v>1086.9458609659134</v>
      </c>
    </row>
    <row r="210" spans="2:11">
      <c r="B210" s="159"/>
      <c r="C210">
        <f t="shared" si="67"/>
        <v>8</v>
      </c>
      <c r="D210" s="161">
        <f t="shared" ref="D210:D273" si="69">I209</f>
        <v>142724.64646939878</v>
      </c>
      <c r="E210" s="161">
        <f t="shared" si="68"/>
        <v>1086.9458609659134</v>
      </c>
      <c r="F210" s="23">
        <f t="shared" ref="F210:F273" si="70">F209</f>
        <v>0.04</v>
      </c>
      <c r="G210" s="160">
        <f t="shared" ref="G210:G273" si="71">(F210/12)*D210</f>
        <v>475.74882156466265</v>
      </c>
      <c r="H210" s="160">
        <f t="shared" ref="H210:H273" si="72">E210-G210</f>
        <v>611.19703940125078</v>
      </c>
      <c r="I210" s="161">
        <f t="shared" si="66"/>
        <v>142113.44942999753</v>
      </c>
      <c r="J210" s="162">
        <f t="shared" ref="J210:J273" si="73">E210</f>
        <v>1086.9458609659134</v>
      </c>
    </row>
    <row r="211" spans="2:11">
      <c r="B211" s="159"/>
      <c r="C211">
        <f t="shared" si="67"/>
        <v>9</v>
      </c>
      <c r="D211" s="161">
        <f t="shared" si="69"/>
        <v>142113.44942999753</v>
      </c>
      <c r="E211" s="161">
        <f t="shared" si="68"/>
        <v>1086.9458609659134</v>
      </c>
      <c r="F211" s="23">
        <f t="shared" si="70"/>
        <v>0.04</v>
      </c>
      <c r="G211" s="160">
        <f t="shared" si="71"/>
        <v>473.71149809999179</v>
      </c>
      <c r="H211" s="160">
        <f t="shared" si="72"/>
        <v>613.23436286592164</v>
      </c>
      <c r="I211" s="161">
        <f t="shared" si="66"/>
        <v>141500.21506713162</v>
      </c>
      <c r="J211" s="162">
        <f t="shared" si="73"/>
        <v>1086.9458609659134</v>
      </c>
    </row>
    <row r="212" spans="2:11">
      <c r="B212" s="159"/>
      <c r="C212">
        <f t="shared" si="67"/>
        <v>10</v>
      </c>
      <c r="D212" s="161">
        <f t="shared" si="69"/>
        <v>141500.21506713162</v>
      </c>
      <c r="E212" s="161">
        <f t="shared" si="68"/>
        <v>1086.9458609659134</v>
      </c>
      <c r="F212" s="23">
        <f t="shared" si="70"/>
        <v>0.04</v>
      </c>
      <c r="G212" s="160">
        <f t="shared" si="71"/>
        <v>471.66738355710544</v>
      </c>
      <c r="H212" s="160">
        <f t="shared" si="72"/>
        <v>615.27847740880793</v>
      </c>
      <c r="I212" s="161">
        <f t="shared" si="66"/>
        <v>140884.93658972281</v>
      </c>
      <c r="J212" s="162">
        <f t="shared" si="73"/>
        <v>1086.9458609659134</v>
      </c>
    </row>
    <row r="213" spans="2:11">
      <c r="B213" s="159"/>
      <c r="C213">
        <f t="shared" si="67"/>
        <v>11</v>
      </c>
      <c r="D213" s="161">
        <f t="shared" si="69"/>
        <v>140884.93658972281</v>
      </c>
      <c r="E213" s="161">
        <f t="shared" si="68"/>
        <v>1086.9458609659134</v>
      </c>
      <c r="F213" s="23">
        <f t="shared" si="70"/>
        <v>0.04</v>
      </c>
      <c r="G213" s="160">
        <f t="shared" si="71"/>
        <v>469.61645529907605</v>
      </c>
      <c r="H213" s="160">
        <f t="shared" si="72"/>
        <v>617.32940566683737</v>
      </c>
      <c r="I213" s="161">
        <f t="shared" si="66"/>
        <v>140267.60718405599</v>
      </c>
      <c r="J213" s="162">
        <f t="shared" si="73"/>
        <v>1086.9458609659134</v>
      </c>
    </row>
    <row r="214" spans="2:11">
      <c r="B214" s="159"/>
      <c r="C214">
        <f t="shared" si="67"/>
        <v>12</v>
      </c>
      <c r="D214" s="161">
        <f t="shared" si="69"/>
        <v>140267.60718405599</v>
      </c>
      <c r="E214" s="161">
        <f t="shared" si="68"/>
        <v>1086.9458609659134</v>
      </c>
      <c r="F214" s="23">
        <f t="shared" si="70"/>
        <v>0.04</v>
      </c>
      <c r="G214" s="160">
        <f t="shared" si="71"/>
        <v>467.55869061352001</v>
      </c>
      <c r="H214" s="160">
        <f t="shared" si="72"/>
        <v>619.38717035239347</v>
      </c>
      <c r="I214" s="701">
        <f>(D214-H214)*(1+K214)</f>
        <v>148027.11321452583</v>
      </c>
      <c r="J214" s="162">
        <f t="shared" si="73"/>
        <v>1086.9458609659134</v>
      </c>
      <c r="K214" s="702">
        <v>0.06</v>
      </c>
    </row>
    <row r="215" spans="2:11">
      <c r="B215" s="159">
        <f>B203+1</f>
        <v>17</v>
      </c>
      <c r="C215">
        <v>1</v>
      </c>
      <c r="D215" s="701">
        <f t="shared" si="69"/>
        <v>148027.11321452583</v>
      </c>
      <c r="E215" s="161">
        <f>PMT(F215/12,($F$11-B215+1)*12,-D215)</f>
        <v>1152.1626126238684</v>
      </c>
      <c r="F215" s="23">
        <f t="shared" si="70"/>
        <v>0.04</v>
      </c>
      <c r="G215" s="160">
        <f t="shared" si="71"/>
        <v>493.42371071508614</v>
      </c>
      <c r="H215" s="160">
        <f t="shared" si="72"/>
        <v>658.73890190878228</v>
      </c>
      <c r="I215" s="161">
        <f t="shared" ref="I215:I225" si="74">D215-H215</f>
        <v>147368.37431261706</v>
      </c>
      <c r="J215" s="162">
        <f t="shared" si="73"/>
        <v>1152.1626126238684</v>
      </c>
    </row>
    <row r="216" spans="2:11">
      <c r="B216" s="159"/>
      <c r="C216">
        <f t="shared" ref="C216:C226" si="75">1+C215</f>
        <v>2</v>
      </c>
      <c r="D216" s="161">
        <f t="shared" si="69"/>
        <v>147368.37431261706</v>
      </c>
      <c r="E216" s="161">
        <f t="shared" ref="E216:E226" si="76">E215</f>
        <v>1152.1626126238684</v>
      </c>
      <c r="F216" s="23">
        <f t="shared" si="70"/>
        <v>0.04</v>
      </c>
      <c r="G216" s="160">
        <f t="shared" si="71"/>
        <v>491.22791437539024</v>
      </c>
      <c r="H216" s="160">
        <f t="shared" si="72"/>
        <v>660.93469824847818</v>
      </c>
      <c r="I216" s="161">
        <f t="shared" si="74"/>
        <v>146707.43961436857</v>
      </c>
      <c r="J216" s="162">
        <f t="shared" si="73"/>
        <v>1152.1626126238684</v>
      </c>
    </row>
    <row r="217" spans="2:11">
      <c r="B217" s="159"/>
      <c r="C217">
        <f t="shared" si="75"/>
        <v>3</v>
      </c>
      <c r="D217" s="161">
        <f t="shared" si="69"/>
        <v>146707.43961436857</v>
      </c>
      <c r="E217" s="161">
        <f t="shared" si="76"/>
        <v>1152.1626126238684</v>
      </c>
      <c r="F217" s="23">
        <f t="shared" si="70"/>
        <v>0.04</v>
      </c>
      <c r="G217" s="160">
        <f t="shared" si="71"/>
        <v>489.02479871456194</v>
      </c>
      <c r="H217" s="160">
        <f t="shared" si="72"/>
        <v>663.13781390930649</v>
      </c>
      <c r="I217" s="161">
        <f t="shared" si="74"/>
        <v>146044.30180045927</v>
      </c>
      <c r="J217" s="162">
        <f t="shared" si="73"/>
        <v>1152.1626126238684</v>
      </c>
    </row>
    <row r="218" spans="2:11">
      <c r="B218" s="159"/>
      <c r="C218">
        <f t="shared" si="75"/>
        <v>4</v>
      </c>
      <c r="D218" s="161">
        <f t="shared" si="69"/>
        <v>146044.30180045927</v>
      </c>
      <c r="E218" s="161">
        <f t="shared" si="76"/>
        <v>1152.1626126238684</v>
      </c>
      <c r="F218" s="23">
        <f t="shared" si="70"/>
        <v>0.04</v>
      </c>
      <c r="G218" s="160">
        <f t="shared" si="71"/>
        <v>486.81433933486426</v>
      </c>
      <c r="H218" s="160">
        <f t="shared" si="72"/>
        <v>665.34827328900417</v>
      </c>
      <c r="I218" s="161">
        <f t="shared" si="74"/>
        <v>145378.95352717026</v>
      </c>
      <c r="J218" s="162">
        <f t="shared" si="73"/>
        <v>1152.1626126238684</v>
      </c>
    </row>
    <row r="219" spans="2:11">
      <c r="B219" s="159"/>
      <c r="C219">
        <f t="shared" si="75"/>
        <v>5</v>
      </c>
      <c r="D219" s="161">
        <f t="shared" si="69"/>
        <v>145378.95352717026</v>
      </c>
      <c r="E219" s="161">
        <f t="shared" si="76"/>
        <v>1152.1626126238684</v>
      </c>
      <c r="F219" s="23">
        <f t="shared" si="70"/>
        <v>0.04</v>
      </c>
      <c r="G219" s="160">
        <f t="shared" si="71"/>
        <v>484.59651175723423</v>
      </c>
      <c r="H219" s="160">
        <f t="shared" si="72"/>
        <v>667.5661008666342</v>
      </c>
      <c r="I219" s="161">
        <f t="shared" si="74"/>
        <v>144711.38742630364</v>
      </c>
      <c r="J219" s="162">
        <f t="shared" si="73"/>
        <v>1152.1626126238684</v>
      </c>
    </row>
    <row r="220" spans="2:11">
      <c r="B220" s="159"/>
      <c r="C220">
        <f t="shared" si="75"/>
        <v>6</v>
      </c>
      <c r="D220" s="161">
        <f t="shared" si="69"/>
        <v>144711.38742630364</v>
      </c>
      <c r="E220" s="161">
        <f t="shared" si="76"/>
        <v>1152.1626126238684</v>
      </c>
      <c r="F220" s="23">
        <f t="shared" si="70"/>
        <v>0.04</v>
      </c>
      <c r="G220" s="160">
        <f t="shared" si="71"/>
        <v>482.37129142101219</v>
      </c>
      <c r="H220" s="160">
        <f t="shared" si="72"/>
        <v>669.79132120285624</v>
      </c>
      <c r="I220" s="161">
        <f t="shared" si="74"/>
        <v>144041.59610510079</v>
      </c>
      <c r="J220" s="162">
        <f t="shared" si="73"/>
        <v>1152.1626126238684</v>
      </c>
    </row>
    <row r="221" spans="2:11">
      <c r="B221" s="159"/>
      <c r="C221">
        <f t="shared" si="75"/>
        <v>7</v>
      </c>
      <c r="D221" s="161">
        <f t="shared" si="69"/>
        <v>144041.59610510079</v>
      </c>
      <c r="E221" s="161">
        <f t="shared" si="76"/>
        <v>1152.1626126238684</v>
      </c>
      <c r="F221" s="23">
        <f t="shared" si="70"/>
        <v>0.04</v>
      </c>
      <c r="G221" s="160">
        <f t="shared" si="71"/>
        <v>480.13865368366936</v>
      </c>
      <c r="H221" s="160">
        <f t="shared" si="72"/>
        <v>672.02395894019901</v>
      </c>
      <c r="I221" s="161">
        <f t="shared" si="74"/>
        <v>143369.57214616059</v>
      </c>
      <c r="J221" s="162">
        <f t="shared" si="73"/>
        <v>1152.1626126238684</v>
      </c>
    </row>
    <row r="222" spans="2:11">
      <c r="B222" s="159"/>
      <c r="C222">
        <f t="shared" si="75"/>
        <v>8</v>
      </c>
      <c r="D222" s="161">
        <f t="shared" si="69"/>
        <v>143369.57214616059</v>
      </c>
      <c r="E222" s="161">
        <f t="shared" si="76"/>
        <v>1152.1626126238684</v>
      </c>
      <c r="F222" s="23">
        <f t="shared" si="70"/>
        <v>0.04</v>
      </c>
      <c r="G222" s="160">
        <f t="shared" si="71"/>
        <v>477.89857382053532</v>
      </c>
      <c r="H222" s="160">
        <f t="shared" si="72"/>
        <v>674.26403880333305</v>
      </c>
      <c r="I222" s="161">
        <f t="shared" si="74"/>
        <v>142695.30810735724</v>
      </c>
      <c r="J222" s="162">
        <f t="shared" si="73"/>
        <v>1152.1626126238684</v>
      </c>
    </row>
    <row r="223" spans="2:11">
      <c r="B223" s="159"/>
      <c r="C223">
        <f t="shared" si="75"/>
        <v>9</v>
      </c>
      <c r="D223" s="161">
        <f t="shared" si="69"/>
        <v>142695.30810735724</v>
      </c>
      <c r="E223" s="161">
        <f t="shared" si="76"/>
        <v>1152.1626126238684</v>
      </c>
      <c r="F223" s="23">
        <f t="shared" si="70"/>
        <v>0.04</v>
      </c>
      <c r="G223" s="160">
        <f t="shared" si="71"/>
        <v>475.65102702452418</v>
      </c>
      <c r="H223" s="160">
        <f t="shared" si="72"/>
        <v>676.51158559934424</v>
      </c>
      <c r="I223" s="161">
        <f t="shared" si="74"/>
        <v>142018.7965217579</v>
      </c>
      <c r="J223" s="162">
        <f t="shared" si="73"/>
        <v>1152.1626126238684</v>
      </c>
    </row>
    <row r="224" spans="2:11">
      <c r="B224" s="159"/>
      <c r="C224">
        <f t="shared" si="75"/>
        <v>10</v>
      </c>
      <c r="D224" s="161">
        <f t="shared" si="69"/>
        <v>142018.7965217579</v>
      </c>
      <c r="E224" s="161">
        <f t="shared" si="76"/>
        <v>1152.1626126238684</v>
      </c>
      <c r="F224" s="23">
        <f t="shared" si="70"/>
        <v>0.04</v>
      </c>
      <c r="G224" s="160">
        <f t="shared" si="71"/>
        <v>473.39598840585973</v>
      </c>
      <c r="H224" s="160">
        <f t="shared" si="72"/>
        <v>678.7666242180087</v>
      </c>
      <c r="I224" s="161">
        <f t="shared" si="74"/>
        <v>141340.02989753991</v>
      </c>
      <c r="J224" s="162">
        <f t="shared" si="73"/>
        <v>1152.1626126238684</v>
      </c>
    </row>
    <row r="225" spans="2:11">
      <c r="B225" s="159"/>
      <c r="C225">
        <f t="shared" si="75"/>
        <v>11</v>
      </c>
      <c r="D225" s="161">
        <f t="shared" si="69"/>
        <v>141340.02989753991</v>
      </c>
      <c r="E225" s="161">
        <f t="shared" si="76"/>
        <v>1152.1626126238684</v>
      </c>
      <c r="F225" s="23">
        <f t="shared" si="70"/>
        <v>0.04</v>
      </c>
      <c r="G225" s="160">
        <f t="shared" si="71"/>
        <v>471.13343299179974</v>
      </c>
      <c r="H225" s="160">
        <f t="shared" si="72"/>
        <v>681.02917963206869</v>
      </c>
      <c r="I225" s="161">
        <f t="shared" si="74"/>
        <v>140659.00071790782</v>
      </c>
      <c r="J225" s="162">
        <f t="shared" si="73"/>
        <v>1152.1626126238684</v>
      </c>
    </row>
    <row r="226" spans="2:11">
      <c r="B226" s="159"/>
      <c r="C226">
        <f t="shared" si="75"/>
        <v>12</v>
      </c>
      <c r="D226" s="161">
        <f t="shared" si="69"/>
        <v>140659.00071790782</v>
      </c>
      <c r="E226" s="161">
        <f t="shared" si="76"/>
        <v>1152.1626126238684</v>
      </c>
      <c r="F226" s="23">
        <f t="shared" si="70"/>
        <v>0.04</v>
      </c>
      <c r="G226" s="160">
        <f t="shared" si="71"/>
        <v>468.86333572635942</v>
      </c>
      <c r="H226" s="160">
        <f t="shared" si="72"/>
        <v>683.299276897509</v>
      </c>
      <c r="I226" s="701">
        <f>(D226-H226)*(1+K226)</f>
        <v>148374.24352747094</v>
      </c>
      <c r="J226" s="162">
        <f t="shared" si="73"/>
        <v>1152.1626126238684</v>
      </c>
      <c r="K226" s="702">
        <v>0.06</v>
      </c>
    </row>
    <row r="227" spans="2:11">
      <c r="B227" s="159">
        <f>B215+1</f>
        <v>18</v>
      </c>
      <c r="C227">
        <v>1</v>
      </c>
      <c r="D227" s="701">
        <f t="shared" si="69"/>
        <v>148374.24352747094</v>
      </c>
      <c r="E227" s="161">
        <f>PMT(F227/12,($F$11-B227+1)*12,-D227)</f>
        <v>1221.2923693813009</v>
      </c>
      <c r="F227" s="23">
        <f t="shared" si="70"/>
        <v>0.04</v>
      </c>
      <c r="G227" s="160">
        <f t="shared" si="71"/>
        <v>494.58081175823651</v>
      </c>
      <c r="H227" s="160">
        <f t="shared" si="72"/>
        <v>726.71155762306444</v>
      </c>
      <c r="I227" s="161">
        <f t="shared" ref="I227:I237" si="77">D227-H227</f>
        <v>147647.53196984789</v>
      </c>
      <c r="J227" s="162">
        <f t="shared" si="73"/>
        <v>1221.2923693813009</v>
      </c>
    </row>
    <row r="228" spans="2:11">
      <c r="B228" s="159"/>
      <c r="C228">
        <f t="shared" ref="C228:C238" si="78">1+C227</f>
        <v>2</v>
      </c>
      <c r="D228" s="161">
        <f t="shared" si="69"/>
        <v>147647.53196984789</v>
      </c>
      <c r="E228" s="161">
        <f t="shared" ref="E228:E238" si="79">E227</f>
        <v>1221.2923693813009</v>
      </c>
      <c r="F228" s="23">
        <f t="shared" si="70"/>
        <v>0.04</v>
      </c>
      <c r="G228" s="160">
        <f t="shared" si="71"/>
        <v>492.15843989949298</v>
      </c>
      <c r="H228" s="160">
        <f t="shared" si="72"/>
        <v>729.13392948180785</v>
      </c>
      <c r="I228" s="161">
        <f t="shared" si="77"/>
        <v>146918.39804036607</v>
      </c>
      <c r="J228" s="162">
        <f t="shared" si="73"/>
        <v>1221.2923693813009</v>
      </c>
    </row>
    <row r="229" spans="2:11">
      <c r="B229" s="159"/>
      <c r="C229">
        <f t="shared" si="78"/>
        <v>3</v>
      </c>
      <c r="D229" s="161">
        <f t="shared" si="69"/>
        <v>146918.39804036607</v>
      </c>
      <c r="E229" s="161">
        <f t="shared" si="79"/>
        <v>1221.2923693813009</v>
      </c>
      <c r="F229" s="23">
        <f t="shared" si="70"/>
        <v>0.04</v>
      </c>
      <c r="G229" s="160">
        <f t="shared" si="71"/>
        <v>489.7279934678869</v>
      </c>
      <c r="H229" s="160">
        <f t="shared" si="72"/>
        <v>731.56437591341398</v>
      </c>
      <c r="I229" s="161">
        <f t="shared" si="77"/>
        <v>146186.83366445266</v>
      </c>
      <c r="J229" s="162">
        <f t="shared" si="73"/>
        <v>1221.2923693813009</v>
      </c>
    </row>
    <row r="230" spans="2:11">
      <c r="B230" s="159"/>
      <c r="C230">
        <f t="shared" si="78"/>
        <v>4</v>
      </c>
      <c r="D230" s="161">
        <f t="shared" si="69"/>
        <v>146186.83366445266</v>
      </c>
      <c r="E230" s="161">
        <f t="shared" si="79"/>
        <v>1221.2923693813009</v>
      </c>
      <c r="F230" s="23">
        <f t="shared" si="70"/>
        <v>0.04</v>
      </c>
      <c r="G230" s="160">
        <f t="shared" si="71"/>
        <v>487.28944554817554</v>
      </c>
      <c r="H230" s="160">
        <f t="shared" si="72"/>
        <v>734.00292383312535</v>
      </c>
      <c r="I230" s="161">
        <f t="shared" si="77"/>
        <v>145452.83074061954</v>
      </c>
      <c r="J230" s="162">
        <f t="shared" si="73"/>
        <v>1221.2923693813009</v>
      </c>
    </row>
    <row r="231" spans="2:11">
      <c r="B231" s="159"/>
      <c r="C231">
        <f t="shared" si="78"/>
        <v>5</v>
      </c>
      <c r="D231" s="161">
        <f t="shared" si="69"/>
        <v>145452.83074061954</v>
      </c>
      <c r="E231" s="161">
        <f t="shared" si="79"/>
        <v>1221.2923693813009</v>
      </c>
      <c r="F231" s="23">
        <f t="shared" si="70"/>
        <v>0.04</v>
      </c>
      <c r="G231" s="160">
        <f t="shared" si="71"/>
        <v>484.8427691353985</v>
      </c>
      <c r="H231" s="160">
        <f t="shared" si="72"/>
        <v>736.44960024590239</v>
      </c>
      <c r="I231" s="161">
        <f t="shared" si="77"/>
        <v>144716.38114037365</v>
      </c>
      <c r="J231" s="162">
        <f t="shared" si="73"/>
        <v>1221.2923693813009</v>
      </c>
    </row>
    <row r="232" spans="2:11">
      <c r="B232" s="159"/>
      <c r="C232">
        <f t="shared" si="78"/>
        <v>6</v>
      </c>
      <c r="D232" s="161">
        <f t="shared" si="69"/>
        <v>144716.38114037365</v>
      </c>
      <c r="E232" s="161">
        <f t="shared" si="79"/>
        <v>1221.2923693813009</v>
      </c>
      <c r="F232" s="23">
        <f t="shared" si="70"/>
        <v>0.04</v>
      </c>
      <c r="G232" s="160">
        <f t="shared" si="71"/>
        <v>482.38793713457886</v>
      </c>
      <c r="H232" s="160">
        <f t="shared" si="72"/>
        <v>738.90443224672208</v>
      </c>
      <c r="I232" s="161">
        <f t="shared" si="77"/>
        <v>143977.47670812692</v>
      </c>
      <c r="J232" s="162">
        <f t="shared" si="73"/>
        <v>1221.2923693813009</v>
      </c>
    </row>
    <row r="233" spans="2:11">
      <c r="B233" s="159"/>
      <c r="C233">
        <f t="shared" si="78"/>
        <v>7</v>
      </c>
      <c r="D233" s="161">
        <f t="shared" si="69"/>
        <v>143977.47670812692</v>
      </c>
      <c r="E233" s="161">
        <f t="shared" si="79"/>
        <v>1221.2923693813009</v>
      </c>
      <c r="F233" s="23">
        <f t="shared" si="70"/>
        <v>0.04</v>
      </c>
      <c r="G233" s="160">
        <f t="shared" si="71"/>
        <v>479.92492236042312</v>
      </c>
      <c r="H233" s="160">
        <f t="shared" si="72"/>
        <v>741.36744702087776</v>
      </c>
      <c r="I233" s="161">
        <f t="shared" si="77"/>
        <v>143236.10926110606</v>
      </c>
      <c r="J233" s="162">
        <f t="shared" si="73"/>
        <v>1221.2923693813009</v>
      </c>
    </row>
    <row r="234" spans="2:11">
      <c r="B234" s="159"/>
      <c r="C234">
        <f t="shared" si="78"/>
        <v>8</v>
      </c>
      <c r="D234" s="161">
        <f t="shared" si="69"/>
        <v>143236.10926110606</v>
      </c>
      <c r="E234" s="161">
        <f t="shared" si="79"/>
        <v>1221.2923693813009</v>
      </c>
      <c r="F234" s="23">
        <f t="shared" si="70"/>
        <v>0.04</v>
      </c>
      <c r="G234" s="160">
        <f t="shared" si="71"/>
        <v>477.45369753702022</v>
      </c>
      <c r="H234" s="160">
        <f t="shared" si="72"/>
        <v>743.83867184428073</v>
      </c>
      <c r="I234" s="161">
        <f t="shared" si="77"/>
        <v>142492.27058926178</v>
      </c>
      <c r="J234" s="162">
        <f t="shared" si="73"/>
        <v>1221.2923693813009</v>
      </c>
    </row>
    <row r="235" spans="2:11">
      <c r="B235" s="159"/>
      <c r="C235">
        <f t="shared" si="78"/>
        <v>9</v>
      </c>
      <c r="D235" s="161">
        <f t="shared" si="69"/>
        <v>142492.27058926178</v>
      </c>
      <c r="E235" s="161">
        <f t="shared" si="79"/>
        <v>1221.2923693813009</v>
      </c>
      <c r="F235" s="23">
        <f t="shared" si="70"/>
        <v>0.04</v>
      </c>
      <c r="G235" s="160">
        <f t="shared" si="71"/>
        <v>474.97423529753928</v>
      </c>
      <c r="H235" s="160">
        <f t="shared" si="72"/>
        <v>746.31813408376161</v>
      </c>
      <c r="I235" s="161">
        <f t="shared" si="77"/>
        <v>141745.95245517802</v>
      </c>
      <c r="J235" s="162">
        <f t="shared" si="73"/>
        <v>1221.2923693813009</v>
      </c>
    </row>
    <row r="236" spans="2:11">
      <c r="B236" s="159"/>
      <c r="C236">
        <f t="shared" si="78"/>
        <v>10</v>
      </c>
      <c r="D236" s="161">
        <f t="shared" si="69"/>
        <v>141745.95245517802</v>
      </c>
      <c r="E236" s="161">
        <f t="shared" si="79"/>
        <v>1221.2923693813009</v>
      </c>
      <c r="F236" s="23">
        <f t="shared" si="70"/>
        <v>0.04</v>
      </c>
      <c r="G236" s="160">
        <f t="shared" si="71"/>
        <v>472.48650818392679</v>
      </c>
      <c r="H236" s="160">
        <f t="shared" si="72"/>
        <v>748.80586119737404</v>
      </c>
      <c r="I236" s="161">
        <f t="shared" si="77"/>
        <v>140997.14659398064</v>
      </c>
      <c r="J236" s="162">
        <f t="shared" si="73"/>
        <v>1221.2923693813009</v>
      </c>
    </row>
    <row r="237" spans="2:11">
      <c r="B237" s="159"/>
      <c r="C237">
        <f t="shared" si="78"/>
        <v>11</v>
      </c>
      <c r="D237" s="161">
        <f t="shared" si="69"/>
        <v>140997.14659398064</v>
      </c>
      <c r="E237" s="161">
        <f t="shared" si="79"/>
        <v>1221.2923693813009</v>
      </c>
      <c r="F237" s="23">
        <f t="shared" si="70"/>
        <v>0.04</v>
      </c>
      <c r="G237" s="160">
        <f t="shared" si="71"/>
        <v>469.99048864660216</v>
      </c>
      <c r="H237" s="160">
        <f t="shared" si="72"/>
        <v>751.30188073469867</v>
      </c>
      <c r="I237" s="161">
        <f t="shared" si="77"/>
        <v>140245.84471324593</v>
      </c>
      <c r="J237" s="162">
        <f t="shared" si="73"/>
        <v>1221.2923693813009</v>
      </c>
    </row>
    <row r="238" spans="2:11">
      <c r="B238" s="159"/>
      <c r="C238">
        <f t="shared" si="78"/>
        <v>12</v>
      </c>
      <c r="D238" s="161">
        <f t="shared" si="69"/>
        <v>140245.84471324593</v>
      </c>
      <c r="E238" s="161">
        <f t="shared" si="79"/>
        <v>1221.2923693813009</v>
      </c>
      <c r="F238" s="23">
        <f t="shared" si="70"/>
        <v>0.04</v>
      </c>
      <c r="G238" s="160">
        <f t="shared" si="71"/>
        <v>467.48614904415314</v>
      </c>
      <c r="H238" s="160">
        <f t="shared" si="72"/>
        <v>753.80622033714781</v>
      </c>
      <c r="I238" s="701">
        <f>(D238-H238)*(1+K238)</f>
        <v>147861.56080248332</v>
      </c>
      <c r="J238" s="162">
        <f t="shared" si="73"/>
        <v>1221.2923693813009</v>
      </c>
      <c r="K238" s="702">
        <v>0.06</v>
      </c>
    </row>
    <row r="239" spans="2:11">
      <c r="B239" s="159">
        <f>B227+1</f>
        <v>19</v>
      </c>
      <c r="C239">
        <v>1</v>
      </c>
      <c r="D239" s="701">
        <f t="shared" si="69"/>
        <v>147861.56080248332</v>
      </c>
      <c r="E239" s="161">
        <f>PMT(F239/12,($F$11-B239+1)*12,-D239)</f>
        <v>1294.5699115441791</v>
      </c>
      <c r="F239" s="23">
        <f t="shared" si="70"/>
        <v>0.04</v>
      </c>
      <c r="G239" s="160">
        <f t="shared" si="71"/>
        <v>492.8718693416111</v>
      </c>
      <c r="H239" s="160">
        <f t="shared" si="72"/>
        <v>801.6980422025681</v>
      </c>
      <c r="I239" s="161">
        <f t="shared" ref="I239:I249" si="80">D239-H239</f>
        <v>147059.86276028075</v>
      </c>
      <c r="J239" s="162">
        <f t="shared" si="73"/>
        <v>1294.5699115441791</v>
      </c>
    </row>
    <row r="240" spans="2:11">
      <c r="B240" s="159"/>
      <c r="C240">
        <f t="shared" ref="C240:C250" si="81">1+C239</f>
        <v>2</v>
      </c>
      <c r="D240" s="161">
        <f t="shared" si="69"/>
        <v>147059.86276028075</v>
      </c>
      <c r="E240" s="161">
        <f t="shared" ref="E240:E250" si="82">E239</f>
        <v>1294.5699115441791</v>
      </c>
      <c r="F240" s="23">
        <f t="shared" si="70"/>
        <v>0.04</v>
      </c>
      <c r="G240" s="160">
        <f t="shared" si="71"/>
        <v>490.1995425342692</v>
      </c>
      <c r="H240" s="160">
        <f t="shared" si="72"/>
        <v>804.37036900990995</v>
      </c>
      <c r="I240" s="161">
        <f t="shared" si="80"/>
        <v>146255.49239127085</v>
      </c>
      <c r="J240" s="162">
        <f t="shared" si="73"/>
        <v>1294.5699115441791</v>
      </c>
    </row>
    <row r="241" spans="2:11">
      <c r="B241" s="159"/>
      <c r="C241">
        <f t="shared" si="81"/>
        <v>3</v>
      </c>
      <c r="D241" s="161">
        <f t="shared" si="69"/>
        <v>146255.49239127085</v>
      </c>
      <c r="E241" s="161">
        <f t="shared" si="82"/>
        <v>1294.5699115441791</v>
      </c>
      <c r="F241" s="23">
        <f t="shared" si="70"/>
        <v>0.04</v>
      </c>
      <c r="G241" s="160">
        <f t="shared" si="71"/>
        <v>487.51830797090287</v>
      </c>
      <c r="H241" s="160">
        <f t="shared" si="72"/>
        <v>807.05160357327622</v>
      </c>
      <c r="I241" s="161">
        <f t="shared" si="80"/>
        <v>145448.44078769756</v>
      </c>
      <c r="J241" s="162">
        <f t="shared" si="73"/>
        <v>1294.5699115441791</v>
      </c>
    </row>
    <row r="242" spans="2:11">
      <c r="B242" s="159"/>
      <c r="C242">
        <f t="shared" si="81"/>
        <v>4</v>
      </c>
      <c r="D242" s="161">
        <f t="shared" si="69"/>
        <v>145448.44078769756</v>
      </c>
      <c r="E242" s="161">
        <f t="shared" si="82"/>
        <v>1294.5699115441791</v>
      </c>
      <c r="F242" s="23">
        <f t="shared" si="70"/>
        <v>0.04</v>
      </c>
      <c r="G242" s="160">
        <f t="shared" si="71"/>
        <v>484.82813595899188</v>
      </c>
      <c r="H242" s="160">
        <f t="shared" si="72"/>
        <v>809.74177558518727</v>
      </c>
      <c r="I242" s="161">
        <f t="shared" si="80"/>
        <v>144638.69901211237</v>
      </c>
      <c r="J242" s="162">
        <f t="shared" si="73"/>
        <v>1294.5699115441791</v>
      </c>
    </row>
    <row r="243" spans="2:11">
      <c r="B243" s="159"/>
      <c r="C243">
        <f t="shared" si="81"/>
        <v>5</v>
      </c>
      <c r="D243" s="161">
        <f t="shared" si="69"/>
        <v>144638.69901211237</v>
      </c>
      <c r="E243" s="161">
        <f t="shared" si="82"/>
        <v>1294.5699115441791</v>
      </c>
      <c r="F243" s="23">
        <f t="shared" si="70"/>
        <v>0.04</v>
      </c>
      <c r="G243" s="160">
        <f t="shared" si="71"/>
        <v>482.12899670704127</v>
      </c>
      <c r="H243" s="160">
        <f t="shared" si="72"/>
        <v>812.44091483713783</v>
      </c>
      <c r="I243" s="161">
        <f t="shared" si="80"/>
        <v>143826.25809727522</v>
      </c>
      <c r="J243" s="162">
        <f t="shared" si="73"/>
        <v>1294.5699115441791</v>
      </c>
    </row>
    <row r="244" spans="2:11">
      <c r="B244" s="159"/>
      <c r="C244">
        <f t="shared" si="81"/>
        <v>6</v>
      </c>
      <c r="D244" s="161">
        <f t="shared" si="69"/>
        <v>143826.25809727522</v>
      </c>
      <c r="E244" s="161">
        <f t="shared" si="82"/>
        <v>1294.5699115441791</v>
      </c>
      <c r="F244" s="23">
        <f t="shared" si="70"/>
        <v>0.04</v>
      </c>
      <c r="G244" s="160">
        <f t="shared" si="71"/>
        <v>479.42086032425078</v>
      </c>
      <c r="H244" s="160">
        <f t="shared" si="72"/>
        <v>815.14905121992842</v>
      </c>
      <c r="I244" s="161">
        <f t="shared" si="80"/>
        <v>143011.1090460553</v>
      </c>
      <c r="J244" s="162">
        <f t="shared" si="73"/>
        <v>1294.5699115441791</v>
      </c>
    </row>
    <row r="245" spans="2:11">
      <c r="B245" s="159"/>
      <c r="C245">
        <f t="shared" si="81"/>
        <v>7</v>
      </c>
      <c r="D245" s="161">
        <f t="shared" si="69"/>
        <v>143011.1090460553</v>
      </c>
      <c r="E245" s="161">
        <f t="shared" si="82"/>
        <v>1294.5699115441791</v>
      </c>
      <c r="F245" s="23">
        <f t="shared" si="70"/>
        <v>0.04</v>
      </c>
      <c r="G245" s="160">
        <f t="shared" si="71"/>
        <v>476.70369682018435</v>
      </c>
      <c r="H245" s="160">
        <f t="shared" si="72"/>
        <v>817.86621472399474</v>
      </c>
      <c r="I245" s="161">
        <f t="shared" si="80"/>
        <v>142193.2428313313</v>
      </c>
      <c r="J245" s="162">
        <f t="shared" si="73"/>
        <v>1294.5699115441791</v>
      </c>
    </row>
    <row r="246" spans="2:11">
      <c r="B246" s="159"/>
      <c r="C246">
        <f t="shared" si="81"/>
        <v>8</v>
      </c>
      <c r="D246" s="161">
        <f t="shared" si="69"/>
        <v>142193.2428313313</v>
      </c>
      <c r="E246" s="161">
        <f t="shared" si="82"/>
        <v>1294.5699115441791</v>
      </c>
      <c r="F246" s="23">
        <f t="shared" si="70"/>
        <v>0.04</v>
      </c>
      <c r="G246" s="160">
        <f t="shared" si="71"/>
        <v>473.9774761044377</v>
      </c>
      <c r="H246" s="160">
        <f t="shared" si="72"/>
        <v>820.59243543974139</v>
      </c>
      <c r="I246" s="161">
        <f t="shared" si="80"/>
        <v>141372.65039589157</v>
      </c>
      <c r="J246" s="162">
        <f t="shared" si="73"/>
        <v>1294.5699115441791</v>
      </c>
    </row>
    <row r="247" spans="2:11">
      <c r="B247" s="159"/>
      <c r="C247">
        <f t="shared" si="81"/>
        <v>9</v>
      </c>
      <c r="D247" s="161">
        <f t="shared" si="69"/>
        <v>141372.65039589157</v>
      </c>
      <c r="E247" s="161">
        <f t="shared" si="82"/>
        <v>1294.5699115441791</v>
      </c>
      <c r="F247" s="23">
        <f t="shared" si="70"/>
        <v>0.04</v>
      </c>
      <c r="G247" s="160">
        <f t="shared" si="71"/>
        <v>471.24216798630528</v>
      </c>
      <c r="H247" s="160">
        <f t="shared" si="72"/>
        <v>823.32774355787387</v>
      </c>
      <c r="I247" s="161">
        <f t="shared" si="80"/>
        <v>140549.32265233371</v>
      </c>
      <c r="J247" s="162">
        <f t="shared" si="73"/>
        <v>1294.5699115441791</v>
      </c>
    </row>
    <row r="248" spans="2:11">
      <c r="B248" s="159"/>
      <c r="C248">
        <f t="shared" si="81"/>
        <v>10</v>
      </c>
      <c r="D248" s="161">
        <f t="shared" si="69"/>
        <v>140549.32265233371</v>
      </c>
      <c r="E248" s="161">
        <f t="shared" si="82"/>
        <v>1294.5699115441791</v>
      </c>
      <c r="F248" s="23">
        <f t="shared" si="70"/>
        <v>0.04</v>
      </c>
      <c r="G248" s="160">
        <f t="shared" si="71"/>
        <v>468.4977421744457</v>
      </c>
      <c r="H248" s="160">
        <f t="shared" si="72"/>
        <v>826.0721693697335</v>
      </c>
      <c r="I248" s="161">
        <f t="shared" si="80"/>
        <v>139723.25048296398</v>
      </c>
      <c r="J248" s="162">
        <f t="shared" si="73"/>
        <v>1294.5699115441791</v>
      </c>
    </row>
    <row r="249" spans="2:11">
      <c r="B249" s="159"/>
      <c r="C249">
        <f t="shared" si="81"/>
        <v>11</v>
      </c>
      <c r="D249" s="161">
        <f t="shared" si="69"/>
        <v>139723.25048296398</v>
      </c>
      <c r="E249" s="161">
        <f t="shared" si="82"/>
        <v>1294.5699115441791</v>
      </c>
      <c r="F249" s="23">
        <f t="shared" si="70"/>
        <v>0.04</v>
      </c>
      <c r="G249" s="160">
        <f t="shared" si="71"/>
        <v>465.74416827654665</v>
      </c>
      <c r="H249" s="160">
        <f t="shared" si="72"/>
        <v>828.82574326763256</v>
      </c>
      <c r="I249" s="161">
        <f t="shared" si="80"/>
        <v>138894.42473969635</v>
      </c>
      <c r="J249" s="162">
        <f t="shared" si="73"/>
        <v>1294.5699115441791</v>
      </c>
    </row>
    <row r="250" spans="2:11">
      <c r="B250" s="159"/>
      <c r="C250">
        <f t="shared" si="81"/>
        <v>12</v>
      </c>
      <c r="D250" s="161">
        <f t="shared" si="69"/>
        <v>138894.42473969635</v>
      </c>
      <c r="E250" s="161">
        <f t="shared" si="82"/>
        <v>1294.5699115441791</v>
      </c>
      <c r="F250" s="23">
        <f t="shared" si="70"/>
        <v>0.04</v>
      </c>
      <c r="G250" s="160">
        <f t="shared" si="71"/>
        <v>462.98141579898788</v>
      </c>
      <c r="H250" s="160">
        <f t="shared" si="72"/>
        <v>831.58849574519127</v>
      </c>
      <c r="I250" s="701">
        <f>(D250-H250)*(1+K250)</f>
        <v>146346.60641858826</v>
      </c>
      <c r="J250" s="162">
        <f t="shared" si="73"/>
        <v>1294.5699115441791</v>
      </c>
      <c r="K250" s="702">
        <v>0.06</v>
      </c>
    </row>
    <row r="251" spans="2:11">
      <c r="B251" s="159">
        <f>B239+1</f>
        <v>20</v>
      </c>
      <c r="C251">
        <v>1</v>
      </c>
      <c r="D251" s="701">
        <f t="shared" si="69"/>
        <v>146346.60641858826</v>
      </c>
      <c r="E251" s="161">
        <f>PMT(F251/12,($F$11-B251+1)*12,-D251)</f>
        <v>1372.24410623683</v>
      </c>
      <c r="F251" s="23">
        <f t="shared" si="70"/>
        <v>0.04</v>
      </c>
      <c r="G251" s="160">
        <f t="shared" si="71"/>
        <v>487.8220213952942</v>
      </c>
      <c r="H251" s="160">
        <f t="shared" si="72"/>
        <v>884.42208484153582</v>
      </c>
      <c r="I251" s="161">
        <f t="shared" ref="I251:I261" si="83">D251-H251</f>
        <v>145462.18433374673</v>
      </c>
      <c r="J251" s="162">
        <f t="shared" si="73"/>
        <v>1372.24410623683</v>
      </c>
    </row>
    <row r="252" spans="2:11">
      <c r="B252" s="159"/>
      <c r="C252">
        <f t="shared" ref="C252:C262" si="84">1+C251</f>
        <v>2</v>
      </c>
      <c r="D252" s="161">
        <f t="shared" si="69"/>
        <v>145462.18433374673</v>
      </c>
      <c r="E252" s="161">
        <f t="shared" ref="E252:E262" si="85">E251</f>
        <v>1372.24410623683</v>
      </c>
      <c r="F252" s="23">
        <f t="shared" si="70"/>
        <v>0.04</v>
      </c>
      <c r="G252" s="160">
        <f t="shared" si="71"/>
        <v>484.8739477791558</v>
      </c>
      <c r="H252" s="160">
        <f t="shared" si="72"/>
        <v>887.37015845767428</v>
      </c>
      <c r="I252" s="161">
        <f t="shared" si="83"/>
        <v>144574.81417528907</v>
      </c>
      <c r="J252" s="162">
        <f t="shared" si="73"/>
        <v>1372.24410623683</v>
      </c>
    </row>
    <row r="253" spans="2:11">
      <c r="B253" s="159"/>
      <c r="C253">
        <f t="shared" si="84"/>
        <v>3</v>
      </c>
      <c r="D253" s="161">
        <f t="shared" si="69"/>
        <v>144574.81417528907</v>
      </c>
      <c r="E253" s="161">
        <f t="shared" si="85"/>
        <v>1372.24410623683</v>
      </c>
      <c r="F253" s="23">
        <f t="shared" si="70"/>
        <v>0.04</v>
      </c>
      <c r="G253" s="160">
        <f t="shared" si="71"/>
        <v>481.91604725096357</v>
      </c>
      <c r="H253" s="160">
        <f t="shared" si="72"/>
        <v>890.32805898586639</v>
      </c>
      <c r="I253" s="161">
        <f t="shared" si="83"/>
        <v>143684.48611630319</v>
      </c>
      <c r="J253" s="162">
        <f t="shared" si="73"/>
        <v>1372.24410623683</v>
      </c>
    </row>
    <row r="254" spans="2:11">
      <c r="B254" s="159"/>
      <c r="C254">
        <f t="shared" si="84"/>
        <v>4</v>
      </c>
      <c r="D254" s="161">
        <f t="shared" si="69"/>
        <v>143684.48611630319</v>
      </c>
      <c r="E254" s="161">
        <f t="shared" si="85"/>
        <v>1372.24410623683</v>
      </c>
      <c r="F254" s="23">
        <f t="shared" si="70"/>
        <v>0.04</v>
      </c>
      <c r="G254" s="160">
        <f t="shared" si="71"/>
        <v>478.94828705434401</v>
      </c>
      <c r="H254" s="160">
        <f t="shared" si="72"/>
        <v>893.29581918248596</v>
      </c>
      <c r="I254" s="161">
        <f t="shared" si="83"/>
        <v>142791.19029712072</v>
      </c>
      <c r="J254" s="162">
        <f t="shared" si="73"/>
        <v>1372.24410623683</v>
      </c>
    </row>
    <row r="255" spans="2:11">
      <c r="B255" s="159"/>
      <c r="C255">
        <f t="shared" si="84"/>
        <v>5</v>
      </c>
      <c r="D255" s="161">
        <f t="shared" si="69"/>
        <v>142791.19029712072</v>
      </c>
      <c r="E255" s="161">
        <f t="shared" si="85"/>
        <v>1372.24410623683</v>
      </c>
      <c r="F255" s="23">
        <f t="shared" si="70"/>
        <v>0.04</v>
      </c>
      <c r="G255" s="160">
        <f t="shared" si="71"/>
        <v>475.97063432373574</v>
      </c>
      <c r="H255" s="160">
        <f t="shared" si="72"/>
        <v>896.27347191309423</v>
      </c>
      <c r="I255" s="161">
        <f t="shared" si="83"/>
        <v>141894.91682520762</v>
      </c>
      <c r="J255" s="162">
        <f t="shared" si="73"/>
        <v>1372.24410623683</v>
      </c>
    </row>
    <row r="256" spans="2:11">
      <c r="B256" s="159"/>
      <c r="C256">
        <f t="shared" si="84"/>
        <v>6</v>
      </c>
      <c r="D256" s="161">
        <f t="shared" si="69"/>
        <v>141894.91682520762</v>
      </c>
      <c r="E256" s="161">
        <f t="shared" si="85"/>
        <v>1372.24410623683</v>
      </c>
      <c r="F256" s="23">
        <f t="shared" si="70"/>
        <v>0.04</v>
      </c>
      <c r="G256" s="160">
        <f t="shared" si="71"/>
        <v>472.98305608402541</v>
      </c>
      <c r="H256" s="160">
        <f t="shared" si="72"/>
        <v>899.26105015280461</v>
      </c>
      <c r="I256" s="161">
        <f t="shared" si="83"/>
        <v>140995.65577505482</v>
      </c>
      <c r="J256" s="162">
        <f t="shared" si="73"/>
        <v>1372.24410623683</v>
      </c>
    </row>
    <row r="257" spans="2:11">
      <c r="B257" s="159"/>
      <c r="C257">
        <f t="shared" si="84"/>
        <v>7</v>
      </c>
      <c r="D257" s="161">
        <f t="shared" si="69"/>
        <v>140995.65577505482</v>
      </c>
      <c r="E257" s="161">
        <f t="shared" si="85"/>
        <v>1372.24410623683</v>
      </c>
      <c r="F257" s="23">
        <f t="shared" si="70"/>
        <v>0.04</v>
      </c>
      <c r="G257" s="160">
        <f t="shared" si="71"/>
        <v>469.98551925018279</v>
      </c>
      <c r="H257" s="160">
        <f t="shared" si="72"/>
        <v>902.25858698664729</v>
      </c>
      <c r="I257" s="161">
        <f t="shared" si="83"/>
        <v>140093.39718806816</v>
      </c>
      <c r="J257" s="162">
        <f t="shared" si="73"/>
        <v>1372.24410623683</v>
      </c>
    </row>
    <row r="258" spans="2:11">
      <c r="B258" s="159"/>
      <c r="C258">
        <f t="shared" si="84"/>
        <v>8</v>
      </c>
      <c r="D258" s="161">
        <f t="shared" si="69"/>
        <v>140093.39718806816</v>
      </c>
      <c r="E258" s="161">
        <f t="shared" si="85"/>
        <v>1372.24410623683</v>
      </c>
      <c r="F258" s="23">
        <f t="shared" si="70"/>
        <v>0.04</v>
      </c>
      <c r="G258" s="160">
        <f t="shared" si="71"/>
        <v>466.97799062689393</v>
      </c>
      <c r="H258" s="160">
        <f t="shared" si="72"/>
        <v>905.26611560993615</v>
      </c>
      <c r="I258" s="161">
        <f t="shared" si="83"/>
        <v>139188.13107245823</v>
      </c>
      <c r="J258" s="162">
        <f t="shared" si="73"/>
        <v>1372.24410623683</v>
      </c>
    </row>
    <row r="259" spans="2:11">
      <c r="B259" s="159"/>
      <c r="C259">
        <f t="shared" si="84"/>
        <v>9</v>
      </c>
      <c r="D259" s="161">
        <f t="shared" si="69"/>
        <v>139188.13107245823</v>
      </c>
      <c r="E259" s="161">
        <f t="shared" si="85"/>
        <v>1372.24410623683</v>
      </c>
      <c r="F259" s="23">
        <f t="shared" si="70"/>
        <v>0.04</v>
      </c>
      <c r="G259" s="160">
        <f t="shared" si="71"/>
        <v>463.96043690819414</v>
      </c>
      <c r="H259" s="160">
        <f t="shared" si="72"/>
        <v>908.28366932863582</v>
      </c>
      <c r="I259" s="161">
        <f t="shared" si="83"/>
        <v>138279.84740312959</v>
      </c>
      <c r="J259" s="162">
        <f t="shared" si="73"/>
        <v>1372.24410623683</v>
      </c>
    </row>
    <row r="260" spans="2:11">
      <c r="B260" s="159"/>
      <c r="C260">
        <f t="shared" si="84"/>
        <v>10</v>
      </c>
      <c r="D260" s="161">
        <f t="shared" si="69"/>
        <v>138279.84740312959</v>
      </c>
      <c r="E260" s="161">
        <f t="shared" si="85"/>
        <v>1372.24410623683</v>
      </c>
      <c r="F260" s="23">
        <f t="shared" si="70"/>
        <v>0.04</v>
      </c>
      <c r="G260" s="160">
        <f t="shared" si="71"/>
        <v>460.93282467709867</v>
      </c>
      <c r="H260" s="160">
        <f t="shared" si="72"/>
        <v>911.31128155973136</v>
      </c>
      <c r="I260" s="161">
        <f t="shared" si="83"/>
        <v>137368.53612156986</v>
      </c>
      <c r="J260" s="162">
        <f t="shared" si="73"/>
        <v>1372.24410623683</v>
      </c>
    </row>
    <row r="261" spans="2:11">
      <c r="B261" s="159"/>
      <c r="C261">
        <f t="shared" si="84"/>
        <v>11</v>
      </c>
      <c r="D261" s="161">
        <f t="shared" si="69"/>
        <v>137368.53612156986</v>
      </c>
      <c r="E261" s="161">
        <f t="shared" si="85"/>
        <v>1372.24410623683</v>
      </c>
      <c r="F261" s="23">
        <f t="shared" si="70"/>
        <v>0.04</v>
      </c>
      <c r="G261" s="160">
        <f t="shared" si="71"/>
        <v>457.89512040523289</v>
      </c>
      <c r="H261" s="160">
        <f t="shared" si="72"/>
        <v>914.34898583159713</v>
      </c>
      <c r="I261" s="161">
        <f t="shared" si="83"/>
        <v>136454.18713573826</v>
      </c>
      <c r="J261" s="162">
        <f t="shared" si="73"/>
        <v>1372.24410623683</v>
      </c>
    </row>
    <row r="262" spans="2:11">
      <c r="B262" s="159"/>
      <c r="C262">
        <f t="shared" si="84"/>
        <v>12</v>
      </c>
      <c r="D262" s="161">
        <f t="shared" si="69"/>
        <v>136454.18713573826</v>
      </c>
      <c r="E262" s="161">
        <f t="shared" si="85"/>
        <v>1372.24410623683</v>
      </c>
      <c r="F262" s="23">
        <f t="shared" si="70"/>
        <v>0.04</v>
      </c>
      <c r="G262" s="160">
        <f t="shared" si="71"/>
        <v>454.84729045246092</v>
      </c>
      <c r="H262" s="160">
        <f t="shared" si="72"/>
        <v>917.3968157843691</v>
      </c>
      <c r="I262" s="701">
        <f>(D262-H262)*(1+K262)</f>
        <v>143668.99773915115</v>
      </c>
      <c r="J262" s="162">
        <f t="shared" si="73"/>
        <v>1372.24410623683</v>
      </c>
      <c r="K262" s="702">
        <v>0.06</v>
      </c>
    </row>
    <row r="263" spans="2:11">
      <c r="B263" s="159">
        <f>B251+1</f>
        <v>21</v>
      </c>
      <c r="C263">
        <v>1</v>
      </c>
      <c r="D263" s="701">
        <f t="shared" si="69"/>
        <v>143668.99773915115</v>
      </c>
      <c r="E263" s="161">
        <f>PMT(F263/12,($F$11-B263+1)*12,-D263)</f>
        <v>1454.5787526110405</v>
      </c>
      <c r="F263" s="23">
        <f t="shared" si="70"/>
        <v>0.04</v>
      </c>
      <c r="G263" s="160">
        <f t="shared" si="71"/>
        <v>478.89665913050385</v>
      </c>
      <c r="H263" s="160">
        <f t="shared" si="72"/>
        <v>975.68209348053665</v>
      </c>
      <c r="I263" s="161">
        <f t="shared" ref="I263:I273" si="86">D263-H263</f>
        <v>142693.31564567061</v>
      </c>
      <c r="J263" s="162">
        <f t="shared" si="73"/>
        <v>1454.5787526110405</v>
      </c>
    </row>
    <row r="264" spans="2:11">
      <c r="B264" s="159"/>
      <c r="C264">
        <f t="shared" ref="C264:C274" si="87">1+C263</f>
        <v>2</v>
      </c>
      <c r="D264" s="161">
        <f t="shared" si="69"/>
        <v>142693.31564567061</v>
      </c>
      <c r="E264" s="161">
        <f t="shared" ref="E264:E274" si="88">E263</f>
        <v>1454.5787526110405</v>
      </c>
      <c r="F264" s="23">
        <f t="shared" si="70"/>
        <v>0.04</v>
      </c>
      <c r="G264" s="160">
        <f t="shared" si="71"/>
        <v>475.64438548556871</v>
      </c>
      <c r="H264" s="160">
        <f t="shared" si="72"/>
        <v>978.93436712547179</v>
      </c>
      <c r="I264" s="161">
        <f t="shared" si="86"/>
        <v>141714.38127854513</v>
      </c>
      <c r="J264" s="162">
        <f t="shared" si="73"/>
        <v>1454.5787526110405</v>
      </c>
    </row>
    <row r="265" spans="2:11">
      <c r="B265" s="159"/>
      <c r="C265">
        <f t="shared" si="87"/>
        <v>3</v>
      </c>
      <c r="D265" s="161">
        <f t="shared" si="69"/>
        <v>141714.38127854513</v>
      </c>
      <c r="E265" s="161">
        <f t="shared" si="88"/>
        <v>1454.5787526110405</v>
      </c>
      <c r="F265" s="23">
        <f t="shared" si="70"/>
        <v>0.04</v>
      </c>
      <c r="G265" s="160">
        <f t="shared" si="71"/>
        <v>472.38127092848379</v>
      </c>
      <c r="H265" s="160">
        <f t="shared" si="72"/>
        <v>982.19748168255671</v>
      </c>
      <c r="I265" s="161">
        <f t="shared" si="86"/>
        <v>140732.18379686258</v>
      </c>
      <c r="J265" s="162">
        <f t="shared" si="73"/>
        <v>1454.5787526110405</v>
      </c>
    </row>
    <row r="266" spans="2:11">
      <c r="B266" s="159"/>
      <c r="C266">
        <f t="shared" si="87"/>
        <v>4</v>
      </c>
      <c r="D266" s="161">
        <f t="shared" si="69"/>
        <v>140732.18379686258</v>
      </c>
      <c r="E266" s="161">
        <f t="shared" si="88"/>
        <v>1454.5787526110405</v>
      </c>
      <c r="F266" s="23">
        <f t="shared" si="70"/>
        <v>0.04</v>
      </c>
      <c r="G266" s="160">
        <f t="shared" si="71"/>
        <v>469.10727932287529</v>
      </c>
      <c r="H266" s="160">
        <f t="shared" si="72"/>
        <v>985.47147328816527</v>
      </c>
      <c r="I266" s="161">
        <f t="shared" si="86"/>
        <v>139746.71232357441</v>
      </c>
      <c r="J266" s="162">
        <f t="shared" si="73"/>
        <v>1454.5787526110405</v>
      </c>
    </row>
    <row r="267" spans="2:11">
      <c r="B267" s="159"/>
      <c r="C267">
        <f t="shared" si="87"/>
        <v>5</v>
      </c>
      <c r="D267" s="161">
        <f t="shared" si="69"/>
        <v>139746.71232357441</v>
      </c>
      <c r="E267" s="161">
        <f t="shared" si="88"/>
        <v>1454.5787526110405</v>
      </c>
      <c r="F267" s="23">
        <f t="shared" si="70"/>
        <v>0.04</v>
      </c>
      <c r="G267" s="160">
        <f t="shared" si="71"/>
        <v>465.82237441191472</v>
      </c>
      <c r="H267" s="160">
        <f t="shared" si="72"/>
        <v>988.75637819912572</v>
      </c>
      <c r="I267" s="161">
        <f t="shared" si="86"/>
        <v>138757.95594537529</v>
      </c>
      <c r="J267" s="162">
        <f t="shared" si="73"/>
        <v>1454.5787526110405</v>
      </c>
    </row>
    <row r="268" spans="2:11">
      <c r="B268" s="159"/>
      <c r="C268">
        <f t="shared" si="87"/>
        <v>6</v>
      </c>
      <c r="D268" s="161">
        <f t="shared" si="69"/>
        <v>138757.95594537529</v>
      </c>
      <c r="E268" s="161">
        <f t="shared" si="88"/>
        <v>1454.5787526110405</v>
      </c>
      <c r="F268" s="23">
        <f t="shared" si="70"/>
        <v>0.04</v>
      </c>
      <c r="G268" s="160">
        <f t="shared" si="71"/>
        <v>462.52651981791763</v>
      </c>
      <c r="H268" s="160">
        <f t="shared" si="72"/>
        <v>992.05223279312281</v>
      </c>
      <c r="I268" s="161">
        <f t="shared" si="86"/>
        <v>137765.90371258216</v>
      </c>
      <c r="J268" s="162">
        <f t="shared" si="73"/>
        <v>1454.5787526110405</v>
      </c>
    </row>
    <row r="269" spans="2:11">
      <c r="B269" s="159"/>
      <c r="C269">
        <f t="shared" si="87"/>
        <v>7</v>
      </c>
      <c r="D269" s="161">
        <f t="shared" si="69"/>
        <v>137765.90371258216</v>
      </c>
      <c r="E269" s="161">
        <f t="shared" si="88"/>
        <v>1454.5787526110405</v>
      </c>
      <c r="F269" s="23">
        <f t="shared" si="70"/>
        <v>0.04</v>
      </c>
      <c r="G269" s="160">
        <f t="shared" si="71"/>
        <v>459.21967904194059</v>
      </c>
      <c r="H269" s="160">
        <f t="shared" si="72"/>
        <v>995.35907356909991</v>
      </c>
      <c r="I269" s="161">
        <f t="shared" si="86"/>
        <v>136770.54463901307</v>
      </c>
      <c r="J269" s="162">
        <f t="shared" si="73"/>
        <v>1454.5787526110405</v>
      </c>
    </row>
    <row r="270" spans="2:11">
      <c r="B270" s="159"/>
      <c r="C270">
        <f t="shared" si="87"/>
        <v>8</v>
      </c>
      <c r="D270" s="161">
        <f t="shared" si="69"/>
        <v>136770.54463901307</v>
      </c>
      <c r="E270" s="161">
        <f t="shared" si="88"/>
        <v>1454.5787526110405</v>
      </c>
      <c r="F270" s="23">
        <f t="shared" si="70"/>
        <v>0.04</v>
      </c>
      <c r="G270" s="160">
        <f t="shared" si="71"/>
        <v>455.90181546337692</v>
      </c>
      <c r="H270" s="160">
        <f t="shared" si="72"/>
        <v>998.67693714766358</v>
      </c>
      <c r="I270" s="161">
        <f t="shared" si="86"/>
        <v>135771.86770186541</v>
      </c>
      <c r="J270" s="162">
        <f t="shared" si="73"/>
        <v>1454.5787526110405</v>
      </c>
    </row>
    <row r="271" spans="2:11">
      <c r="B271" s="159"/>
      <c r="C271">
        <f t="shared" si="87"/>
        <v>9</v>
      </c>
      <c r="D271" s="161">
        <f t="shared" si="69"/>
        <v>135771.86770186541</v>
      </c>
      <c r="E271" s="161">
        <f t="shared" si="88"/>
        <v>1454.5787526110405</v>
      </c>
      <c r="F271" s="23">
        <f t="shared" si="70"/>
        <v>0.04</v>
      </c>
      <c r="G271" s="160">
        <f t="shared" si="71"/>
        <v>452.5728923395514</v>
      </c>
      <c r="H271" s="160">
        <f t="shared" si="72"/>
        <v>1002.0058602714892</v>
      </c>
      <c r="I271" s="161">
        <f t="shared" si="86"/>
        <v>134769.86184159393</v>
      </c>
      <c r="J271" s="162">
        <f t="shared" si="73"/>
        <v>1454.5787526110405</v>
      </c>
    </row>
    <row r="272" spans="2:11">
      <c r="B272" s="159"/>
      <c r="C272">
        <f t="shared" si="87"/>
        <v>10</v>
      </c>
      <c r="D272" s="161">
        <f t="shared" si="69"/>
        <v>134769.86184159393</v>
      </c>
      <c r="E272" s="161">
        <f t="shared" si="88"/>
        <v>1454.5787526110405</v>
      </c>
      <c r="F272" s="23">
        <f t="shared" si="70"/>
        <v>0.04</v>
      </c>
      <c r="G272" s="160">
        <f t="shared" si="71"/>
        <v>449.23287280531309</v>
      </c>
      <c r="H272" s="160">
        <f t="shared" si="72"/>
        <v>1005.3458798057275</v>
      </c>
      <c r="I272" s="161">
        <f t="shared" si="86"/>
        <v>133764.51596178819</v>
      </c>
      <c r="J272" s="162">
        <f t="shared" si="73"/>
        <v>1454.5787526110405</v>
      </c>
    </row>
    <row r="273" spans="2:11">
      <c r="B273" s="159"/>
      <c r="C273">
        <f t="shared" si="87"/>
        <v>11</v>
      </c>
      <c r="D273" s="161">
        <f t="shared" si="69"/>
        <v>133764.51596178819</v>
      </c>
      <c r="E273" s="161">
        <f t="shared" si="88"/>
        <v>1454.5787526110405</v>
      </c>
      <c r="F273" s="23">
        <f t="shared" si="70"/>
        <v>0.04</v>
      </c>
      <c r="G273" s="160">
        <f t="shared" si="71"/>
        <v>445.88171987262734</v>
      </c>
      <c r="H273" s="160">
        <f t="shared" si="72"/>
        <v>1008.6970327384131</v>
      </c>
      <c r="I273" s="161">
        <f t="shared" si="86"/>
        <v>132755.81892904977</v>
      </c>
      <c r="J273" s="162">
        <f t="shared" si="73"/>
        <v>1454.5787526110405</v>
      </c>
    </row>
    <row r="274" spans="2:11">
      <c r="B274" s="159"/>
      <c r="C274">
        <f t="shared" si="87"/>
        <v>12</v>
      </c>
      <c r="D274" s="161">
        <f t="shared" ref="D274:D337" si="89">I273</f>
        <v>132755.81892904977</v>
      </c>
      <c r="E274" s="161">
        <f t="shared" si="88"/>
        <v>1454.5787526110405</v>
      </c>
      <c r="F274" s="23">
        <f t="shared" ref="F274:F337" si="90">F273</f>
        <v>0.04</v>
      </c>
      <c r="G274" s="160">
        <f t="shared" ref="G274:G337" si="91">(F274/12)*D274</f>
        <v>442.5193964301659</v>
      </c>
      <c r="H274" s="160">
        <f t="shared" ref="H274:H337" si="92">E274-G274</f>
        <v>1012.0593561808746</v>
      </c>
      <c r="I274" s="701">
        <f>(D274-H274)*(1+K274)</f>
        <v>139648.38514724106</v>
      </c>
      <c r="J274" s="162">
        <f t="shared" ref="J274:J337" si="93">E274</f>
        <v>1454.5787526110405</v>
      </c>
      <c r="K274" s="702">
        <v>0.06</v>
      </c>
    </row>
    <row r="275" spans="2:11">
      <c r="B275" s="159">
        <f>B263+1</f>
        <v>22</v>
      </c>
      <c r="C275">
        <v>1</v>
      </c>
      <c r="D275" s="701">
        <f t="shared" si="89"/>
        <v>139648.38514724106</v>
      </c>
      <c r="E275" s="161">
        <f>PMT(F275/12,($F$11-B275+1)*12,-D275)</f>
        <v>1541.8534777677032</v>
      </c>
      <c r="F275" s="23">
        <f t="shared" si="90"/>
        <v>0.04</v>
      </c>
      <c r="G275" s="160">
        <f t="shared" si="91"/>
        <v>465.49461715747026</v>
      </c>
      <c r="H275" s="160">
        <f t="shared" si="92"/>
        <v>1076.358860610233</v>
      </c>
      <c r="I275" s="161">
        <f t="shared" ref="I275:I285" si="94">D275-H275</f>
        <v>138572.02628663083</v>
      </c>
      <c r="J275" s="162">
        <f t="shared" si="93"/>
        <v>1541.8534777677032</v>
      </c>
    </row>
    <row r="276" spans="2:11">
      <c r="B276" s="159"/>
      <c r="C276">
        <f t="shared" ref="C276:C286" si="95">1+C275</f>
        <v>2</v>
      </c>
      <c r="D276" s="161">
        <f t="shared" si="89"/>
        <v>138572.02628663083</v>
      </c>
      <c r="E276" s="161">
        <f t="shared" ref="E276:E286" si="96">E275</f>
        <v>1541.8534777677032</v>
      </c>
      <c r="F276" s="23">
        <f t="shared" si="90"/>
        <v>0.04</v>
      </c>
      <c r="G276" s="160">
        <f t="shared" si="91"/>
        <v>461.90675428876949</v>
      </c>
      <c r="H276" s="160">
        <f t="shared" si="92"/>
        <v>1079.9467234789338</v>
      </c>
      <c r="I276" s="161">
        <f t="shared" si="94"/>
        <v>137492.0795631519</v>
      </c>
      <c r="J276" s="162">
        <f t="shared" si="93"/>
        <v>1541.8534777677032</v>
      </c>
    </row>
    <row r="277" spans="2:11">
      <c r="B277" s="159"/>
      <c r="C277">
        <f t="shared" si="95"/>
        <v>3</v>
      </c>
      <c r="D277" s="161">
        <f t="shared" si="89"/>
        <v>137492.0795631519</v>
      </c>
      <c r="E277" s="161">
        <f t="shared" si="96"/>
        <v>1541.8534777677032</v>
      </c>
      <c r="F277" s="23">
        <f t="shared" si="90"/>
        <v>0.04</v>
      </c>
      <c r="G277" s="160">
        <f t="shared" si="91"/>
        <v>458.30693187717304</v>
      </c>
      <c r="H277" s="160">
        <f t="shared" si="92"/>
        <v>1083.5465458905301</v>
      </c>
      <c r="I277" s="161">
        <f t="shared" si="94"/>
        <v>136408.53301726136</v>
      </c>
      <c r="J277" s="162">
        <f t="shared" si="93"/>
        <v>1541.8534777677032</v>
      </c>
    </row>
    <row r="278" spans="2:11">
      <c r="B278" s="159"/>
      <c r="C278">
        <f t="shared" si="95"/>
        <v>4</v>
      </c>
      <c r="D278" s="161">
        <f t="shared" si="89"/>
        <v>136408.53301726136</v>
      </c>
      <c r="E278" s="161">
        <f t="shared" si="96"/>
        <v>1541.8534777677032</v>
      </c>
      <c r="F278" s="23">
        <f t="shared" si="90"/>
        <v>0.04</v>
      </c>
      <c r="G278" s="160">
        <f t="shared" si="91"/>
        <v>454.69511005753787</v>
      </c>
      <c r="H278" s="160">
        <f t="shared" si="92"/>
        <v>1087.1583677101653</v>
      </c>
      <c r="I278" s="161">
        <f t="shared" si="94"/>
        <v>135321.3746495512</v>
      </c>
      <c r="J278" s="162">
        <f t="shared" si="93"/>
        <v>1541.8534777677032</v>
      </c>
    </row>
    <row r="279" spans="2:11">
      <c r="B279" s="159"/>
      <c r="C279">
        <f t="shared" si="95"/>
        <v>5</v>
      </c>
      <c r="D279" s="161">
        <f t="shared" si="89"/>
        <v>135321.3746495512</v>
      </c>
      <c r="E279" s="161">
        <f t="shared" si="96"/>
        <v>1541.8534777677032</v>
      </c>
      <c r="F279" s="23">
        <f t="shared" si="90"/>
        <v>0.04</v>
      </c>
      <c r="G279" s="160">
        <f t="shared" si="91"/>
        <v>451.07124883183735</v>
      </c>
      <c r="H279" s="160">
        <f t="shared" si="92"/>
        <v>1090.782228935866</v>
      </c>
      <c r="I279" s="161">
        <f t="shared" si="94"/>
        <v>134230.59242061534</v>
      </c>
      <c r="J279" s="162">
        <f t="shared" si="93"/>
        <v>1541.8534777677032</v>
      </c>
    </row>
    <row r="280" spans="2:11">
      <c r="B280" s="159"/>
      <c r="C280">
        <f t="shared" si="95"/>
        <v>6</v>
      </c>
      <c r="D280" s="161">
        <f t="shared" si="89"/>
        <v>134230.59242061534</v>
      </c>
      <c r="E280" s="161">
        <f t="shared" si="96"/>
        <v>1541.8534777677032</v>
      </c>
      <c r="F280" s="23">
        <f t="shared" si="90"/>
        <v>0.04</v>
      </c>
      <c r="G280" s="160">
        <f t="shared" si="91"/>
        <v>447.43530806871786</v>
      </c>
      <c r="H280" s="160">
        <f t="shared" si="92"/>
        <v>1094.4181696989854</v>
      </c>
      <c r="I280" s="161">
        <f t="shared" si="94"/>
        <v>133136.17425091635</v>
      </c>
      <c r="J280" s="162">
        <f t="shared" si="93"/>
        <v>1541.8534777677032</v>
      </c>
    </row>
    <row r="281" spans="2:11">
      <c r="B281" s="159"/>
      <c r="C281">
        <f t="shared" si="95"/>
        <v>7</v>
      </c>
      <c r="D281" s="161">
        <f t="shared" si="89"/>
        <v>133136.17425091635</v>
      </c>
      <c r="E281" s="161">
        <f t="shared" si="96"/>
        <v>1541.8534777677032</v>
      </c>
      <c r="F281" s="23">
        <f t="shared" si="90"/>
        <v>0.04</v>
      </c>
      <c r="G281" s="160">
        <f t="shared" si="91"/>
        <v>443.78724750305452</v>
      </c>
      <c r="H281" s="160">
        <f t="shared" si="92"/>
        <v>1098.0662302646488</v>
      </c>
      <c r="I281" s="161">
        <f t="shared" si="94"/>
        <v>132038.10802065171</v>
      </c>
      <c r="J281" s="162">
        <f t="shared" si="93"/>
        <v>1541.8534777677032</v>
      </c>
    </row>
    <row r="282" spans="2:11">
      <c r="B282" s="159"/>
      <c r="C282">
        <f t="shared" si="95"/>
        <v>8</v>
      </c>
      <c r="D282" s="161">
        <f t="shared" si="89"/>
        <v>132038.10802065171</v>
      </c>
      <c r="E282" s="161">
        <f t="shared" si="96"/>
        <v>1541.8534777677032</v>
      </c>
      <c r="F282" s="23">
        <f t="shared" si="90"/>
        <v>0.04</v>
      </c>
      <c r="G282" s="160">
        <f t="shared" si="91"/>
        <v>440.12702673550569</v>
      </c>
      <c r="H282" s="160">
        <f t="shared" si="92"/>
        <v>1101.7264510321975</v>
      </c>
      <c r="I282" s="161">
        <f t="shared" si="94"/>
        <v>130936.38156961951</v>
      </c>
      <c r="J282" s="162">
        <f t="shared" si="93"/>
        <v>1541.8534777677032</v>
      </c>
    </row>
    <row r="283" spans="2:11">
      <c r="B283" s="159"/>
      <c r="C283">
        <f t="shared" si="95"/>
        <v>9</v>
      </c>
      <c r="D283" s="161">
        <f t="shared" si="89"/>
        <v>130936.38156961951</v>
      </c>
      <c r="E283" s="161">
        <f t="shared" si="96"/>
        <v>1541.8534777677032</v>
      </c>
      <c r="F283" s="23">
        <f t="shared" si="90"/>
        <v>0.04</v>
      </c>
      <c r="G283" s="160">
        <f t="shared" si="91"/>
        <v>436.45460523206503</v>
      </c>
      <c r="H283" s="160">
        <f t="shared" si="92"/>
        <v>1105.3988725356382</v>
      </c>
      <c r="I283" s="161">
        <f t="shared" si="94"/>
        <v>129830.98269708388</v>
      </c>
      <c r="J283" s="162">
        <f t="shared" si="93"/>
        <v>1541.8534777677032</v>
      </c>
    </row>
    <row r="284" spans="2:11">
      <c r="B284" s="159"/>
      <c r="C284">
        <f t="shared" si="95"/>
        <v>10</v>
      </c>
      <c r="D284" s="161">
        <f t="shared" si="89"/>
        <v>129830.98269708388</v>
      </c>
      <c r="E284" s="161">
        <f t="shared" si="96"/>
        <v>1541.8534777677032</v>
      </c>
      <c r="F284" s="23">
        <f t="shared" si="90"/>
        <v>0.04</v>
      </c>
      <c r="G284" s="160">
        <f t="shared" si="91"/>
        <v>432.76994232361295</v>
      </c>
      <c r="H284" s="160">
        <f t="shared" si="92"/>
        <v>1109.0835354440903</v>
      </c>
      <c r="I284" s="161">
        <f t="shared" si="94"/>
        <v>128721.89916163978</v>
      </c>
      <c r="J284" s="162">
        <f t="shared" si="93"/>
        <v>1541.8534777677032</v>
      </c>
    </row>
    <row r="285" spans="2:11">
      <c r="B285" s="159"/>
      <c r="C285">
        <f t="shared" si="95"/>
        <v>11</v>
      </c>
      <c r="D285" s="161">
        <f t="shared" si="89"/>
        <v>128721.89916163978</v>
      </c>
      <c r="E285" s="161">
        <f t="shared" si="96"/>
        <v>1541.8534777677032</v>
      </c>
      <c r="F285" s="23">
        <f t="shared" si="90"/>
        <v>0.04</v>
      </c>
      <c r="G285" s="160">
        <f t="shared" si="91"/>
        <v>429.07299720546598</v>
      </c>
      <c r="H285" s="160">
        <f t="shared" si="92"/>
        <v>1112.7804805622372</v>
      </c>
      <c r="I285" s="161">
        <f t="shared" si="94"/>
        <v>127609.11868107754</v>
      </c>
      <c r="J285" s="162">
        <f t="shared" si="93"/>
        <v>1541.8534777677032</v>
      </c>
    </row>
    <row r="286" spans="2:11">
      <c r="B286" s="159"/>
      <c r="C286">
        <f t="shared" si="95"/>
        <v>12</v>
      </c>
      <c r="D286" s="161">
        <f t="shared" si="89"/>
        <v>127609.11868107754</v>
      </c>
      <c r="E286" s="161">
        <f t="shared" si="96"/>
        <v>1541.8534777677032</v>
      </c>
      <c r="F286" s="23">
        <f t="shared" si="90"/>
        <v>0.04</v>
      </c>
      <c r="G286" s="160">
        <f t="shared" si="91"/>
        <v>425.36372893692516</v>
      </c>
      <c r="H286" s="160">
        <f t="shared" si="92"/>
        <v>1116.4897488307781</v>
      </c>
      <c r="I286" s="701">
        <f>(D286-H286)*(1+K286)</f>
        <v>134082.18666818159</v>
      </c>
      <c r="J286" s="162">
        <f t="shared" si="93"/>
        <v>1541.8534777677032</v>
      </c>
      <c r="K286" s="702">
        <v>0.06</v>
      </c>
    </row>
    <row r="287" spans="2:11">
      <c r="B287" s="159">
        <f>B275+1</f>
        <v>23</v>
      </c>
      <c r="C287">
        <v>1</v>
      </c>
      <c r="D287" s="701">
        <f t="shared" si="89"/>
        <v>134082.18666818159</v>
      </c>
      <c r="E287" s="161">
        <f>PMT(F287/12,($F$11-B287+1)*12,-D287)</f>
        <v>1634.3646864337657</v>
      </c>
      <c r="F287" s="23">
        <f t="shared" si="90"/>
        <v>0.04</v>
      </c>
      <c r="G287" s="160">
        <f t="shared" si="91"/>
        <v>446.940622227272</v>
      </c>
      <c r="H287" s="160">
        <f t="shared" si="92"/>
        <v>1187.4240642064938</v>
      </c>
      <c r="I287" s="161">
        <f t="shared" ref="I287:I297" si="97">D287-H287</f>
        <v>132894.7626039751</v>
      </c>
      <c r="J287" s="162">
        <f t="shared" si="93"/>
        <v>1634.3646864337657</v>
      </c>
    </row>
    <row r="288" spans="2:11">
      <c r="B288" s="159"/>
      <c r="C288">
        <f t="shared" ref="C288:C298" si="98">1+C287</f>
        <v>2</v>
      </c>
      <c r="D288" s="161">
        <f t="shared" si="89"/>
        <v>132894.7626039751</v>
      </c>
      <c r="E288" s="161">
        <f t="shared" ref="E288:E298" si="99">E287</f>
        <v>1634.3646864337657</v>
      </c>
      <c r="F288" s="23">
        <f t="shared" si="90"/>
        <v>0.04</v>
      </c>
      <c r="G288" s="160">
        <f t="shared" si="91"/>
        <v>442.9825420132504</v>
      </c>
      <c r="H288" s="160">
        <f t="shared" si="92"/>
        <v>1191.3821444205153</v>
      </c>
      <c r="I288" s="161">
        <f t="shared" si="97"/>
        <v>131703.38045955458</v>
      </c>
      <c r="J288" s="162">
        <f t="shared" si="93"/>
        <v>1634.3646864337657</v>
      </c>
    </row>
    <row r="289" spans="2:11">
      <c r="B289" s="159"/>
      <c r="C289">
        <f t="shared" si="98"/>
        <v>3</v>
      </c>
      <c r="D289" s="161">
        <f t="shared" si="89"/>
        <v>131703.38045955458</v>
      </c>
      <c r="E289" s="161">
        <f t="shared" si="99"/>
        <v>1634.3646864337657</v>
      </c>
      <c r="F289" s="23">
        <f t="shared" si="90"/>
        <v>0.04</v>
      </c>
      <c r="G289" s="160">
        <f t="shared" si="91"/>
        <v>439.01126819851532</v>
      </c>
      <c r="H289" s="160">
        <f t="shared" si="92"/>
        <v>1195.3534182352503</v>
      </c>
      <c r="I289" s="161">
        <f t="shared" si="97"/>
        <v>130508.02704131934</v>
      </c>
      <c r="J289" s="162">
        <f t="shared" si="93"/>
        <v>1634.3646864337657</v>
      </c>
    </row>
    <row r="290" spans="2:11">
      <c r="B290" s="159"/>
      <c r="C290">
        <f t="shared" si="98"/>
        <v>4</v>
      </c>
      <c r="D290" s="161">
        <f t="shared" si="89"/>
        <v>130508.02704131934</v>
      </c>
      <c r="E290" s="161">
        <f t="shared" si="99"/>
        <v>1634.3646864337657</v>
      </c>
      <c r="F290" s="23">
        <f t="shared" si="90"/>
        <v>0.04</v>
      </c>
      <c r="G290" s="160">
        <f t="shared" si="91"/>
        <v>435.02675680439779</v>
      </c>
      <c r="H290" s="160">
        <f t="shared" si="92"/>
        <v>1199.3379296293679</v>
      </c>
      <c r="I290" s="161">
        <f t="shared" si="97"/>
        <v>129308.68911168996</v>
      </c>
      <c r="J290" s="162">
        <f t="shared" si="93"/>
        <v>1634.3646864337657</v>
      </c>
    </row>
    <row r="291" spans="2:11">
      <c r="B291" s="159"/>
      <c r="C291">
        <f t="shared" si="98"/>
        <v>5</v>
      </c>
      <c r="D291" s="161">
        <f t="shared" si="89"/>
        <v>129308.68911168996</v>
      </c>
      <c r="E291" s="161">
        <f t="shared" si="99"/>
        <v>1634.3646864337657</v>
      </c>
      <c r="F291" s="23">
        <f t="shared" si="90"/>
        <v>0.04</v>
      </c>
      <c r="G291" s="160">
        <f t="shared" si="91"/>
        <v>431.02896370563326</v>
      </c>
      <c r="H291" s="160">
        <f t="shared" si="92"/>
        <v>1203.3357227281324</v>
      </c>
      <c r="I291" s="161">
        <f t="shared" si="97"/>
        <v>128105.35338896183</v>
      </c>
      <c r="J291" s="162">
        <f t="shared" si="93"/>
        <v>1634.3646864337657</v>
      </c>
    </row>
    <row r="292" spans="2:11">
      <c r="B292" s="159"/>
      <c r="C292">
        <f t="shared" si="98"/>
        <v>6</v>
      </c>
      <c r="D292" s="161">
        <f t="shared" si="89"/>
        <v>128105.35338896183</v>
      </c>
      <c r="E292" s="161">
        <f t="shared" si="99"/>
        <v>1634.3646864337657</v>
      </c>
      <c r="F292" s="23">
        <f t="shared" si="90"/>
        <v>0.04</v>
      </c>
      <c r="G292" s="160">
        <f t="shared" si="91"/>
        <v>427.0178446298728</v>
      </c>
      <c r="H292" s="160">
        <f t="shared" si="92"/>
        <v>1207.3468418038929</v>
      </c>
      <c r="I292" s="161">
        <f t="shared" si="97"/>
        <v>126898.00654715793</v>
      </c>
      <c r="J292" s="162">
        <f t="shared" si="93"/>
        <v>1634.3646864337657</v>
      </c>
    </row>
    <row r="293" spans="2:11">
      <c r="B293" s="159"/>
      <c r="C293">
        <f t="shared" si="98"/>
        <v>7</v>
      </c>
      <c r="D293" s="161">
        <f t="shared" si="89"/>
        <v>126898.00654715793</v>
      </c>
      <c r="E293" s="161">
        <f t="shared" si="99"/>
        <v>1634.3646864337657</v>
      </c>
      <c r="F293" s="23">
        <f t="shared" si="90"/>
        <v>0.04</v>
      </c>
      <c r="G293" s="160">
        <f t="shared" si="91"/>
        <v>422.99335515719315</v>
      </c>
      <c r="H293" s="160">
        <f t="shared" si="92"/>
        <v>1211.3713312765726</v>
      </c>
      <c r="I293" s="161">
        <f t="shared" si="97"/>
        <v>125686.63521588135</v>
      </c>
      <c r="J293" s="162">
        <f t="shared" si="93"/>
        <v>1634.3646864337657</v>
      </c>
    </row>
    <row r="294" spans="2:11">
      <c r="B294" s="159"/>
      <c r="C294">
        <f t="shared" si="98"/>
        <v>8</v>
      </c>
      <c r="D294" s="161">
        <f t="shared" si="89"/>
        <v>125686.63521588135</v>
      </c>
      <c r="E294" s="161">
        <f t="shared" si="99"/>
        <v>1634.3646864337657</v>
      </c>
      <c r="F294" s="23">
        <f t="shared" si="90"/>
        <v>0.04</v>
      </c>
      <c r="G294" s="160">
        <f t="shared" si="91"/>
        <v>418.95545071960453</v>
      </c>
      <c r="H294" s="160">
        <f t="shared" si="92"/>
        <v>1215.4092357141612</v>
      </c>
      <c r="I294" s="161">
        <f t="shared" si="97"/>
        <v>124471.22598016719</v>
      </c>
      <c r="J294" s="162">
        <f t="shared" si="93"/>
        <v>1634.3646864337657</v>
      </c>
    </row>
    <row r="295" spans="2:11">
      <c r="B295" s="159"/>
      <c r="C295">
        <f t="shared" si="98"/>
        <v>9</v>
      </c>
      <c r="D295" s="161">
        <f t="shared" si="89"/>
        <v>124471.22598016719</v>
      </c>
      <c r="E295" s="161">
        <f t="shared" si="99"/>
        <v>1634.3646864337657</v>
      </c>
      <c r="F295" s="23">
        <f t="shared" si="90"/>
        <v>0.04</v>
      </c>
      <c r="G295" s="160">
        <f t="shared" si="91"/>
        <v>414.90408660055732</v>
      </c>
      <c r="H295" s="160">
        <f t="shared" si="92"/>
        <v>1219.4605998332083</v>
      </c>
      <c r="I295" s="161">
        <f t="shared" si="97"/>
        <v>123251.76538033398</v>
      </c>
      <c r="J295" s="162">
        <f t="shared" si="93"/>
        <v>1634.3646864337657</v>
      </c>
    </row>
    <row r="296" spans="2:11">
      <c r="B296" s="159"/>
      <c r="C296">
        <f t="shared" si="98"/>
        <v>10</v>
      </c>
      <c r="D296" s="161">
        <f t="shared" si="89"/>
        <v>123251.76538033398</v>
      </c>
      <c r="E296" s="161">
        <f t="shared" si="99"/>
        <v>1634.3646864337657</v>
      </c>
      <c r="F296" s="23">
        <f t="shared" si="90"/>
        <v>0.04</v>
      </c>
      <c r="G296" s="160">
        <f t="shared" si="91"/>
        <v>410.83921793444659</v>
      </c>
      <c r="H296" s="160">
        <f t="shared" si="92"/>
        <v>1223.525468499319</v>
      </c>
      <c r="I296" s="161">
        <f t="shared" si="97"/>
        <v>122028.23991183467</v>
      </c>
      <c r="J296" s="162">
        <f t="shared" si="93"/>
        <v>1634.3646864337657</v>
      </c>
    </row>
    <row r="297" spans="2:11">
      <c r="B297" s="159"/>
      <c r="C297">
        <f t="shared" si="98"/>
        <v>11</v>
      </c>
      <c r="D297" s="161">
        <f t="shared" si="89"/>
        <v>122028.23991183467</v>
      </c>
      <c r="E297" s="161">
        <f t="shared" si="99"/>
        <v>1634.3646864337657</v>
      </c>
      <c r="F297" s="23">
        <f t="shared" si="90"/>
        <v>0.04</v>
      </c>
      <c r="G297" s="160">
        <f t="shared" si="91"/>
        <v>406.76079970611556</v>
      </c>
      <c r="H297" s="160">
        <f t="shared" si="92"/>
        <v>1227.6038867276502</v>
      </c>
      <c r="I297" s="161">
        <f t="shared" si="97"/>
        <v>120800.63602510701</v>
      </c>
      <c r="J297" s="162">
        <f t="shared" si="93"/>
        <v>1634.3646864337657</v>
      </c>
    </row>
    <row r="298" spans="2:11">
      <c r="B298" s="159"/>
      <c r="C298">
        <f t="shared" si="98"/>
        <v>12</v>
      </c>
      <c r="D298" s="161">
        <f t="shared" si="89"/>
        <v>120800.63602510701</v>
      </c>
      <c r="E298" s="161">
        <f t="shared" si="99"/>
        <v>1634.3646864337657</v>
      </c>
      <c r="F298" s="23">
        <f t="shared" si="90"/>
        <v>0.04</v>
      </c>
      <c r="G298" s="160">
        <f t="shared" si="91"/>
        <v>402.66878675035673</v>
      </c>
      <c r="H298" s="160">
        <f t="shared" si="92"/>
        <v>1231.6958996834089</v>
      </c>
      <c r="I298" s="701">
        <f>(D298-H298)*(1+K298)</f>
        <v>126743.07653294902</v>
      </c>
      <c r="J298" s="162">
        <f t="shared" si="93"/>
        <v>1634.3646864337657</v>
      </c>
      <c r="K298" s="702">
        <v>0.06</v>
      </c>
    </row>
    <row r="299" spans="2:11">
      <c r="B299" s="159">
        <f>B287+1</f>
        <v>24</v>
      </c>
      <c r="C299">
        <v>1</v>
      </c>
      <c r="D299" s="701">
        <f t="shared" si="89"/>
        <v>126743.07653294902</v>
      </c>
      <c r="E299" s="161">
        <f>PMT(F299/12,($F$11-B299+1)*12,-D299)</f>
        <v>1732.4265676197913</v>
      </c>
      <c r="F299" s="23">
        <f t="shared" si="90"/>
        <v>0.04</v>
      </c>
      <c r="G299" s="160">
        <f t="shared" si="91"/>
        <v>422.47692177649679</v>
      </c>
      <c r="H299" s="160">
        <f t="shared" si="92"/>
        <v>1309.9496458432945</v>
      </c>
      <c r="I299" s="161">
        <f t="shared" ref="I299:I309" si="100">D299-H299</f>
        <v>125433.12688710573</v>
      </c>
      <c r="J299" s="162">
        <f t="shared" si="93"/>
        <v>1732.4265676197913</v>
      </c>
    </row>
    <row r="300" spans="2:11">
      <c r="B300" s="159"/>
      <c r="C300">
        <f t="shared" ref="C300:C310" si="101">1+C299</f>
        <v>2</v>
      </c>
      <c r="D300" s="161">
        <f t="shared" si="89"/>
        <v>125433.12688710573</v>
      </c>
      <c r="E300" s="161">
        <f t="shared" ref="E300:E310" si="102">E299</f>
        <v>1732.4265676197913</v>
      </c>
      <c r="F300" s="23">
        <f t="shared" si="90"/>
        <v>0.04</v>
      </c>
      <c r="G300" s="160">
        <f t="shared" si="91"/>
        <v>418.11042295701913</v>
      </c>
      <c r="H300" s="160">
        <f t="shared" si="92"/>
        <v>1314.3161446627721</v>
      </c>
      <c r="I300" s="161">
        <f t="shared" si="100"/>
        <v>124118.81074244295</v>
      </c>
      <c r="J300" s="162">
        <f t="shared" si="93"/>
        <v>1732.4265676197913</v>
      </c>
    </row>
    <row r="301" spans="2:11">
      <c r="B301" s="159"/>
      <c r="C301">
        <f t="shared" si="101"/>
        <v>3</v>
      </c>
      <c r="D301" s="161">
        <f t="shared" si="89"/>
        <v>124118.81074244295</v>
      </c>
      <c r="E301" s="161">
        <f t="shared" si="102"/>
        <v>1732.4265676197913</v>
      </c>
      <c r="F301" s="23">
        <f t="shared" si="90"/>
        <v>0.04</v>
      </c>
      <c r="G301" s="160">
        <f t="shared" si="91"/>
        <v>413.72936914147652</v>
      </c>
      <c r="H301" s="160">
        <f t="shared" si="92"/>
        <v>1318.6971984783147</v>
      </c>
      <c r="I301" s="161">
        <f t="shared" si="100"/>
        <v>122800.11354396463</v>
      </c>
      <c r="J301" s="162">
        <f t="shared" si="93"/>
        <v>1732.4265676197913</v>
      </c>
    </row>
    <row r="302" spans="2:11">
      <c r="B302" s="159"/>
      <c r="C302">
        <f t="shared" si="101"/>
        <v>4</v>
      </c>
      <c r="D302" s="161">
        <f t="shared" si="89"/>
        <v>122800.11354396463</v>
      </c>
      <c r="E302" s="161">
        <f t="shared" si="102"/>
        <v>1732.4265676197913</v>
      </c>
      <c r="F302" s="23">
        <f t="shared" si="90"/>
        <v>0.04</v>
      </c>
      <c r="G302" s="160">
        <f t="shared" si="91"/>
        <v>409.33371181321547</v>
      </c>
      <c r="H302" s="160">
        <f t="shared" si="92"/>
        <v>1323.0928558065757</v>
      </c>
      <c r="I302" s="161">
        <f t="shared" si="100"/>
        <v>121477.02068815805</v>
      </c>
      <c r="J302" s="162">
        <f t="shared" si="93"/>
        <v>1732.4265676197913</v>
      </c>
    </row>
    <row r="303" spans="2:11">
      <c r="B303" s="159"/>
      <c r="C303">
        <f t="shared" si="101"/>
        <v>5</v>
      </c>
      <c r="D303" s="161">
        <f t="shared" si="89"/>
        <v>121477.02068815805</v>
      </c>
      <c r="E303" s="161">
        <f t="shared" si="102"/>
        <v>1732.4265676197913</v>
      </c>
      <c r="F303" s="23">
        <f t="shared" si="90"/>
        <v>0.04</v>
      </c>
      <c r="G303" s="160">
        <f t="shared" si="91"/>
        <v>404.92340229386019</v>
      </c>
      <c r="H303" s="160">
        <f t="shared" si="92"/>
        <v>1327.5031653259311</v>
      </c>
      <c r="I303" s="161">
        <f t="shared" si="100"/>
        <v>120149.51752283212</v>
      </c>
      <c r="J303" s="162">
        <f t="shared" si="93"/>
        <v>1732.4265676197913</v>
      </c>
    </row>
    <row r="304" spans="2:11">
      <c r="B304" s="159"/>
      <c r="C304">
        <f t="shared" si="101"/>
        <v>6</v>
      </c>
      <c r="D304" s="161">
        <f t="shared" si="89"/>
        <v>120149.51752283212</v>
      </c>
      <c r="E304" s="161">
        <f t="shared" si="102"/>
        <v>1732.4265676197913</v>
      </c>
      <c r="F304" s="23">
        <f t="shared" si="90"/>
        <v>0.04</v>
      </c>
      <c r="G304" s="160">
        <f t="shared" si="91"/>
        <v>400.49839174277378</v>
      </c>
      <c r="H304" s="160">
        <f t="shared" si="92"/>
        <v>1331.9281758770176</v>
      </c>
      <c r="I304" s="161">
        <f t="shared" si="100"/>
        <v>118817.58934695509</v>
      </c>
      <c r="J304" s="162">
        <f t="shared" si="93"/>
        <v>1732.4265676197913</v>
      </c>
    </row>
    <row r="305" spans="2:11">
      <c r="B305" s="159"/>
      <c r="C305">
        <f t="shared" si="101"/>
        <v>7</v>
      </c>
      <c r="D305" s="161">
        <f t="shared" si="89"/>
        <v>118817.58934695509</v>
      </c>
      <c r="E305" s="161">
        <f t="shared" si="102"/>
        <v>1732.4265676197913</v>
      </c>
      <c r="F305" s="23">
        <f t="shared" si="90"/>
        <v>0.04</v>
      </c>
      <c r="G305" s="160">
        <f t="shared" si="91"/>
        <v>396.05863115651698</v>
      </c>
      <c r="H305" s="160">
        <f t="shared" si="92"/>
        <v>1336.3679364632744</v>
      </c>
      <c r="I305" s="161">
        <f t="shared" si="100"/>
        <v>117481.22141049182</v>
      </c>
      <c r="J305" s="162">
        <f t="shared" si="93"/>
        <v>1732.4265676197913</v>
      </c>
    </row>
    <row r="306" spans="2:11">
      <c r="B306" s="159"/>
      <c r="C306">
        <f t="shared" si="101"/>
        <v>8</v>
      </c>
      <c r="D306" s="161">
        <f t="shared" si="89"/>
        <v>117481.22141049182</v>
      </c>
      <c r="E306" s="161">
        <f t="shared" si="102"/>
        <v>1732.4265676197913</v>
      </c>
      <c r="F306" s="23">
        <f t="shared" si="90"/>
        <v>0.04</v>
      </c>
      <c r="G306" s="160">
        <f t="shared" si="91"/>
        <v>391.60407136830611</v>
      </c>
      <c r="H306" s="160">
        <f t="shared" si="92"/>
        <v>1340.8224962514851</v>
      </c>
      <c r="I306" s="161">
        <f t="shared" si="100"/>
        <v>116140.39891424034</v>
      </c>
      <c r="J306" s="162">
        <f t="shared" si="93"/>
        <v>1732.4265676197913</v>
      </c>
    </row>
    <row r="307" spans="2:11">
      <c r="B307" s="159"/>
      <c r="C307">
        <f t="shared" si="101"/>
        <v>9</v>
      </c>
      <c r="D307" s="161">
        <f t="shared" si="89"/>
        <v>116140.39891424034</v>
      </c>
      <c r="E307" s="161">
        <f t="shared" si="102"/>
        <v>1732.4265676197913</v>
      </c>
      <c r="F307" s="23">
        <f t="shared" si="90"/>
        <v>0.04</v>
      </c>
      <c r="G307" s="160">
        <f t="shared" si="91"/>
        <v>387.13466304746782</v>
      </c>
      <c r="H307" s="160">
        <f t="shared" si="92"/>
        <v>1345.2919045723233</v>
      </c>
      <c r="I307" s="161">
        <f t="shared" si="100"/>
        <v>114795.10700966802</v>
      </c>
      <c r="J307" s="162">
        <f t="shared" si="93"/>
        <v>1732.4265676197913</v>
      </c>
    </row>
    <row r="308" spans="2:11">
      <c r="B308" s="159"/>
      <c r="C308">
        <f t="shared" si="101"/>
        <v>10</v>
      </c>
      <c r="D308" s="161">
        <f t="shared" si="89"/>
        <v>114795.10700966802</v>
      </c>
      <c r="E308" s="161">
        <f t="shared" si="102"/>
        <v>1732.4265676197913</v>
      </c>
      <c r="F308" s="23">
        <f t="shared" si="90"/>
        <v>0.04</v>
      </c>
      <c r="G308" s="160">
        <f t="shared" si="91"/>
        <v>382.6503566988934</v>
      </c>
      <c r="H308" s="160">
        <f t="shared" si="92"/>
        <v>1349.7762109208979</v>
      </c>
      <c r="I308" s="161">
        <f t="shared" si="100"/>
        <v>113445.33079874712</v>
      </c>
      <c r="J308" s="162">
        <f t="shared" si="93"/>
        <v>1732.4265676197913</v>
      </c>
    </row>
    <row r="309" spans="2:11">
      <c r="B309" s="159"/>
      <c r="C309">
        <f t="shared" si="101"/>
        <v>11</v>
      </c>
      <c r="D309" s="161">
        <f t="shared" si="89"/>
        <v>113445.33079874712</v>
      </c>
      <c r="E309" s="161">
        <f t="shared" si="102"/>
        <v>1732.4265676197913</v>
      </c>
      <c r="F309" s="23">
        <f t="shared" si="90"/>
        <v>0.04</v>
      </c>
      <c r="G309" s="160">
        <f t="shared" si="91"/>
        <v>378.15110266249042</v>
      </c>
      <c r="H309" s="160">
        <f t="shared" si="92"/>
        <v>1354.2754649573008</v>
      </c>
      <c r="I309" s="161">
        <f t="shared" si="100"/>
        <v>112091.05533378982</v>
      </c>
      <c r="J309" s="162">
        <f t="shared" si="93"/>
        <v>1732.4265676197913</v>
      </c>
    </row>
    <row r="310" spans="2:11">
      <c r="B310" s="159"/>
      <c r="C310">
        <f t="shared" si="101"/>
        <v>12</v>
      </c>
      <c r="D310" s="161">
        <f t="shared" si="89"/>
        <v>112091.05533378982</v>
      </c>
      <c r="E310" s="161">
        <f t="shared" si="102"/>
        <v>1732.4265676197913</v>
      </c>
      <c r="F310" s="23">
        <f t="shared" si="90"/>
        <v>0.04</v>
      </c>
      <c r="G310" s="160">
        <f t="shared" si="91"/>
        <v>373.63685111263277</v>
      </c>
      <c r="H310" s="160">
        <f t="shared" si="92"/>
        <v>1358.7897165071586</v>
      </c>
      <c r="I310" s="701">
        <f>(D310-H310)*(1+K310)</f>
        <v>117376.20155431962</v>
      </c>
      <c r="J310" s="162">
        <f t="shared" si="93"/>
        <v>1732.4265676197913</v>
      </c>
      <c r="K310" s="702">
        <v>0.06</v>
      </c>
    </row>
    <row r="311" spans="2:11">
      <c r="B311" s="159">
        <f>B299+1</f>
        <v>25</v>
      </c>
      <c r="C311">
        <v>1</v>
      </c>
      <c r="D311" s="701">
        <f t="shared" si="89"/>
        <v>117376.20155431962</v>
      </c>
      <c r="E311" s="161">
        <f>PMT(F311/12,($F$11-B311+1)*12,-D311)</f>
        <v>1836.3721616769785</v>
      </c>
      <c r="F311" s="23">
        <f t="shared" si="90"/>
        <v>0.04</v>
      </c>
      <c r="G311" s="160">
        <f t="shared" si="91"/>
        <v>391.25400518106539</v>
      </c>
      <c r="H311" s="160">
        <f t="shared" si="92"/>
        <v>1445.1181564959131</v>
      </c>
      <c r="I311" s="161">
        <f t="shared" ref="I311:I321" si="103">D311-H311</f>
        <v>115931.08339782371</v>
      </c>
      <c r="J311" s="162">
        <f t="shared" si="93"/>
        <v>1836.3721616769785</v>
      </c>
    </row>
    <row r="312" spans="2:11">
      <c r="B312" s="159"/>
      <c r="C312">
        <f t="shared" ref="C312:C322" si="104">1+C311</f>
        <v>2</v>
      </c>
      <c r="D312" s="161">
        <f t="shared" si="89"/>
        <v>115931.08339782371</v>
      </c>
      <c r="E312" s="161">
        <f t="shared" ref="E312:E322" si="105">E311</f>
        <v>1836.3721616769785</v>
      </c>
      <c r="F312" s="23">
        <f t="shared" si="90"/>
        <v>0.04</v>
      </c>
      <c r="G312" s="160">
        <f t="shared" si="91"/>
        <v>386.4369446594124</v>
      </c>
      <c r="H312" s="160">
        <f t="shared" si="92"/>
        <v>1449.9352170175662</v>
      </c>
      <c r="I312" s="161">
        <f t="shared" si="103"/>
        <v>114481.14818080614</v>
      </c>
      <c r="J312" s="162">
        <f t="shared" si="93"/>
        <v>1836.3721616769785</v>
      </c>
    </row>
    <row r="313" spans="2:11">
      <c r="B313" s="159"/>
      <c r="C313">
        <f t="shared" si="104"/>
        <v>3</v>
      </c>
      <c r="D313" s="161">
        <f t="shared" si="89"/>
        <v>114481.14818080614</v>
      </c>
      <c r="E313" s="161">
        <f t="shared" si="105"/>
        <v>1836.3721616769785</v>
      </c>
      <c r="F313" s="23">
        <f t="shared" si="90"/>
        <v>0.04</v>
      </c>
      <c r="G313" s="160">
        <f t="shared" si="91"/>
        <v>381.60382726935381</v>
      </c>
      <c r="H313" s="160">
        <f t="shared" si="92"/>
        <v>1454.7683344076247</v>
      </c>
      <c r="I313" s="161">
        <f t="shared" si="103"/>
        <v>113026.37984639851</v>
      </c>
      <c r="J313" s="162">
        <f t="shared" si="93"/>
        <v>1836.3721616769785</v>
      </c>
    </row>
    <row r="314" spans="2:11">
      <c r="B314" s="159"/>
      <c r="C314">
        <f t="shared" si="104"/>
        <v>4</v>
      </c>
      <c r="D314" s="161">
        <f t="shared" si="89"/>
        <v>113026.37984639851</v>
      </c>
      <c r="E314" s="161">
        <f t="shared" si="105"/>
        <v>1836.3721616769785</v>
      </c>
      <c r="F314" s="23">
        <f t="shared" si="90"/>
        <v>0.04</v>
      </c>
      <c r="G314" s="160">
        <f t="shared" si="91"/>
        <v>376.75459948799505</v>
      </c>
      <c r="H314" s="160">
        <f t="shared" si="92"/>
        <v>1459.6175621889834</v>
      </c>
      <c r="I314" s="161">
        <f t="shared" si="103"/>
        <v>111566.76228420953</v>
      </c>
      <c r="J314" s="162">
        <f t="shared" si="93"/>
        <v>1836.3721616769785</v>
      </c>
    </row>
    <row r="315" spans="2:11">
      <c r="B315" s="159"/>
      <c r="C315">
        <f t="shared" si="104"/>
        <v>5</v>
      </c>
      <c r="D315" s="161">
        <f t="shared" si="89"/>
        <v>111566.76228420953</v>
      </c>
      <c r="E315" s="161">
        <f t="shared" si="105"/>
        <v>1836.3721616769785</v>
      </c>
      <c r="F315" s="23">
        <f t="shared" si="90"/>
        <v>0.04</v>
      </c>
      <c r="G315" s="160">
        <f t="shared" si="91"/>
        <v>371.88920761403176</v>
      </c>
      <c r="H315" s="160">
        <f t="shared" si="92"/>
        <v>1464.4829540629466</v>
      </c>
      <c r="I315" s="161">
        <f t="shared" si="103"/>
        <v>110102.27933014659</v>
      </c>
      <c r="J315" s="162">
        <f t="shared" si="93"/>
        <v>1836.3721616769785</v>
      </c>
    </row>
    <row r="316" spans="2:11">
      <c r="B316" s="159"/>
      <c r="C316">
        <f t="shared" si="104"/>
        <v>6</v>
      </c>
      <c r="D316" s="161">
        <f t="shared" si="89"/>
        <v>110102.27933014659</v>
      </c>
      <c r="E316" s="161">
        <f t="shared" si="105"/>
        <v>1836.3721616769785</v>
      </c>
      <c r="F316" s="23">
        <f t="shared" si="90"/>
        <v>0.04</v>
      </c>
      <c r="G316" s="160">
        <f t="shared" si="91"/>
        <v>367.00759776715529</v>
      </c>
      <c r="H316" s="160">
        <f t="shared" si="92"/>
        <v>1469.3645639098231</v>
      </c>
      <c r="I316" s="161">
        <f t="shared" si="103"/>
        <v>108632.91476623676</v>
      </c>
      <c r="J316" s="162">
        <f t="shared" si="93"/>
        <v>1836.3721616769785</v>
      </c>
    </row>
    <row r="317" spans="2:11">
      <c r="B317" s="159"/>
      <c r="C317">
        <f t="shared" si="104"/>
        <v>7</v>
      </c>
      <c r="D317" s="161">
        <f t="shared" si="89"/>
        <v>108632.91476623676</v>
      </c>
      <c r="E317" s="161">
        <f t="shared" si="105"/>
        <v>1836.3721616769785</v>
      </c>
      <c r="F317" s="23">
        <f t="shared" si="90"/>
        <v>0.04</v>
      </c>
      <c r="G317" s="160">
        <f t="shared" si="91"/>
        <v>362.10971588745588</v>
      </c>
      <c r="H317" s="160">
        <f t="shared" si="92"/>
        <v>1474.2624457895226</v>
      </c>
      <c r="I317" s="161">
        <f t="shared" si="103"/>
        <v>107158.65232044723</v>
      </c>
      <c r="J317" s="162">
        <f t="shared" si="93"/>
        <v>1836.3721616769785</v>
      </c>
    </row>
    <row r="318" spans="2:11">
      <c r="B318" s="159"/>
      <c r="C318">
        <f t="shared" si="104"/>
        <v>8</v>
      </c>
      <c r="D318" s="161">
        <f t="shared" si="89"/>
        <v>107158.65232044723</v>
      </c>
      <c r="E318" s="161">
        <f t="shared" si="105"/>
        <v>1836.3721616769785</v>
      </c>
      <c r="F318" s="23">
        <f t="shared" si="90"/>
        <v>0.04</v>
      </c>
      <c r="G318" s="160">
        <f t="shared" si="91"/>
        <v>357.1955077348241</v>
      </c>
      <c r="H318" s="160">
        <f t="shared" si="92"/>
        <v>1479.1766539421544</v>
      </c>
      <c r="I318" s="161">
        <f t="shared" si="103"/>
        <v>105679.47566650508</v>
      </c>
      <c r="J318" s="162">
        <f t="shared" si="93"/>
        <v>1836.3721616769785</v>
      </c>
    </row>
    <row r="319" spans="2:11">
      <c r="B319" s="159"/>
      <c r="C319">
        <f t="shared" si="104"/>
        <v>9</v>
      </c>
      <c r="D319" s="161">
        <f t="shared" si="89"/>
        <v>105679.47566650508</v>
      </c>
      <c r="E319" s="161">
        <f t="shared" si="105"/>
        <v>1836.3721616769785</v>
      </c>
      <c r="F319" s="23">
        <f t="shared" si="90"/>
        <v>0.04</v>
      </c>
      <c r="G319" s="160">
        <f t="shared" si="91"/>
        <v>352.26491888835028</v>
      </c>
      <c r="H319" s="160">
        <f t="shared" si="92"/>
        <v>1484.1072427886284</v>
      </c>
      <c r="I319" s="161">
        <f t="shared" si="103"/>
        <v>104195.36842371646</v>
      </c>
      <c r="J319" s="162">
        <f t="shared" si="93"/>
        <v>1836.3721616769785</v>
      </c>
    </row>
    <row r="320" spans="2:11">
      <c r="B320" s="159"/>
      <c r="C320">
        <f t="shared" si="104"/>
        <v>10</v>
      </c>
      <c r="D320" s="161">
        <f t="shared" si="89"/>
        <v>104195.36842371646</v>
      </c>
      <c r="E320" s="161">
        <f t="shared" si="105"/>
        <v>1836.3721616769785</v>
      </c>
      <c r="F320" s="23">
        <f t="shared" si="90"/>
        <v>0.04</v>
      </c>
      <c r="G320" s="160">
        <f t="shared" si="91"/>
        <v>347.31789474572156</v>
      </c>
      <c r="H320" s="160">
        <f t="shared" si="92"/>
        <v>1489.054266931257</v>
      </c>
      <c r="I320" s="161">
        <f t="shared" si="103"/>
        <v>102706.3141567852</v>
      </c>
      <c r="J320" s="162">
        <f t="shared" si="93"/>
        <v>1836.3721616769785</v>
      </c>
    </row>
    <row r="321" spans="2:11">
      <c r="B321" s="159"/>
      <c r="C321">
        <f t="shared" si="104"/>
        <v>11</v>
      </c>
      <c r="D321" s="161">
        <f t="shared" si="89"/>
        <v>102706.3141567852</v>
      </c>
      <c r="E321" s="161">
        <f t="shared" si="105"/>
        <v>1836.3721616769785</v>
      </c>
      <c r="F321" s="23">
        <f t="shared" si="90"/>
        <v>0.04</v>
      </c>
      <c r="G321" s="160">
        <f t="shared" si="91"/>
        <v>342.35438052261736</v>
      </c>
      <c r="H321" s="160">
        <f t="shared" si="92"/>
        <v>1494.0177811543613</v>
      </c>
      <c r="I321" s="161">
        <f t="shared" si="103"/>
        <v>101212.29637563085</v>
      </c>
      <c r="J321" s="162">
        <f t="shared" si="93"/>
        <v>1836.3721616769785</v>
      </c>
    </row>
    <row r="322" spans="2:11">
      <c r="B322" s="159"/>
      <c r="C322">
        <f t="shared" si="104"/>
        <v>12</v>
      </c>
      <c r="D322" s="161">
        <f t="shared" si="89"/>
        <v>101212.29637563085</v>
      </c>
      <c r="E322" s="161">
        <f t="shared" si="105"/>
        <v>1836.3721616769785</v>
      </c>
      <c r="F322" s="23">
        <f t="shared" si="90"/>
        <v>0.04</v>
      </c>
      <c r="G322" s="160">
        <f t="shared" si="91"/>
        <v>337.37432125210285</v>
      </c>
      <c r="H322" s="160">
        <f t="shared" si="92"/>
        <v>1498.9978404248757</v>
      </c>
      <c r="I322" s="701">
        <f>(D322-H322)*(1+K322)</f>
        <v>105696.09644731834</v>
      </c>
      <c r="J322" s="162">
        <f t="shared" si="93"/>
        <v>1836.3721616769785</v>
      </c>
      <c r="K322" s="702">
        <v>0.06</v>
      </c>
    </row>
    <row r="323" spans="2:11">
      <c r="B323" s="159">
        <f>B311+1</f>
        <v>26</v>
      </c>
      <c r="C323">
        <v>1</v>
      </c>
      <c r="D323" s="701">
        <f t="shared" si="89"/>
        <v>105696.09644731834</v>
      </c>
      <c r="E323" s="161">
        <f>PMT(F323/12,($F$11-B323+1)*12,-D323)</f>
        <v>1946.554491377598</v>
      </c>
      <c r="F323" s="23">
        <f t="shared" si="90"/>
        <v>0.04</v>
      </c>
      <c r="G323" s="160">
        <f t="shared" si="91"/>
        <v>352.32032149106118</v>
      </c>
      <c r="H323" s="160">
        <f t="shared" si="92"/>
        <v>1594.2341698865368</v>
      </c>
      <c r="I323" s="161">
        <f t="shared" ref="I323:I333" si="106">D323-H323</f>
        <v>104101.86227743181</v>
      </c>
      <c r="J323" s="162">
        <f t="shared" si="93"/>
        <v>1946.554491377598</v>
      </c>
    </row>
    <row r="324" spans="2:11">
      <c r="B324" s="159"/>
      <c r="C324">
        <f t="shared" ref="C324:C334" si="107">1+C323</f>
        <v>2</v>
      </c>
      <c r="D324" s="161">
        <f t="shared" si="89"/>
        <v>104101.86227743181</v>
      </c>
      <c r="E324" s="161">
        <f t="shared" ref="E324:E334" si="108">E323</f>
        <v>1946.554491377598</v>
      </c>
      <c r="F324" s="23">
        <f t="shared" si="90"/>
        <v>0.04</v>
      </c>
      <c r="G324" s="160">
        <f t="shared" si="91"/>
        <v>347.00620759143936</v>
      </c>
      <c r="H324" s="160">
        <f t="shared" si="92"/>
        <v>1599.5482837861587</v>
      </c>
      <c r="I324" s="161">
        <f t="shared" si="106"/>
        <v>102502.31399364564</v>
      </c>
      <c r="J324" s="162">
        <f t="shared" si="93"/>
        <v>1946.554491377598</v>
      </c>
    </row>
    <row r="325" spans="2:11">
      <c r="B325" s="159"/>
      <c r="C325">
        <f t="shared" si="107"/>
        <v>3</v>
      </c>
      <c r="D325" s="161">
        <f t="shared" si="89"/>
        <v>102502.31399364564</v>
      </c>
      <c r="E325" s="161">
        <f t="shared" si="108"/>
        <v>1946.554491377598</v>
      </c>
      <c r="F325" s="23">
        <f t="shared" si="90"/>
        <v>0.04</v>
      </c>
      <c r="G325" s="160">
        <f t="shared" si="91"/>
        <v>341.67437997881882</v>
      </c>
      <c r="H325" s="160">
        <f t="shared" si="92"/>
        <v>1604.8801113987793</v>
      </c>
      <c r="I325" s="161">
        <f t="shared" si="106"/>
        <v>100897.43388224687</v>
      </c>
      <c r="J325" s="162">
        <f t="shared" si="93"/>
        <v>1946.554491377598</v>
      </c>
    </row>
    <row r="326" spans="2:11">
      <c r="B326" s="159"/>
      <c r="C326">
        <f t="shared" si="107"/>
        <v>4</v>
      </c>
      <c r="D326" s="161">
        <f t="shared" si="89"/>
        <v>100897.43388224687</v>
      </c>
      <c r="E326" s="161">
        <f t="shared" si="108"/>
        <v>1946.554491377598</v>
      </c>
      <c r="F326" s="23">
        <f t="shared" si="90"/>
        <v>0.04</v>
      </c>
      <c r="G326" s="160">
        <f t="shared" si="91"/>
        <v>336.32477960748957</v>
      </c>
      <c r="H326" s="160">
        <f t="shared" si="92"/>
        <v>1610.2297117701085</v>
      </c>
      <c r="I326" s="161">
        <f t="shared" si="106"/>
        <v>99287.204170476762</v>
      </c>
      <c r="J326" s="162">
        <f t="shared" si="93"/>
        <v>1946.554491377598</v>
      </c>
    </row>
    <row r="327" spans="2:11">
      <c r="B327" s="159"/>
      <c r="C327">
        <f t="shared" si="107"/>
        <v>5</v>
      </c>
      <c r="D327" s="161">
        <f t="shared" si="89"/>
        <v>99287.204170476762</v>
      </c>
      <c r="E327" s="161">
        <f t="shared" si="108"/>
        <v>1946.554491377598</v>
      </c>
      <c r="F327" s="23">
        <f t="shared" si="90"/>
        <v>0.04</v>
      </c>
      <c r="G327" s="160">
        <f t="shared" si="91"/>
        <v>330.95734723492257</v>
      </c>
      <c r="H327" s="160">
        <f t="shared" si="92"/>
        <v>1615.5971441426755</v>
      </c>
      <c r="I327" s="161">
        <f t="shared" si="106"/>
        <v>97671.607026334081</v>
      </c>
      <c r="J327" s="162">
        <f t="shared" si="93"/>
        <v>1946.554491377598</v>
      </c>
    </row>
    <row r="328" spans="2:11">
      <c r="B328" s="159"/>
      <c r="C328">
        <f t="shared" si="107"/>
        <v>6</v>
      </c>
      <c r="D328" s="161">
        <f t="shared" si="89"/>
        <v>97671.607026334081</v>
      </c>
      <c r="E328" s="161">
        <f t="shared" si="108"/>
        <v>1946.554491377598</v>
      </c>
      <c r="F328" s="23">
        <f t="shared" si="90"/>
        <v>0.04</v>
      </c>
      <c r="G328" s="160">
        <f t="shared" si="91"/>
        <v>325.57202342111361</v>
      </c>
      <c r="H328" s="160">
        <f t="shared" si="92"/>
        <v>1620.9824679564845</v>
      </c>
      <c r="I328" s="161">
        <f t="shared" si="106"/>
        <v>96050.624558377604</v>
      </c>
      <c r="J328" s="162">
        <f t="shared" si="93"/>
        <v>1946.554491377598</v>
      </c>
    </row>
    <row r="329" spans="2:11">
      <c r="B329" s="159"/>
      <c r="C329">
        <f t="shared" si="107"/>
        <v>7</v>
      </c>
      <c r="D329" s="161">
        <f t="shared" si="89"/>
        <v>96050.624558377604</v>
      </c>
      <c r="E329" s="161">
        <f t="shared" si="108"/>
        <v>1946.554491377598</v>
      </c>
      <c r="F329" s="23">
        <f t="shared" si="90"/>
        <v>0.04</v>
      </c>
      <c r="G329" s="160">
        <f t="shared" si="91"/>
        <v>320.16874852792535</v>
      </c>
      <c r="H329" s="160">
        <f t="shared" si="92"/>
        <v>1626.3857428496726</v>
      </c>
      <c r="I329" s="161">
        <f t="shared" si="106"/>
        <v>94424.238815527933</v>
      </c>
      <c r="J329" s="162">
        <f t="shared" si="93"/>
        <v>1946.554491377598</v>
      </c>
    </row>
    <row r="330" spans="2:11">
      <c r="B330" s="159"/>
      <c r="C330">
        <f t="shared" si="107"/>
        <v>8</v>
      </c>
      <c r="D330" s="161">
        <f t="shared" si="89"/>
        <v>94424.238815527933</v>
      </c>
      <c r="E330" s="161">
        <f t="shared" si="108"/>
        <v>1946.554491377598</v>
      </c>
      <c r="F330" s="23">
        <f t="shared" si="90"/>
        <v>0.04</v>
      </c>
      <c r="G330" s="160">
        <f t="shared" si="91"/>
        <v>314.74746271842645</v>
      </c>
      <c r="H330" s="160">
        <f t="shared" si="92"/>
        <v>1631.8070286591715</v>
      </c>
      <c r="I330" s="161">
        <f t="shared" si="106"/>
        <v>92792.431786868765</v>
      </c>
      <c r="J330" s="162">
        <f t="shared" si="93"/>
        <v>1946.554491377598</v>
      </c>
    </row>
    <row r="331" spans="2:11">
      <c r="B331" s="159"/>
      <c r="C331">
        <f t="shared" si="107"/>
        <v>9</v>
      </c>
      <c r="D331" s="161">
        <f t="shared" si="89"/>
        <v>92792.431786868765</v>
      </c>
      <c r="E331" s="161">
        <f t="shared" si="108"/>
        <v>1946.554491377598</v>
      </c>
      <c r="F331" s="23">
        <f t="shared" si="90"/>
        <v>0.04</v>
      </c>
      <c r="G331" s="160">
        <f t="shared" si="91"/>
        <v>309.30810595622921</v>
      </c>
      <c r="H331" s="160">
        <f t="shared" si="92"/>
        <v>1637.2463854213688</v>
      </c>
      <c r="I331" s="161">
        <f t="shared" si="106"/>
        <v>91155.185401447394</v>
      </c>
      <c r="J331" s="162">
        <f t="shared" si="93"/>
        <v>1946.554491377598</v>
      </c>
    </row>
    <row r="332" spans="2:11">
      <c r="B332" s="159"/>
      <c r="C332">
        <f t="shared" si="107"/>
        <v>10</v>
      </c>
      <c r="D332" s="161">
        <f t="shared" si="89"/>
        <v>91155.185401447394</v>
      </c>
      <c r="E332" s="161">
        <f t="shared" si="108"/>
        <v>1946.554491377598</v>
      </c>
      <c r="F332" s="23">
        <f t="shared" si="90"/>
        <v>0.04</v>
      </c>
      <c r="G332" s="160">
        <f t="shared" si="91"/>
        <v>303.85061800482464</v>
      </c>
      <c r="H332" s="160">
        <f t="shared" si="92"/>
        <v>1642.7038733727734</v>
      </c>
      <c r="I332" s="161">
        <f t="shared" si="106"/>
        <v>89512.481528074626</v>
      </c>
      <c r="J332" s="162">
        <f t="shared" si="93"/>
        <v>1946.554491377598</v>
      </c>
    </row>
    <row r="333" spans="2:11">
      <c r="B333" s="159"/>
      <c r="C333">
        <f t="shared" si="107"/>
        <v>11</v>
      </c>
      <c r="D333" s="161">
        <f t="shared" si="89"/>
        <v>89512.481528074626</v>
      </c>
      <c r="E333" s="161">
        <f t="shared" si="108"/>
        <v>1946.554491377598</v>
      </c>
      <c r="F333" s="23">
        <f t="shared" si="90"/>
        <v>0.04</v>
      </c>
      <c r="G333" s="160">
        <f t="shared" si="91"/>
        <v>298.37493842691543</v>
      </c>
      <c r="H333" s="160">
        <f t="shared" si="92"/>
        <v>1648.1795529506826</v>
      </c>
      <c r="I333" s="161">
        <f t="shared" si="106"/>
        <v>87864.301975123948</v>
      </c>
      <c r="J333" s="162">
        <f t="shared" si="93"/>
        <v>1946.554491377598</v>
      </c>
    </row>
    <row r="334" spans="2:11">
      <c r="B334" s="159"/>
      <c r="C334">
        <f t="shared" si="107"/>
        <v>12</v>
      </c>
      <c r="D334" s="161">
        <f t="shared" si="89"/>
        <v>87864.301975123948</v>
      </c>
      <c r="E334" s="161">
        <f t="shared" si="108"/>
        <v>1946.554491377598</v>
      </c>
      <c r="F334" s="23">
        <f t="shared" si="90"/>
        <v>0.04</v>
      </c>
      <c r="G334" s="160">
        <f t="shared" si="91"/>
        <v>292.88100658374651</v>
      </c>
      <c r="H334" s="160">
        <f t="shared" si="92"/>
        <v>1653.6734847938515</v>
      </c>
      <c r="I334" s="701">
        <f>(D334-H334)*(1+K334)</f>
        <v>91383.266199749909</v>
      </c>
      <c r="J334" s="162">
        <f t="shared" si="93"/>
        <v>1946.554491377598</v>
      </c>
      <c r="K334" s="702">
        <v>0.06</v>
      </c>
    </row>
    <row r="335" spans="2:11">
      <c r="B335" s="159">
        <f>B323+1</f>
        <v>27</v>
      </c>
      <c r="C335">
        <v>1</v>
      </c>
      <c r="D335" s="701">
        <f t="shared" si="89"/>
        <v>91383.266199749909</v>
      </c>
      <c r="E335" s="161">
        <f>PMT(F335/12,($F$11-B335+1)*12,-D335)</f>
        <v>2063.3477608602543</v>
      </c>
      <c r="F335" s="23">
        <f t="shared" si="90"/>
        <v>0.04</v>
      </c>
      <c r="G335" s="160">
        <f t="shared" si="91"/>
        <v>304.61088733249971</v>
      </c>
      <c r="H335" s="160">
        <f t="shared" si="92"/>
        <v>1758.7368735277546</v>
      </c>
      <c r="I335" s="161">
        <f t="shared" ref="I335:I345" si="109">D335-H335</f>
        <v>89624.529326222153</v>
      </c>
      <c r="J335" s="162">
        <f t="shared" si="93"/>
        <v>2063.3477608602543</v>
      </c>
    </row>
    <row r="336" spans="2:11">
      <c r="B336" s="159"/>
      <c r="C336">
        <f t="shared" ref="C336:C346" si="110">1+C335</f>
        <v>2</v>
      </c>
      <c r="D336" s="161">
        <f t="shared" si="89"/>
        <v>89624.529326222153</v>
      </c>
      <c r="E336" s="161">
        <f t="shared" ref="E336:E346" si="111">E335</f>
        <v>2063.3477608602543</v>
      </c>
      <c r="F336" s="23">
        <f t="shared" si="90"/>
        <v>0.04</v>
      </c>
      <c r="G336" s="160">
        <f t="shared" si="91"/>
        <v>298.7484310874072</v>
      </c>
      <c r="H336" s="160">
        <f t="shared" si="92"/>
        <v>1764.5993297728471</v>
      </c>
      <c r="I336" s="161">
        <f t="shared" si="109"/>
        <v>87859.929996449311</v>
      </c>
      <c r="J336" s="162">
        <f t="shared" si="93"/>
        <v>2063.3477608602543</v>
      </c>
    </row>
    <row r="337" spans="2:11">
      <c r="B337" s="159"/>
      <c r="C337">
        <f t="shared" si="110"/>
        <v>3</v>
      </c>
      <c r="D337" s="161">
        <f t="shared" si="89"/>
        <v>87859.929996449311</v>
      </c>
      <c r="E337" s="161">
        <f t="shared" si="111"/>
        <v>2063.3477608602543</v>
      </c>
      <c r="F337" s="23">
        <f t="shared" si="90"/>
        <v>0.04</v>
      </c>
      <c r="G337" s="160">
        <f t="shared" si="91"/>
        <v>292.86643332149771</v>
      </c>
      <c r="H337" s="160">
        <f t="shared" si="92"/>
        <v>1770.4813275387567</v>
      </c>
      <c r="I337" s="161">
        <f t="shared" si="109"/>
        <v>86089.448668910554</v>
      </c>
      <c r="J337" s="162">
        <f t="shared" si="93"/>
        <v>2063.3477608602543</v>
      </c>
    </row>
    <row r="338" spans="2:11">
      <c r="B338" s="159"/>
      <c r="C338">
        <f t="shared" si="110"/>
        <v>4</v>
      </c>
      <c r="D338" s="161">
        <f t="shared" ref="D338:D357" si="112">I337</f>
        <v>86089.448668910554</v>
      </c>
      <c r="E338" s="161">
        <f t="shared" si="111"/>
        <v>2063.3477608602543</v>
      </c>
      <c r="F338" s="23">
        <f t="shared" ref="F338:F357" si="113">F337</f>
        <v>0.04</v>
      </c>
      <c r="G338" s="160">
        <f t="shared" ref="G338:G357" si="114">(F338/12)*D338</f>
        <v>286.96482889636854</v>
      </c>
      <c r="H338" s="160">
        <f t="shared" ref="H338:H357" si="115">E338-G338</f>
        <v>1776.3829319638858</v>
      </c>
      <c r="I338" s="161">
        <f t="shared" si="109"/>
        <v>84313.065736946664</v>
      </c>
      <c r="J338" s="162">
        <f t="shared" ref="J338:J357" si="116">E338</f>
        <v>2063.3477608602543</v>
      </c>
    </row>
    <row r="339" spans="2:11">
      <c r="B339" s="159"/>
      <c r="C339">
        <f t="shared" si="110"/>
        <v>5</v>
      </c>
      <c r="D339" s="161">
        <f t="shared" si="112"/>
        <v>84313.065736946664</v>
      </c>
      <c r="E339" s="161">
        <f t="shared" si="111"/>
        <v>2063.3477608602543</v>
      </c>
      <c r="F339" s="23">
        <f t="shared" si="113"/>
        <v>0.04</v>
      </c>
      <c r="G339" s="160">
        <f t="shared" si="114"/>
        <v>281.0435524564889</v>
      </c>
      <c r="H339" s="160">
        <f t="shared" si="115"/>
        <v>1782.3042084037654</v>
      </c>
      <c r="I339" s="161">
        <f t="shared" si="109"/>
        <v>82530.761528542906</v>
      </c>
      <c r="J339" s="162">
        <f t="shared" si="116"/>
        <v>2063.3477608602543</v>
      </c>
    </row>
    <row r="340" spans="2:11">
      <c r="B340" s="159"/>
      <c r="C340">
        <f t="shared" si="110"/>
        <v>6</v>
      </c>
      <c r="D340" s="161">
        <f t="shared" si="112"/>
        <v>82530.761528542906</v>
      </c>
      <c r="E340" s="161">
        <f t="shared" si="111"/>
        <v>2063.3477608602543</v>
      </c>
      <c r="F340" s="23">
        <f t="shared" si="113"/>
        <v>0.04</v>
      </c>
      <c r="G340" s="160">
        <f t="shared" si="114"/>
        <v>275.10253842847635</v>
      </c>
      <c r="H340" s="160">
        <f t="shared" si="115"/>
        <v>1788.2452224317781</v>
      </c>
      <c r="I340" s="161">
        <f t="shared" si="109"/>
        <v>80742.516306111123</v>
      </c>
      <c r="J340" s="162">
        <f t="shared" si="116"/>
        <v>2063.3477608602543</v>
      </c>
    </row>
    <row r="341" spans="2:11">
      <c r="B341" s="159"/>
      <c r="C341">
        <f t="shared" si="110"/>
        <v>7</v>
      </c>
      <c r="D341" s="161">
        <f t="shared" si="112"/>
        <v>80742.516306111123</v>
      </c>
      <c r="E341" s="161">
        <f t="shared" si="111"/>
        <v>2063.3477608602543</v>
      </c>
      <c r="F341" s="23">
        <f t="shared" si="113"/>
        <v>0.04</v>
      </c>
      <c r="G341" s="160">
        <f t="shared" si="114"/>
        <v>269.14172102037043</v>
      </c>
      <c r="H341" s="160">
        <f t="shared" si="115"/>
        <v>1794.2060398398839</v>
      </c>
      <c r="I341" s="161">
        <f t="shared" si="109"/>
        <v>78948.310266271234</v>
      </c>
      <c r="J341" s="162">
        <f t="shared" si="116"/>
        <v>2063.3477608602543</v>
      </c>
    </row>
    <row r="342" spans="2:11">
      <c r="B342" s="159"/>
      <c r="C342">
        <f t="shared" si="110"/>
        <v>8</v>
      </c>
      <c r="D342" s="161">
        <f t="shared" si="112"/>
        <v>78948.310266271234</v>
      </c>
      <c r="E342" s="161">
        <f t="shared" si="111"/>
        <v>2063.3477608602543</v>
      </c>
      <c r="F342" s="23">
        <f t="shared" si="113"/>
        <v>0.04</v>
      </c>
      <c r="G342" s="160">
        <f t="shared" si="114"/>
        <v>263.16103422090413</v>
      </c>
      <c r="H342" s="160">
        <f t="shared" si="115"/>
        <v>1800.1867266393501</v>
      </c>
      <c r="I342" s="161">
        <f t="shared" si="109"/>
        <v>77148.123539631881</v>
      </c>
      <c r="J342" s="162">
        <f t="shared" si="116"/>
        <v>2063.3477608602543</v>
      </c>
    </row>
    <row r="343" spans="2:11">
      <c r="B343" s="159"/>
      <c r="C343">
        <f t="shared" si="110"/>
        <v>9</v>
      </c>
      <c r="D343" s="161">
        <f t="shared" si="112"/>
        <v>77148.123539631881</v>
      </c>
      <c r="E343" s="161">
        <f t="shared" si="111"/>
        <v>2063.3477608602543</v>
      </c>
      <c r="F343" s="23">
        <f t="shared" si="113"/>
        <v>0.04</v>
      </c>
      <c r="G343" s="160">
        <f t="shared" si="114"/>
        <v>257.16041179877294</v>
      </c>
      <c r="H343" s="160">
        <f t="shared" si="115"/>
        <v>1806.1873490614814</v>
      </c>
      <c r="I343" s="161">
        <f t="shared" si="109"/>
        <v>75341.936190570399</v>
      </c>
      <c r="J343" s="162">
        <f t="shared" si="116"/>
        <v>2063.3477608602543</v>
      </c>
    </row>
    <row r="344" spans="2:11">
      <c r="B344" s="159"/>
      <c r="C344">
        <f t="shared" si="110"/>
        <v>10</v>
      </c>
      <c r="D344" s="161">
        <f t="shared" si="112"/>
        <v>75341.936190570399</v>
      </c>
      <c r="E344" s="161">
        <f t="shared" si="111"/>
        <v>2063.3477608602543</v>
      </c>
      <c r="F344" s="23">
        <f t="shared" si="113"/>
        <v>0.04</v>
      </c>
      <c r="G344" s="160">
        <f t="shared" si="114"/>
        <v>251.13978730190135</v>
      </c>
      <c r="H344" s="160">
        <f t="shared" si="115"/>
        <v>1812.2079735583529</v>
      </c>
      <c r="I344" s="161">
        <f t="shared" si="109"/>
        <v>73529.728217012045</v>
      </c>
      <c r="J344" s="162">
        <f t="shared" si="116"/>
        <v>2063.3477608602543</v>
      </c>
    </row>
    <row r="345" spans="2:11">
      <c r="B345" s="159"/>
      <c r="C345">
        <f t="shared" si="110"/>
        <v>11</v>
      </c>
      <c r="D345" s="161">
        <f t="shared" si="112"/>
        <v>73529.728217012045</v>
      </c>
      <c r="E345" s="161">
        <f t="shared" si="111"/>
        <v>2063.3477608602543</v>
      </c>
      <c r="F345" s="23">
        <f t="shared" si="113"/>
        <v>0.04</v>
      </c>
      <c r="G345" s="160">
        <f t="shared" si="114"/>
        <v>245.09909405670683</v>
      </c>
      <c r="H345" s="160">
        <f t="shared" si="115"/>
        <v>1818.2486668035474</v>
      </c>
      <c r="I345" s="161">
        <f t="shared" si="109"/>
        <v>71711.479550208503</v>
      </c>
      <c r="J345" s="162">
        <f t="shared" si="116"/>
        <v>2063.3477608602543</v>
      </c>
    </row>
    <row r="346" spans="2:11">
      <c r="B346" s="159"/>
      <c r="C346">
        <f t="shared" si="110"/>
        <v>12</v>
      </c>
      <c r="D346" s="161">
        <f t="shared" si="112"/>
        <v>71711.479550208503</v>
      </c>
      <c r="E346" s="161">
        <f t="shared" si="111"/>
        <v>2063.3477608602543</v>
      </c>
      <c r="F346" s="23">
        <f t="shared" si="113"/>
        <v>0.04</v>
      </c>
      <c r="G346" s="160">
        <f t="shared" si="114"/>
        <v>239.03826516736169</v>
      </c>
      <c r="H346" s="160">
        <f t="shared" si="115"/>
        <v>1824.3094956928926</v>
      </c>
      <c r="I346" s="701">
        <f>(D346-H346)*(1+K346)</f>
        <v>74080.400257786547</v>
      </c>
      <c r="J346" s="162">
        <f t="shared" si="116"/>
        <v>2063.3477608602543</v>
      </c>
      <c r="K346" s="702">
        <v>0.06</v>
      </c>
    </row>
    <row r="347" spans="2:11">
      <c r="B347" s="159">
        <f>B335+1</f>
        <v>28</v>
      </c>
      <c r="C347">
        <v>1</v>
      </c>
      <c r="D347" s="701">
        <f t="shared" si="112"/>
        <v>74080.400257786547</v>
      </c>
      <c r="E347" s="161">
        <f>PMT(F347/12,($F$11-B347+1)*12,-D347)</f>
        <v>2187.1486265118688</v>
      </c>
      <c r="F347" s="23">
        <f t="shared" si="113"/>
        <v>0.04</v>
      </c>
      <c r="G347" s="160">
        <f t="shared" si="114"/>
        <v>246.93466752595518</v>
      </c>
      <c r="H347" s="160">
        <f t="shared" si="115"/>
        <v>1940.2139589859137</v>
      </c>
      <c r="I347" s="161">
        <f t="shared" ref="I347:I357" si="117">D347-H347</f>
        <v>72140.186298800632</v>
      </c>
      <c r="J347" s="162">
        <f t="shared" si="116"/>
        <v>2187.1486265118688</v>
      </c>
    </row>
    <row r="348" spans="2:11">
      <c r="B348" s="159"/>
      <c r="C348">
        <f t="shared" ref="C348:C358" si="118">1+C347</f>
        <v>2</v>
      </c>
      <c r="D348" s="161">
        <f t="shared" si="112"/>
        <v>72140.186298800632</v>
      </c>
      <c r="E348" s="161">
        <f t="shared" ref="E348:E358" si="119">E347</f>
        <v>2187.1486265118688</v>
      </c>
      <c r="F348" s="23">
        <f t="shared" si="113"/>
        <v>0.04</v>
      </c>
      <c r="G348" s="160">
        <f t="shared" si="114"/>
        <v>240.46728766266878</v>
      </c>
      <c r="H348" s="160">
        <f t="shared" si="115"/>
        <v>1946.6813388492001</v>
      </c>
      <c r="I348" s="161">
        <f t="shared" si="117"/>
        <v>70193.504959951431</v>
      </c>
      <c r="J348" s="162">
        <f t="shared" si="116"/>
        <v>2187.1486265118688</v>
      </c>
    </row>
    <row r="349" spans="2:11">
      <c r="B349" s="159"/>
      <c r="C349">
        <f t="shared" si="118"/>
        <v>3</v>
      </c>
      <c r="D349" s="161">
        <f t="shared" si="112"/>
        <v>70193.504959951431</v>
      </c>
      <c r="E349" s="161">
        <f t="shared" si="119"/>
        <v>2187.1486265118688</v>
      </c>
      <c r="F349" s="23">
        <f t="shared" si="113"/>
        <v>0.04</v>
      </c>
      <c r="G349" s="160">
        <f t="shared" si="114"/>
        <v>233.9783498665048</v>
      </c>
      <c r="H349" s="160">
        <f t="shared" si="115"/>
        <v>1953.1702766453641</v>
      </c>
      <c r="I349" s="161">
        <f t="shared" si="117"/>
        <v>68240.334683306064</v>
      </c>
      <c r="J349" s="162">
        <f t="shared" si="116"/>
        <v>2187.1486265118688</v>
      </c>
    </row>
    <row r="350" spans="2:11">
      <c r="B350" s="159"/>
      <c r="C350">
        <f t="shared" si="118"/>
        <v>4</v>
      </c>
      <c r="D350" s="161">
        <f t="shared" si="112"/>
        <v>68240.334683306064</v>
      </c>
      <c r="E350" s="161">
        <f t="shared" si="119"/>
        <v>2187.1486265118688</v>
      </c>
      <c r="F350" s="23">
        <f t="shared" si="113"/>
        <v>0.04</v>
      </c>
      <c r="G350" s="160">
        <f t="shared" si="114"/>
        <v>227.46778227768689</v>
      </c>
      <c r="H350" s="160">
        <f t="shared" si="115"/>
        <v>1959.6808442341819</v>
      </c>
      <c r="I350" s="161">
        <f t="shared" si="117"/>
        <v>66280.653839071878</v>
      </c>
      <c r="J350" s="162">
        <f t="shared" si="116"/>
        <v>2187.1486265118688</v>
      </c>
    </row>
    <row r="351" spans="2:11">
      <c r="B351" s="159"/>
      <c r="C351">
        <f t="shared" si="118"/>
        <v>5</v>
      </c>
      <c r="D351" s="161">
        <f t="shared" si="112"/>
        <v>66280.653839071878</v>
      </c>
      <c r="E351" s="161">
        <f t="shared" si="119"/>
        <v>2187.1486265118688</v>
      </c>
      <c r="F351" s="23">
        <f t="shared" si="113"/>
        <v>0.04</v>
      </c>
      <c r="G351" s="160">
        <f t="shared" si="114"/>
        <v>220.93551279690627</v>
      </c>
      <c r="H351" s="160">
        <f t="shared" si="115"/>
        <v>1966.2131137149624</v>
      </c>
      <c r="I351" s="161">
        <f t="shared" si="117"/>
        <v>64314.440725356915</v>
      </c>
      <c r="J351" s="162">
        <f t="shared" si="116"/>
        <v>2187.1486265118688</v>
      </c>
    </row>
    <row r="352" spans="2:11">
      <c r="B352" s="159"/>
      <c r="C352">
        <f t="shared" si="118"/>
        <v>6</v>
      </c>
      <c r="D352" s="161">
        <f t="shared" si="112"/>
        <v>64314.440725356915</v>
      </c>
      <c r="E352" s="161">
        <f t="shared" si="119"/>
        <v>2187.1486265118688</v>
      </c>
      <c r="F352" s="23">
        <f t="shared" si="113"/>
        <v>0.04</v>
      </c>
      <c r="G352" s="160">
        <f t="shared" si="114"/>
        <v>214.38146908452308</v>
      </c>
      <c r="H352" s="160">
        <f t="shared" si="115"/>
        <v>1972.7671574273456</v>
      </c>
      <c r="I352" s="161">
        <f t="shared" si="117"/>
        <v>62341.673567929567</v>
      </c>
      <c r="J352" s="162">
        <f t="shared" si="116"/>
        <v>2187.1486265118688</v>
      </c>
    </row>
    <row r="353" spans="2:11">
      <c r="B353" s="159"/>
      <c r="C353">
        <f t="shared" si="118"/>
        <v>7</v>
      </c>
      <c r="D353" s="161">
        <f t="shared" si="112"/>
        <v>62341.673567929567</v>
      </c>
      <c r="E353" s="161">
        <f t="shared" si="119"/>
        <v>2187.1486265118688</v>
      </c>
      <c r="F353" s="23">
        <f t="shared" si="113"/>
        <v>0.04</v>
      </c>
      <c r="G353" s="160">
        <f t="shared" si="114"/>
        <v>207.80557855976522</v>
      </c>
      <c r="H353" s="160">
        <f t="shared" si="115"/>
        <v>1979.3430479521035</v>
      </c>
      <c r="I353" s="161">
        <f t="shared" si="117"/>
        <v>60362.330519977462</v>
      </c>
      <c r="J353" s="162">
        <f t="shared" si="116"/>
        <v>2187.1486265118688</v>
      </c>
    </row>
    <row r="354" spans="2:11">
      <c r="B354" s="159"/>
      <c r="C354">
        <f t="shared" si="118"/>
        <v>8</v>
      </c>
      <c r="D354" s="161">
        <f t="shared" si="112"/>
        <v>60362.330519977462</v>
      </c>
      <c r="E354" s="161">
        <f t="shared" si="119"/>
        <v>2187.1486265118688</v>
      </c>
      <c r="F354" s="23">
        <f t="shared" si="113"/>
        <v>0.04</v>
      </c>
      <c r="G354" s="160">
        <f t="shared" si="114"/>
        <v>201.20776839992487</v>
      </c>
      <c r="H354" s="160">
        <f t="shared" si="115"/>
        <v>1985.940858111944</v>
      </c>
      <c r="I354" s="161">
        <f t="shared" si="117"/>
        <v>58376.38966186552</v>
      </c>
      <c r="J354" s="162">
        <f t="shared" si="116"/>
        <v>2187.1486265118688</v>
      </c>
    </row>
    <row r="355" spans="2:11">
      <c r="B355" s="159"/>
      <c r="C355">
        <f t="shared" si="118"/>
        <v>9</v>
      </c>
      <c r="D355" s="161">
        <f t="shared" si="112"/>
        <v>58376.38966186552</v>
      </c>
      <c r="E355" s="161">
        <f t="shared" si="119"/>
        <v>2187.1486265118688</v>
      </c>
      <c r="F355" s="23">
        <f t="shared" si="113"/>
        <v>0.04</v>
      </c>
      <c r="G355" s="160">
        <f t="shared" si="114"/>
        <v>194.58796553955173</v>
      </c>
      <c r="H355" s="160">
        <f t="shared" si="115"/>
        <v>1992.560660972317</v>
      </c>
      <c r="I355" s="161">
        <f t="shared" si="117"/>
        <v>56383.829000893202</v>
      </c>
      <c r="J355" s="162">
        <f t="shared" si="116"/>
        <v>2187.1486265118688</v>
      </c>
    </row>
    <row r="356" spans="2:11">
      <c r="B356" s="159"/>
      <c r="C356">
        <f t="shared" si="118"/>
        <v>10</v>
      </c>
      <c r="D356" s="161">
        <f t="shared" si="112"/>
        <v>56383.829000893202</v>
      </c>
      <c r="E356" s="161">
        <f t="shared" si="119"/>
        <v>2187.1486265118688</v>
      </c>
      <c r="F356" s="23">
        <f t="shared" si="113"/>
        <v>0.04</v>
      </c>
      <c r="G356" s="160">
        <f t="shared" si="114"/>
        <v>187.94609666964402</v>
      </c>
      <c r="H356" s="160">
        <f t="shared" si="115"/>
        <v>1999.2025298422247</v>
      </c>
      <c r="I356" s="161">
        <f t="shared" si="117"/>
        <v>54384.626471050979</v>
      </c>
      <c r="J356" s="162">
        <f t="shared" si="116"/>
        <v>2187.1486265118688</v>
      </c>
    </row>
    <row r="357" spans="2:11">
      <c r="B357" s="159"/>
      <c r="C357">
        <f t="shared" si="118"/>
        <v>11</v>
      </c>
      <c r="D357" s="161">
        <f t="shared" si="112"/>
        <v>54384.626471050979</v>
      </c>
      <c r="E357" s="161">
        <f t="shared" si="119"/>
        <v>2187.1486265118688</v>
      </c>
      <c r="F357" s="23">
        <f t="shared" si="113"/>
        <v>0.04</v>
      </c>
      <c r="G357" s="160">
        <f t="shared" si="114"/>
        <v>181.28208823683661</v>
      </c>
      <c r="H357" s="160">
        <f t="shared" si="115"/>
        <v>2005.8665382750321</v>
      </c>
      <c r="I357" s="161">
        <f t="shared" si="117"/>
        <v>52378.759932775945</v>
      </c>
      <c r="J357" s="162">
        <f t="shared" si="116"/>
        <v>2187.1486265118688</v>
      </c>
    </row>
    <row r="358" spans="2:11">
      <c r="B358" s="159"/>
      <c r="C358">
        <f t="shared" si="118"/>
        <v>12</v>
      </c>
      <c r="D358" s="161">
        <f t="shared" ref="D358:D383" si="120">I357</f>
        <v>52378.759932775945</v>
      </c>
      <c r="E358" s="161">
        <f t="shared" si="119"/>
        <v>2187.1486265118688</v>
      </c>
      <c r="F358" s="23">
        <f t="shared" ref="F358:F382" si="121">F357</f>
        <v>0.04</v>
      </c>
      <c r="G358" s="160">
        <f t="shared" ref="G358:G382" si="122">(F358/12)*D358</f>
        <v>174.5958664425865</v>
      </c>
      <c r="H358" s="160">
        <f t="shared" ref="H358:H382" si="123">E358-G358</f>
        <v>2012.5527600692822</v>
      </c>
      <c r="I358" s="701">
        <f>(D358-H358)*(1+K358)</f>
        <v>53388.179603069068</v>
      </c>
      <c r="J358" s="162">
        <f t="shared" ref="J358:J382" si="124">E358</f>
        <v>2187.1486265118688</v>
      </c>
      <c r="K358" s="702">
        <v>0.06</v>
      </c>
    </row>
    <row r="359" spans="2:11">
      <c r="B359" s="159">
        <f>B347+1</f>
        <v>29</v>
      </c>
      <c r="C359">
        <v>1</v>
      </c>
      <c r="D359" s="701">
        <f t="shared" si="120"/>
        <v>53388.179603069068</v>
      </c>
      <c r="E359" s="161">
        <f>PMT(F359/12,($F$11-B359+1)*12,-D359)</f>
        <v>2318.3775441025809</v>
      </c>
      <c r="F359" s="23">
        <f t="shared" si="121"/>
        <v>0.04</v>
      </c>
      <c r="G359" s="160">
        <f t="shared" si="122"/>
        <v>177.96059867689689</v>
      </c>
      <c r="H359" s="160">
        <f t="shared" si="123"/>
        <v>2140.4169454256839</v>
      </c>
      <c r="I359" s="161">
        <f t="shared" ref="I359:I369" si="125">D359-H359</f>
        <v>51247.762657643383</v>
      </c>
      <c r="J359" s="162">
        <f t="shared" si="124"/>
        <v>2318.3775441025809</v>
      </c>
    </row>
    <row r="360" spans="2:11">
      <c r="B360" s="159"/>
      <c r="C360">
        <f t="shared" ref="C360:C370" si="126">1+C359</f>
        <v>2</v>
      </c>
      <c r="D360" s="161">
        <f t="shared" si="120"/>
        <v>51247.762657643383</v>
      </c>
      <c r="E360" s="161">
        <f t="shared" ref="E360:E370" si="127">E359</f>
        <v>2318.3775441025809</v>
      </c>
      <c r="F360" s="23">
        <f t="shared" si="121"/>
        <v>0.04</v>
      </c>
      <c r="G360" s="160">
        <f t="shared" si="122"/>
        <v>170.82587552547795</v>
      </c>
      <c r="H360" s="160">
        <f t="shared" si="123"/>
        <v>2147.5516685771031</v>
      </c>
      <c r="I360" s="161">
        <f t="shared" si="125"/>
        <v>49100.210989066283</v>
      </c>
      <c r="J360" s="162">
        <f t="shared" si="124"/>
        <v>2318.3775441025809</v>
      </c>
    </row>
    <row r="361" spans="2:11">
      <c r="B361" s="159"/>
      <c r="C361">
        <f t="shared" si="126"/>
        <v>3</v>
      </c>
      <c r="D361" s="161">
        <f t="shared" si="120"/>
        <v>49100.210989066283</v>
      </c>
      <c r="E361" s="161">
        <f t="shared" si="127"/>
        <v>2318.3775441025809</v>
      </c>
      <c r="F361" s="23">
        <f t="shared" si="121"/>
        <v>0.04</v>
      </c>
      <c r="G361" s="160">
        <f t="shared" si="122"/>
        <v>163.66736996355428</v>
      </c>
      <c r="H361" s="160">
        <f t="shared" si="123"/>
        <v>2154.7101741390265</v>
      </c>
      <c r="I361" s="161">
        <f t="shared" si="125"/>
        <v>46945.500814927254</v>
      </c>
      <c r="J361" s="162">
        <f t="shared" si="124"/>
        <v>2318.3775441025809</v>
      </c>
    </row>
    <row r="362" spans="2:11">
      <c r="B362" s="159"/>
      <c r="C362">
        <f t="shared" si="126"/>
        <v>4</v>
      </c>
      <c r="D362" s="161">
        <f t="shared" si="120"/>
        <v>46945.500814927254</v>
      </c>
      <c r="E362" s="161">
        <f t="shared" si="127"/>
        <v>2318.3775441025809</v>
      </c>
      <c r="F362" s="23">
        <f t="shared" si="121"/>
        <v>0.04</v>
      </c>
      <c r="G362" s="160">
        <f t="shared" si="122"/>
        <v>156.48500271642419</v>
      </c>
      <c r="H362" s="160">
        <f t="shared" si="123"/>
        <v>2161.8925413861566</v>
      </c>
      <c r="I362" s="161">
        <f t="shared" si="125"/>
        <v>44783.608273541096</v>
      </c>
      <c r="J362" s="162">
        <f t="shared" si="124"/>
        <v>2318.3775441025809</v>
      </c>
    </row>
    <row r="363" spans="2:11">
      <c r="B363" s="159"/>
      <c r="C363">
        <f t="shared" si="126"/>
        <v>5</v>
      </c>
      <c r="D363" s="161">
        <f t="shared" si="120"/>
        <v>44783.608273541096</v>
      </c>
      <c r="E363" s="161">
        <f t="shared" si="127"/>
        <v>2318.3775441025809</v>
      </c>
      <c r="F363" s="23">
        <f t="shared" si="121"/>
        <v>0.04</v>
      </c>
      <c r="G363" s="160">
        <f t="shared" si="122"/>
        <v>149.27869424513699</v>
      </c>
      <c r="H363" s="160">
        <f t="shared" si="123"/>
        <v>2169.0988498574438</v>
      </c>
      <c r="I363" s="161">
        <f t="shared" si="125"/>
        <v>42614.509423683652</v>
      </c>
      <c r="J363" s="162">
        <f t="shared" si="124"/>
        <v>2318.3775441025809</v>
      </c>
    </row>
    <row r="364" spans="2:11">
      <c r="B364" s="159"/>
      <c r="C364">
        <f t="shared" si="126"/>
        <v>6</v>
      </c>
      <c r="D364" s="161">
        <f t="shared" si="120"/>
        <v>42614.509423683652</v>
      </c>
      <c r="E364" s="161">
        <f t="shared" si="127"/>
        <v>2318.3775441025809</v>
      </c>
      <c r="F364" s="23">
        <f t="shared" si="121"/>
        <v>0.04</v>
      </c>
      <c r="G364" s="160">
        <f t="shared" si="122"/>
        <v>142.04836474561219</v>
      </c>
      <c r="H364" s="160">
        <f t="shared" si="123"/>
        <v>2176.3291793569688</v>
      </c>
      <c r="I364" s="161">
        <f t="shared" si="125"/>
        <v>40438.180244326686</v>
      </c>
      <c r="J364" s="162">
        <f t="shared" si="124"/>
        <v>2318.3775441025809</v>
      </c>
    </row>
    <row r="365" spans="2:11">
      <c r="B365" s="159"/>
      <c r="C365">
        <f t="shared" si="126"/>
        <v>7</v>
      </c>
      <c r="D365" s="161">
        <f t="shared" si="120"/>
        <v>40438.180244326686</v>
      </c>
      <c r="E365" s="161">
        <f t="shared" si="127"/>
        <v>2318.3775441025809</v>
      </c>
      <c r="F365" s="23">
        <f t="shared" si="121"/>
        <v>0.04</v>
      </c>
      <c r="G365" s="160">
        <f t="shared" si="122"/>
        <v>134.79393414775564</v>
      </c>
      <c r="H365" s="160">
        <f t="shared" si="123"/>
        <v>2183.5836099548251</v>
      </c>
      <c r="I365" s="161">
        <f t="shared" si="125"/>
        <v>38254.596634371861</v>
      </c>
      <c r="J365" s="162">
        <f t="shared" si="124"/>
        <v>2318.3775441025809</v>
      </c>
    </row>
    <row r="366" spans="2:11">
      <c r="B366" s="159"/>
      <c r="C366">
        <f t="shared" si="126"/>
        <v>8</v>
      </c>
      <c r="D366" s="161">
        <f t="shared" si="120"/>
        <v>38254.596634371861</v>
      </c>
      <c r="E366" s="161">
        <f t="shared" si="127"/>
        <v>2318.3775441025809</v>
      </c>
      <c r="F366" s="23">
        <f t="shared" si="121"/>
        <v>0.04</v>
      </c>
      <c r="G366" s="160">
        <f t="shared" si="122"/>
        <v>127.51532211457288</v>
      </c>
      <c r="H366" s="160">
        <f t="shared" si="123"/>
        <v>2190.8622219880081</v>
      </c>
      <c r="I366" s="161">
        <f t="shared" si="125"/>
        <v>36063.734412383856</v>
      </c>
      <c r="J366" s="162">
        <f t="shared" si="124"/>
        <v>2318.3775441025809</v>
      </c>
    </row>
    <row r="367" spans="2:11">
      <c r="B367" s="159"/>
      <c r="C367">
        <f t="shared" si="126"/>
        <v>9</v>
      </c>
      <c r="D367" s="161">
        <f t="shared" si="120"/>
        <v>36063.734412383856</v>
      </c>
      <c r="E367" s="161">
        <f t="shared" si="127"/>
        <v>2318.3775441025809</v>
      </c>
      <c r="F367" s="23">
        <f t="shared" si="121"/>
        <v>0.04</v>
      </c>
      <c r="G367" s="160">
        <f t="shared" si="122"/>
        <v>120.21244804127953</v>
      </c>
      <c r="H367" s="160">
        <f t="shared" si="123"/>
        <v>2198.1650960613015</v>
      </c>
      <c r="I367" s="161">
        <f t="shared" si="125"/>
        <v>33865.569316322551</v>
      </c>
      <c r="J367" s="162">
        <f t="shared" si="124"/>
        <v>2318.3775441025809</v>
      </c>
    </row>
    <row r="368" spans="2:11">
      <c r="B368" s="159"/>
      <c r="C368">
        <f t="shared" si="126"/>
        <v>10</v>
      </c>
      <c r="D368" s="161">
        <f t="shared" si="120"/>
        <v>33865.569316322551</v>
      </c>
      <c r="E368" s="161">
        <f t="shared" si="127"/>
        <v>2318.3775441025809</v>
      </c>
      <c r="F368" s="23">
        <f t="shared" si="121"/>
        <v>0.04</v>
      </c>
      <c r="G368" s="160">
        <f t="shared" si="122"/>
        <v>112.88523105440851</v>
      </c>
      <c r="H368" s="160">
        <f t="shared" si="123"/>
        <v>2205.4923130481725</v>
      </c>
      <c r="I368" s="161">
        <f t="shared" si="125"/>
        <v>31660.077003274379</v>
      </c>
      <c r="J368" s="162">
        <f t="shared" si="124"/>
        <v>2318.3775441025809</v>
      </c>
    </row>
    <row r="369" spans="2:11">
      <c r="B369" s="159"/>
      <c r="C369">
        <f t="shared" si="126"/>
        <v>11</v>
      </c>
      <c r="D369" s="161">
        <f t="shared" si="120"/>
        <v>31660.077003274379</v>
      </c>
      <c r="E369" s="161">
        <f t="shared" si="127"/>
        <v>2318.3775441025809</v>
      </c>
      <c r="F369" s="23">
        <f t="shared" si="121"/>
        <v>0.04</v>
      </c>
      <c r="G369" s="160">
        <f t="shared" si="122"/>
        <v>105.53359001091461</v>
      </c>
      <c r="H369" s="160">
        <f t="shared" si="123"/>
        <v>2212.8439540916665</v>
      </c>
      <c r="I369" s="161">
        <f t="shared" si="125"/>
        <v>29447.233049182712</v>
      </c>
      <c r="J369" s="162">
        <f t="shared" si="124"/>
        <v>2318.3775441025809</v>
      </c>
    </row>
    <row r="370" spans="2:11">
      <c r="B370" s="159"/>
      <c r="C370">
        <f t="shared" si="126"/>
        <v>12</v>
      </c>
      <c r="D370" s="161">
        <f t="shared" si="120"/>
        <v>29447.233049182712</v>
      </c>
      <c r="E370" s="161">
        <f t="shared" si="127"/>
        <v>2318.3775441025809</v>
      </c>
      <c r="F370" s="23">
        <f t="shared" si="121"/>
        <v>0.04</v>
      </c>
      <c r="G370" s="160">
        <f t="shared" si="122"/>
        <v>98.157443497275708</v>
      </c>
      <c r="H370" s="160">
        <f t="shared" si="123"/>
        <v>2220.2201006053051</v>
      </c>
      <c r="I370" s="701">
        <f>(D370-H370)*(1+K370)</f>
        <v>28860.633725492055</v>
      </c>
      <c r="J370" s="162">
        <f t="shared" si="124"/>
        <v>2318.3775441025809</v>
      </c>
      <c r="K370" s="702">
        <v>0.06</v>
      </c>
    </row>
    <row r="371" spans="2:11">
      <c r="B371" s="159">
        <f>B359+1</f>
        <v>30</v>
      </c>
      <c r="C371">
        <v>1</v>
      </c>
      <c r="D371" s="701">
        <f t="shared" si="120"/>
        <v>28860.633725492055</v>
      </c>
      <c r="E371" s="161">
        <f>PMT(F371/12,($F$11-B371+1)*12,-D371)</f>
        <v>2457.480196748736</v>
      </c>
      <c r="F371" s="23">
        <f t="shared" si="121"/>
        <v>0.04</v>
      </c>
      <c r="G371" s="160">
        <f t="shared" si="122"/>
        <v>96.202112418306854</v>
      </c>
      <c r="H371" s="160">
        <f t="shared" si="123"/>
        <v>2361.278084330429</v>
      </c>
      <c r="I371" s="161">
        <f t="shared" ref="I371:I381" si="128">D371-H371</f>
        <v>26499.355641161626</v>
      </c>
      <c r="J371" s="162">
        <f t="shared" si="124"/>
        <v>2457.480196748736</v>
      </c>
    </row>
    <row r="372" spans="2:11">
      <c r="B372" s="159"/>
      <c r="C372">
        <f t="shared" ref="C372:C382" si="129">1+C371</f>
        <v>2</v>
      </c>
      <c r="D372" s="161">
        <f t="shared" si="120"/>
        <v>26499.355641161626</v>
      </c>
      <c r="E372" s="161">
        <f t="shared" ref="E372:E382" si="130">E371</f>
        <v>2457.480196748736</v>
      </c>
      <c r="F372" s="23">
        <f t="shared" si="121"/>
        <v>0.04</v>
      </c>
      <c r="G372" s="160">
        <f t="shared" si="122"/>
        <v>88.331185470538756</v>
      </c>
      <c r="H372" s="160">
        <f t="shared" si="123"/>
        <v>2369.1490112781971</v>
      </c>
      <c r="I372" s="161">
        <f t="shared" si="128"/>
        <v>24130.206629883429</v>
      </c>
      <c r="J372" s="162">
        <f t="shared" si="124"/>
        <v>2457.480196748736</v>
      </c>
    </row>
    <row r="373" spans="2:11">
      <c r="B373" s="159"/>
      <c r="C373">
        <f t="shared" si="129"/>
        <v>3</v>
      </c>
      <c r="D373" s="161">
        <f t="shared" si="120"/>
        <v>24130.206629883429</v>
      </c>
      <c r="E373" s="161">
        <f t="shared" si="130"/>
        <v>2457.480196748736</v>
      </c>
      <c r="F373" s="23">
        <f t="shared" si="121"/>
        <v>0.04</v>
      </c>
      <c r="G373" s="160">
        <f t="shared" si="122"/>
        <v>80.43402209961144</v>
      </c>
      <c r="H373" s="160">
        <f t="shared" si="123"/>
        <v>2377.0461746491246</v>
      </c>
      <c r="I373" s="161">
        <f t="shared" si="128"/>
        <v>21753.160455234305</v>
      </c>
      <c r="J373" s="162">
        <f t="shared" si="124"/>
        <v>2457.480196748736</v>
      </c>
    </row>
    <row r="374" spans="2:11">
      <c r="B374" s="159"/>
      <c r="C374">
        <f t="shared" si="129"/>
        <v>4</v>
      </c>
      <c r="D374" s="161">
        <f t="shared" si="120"/>
        <v>21753.160455234305</v>
      </c>
      <c r="E374" s="161">
        <f t="shared" si="130"/>
        <v>2457.480196748736</v>
      </c>
      <c r="F374" s="23">
        <f t="shared" si="121"/>
        <v>0.04</v>
      </c>
      <c r="G374" s="160">
        <f t="shared" si="122"/>
        <v>72.510534850781028</v>
      </c>
      <c r="H374" s="160">
        <f t="shared" si="123"/>
        <v>2384.9696618979551</v>
      </c>
      <c r="I374" s="161">
        <f t="shared" si="128"/>
        <v>19368.190793336351</v>
      </c>
      <c r="J374" s="162">
        <f t="shared" si="124"/>
        <v>2457.480196748736</v>
      </c>
    </row>
    <row r="375" spans="2:11">
      <c r="B375" s="159"/>
      <c r="C375">
        <f t="shared" si="129"/>
        <v>5</v>
      </c>
      <c r="D375" s="161">
        <f t="shared" si="120"/>
        <v>19368.190793336351</v>
      </c>
      <c r="E375" s="161">
        <f t="shared" si="130"/>
        <v>2457.480196748736</v>
      </c>
      <c r="F375" s="23">
        <f t="shared" si="121"/>
        <v>0.04</v>
      </c>
      <c r="G375" s="160">
        <f t="shared" si="122"/>
        <v>64.56063597778784</v>
      </c>
      <c r="H375" s="160">
        <f t="shared" si="123"/>
        <v>2392.919560770948</v>
      </c>
      <c r="I375" s="161">
        <f t="shared" si="128"/>
        <v>16975.271232565403</v>
      </c>
      <c r="J375" s="162">
        <f t="shared" si="124"/>
        <v>2457.480196748736</v>
      </c>
    </row>
    <row r="376" spans="2:11">
      <c r="B376" s="159"/>
      <c r="C376">
        <f t="shared" si="129"/>
        <v>6</v>
      </c>
      <c r="D376" s="161">
        <f t="shared" si="120"/>
        <v>16975.271232565403</v>
      </c>
      <c r="E376" s="161">
        <f t="shared" si="130"/>
        <v>2457.480196748736</v>
      </c>
      <c r="F376" s="23">
        <f t="shared" si="121"/>
        <v>0.04</v>
      </c>
      <c r="G376" s="160">
        <f t="shared" si="122"/>
        <v>56.584237441884682</v>
      </c>
      <c r="H376" s="160">
        <f t="shared" si="123"/>
        <v>2400.8959593068512</v>
      </c>
      <c r="I376" s="161">
        <f t="shared" si="128"/>
        <v>14574.375273258553</v>
      </c>
      <c r="J376" s="162">
        <f t="shared" si="124"/>
        <v>2457.480196748736</v>
      </c>
    </row>
    <row r="377" spans="2:11">
      <c r="B377" s="159"/>
      <c r="C377">
        <f t="shared" si="129"/>
        <v>7</v>
      </c>
      <c r="D377" s="161">
        <f t="shared" si="120"/>
        <v>14574.375273258553</v>
      </c>
      <c r="E377" s="161">
        <f t="shared" si="130"/>
        <v>2457.480196748736</v>
      </c>
      <c r="F377" s="23">
        <f t="shared" si="121"/>
        <v>0.04</v>
      </c>
      <c r="G377" s="160">
        <f t="shared" si="122"/>
        <v>48.581250910861847</v>
      </c>
      <c r="H377" s="160">
        <f t="shared" si="123"/>
        <v>2408.8989458378742</v>
      </c>
      <c r="I377" s="161">
        <f t="shared" si="128"/>
        <v>12165.476327420678</v>
      </c>
      <c r="J377" s="162">
        <f t="shared" si="124"/>
        <v>2457.480196748736</v>
      </c>
    </row>
    <row r="378" spans="2:11">
      <c r="B378" s="159"/>
      <c r="C378">
        <f t="shared" si="129"/>
        <v>8</v>
      </c>
      <c r="D378" s="161">
        <f t="shared" si="120"/>
        <v>12165.476327420678</v>
      </c>
      <c r="E378" s="161">
        <f t="shared" si="130"/>
        <v>2457.480196748736</v>
      </c>
      <c r="F378" s="23">
        <f t="shared" si="121"/>
        <v>0.04</v>
      </c>
      <c r="G378" s="160">
        <f t="shared" si="122"/>
        <v>40.551587758068926</v>
      </c>
      <c r="H378" s="160">
        <f t="shared" si="123"/>
        <v>2416.9286089906673</v>
      </c>
      <c r="I378" s="161">
        <f t="shared" si="128"/>
        <v>9748.5477184300107</v>
      </c>
      <c r="J378" s="162">
        <f t="shared" si="124"/>
        <v>2457.480196748736</v>
      </c>
    </row>
    <row r="379" spans="2:11">
      <c r="B379" s="159"/>
      <c r="C379">
        <f t="shared" si="129"/>
        <v>9</v>
      </c>
      <c r="D379" s="161">
        <f t="shared" si="120"/>
        <v>9748.5477184300107</v>
      </c>
      <c r="E379" s="161">
        <f t="shared" si="130"/>
        <v>2457.480196748736</v>
      </c>
      <c r="F379" s="23">
        <f t="shared" si="121"/>
        <v>0.04</v>
      </c>
      <c r="G379" s="160">
        <f t="shared" si="122"/>
        <v>32.49515906143337</v>
      </c>
      <c r="H379" s="160">
        <f t="shared" si="123"/>
        <v>2424.9850376873028</v>
      </c>
      <c r="I379" s="161">
        <f t="shared" si="128"/>
        <v>7323.5626807427079</v>
      </c>
      <c r="J379" s="162">
        <f t="shared" si="124"/>
        <v>2457.480196748736</v>
      </c>
    </row>
    <row r="380" spans="2:11">
      <c r="B380" s="159"/>
      <c r="C380">
        <f t="shared" si="129"/>
        <v>10</v>
      </c>
      <c r="D380" s="161">
        <f t="shared" si="120"/>
        <v>7323.5626807427079</v>
      </c>
      <c r="E380" s="161">
        <f t="shared" si="130"/>
        <v>2457.480196748736</v>
      </c>
      <c r="F380" s="23">
        <f t="shared" si="121"/>
        <v>0.04</v>
      </c>
      <c r="G380" s="160">
        <f t="shared" si="122"/>
        <v>24.411875602475696</v>
      </c>
      <c r="H380" s="160">
        <f t="shared" si="123"/>
        <v>2433.0683211462601</v>
      </c>
      <c r="I380" s="161">
        <f t="shared" si="128"/>
        <v>4890.4943595964478</v>
      </c>
      <c r="J380" s="162">
        <f t="shared" si="124"/>
        <v>2457.480196748736</v>
      </c>
    </row>
    <row r="381" spans="2:11">
      <c r="B381" s="159"/>
      <c r="C381">
        <f t="shared" si="129"/>
        <v>11</v>
      </c>
      <c r="D381" s="161">
        <f t="shared" si="120"/>
        <v>4890.4943595964478</v>
      </c>
      <c r="E381" s="161">
        <f t="shared" si="130"/>
        <v>2457.480196748736</v>
      </c>
      <c r="F381" s="23">
        <f t="shared" si="121"/>
        <v>0.04</v>
      </c>
      <c r="G381" s="160">
        <f t="shared" si="122"/>
        <v>16.301647865321495</v>
      </c>
      <c r="H381" s="160">
        <f t="shared" si="123"/>
        <v>2441.1785488834144</v>
      </c>
      <c r="I381" s="161">
        <f t="shared" si="128"/>
        <v>2449.3158107130334</v>
      </c>
      <c r="J381" s="162">
        <f t="shared" si="124"/>
        <v>2457.480196748736</v>
      </c>
    </row>
    <row r="382" spans="2:11">
      <c r="B382" s="159"/>
      <c r="C382">
        <f t="shared" si="129"/>
        <v>12</v>
      </c>
      <c r="D382" s="161">
        <f t="shared" si="120"/>
        <v>2449.3158107130334</v>
      </c>
      <c r="E382" s="161">
        <f t="shared" si="130"/>
        <v>2457.480196748736</v>
      </c>
      <c r="F382" s="23">
        <f t="shared" si="121"/>
        <v>0.04</v>
      </c>
      <c r="G382" s="160">
        <f t="shared" si="122"/>
        <v>8.1643860357101126</v>
      </c>
      <c r="H382" s="160">
        <f t="shared" si="123"/>
        <v>2449.3158107130257</v>
      </c>
      <c r="I382" s="701">
        <f>(D382-H382)*(1+K382)</f>
        <v>8.1945472629740832E-12</v>
      </c>
      <c r="J382" s="162">
        <f t="shared" si="124"/>
        <v>2457.480196748736</v>
      </c>
      <c r="K382" s="702">
        <v>0.06</v>
      </c>
    </row>
    <row r="383" spans="2:11">
      <c r="B383" s="159">
        <f>B371+1</f>
        <v>31</v>
      </c>
      <c r="C383">
        <v>1</v>
      </c>
      <c r="D383" s="701">
        <f t="shared" si="120"/>
        <v>8.1945472629740832E-12</v>
      </c>
      <c r="E383" s="161"/>
      <c r="F383" s="23"/>
      <c r="G383" s="160"/>
      <c r="H383" s="160"/>
      <c r="I383" s="161"/>
      <c r="J383" s="162"/>
    </row>
    <row r="384" spans="2:11">
      <c r="B384" s="159"/>
      <c r="D384" s="161"/>
      <c r="E384" s="161"/>
      <c r="F384" s="23"/>
      <c r="G384" s="160"/>
      <c r="H384" s="160"/>
      <c r="I384" s="161"/>
      <c r="J384" s="161"/>
      <c r="K384" s="161"/>
    </row>
    <row r="385" spans="1:11">
      <c r="A385" s="161"/>
      <c r="B385" s="161"/>
      <c r="D385" s="161"/>
      <c r="E385" s="161"/>
      <c r="F385" s="23"/>
      <c r="G385" s="160"/>
      <c r="H385" s="160"/>
      <c r="I385" s="161"/>
      <c r="J385" s="161"/>
      <c r="K385" s="161"/>
    </row>
    <row r="386" spans="1:11" ht="13">
      <c r="A386" s="161"/>
      <c r="B386" s="161"/>
      <c r="D386" s="161"/>
      <c r="E386" s="218" t="s">
        <v>34</v>
      </c>
      <c r="F386" s="23"/>
      <c r="G386" s="160"/>
      <c r="H386" s="160"/>
      <c r="I386" s="161"/>
      <c r="J386" s="161"/>
      <c r="K386" s="161"/>
    </row>
    <row r="387" spans="1:11">
      <c r="A387" s="161"/>
      <c r="B387" s="161"/>
      <c r="D387" s="161"/>
      <c r="E387" s="161"/>
      <c r="F387" s="23"/>
      <c r="G387" s="160"/>
      <c r="H387" s="160"/>
      <c r="I387" s="161"/>
      <c r="J387" s="161"/>
      <c r="K387" s="161"/>
    </row>
    <row r="388" spans="1:11">
      <c r="A388" s="161"/>
      <c r="B388" s="161"/>
      <c r="D388" s="161"/>
      <c r="E388" s="161"/>
      <c r="F388" s="23"/>
      <c r="G388" s="160"/>
      <c r="H388" s="160"/>
      <c r="I388" s="161"/>
      <c r="J388" s="161"/>
      <c r="K388" s="161"/>
    </row>
    <row r="389" spans="1:11">
      <c r="A389" s="161"/>
      <c r="B389" s="161"/>
      <c r="D389" s="161"/>
      <c r="E389" s="161"/>
      <c r="F389" s="23"/>
      <c r="G389" s="160"/>
      <c r="H389" s="160"/>
      <c r="I389" s="161"/>
      <c r="J389" s="161"/>
      <c r="K389" s="161"/>
    </row>
    <row r="390" spans="1:11">
      <c r="A390" s="161"/>
      <c r="B390" s="161"/>
      <c r="D390" s="161"/>
      <c r="E390" s="161"/>
      <c r="F390" s="23"/>
      <c r="G390" s="160"/>
      <c r="H390" s="160"/>
      <c r="I390" s="161"/>
      <c r="J390" s="161"/>
      <c r="K390" s="161"/>
    </row>
    <row r="391" spans="1:11">
      <c r="A391" s="161"/>
      <c r="B391" s="161"/>
      <c r="D391" s="161"/>
      <c r="E391" s="161"/>
      <c r="F391" s="23"/>
      <c r="G391" s="160"/>
      <c r="H391" s="160"/>
      <c r="I391" s="161"/>
      <c r="J391" s="161"/>
      <c r="K391" s="161"/>
    </row>
    <row r="392" spans="1:11">
      <c r="A392" s="161"/>
      <c r="B392" s="161"/>
      <c r="D392" s="161"/>
      <c r="E392" s="161"/>
      <c r="F392" s="23"/>
      <c r="G392" s="160"/>
      <c r="H392" s="160"/>
      <c r="I392" s="161"/>
      <c r="J392" s="161"/>
      <c r="K392" s="161"/>
    </row>
    <row r="393" spans="1:11">
      <c r="A393" s="161"/>
      <c r="B393" s="161"/>
      <c r="D393" s="161"/>
      <c r="E393" s="161"/>
      <c r="F393" s="23"/>
      <c r="G393" s="160"/>
      <c r="H393" s="160"/>
      <c r="I393" s="161"/>
      <c r="J393" s="161"/>
      <c r="K393" s="161"/>
    </row>
  </sheetData>
  <mergeCells count="3">
    <mergeCell ref="B2:L2"/>
    <mergeCell ref="B3:L3"/>
    <mergeCell ref="C7:G7"/>
  </mergeCells>
  <phoneticPr fontId="0" type="noConversion"/>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H87"/>
  <sheetViews>
    <sheetView workbookViewId="0">
      <selection activeCell="L94" sqref="L94"/>
    </sheetView>
  </sheetViews>
  <sheetFormatPr defaultRowHeight="12.5"/>
  <cols>
    <col min="2" max="2" width="27" customWidth="1"/>
    <col min="3" max="3" width="12.7265625" customWidth="1"/>
  </cols>
  <sheetData>
    <row r="1" spans="2:8" ht="13" thickBot="1"/>
    <row r="2" spans="2:8" ht="18.5" thickBot="1">
      <c r="B2" s="1525" t="s">
        <v>1004</v>
      </c>
      <c r="C2" s="1542"/>
      <c r="D2" s="1542"/>
      <c r="E2" s="1542"/>
      <c r="F2" s="1542"/>
      <c r="G2" s="1542"/>
      <c r="H2" s="1543"/>
    </row>
    <row r="3" spans="2:8" ht="16" thickBot="1">
      <c r="B3" s="1528" t="s">
        <v>1114</v>
      </c>
      <c r="C3" s="1529"/>
      <c r="D3" s="1529"/>
      <c r="E3" s="1529"/>
      <c r="F3" s="1529"/>
      <c r="G3" s="1529"/>
      <c r="H3" s="1530"/>
    </row>
    <row r="4" spans="2:8">
      <c r="B4" s="124"/>
      <c r="H4" s="126"/>
    </row>
    <row r="5" spans="2:8" ht="13" thickBot="1">
      <c r="B5" s="124"/>
      <c r="H5" s="126"/>
    </row>
    <row r="6" spans="2:8" ht="13.5" thickBot="1">
      <c r="B6" s="1547" t="s">
        <v>1116</v>
      </c>
      <c r="C6" s="1548"/>
      <c r="D6" s="1548"/>
      <c r="E6" s="1548"/>
      <c r="F6" s="1548"/>
      <c r="G6" s="1548"/>
      <c r="H6" s="1549"/>
    </row>
    <row r="7" spans="2:8" ht="16" thickBot="1">
      <c r="B7" s="1544" t="s">
        <v>943</v>
      </c>
      <c r="C7" s="1545"/>
      <c r="D7" s="1546"/>
      <c r="H7" s="126"/>
    </row>
    <row r="8" spans="2:8">
      <c r="B8" s="171" t="s">
        <v>1033</v>
      </c>
      <c r="C8" s="229">
        <v>110000</v>
      </c>
      <c r="D8" s="146"/>
      <c r="H8" s="126"/>
    </row>
    <row r="9" spans="2:8">
      <c r="B9" s="171" t="s">
        <v>1035</v>
      </c>
      <c r="C9" s="151">
        <v>0.25</v>
      </c>
      <c r="D9" s="146"/>
      <c r="H9" s="126"/>
    </row>
    <row r="10" spans="2:8">
      <c r="B10" s="171" t="s">
        <v>1034</v>
      </c>
      <c r="C10" s="229">
        <f>C8*(1+C9)</f>
        <v>137500</v>
      </c>
      <c r="D10" s="146"/>
      <c r="H10" s="126"/>
    </row>
    <row r="11" spans="2:8">
      <c r="B11" s="171" t="s">
        <v>381</v>
      </c>
      <c r="C11" s="172">
        <v>95000</v>
      </c>
      <c r="D11" s="146"/>
      <c r="H11" s="126"/>
    </row>
    <row r="12" spans="2:8">
      <c r="B12" s="171" t="s">
        <v>690</v>
      </c>
      <c r="C12" s="152">
        <v>30</v>
      </c>
      <c r="D12" s="146" t="s">
        <v>816</v>
      </c>
      <c r="H12" s="126"/>
    </row>
    <row r="13" spans="2:8">
      <c r="B13" s="171" t="s">
        <v>822</v>
      </c>
      <c r="C13" s="151">
        <v>0.08</v>
      </c>
      <c r="D13" s="146"/>
      <c r="H13" s="126"/>
    </row>
    <row r="14" spans="2:8">
      <c r="B14" s="171" t="s">
        <v>214</v>
      </c>
      <c r="C14" s="151">
        <v>0</v>
      </c>
      <c r="D14" s="146"/>
      <c r="H14" s="126"/>
    </row>
    <row r="15" spans="2:8" ht="13" thickBot="1">
      <c r="B15" s="228" t="s">
        <v>448</v>
      </c>
      <c r="C15" s="201">
        <v>0.3</v>
      </c>
      <c r="D15" s="149"/>
      <c r="H15" s="126"/>
    </row>
    <row r="16" spans="2:8" ht="13" thickBot="1">
      <c r="B16" s="124"/>
      <c r="C16" s="23"/>
      <c r="H16" s="126"/>
    </row>
    <row r="17" spans="2:8">
      <c r="B17" s="230" t="s">
        <v>209</v>
      </c>
      <c r="C17" s="693">
        <f>-PMT(C13/12,C12*12,C11)</f>
        <v>697.07634518540738</v>
      </c>
      <c r="D17" s="122" t="s">
        <v>1023</v>
      </c>
      <c r="E17" s="122"/>
      <c r="F17" s="122"/>
      <c r="G17" s="123"/>
      <c r="H17" s="126"/>
    </row>
    <row r="18" spans="2:8">
      <c r="B18" s="124" t="s">
        <v>1024</v>
      </c>
      <c r="C18">
        <f>C11*(1-C14)</f>
        <v>95000</v>
      </c>
      <c r="G18" s="126"/>
      <c r="H18" s="126"/>
    </row>
    <row r="19" spans="2:8">
      <c r="B19" s="124" t="s">
        <v>376</v>
      </c>
      <c r="C19" s="128">
        <v>5</v>
      </c>
      <c r="D19" t="s">
        <v>816</v>
      </c>
      <c r="G19" s="126"/>
      <c r="H19" s="126"/>
    </row>
    <row r="20" spans="2:8">
      <c r="B20" s="124" t="s">
        <v>215</v>
      </c>
      <c r="C20" s="12">
        <f>-PV(C13/12,(C12-C19)*12,C17)</f>
        <v>90316.363881506186</v>
      </c>
      <c r="D20" t="s">
        <v>1025</v>
      </c>
      <c r="G20" s="126"/>
      <c r="H20" s="126"/>
    </row>
    <row r="21" spans="2:8">
      <c r="B21" s="124" t="s">
        <v>1036</v>
      </c>
      <c r="C21" s="40">
        <f>C15*(C10-C8)</f>
        <v>8250</v>
      </c>
      <c r="G21" s="126"/>
      <c r="H21" s="126"/>
    </row>
    <row r="22" spans="2:8">
      <c r="B22" s="124" t="s">
        <v>1037</v>
      </c>
      <c r="C22" s="12">
        <f>C20+C21</f>
        <v>98566.363881506186</v>
      </c>
      <c r="G22" s="126"/>
      <c r="H22" s="126"/>
    </row>
    <row r="23" spans="2:8" ht="13" thickBot="1">
      <c r="B23" s="124"/>
      <c r="G23" s="126"/>
      <c r="H23" s="126"/>
    </row>
    <row r="24" spans="2:8" ht="13.5" thickBot="1">
      <c r="B24" s="375" t="s">
        <v>1026</v>
      </c>
      <c r="C24" s="169">
        <f>RATE(C19*12,C17,-C18,C22)*12</f>
        <v>9.3962595652440473E-2</v>
      </c>
      <c r="D24" s="4" t="s">
        <v>1027</v>
      </c>
      <c r="E24" s="232"/>
      <c r="F24" s="4"/>
      <c r="G24" s="135"/>
      <c r="H24" s="135"/>
    </row>
    <row r="25" spans="2:8">
      <c r="B25" s="124"/>
      <c r="H25" s="126"/>
    </row>
    <row r="26" spans="2:8" ht="13" thickBot="1">
      <c r="B26" s="124"/>
      <c r="H26" s="126"/>
    </row>
    <row r="27" spans="2:8" ht="13.5" thickBot="1">
      <c r="B27" s="1547" t="s">
        <v>1117</v>
      </c>
      <c r="C27" s="1548"/>
      <c r="D27" s="1548"/>
      <c r="E27" s="1548"/>
      <c r="F27" s="1548"/>
      <c r="G27" s="1548"/>
      <c r="H27" s="1549"/>
    </row>
    <row r="28" spans="2:8" ht="16" thickBot="1">
      <c r="B28" s="1544" t="s">
        <v>943</v>
      </c>
      <c r="C28" s="1545"/>
      <c r="D28" s="1546"/>
      <c r="H28" s="126"/>
    </row>
    <row r="29" spans="2:8" ht="13.5" customHeight="1" thickBot="1">
      <c r="B29" s="171" t="s">
        <v>1033</v>
      </c>
      <c r="C29" s="229">
        <v>110000</v>
      </c>
      <c r="D29" s="146"/>
      <c r="F29" s="1550" t="s">
        <v>1120</v>
      </c>
      <c r="G29" s="1551"/>
      <c r="H29" s="1552"/>
    </row>
    <row r="30" spans="2:8" ht="13.5" thickBot="1">
      <c r="B30" s="171" t="s">
        <v>1035</v>
      </c>
      <c r="C30" s="169">
        <v>0.7678819059437213</v>
      </c>
      <c r="D30" s="146"/>
      <c r="F30" s="1551"/>
      <c r="G30" s="1551"/>
      <c r="H30" s="1552"/>
    </row>
    <row r="31" spans="2:8">
      <c r="B31" s="171" t="s">
        <v>1034</v>
      </c>
      <c r="C31" s="229">
        <f>C29*(1+C30)</f>
        <v>194467.00965380936</v>
      </c>
      <c r="D31" s="146"/>
      <c r="F31" s="1551"/>
      <c r="G31" s="1551"/>
      <c r="H31" s="1552"/>
    </row>
    <row r="32" spans="2:8">
      <c r="B32" s="171" t="s">
        <v>381</v>
      </c>
      <c r="C32" s="172">
        <v>95000</v>
      </c>
      <c r="D32" s="146"/>
      <c r="F32" s="1551"/>
      <c r="G32" s="1551"/>
      <c r="H32" s="1552"/>
    </row>
    <row r="33" spans="2:8">
      <c r="B33" s="171" t="s">
        <v>690</v>
      </c>
      <c r="C33" s="152">
        <v>30</v>
      </c>
      <c r="D33" s="146" t="s">
        <v>816</v>
      </c>
      <c r="F33" s="1551"/>
      <c r="G33" s="1551"/>
      <c r="H33" s="1552"/>
    </row>
    <row r="34" spans="2:8">
      <c r="B34" s="171" t="s">
        <v>822</v>
      </c>
      <c r="C34" s="151">
        <v>0.08</v>
      </c>
      <c r="D34" s="146"/>
      <c r="F34" s="1551"/>
      <c r="G34" s="1551"/>
      <c r="H34" s="1552"/>
    </row>
    <row r="35" spans="2:8">
      <c r="B35" s="171" t="s">
        <v>214</v>
      </c>
      <c r="C35" s="151">
        <v>0</v>
      </c>
      <c r="D35" s="146"/>
      <c r="H35" s="126"/>
    </row>
    <row r="36" spans="2:8" ht="13" thickBot="1">
      <c r="B36" s="228" t="s">
        <v>448</v>
      </c>
      <c r="C36" s="201">
        <v>0.3</v>
      </c>
      <c r="D36" s="149"/>
      <c r="H36" s="126"/>
    </row>
    <row r="37" spans="2:8" ht="13" thickBot="1">
      <c r="B37" s="124"/>
      <c r="C37" s="23"/>
      <c r="H37" s="126"/>
    </row>
    <row r="38" spans="2:8">
      <c r="B38" s="230" t="s">
        <v>209</v>
      </c>
      <c r="C38" s="693">
        <f>-PMT(C34/12,C33*12,C32)</f>
        <v>697.07634518540738</v>
      </c>
      <c r="D38" s="122" t="s">
        <v>1023</v>
      </c>
      <c r="E38" s="122"/>
      <c r="F38" s="122"/>
      <c r="G38" s="123"/>
      <c r="H38" s="126"/>
    </row>
    <row r="39" spans="2:8">
      <c r="B39" s="124" t="s">
        <v>1024</v>
      </c>
      <c r="C39">
        <f>C32*(1-C35)</f>
        <v>95000</v>
      </c>
      <c r="G39" s="126"/>
      <c r="H39" s="126"/>
    </row>
    <row r="40" spans="2:8">
      <c r="B40" s="124" t="s">
        <v>376</v>
      </c>
      <c r="C40" s="128">
        <v>5</v>
      </c>
      <c r="D40" t="s">
        <v>816</v>
      </c>
      <c r="G40" s="126"/>
      <c r="H40" s="126"/>
    </row>
    <row r="41" spans="2:8">
      <c r="B41" s="124" t="s">
        <v>215</v>
      </c>
      <c r="C41" s="12">
        <f>-PV(C34/12,(C33-C40)*12,C38)</f>
        <v>90316.363881506186</v>
      </c>
      <c r="D41" t="s">
        <v>1025</v>
      </c>
      <c r="G41" s="126"/>
      <c r="H41" s="126"/>
    </row>
    <row r="42" spans="2:8">
      <c r="B42" s="124" t="s">
        <v>1036</v>
      </c>
      <c r="C42" s="40">
        <f>C36*(C31-C29)</f>
        <v>25340.102896142809</v>
      </c>
      <c r="G42" s="126"/>
      <c r="H42" s="126"/>
    </row>
    <row r="43" spans="2:8">
      <c r="B43" s="124" t="s">
        <v>1037</v>
      </c>
      <c r="C43" s="12">
        <f>C41+C42</f>
        <v>115656.466777649</v>
      </c>
      <c r="G43" s="126"/>
      <c r="H43" s="126"/>
    </row>
    <row r="44" spans="2:8">
      <c r="B44" s="124"/>
      <c r="G44" s="126"/>
      <c r="H44" s="126"/>
    </row>
    <row r="45" spans="2:8" ht="13.5" thickBot="1">
      <c r="B45" s="375" t="s">
        <v>1026</v>
      </c>
      <c r="C45" s="201">
        <f>RATE(C40*12,C38,-C39,C43)*12</f>
        <v>0.12000039235756674</v>
      </c>
      <c r="D45" s="4" t="s">
        <v>1027</v>
      </c>
      <c r="E45" s="232"/>
      <c r="F45" s="4"/>
      <c r="G45" s="135"/>
      <c r="H45" s="135"/>
    </row>
    <row r="46" spans="2:8">
      <c r="B46" s="124"/>
      <c r="H46" s="126"/>
    </row>
    <row r="47" spans="2:8" ht="13" thickBot="1">
      <c r="B47" s="124"/>
      <c r="H47" s="126"/>
    </row>
    <row r="48" spans="2:8" ht="13.5" thickBot="1">
      <c r="B48" s="1547" t="s">
        <v>1118</v>
      </c>
      <c r="C48" s="1548"/>
      <c r="D48" s="1548"/>
      <c r="E48" s="1548"/>
      <c r="F48" s="1548"/>
      <c r="G48" s="1548"/>
      <c r="H48" s="1549"/>
    </row>
    <row r="49" spans="2:8" ht="16" thickBot="1">
      <c r="B49" s="1544" t="s">
        <v>943</v>
      </c>
      <c r="C49" s="1545"/>
      <c r="D49" s="1546"/>
      <c r="H49" s="126"/>
    </row>
    <row r="50" spans="2:8">
      <c r="B50" s="171" t="s">
        <v>1033</v>
      </c>
      <c r="C50" s="229">
        <v>110000</v>
      </c>
      <c r="D50" s="146"/>
      <c r="H50" s="126"/>
    </row>
    <row r="51" spans="2:8">
      <c r="B51" s="171" t="s">
        <v>1035</v>
      </c>
      <c r="C51" s="151">
        <v>0.25</v>
      </c>
      <c r="D51" s="146"/>
      <c r="H51" s="126"/>
    </row>
    <row r="52" spans="2:8">
      <c r="B52" s="171" t="s">
        <v>1034</v>
      </c>
      <c r="C52" s="229">
        <f>C50*(1+C51)</f>
        <v>137500</v>
      </c>
      <c r="D52" s="146"/>
      <c r="H52" s="126"/>
    </row>
    <row r="53" spans="2:8">
      <c r="B53" s="171" t="s">
        <v>381</v>
      </c>
      <c r="C53" s="172">
        <v>95000</v>
      </c>
      <c r="D53" s="146"/>
      <c r="H53" s="126"/>
    </row>
    <row r="54" spans="2:8">
      <c r="B54" s="171" t="s">
        <v>690</v>
      </c>
      <c r="C54" s="152">
        <v>30</v>
      </c>
      <c r="D54" s="146" t="s">
        <v>816</v>
      </c>
      <c r="H54" s="126"/>
    </row>
    <row r="55" spans="2:8">
      <c r="B55" s="171" t="s">
        <v>822</v>
      </c>
      <c r="C55" s="151">
        <v>0.08</v>
      </c>
      <c r="D55" s="146"/>
      <c r="H55" s="126"/>
    </row>
    <row r="56" spans="2:8">
      <c r="B56" s="171" t="s">
        <v>214</v>
      </c>
      <c r="C56" s="151">
        <v>0.02</v>
      </c>
      <c r="D56" s="146"/>
      <c r="H56" s="126"/>
    </row>
    <row r="57" spans="2:8" ht="13" thickBot="1">
      <c r="B57" s="228" t="s">
        <v>448</v>
      </c>
      <c r="C57" s="201">
        <v>0.3</v>
      </c>
      <c r="D57" s="149"/>
      <c r="H57" s="126"/>
    </row>
    <row r="58" spans="2:8" ht="13" thickBot="1">
      <c r="B58" s="124"/>
      <c r="C58" s="23"/>
      <c r="H58" s="126"/>
    </row>
    <row r="59" spans="2:8">
      <c r="B59" s="230" t="s">
        <v>209</v>
      </c>
      <c r="C59" s="693">
        <f>-PMT(C55/12,C54*12,C53)</f>
        <v>697.07634518540738</v>
      </c>
      <c r="D59" s="122" t="s">
        <v>1023</v>
      </c>
      <c r="E59" s="122"/>
      <c r="F59" s="122"/>
      <c r="G59" s="123"/>
      <c r="H59" s="126"/>
    </row>
    <row r="60" spans="2:8">
      <c r="B60" s="124" t="s">
        <v>1024</v>
      </c>
      <c r="C60">
        <f>C53*(1-C56)</f>
        <v>93100</v>
      </c>
      <c r="G60" s="126"/>
      <c r="H60" s="126"/>
    </row>
    <row r="61" spans="2:8">
      <c r="B61" s="124" t="s">
        <v>376</v>
      </c>
      <c r="C61" s="128">
        <v>5</v>
      </c>
      <c r="D61" t="s">
        <v>816</v>
      </c>
      <c r="G61" s="126"/>
      <c r="H61" s="126"/>
    </row>
    <row r="62" spans="2:8">
      <c r="B62" s="124" t="s">
        <v>215</v>
      </c>
      <c r="C62" s="12">
        <f>-PV(C55/12,(C54-C61)*12,C59)</f>
        <v>90316.363881506186</v>
      </c>
      <c r="D62" t="s">
        <v>1025</v>
      </c>
      <c r="G62" s="126"/>
      <c r="H62" s="126"/>
    </row>
    <row r="63" spans="2:8">
      <c r="B63" s="124" t="s">
        <v>1036</v>
      </c>
      <c r="C63" s="40">
        <f>C57*(C52-C50)</f>
        <v>8250</v>
      </c>
      <c r="G63" s="126"/>
      <c r="H63" s="126"/>
    </row>
    <row r="64" spans="2:8">
      <c r="B64" s="124" t="s">
        <v>1037</v>
      </c>
      <c r="C64" s="12">
        <f>C62+C63</f>
        <v>98566.363881506186</v>
      </c>
      <c r="G64" s="126"/>
      <c r="H64" s="126"/>
    </row>
    <row r="65" spans="2:8" ht="13" thickBot="1">
      <c r="B65" s="124"/>
      <c r="G65" s="126"/>
      <c r="H65" s="126"/>
    </row>
    <row r="66" spans="2:8" ht="13.5" thickBot="1">
      <c r="B66" s="375" t="s">
        <v>1026</v>
      </c>
      <c r="C66" s="169">
        <f>RATE(C61*12,C59,-C60,C64)*12</f>
        <v>9.8972201869488838E-2</v>
      </c>
      <c r="D66" s="4" t="s">
        <v>1027</v>
      </c>
      <c r="E66" s="232"/>
      <c r="F66" s="4"/>
      <c r="G66" s="135"/>
      <c r="H66" s="135"/>
    </row>
    <row r="67" spans="2:8">
      <c r="B67" s="124"/>
      <c r="H67" s="126"/>
    </row>
    <row r="68" spans="2:8" ht="13" thickBot="1">
      <c r="B68" s="124"/>
      <c r="H68" s="126"/>
    </row>
    <row r="69" spans="2:8" ht="13.5" thickBot="1">
      <c r="B69" s="1547" t="s">
        <v>1119</v>
      </c>
      <c r="C69" s="1548"/>
      <c r="D69" s="1548"/>
      <c r="E69" s="1548"/>
      <c r="F69" s="1548"/>
      <c r="G69" s="1548"/>
      <c r="H69" s="1549"/>
    </row>
    <row r="70" spans="2:8" ht="16" thickBot="1">
      <c r="B70" s="1544" t="s">
        <v>943</v>
      </c>
      <c r="C70" s="1545"/>
      <c r="D70" s="1546"/>
      <c r="H70" s="126"/>
    </row>
    <row r="71" spans="2:8" ht="13" thickBot="1">
      <c r="B71" s="171" t="s">
        <v>1033</v>
      </c>
      <c r="C71" s="229">
        <v>110000</v>
      </c>
      <c r="D71" s="146"/>
      <c r="F71" s="1550" t="s">
        <v>1121</v>
      </c>
      <c r="G71" s="1551"/>
      <c r="H71" s="1552"/>
    </row>
    <row r="72" spans="2:8" ht="13.5" thickBot="1">
      <c r="B72" s="171" t="s">
        <v>1035</v>
      </c>
      <c r="C72" s="169">
        <v>0.66327495813125081</v>
      </c>
      <c r="D72" s="146"/>
      <c r="F72" s="1551"/>
      <c r="G72" s="1551"/>
      <c r="H72" s="1552"/>
    </row>
    <row r="73" spans="2:8">
      <c r="B73" s="171" t="s">
        <v>1034</v>
      </c>
      <c r="C73" s="229">
        <f>C71*(1+C72)</f>
        <v>182960.24539443757</v>
      </c>
      <c r="D73" s="146"/>
      <c r="F73" s="1551"/>
      <c r="G73" s="1551"/>
      <c r="H73" s="1552"/>
    </row>
    <row r="74" spans="2:8">
      <c r="B74" s="171" t="s">
        <v>381</v>
      </c>
      <c r="C74" s="172">
        <v>95000</v>
      </c>
      <c r="D74" s="146"/>
      <c r="F74" s="1551"/>
      <c r="G74" s="1551"/>
      <c r="H74" s="1552"/>
    </row>
    <row r="75" spans="2:8">
      <c r="B75" s="171" t="s">
        <v>690</v>
      </c>
      <c r="C75" s="152">
        <v>30</v>
      </c>
      <c r="D75" s="146" t="s">
        <v>816</v>
      </c>
      <c r="F75" s="1551"/>
      <c r="G75" s="1551"/>
      <c r="H75" s="1552"/>
    </row>
    <row r="76" spans="2:8">
      <c r="B76" s="171" t="s">
        <v>822</v>
      </c>
      <c r="C76" s="151">
        <v>0.08</v>
      </c>
      <c r="D76" s="146"/>
      <c r="F76" s="1551"/>
      <c r="G76" s="1551"/>
      <c r="H76" s="1552"/>
    </row>
    <row r="77" spans="2:8">
      <c r="B77" s="171" t="s">
        <v>214</v>
      </c>
      <c r="C77" s="151">
        <v>0.02</v>
      </c>
      <c r="D77" s="146"/>
      <c r="H77" s="126"/>
    </row>
    <row r="78" spans="2:8" ht="13" thickBot="1">
      <c r="B78" s="228" t="s">
        <v>448</v>
      </c>
      <c r="C78" s="201">
        <v>0.3</v>
      </c>
      <c r="D78" s="149"/>
      <c r="H78" s="126"/>
    </row>
    <row r="79" spans="2:8" ht="13" thickBot="1">
      <c r="B79" s="124"/>
      <c r="C79" s="23"/>
      <c r="H79" s="126"/>
    </row>
    <row r="80" spans="2:8">
      <c r="B80" s="230" t="s">
        <v>209</v>
      </c>
      <c r="C80" s="693">
        <f>-PMT(C76/12,C75*12,C74)</f>
        <v>697.07634518540738</v>
      </c>
      <c r="D80" s="122" t="s">
        <v>1023</v>
      </c>
      <c r="E80" s="122"/>
      <c r="F80" s="122"/>
      <c r="G80" s="123"/>
      <c r="H80" s="126"/>
    </row>
    <row r="81" spans="2:8">
      <c r="B81" s="124" t="s">
        <v>1024</v>
      </c>
      <c r="C81">
        <f>C74*(1-C77)</f>
        <v>93100</v>
      </c>
      <c r="G81" s="126"/>
      <c r="H81" s="126"/>
    </row>
    <row r="82" spans="2:8">
      <c r="B82" s="124" t="s">
        <v>376</v>
      </c>
      <c r="C82" s="128">
        <v>5</v>
      </c>
      <c r="D82" t="s">
        <v>816</v>
      </c>
      <c r="G82" s="126"/>
      <c r="H82" s="126"/>
    </row>
    <row r="83" spans="2:8">
      <c r="B83" s="124" t="s">
        <v>215</v>
      </c>
      <c r="C83" s="12">
        <f>-PV(C76/12,(C75-C82)*12,C80)</f>
        <v>90316.363881506186</v>
      </c>
      <c r="D83" t="s">
        <v>1025</v>
      </c>
      <c r="G83" s="126"/>
      <c r="H83" s="126"/>
    </row>
    <row r="84" spans="2:8">
      <c r="B84" s="124" t="s">
        <v>1036</v>
      </c>
      <c r="C84" s="40">
        <f>C78*(C73-C71)</f>
        <v>21888.073618331273</v>
      </c>
      <c r="G84" s="126"/>
      <c r="H84" s="126"/>
    </row>
    <row r="85" spans="2:8">
      <c r="B85" s="124" t="s">
        <v>1037</v>
      </c>
      <c r="C85" s="12">
        <f>C83+C84</f>
        <v>112204.43749983746</v>
      </c>
      <c r="G85" s="126"/>
      <c r="H85" s="126"/>
    </row>
    <row r="86" spans="2:8">
      <c r="B86" s="124"/>
      <c r="G86" s="126"/>
      <c r="H86" s="126"/>
    </row>
    <row r="87" spans="2:8" ht="13.5" thickBot="1">
      <c r="B87" s="375" t="s">
        <v>1026</v>
      </c>
      <c r="C87" s="201">
        <f>RATE(C82*12,C80,-C81,C85)*12</f>
        <v>0.11999995595705204</v>
      </c>
      <c r="D87" s="4" t="s">
        <v>1027</v>
      </c>
      <c r="E87" s="232"/>
      <c r="F87" s="4"/>
      <c r="G87" s="135"/>
      <c r="H87" s="135"/>
    </row>
  </sheetData>
  <mergeCells count="12">
    <mergeCell ref="B2:H2"/>
    <mergeCell ref="B3:H3"/>
    <mergeCell ref="B7:D7"/>
    <mergeCell ref="B6:H6"/>
    <mergeCell ref="F71:H76"/>
    <mergeCell ref="B69:H69"/>
    <mergeCell ref="B70:D70"/>
    <mergeCell ref="F29:H34"/>
    <mergeCell ref="B27:H27"/>
    <mergeCell ref="B28:D28"/>
    <mergeCell ref="B48:H48"/>
    <mergeCell ref="B49:D49"/>
  </mergeCells>
  <phoneticPr fontId="39" type="noConversion"/>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1"/>
  <sheetViews>
    <sheetView workbookViewId="0">
      <selection activeCell="C9" sqref="C9"/>
    </sheetView>
  </sheetViews>
  <sheetFormatPr defaultRowHeight="12.5"/>
  <cols>
    <col min="2" max="2" width="16" customWidth="1"/>
    <col min="3" max="3" width="16.54296875" customWidth="1"/>
    <col min="4" max="4" width="15.453125" customWidth="1"/>
    <col min="7" max="7" width="10.7265625" bestFit="1" customWidth="1"/>
    <col min="8" max="8" width="15.1796875" customWidth="1"/>
  </cols>
  <sheetData>
    <row r="1" spans="1:8" ht="13" thickBot="1"/>
    <row r="2" spans="1:8" ht="18.5" thickBot="1">
      <c r="B2" s="1525" t="s">
        <v>1078</v>
      </c>
      <c r="C2" s="1542"/>
      <c r="D2" s="1542"/>
      <c r="E2" s="1542"/>
      <c r="F2" s="1542"/>
      <c r="G2" s="1542"/>
      <c r="H2" s="1543"/>
    </row>
    <row r="3" spans="1:8" ht="13.5" thickBot="1">
      <c r="B3" s="1553" t="s">
        <v>1028</v>
      </c>
      <c r="C3" s="1554"/>
      <c r="D3" s="1554"/>
      <c r="E3" s="1554"/>
      <c r="F3" s="1554"/>
      <c r="G3" s="1554"/>
      <c r="H3" s="1555"/>
    </row>
    <row r="4" spans="1:8" ht="13.5" thickBot="1">
      <c r="A4" s="1"/>
      <c r="B4" s="227"/>
      <c r="H4" s="126"/>
    </row>
    <row r="5" spans="1:8" ht="13.5" thickBot="1">
      <c r="A5" s="1"/>
      <c r="B5" s="1547" t="s">
        <v>1122</v>
      </c>
      <c r="C5" s="1548"/>
      <c r="D5" s="1548"/>
      <c r="E5" s="1548"/>
      <c r="F5" s="1548"/>
      <c r="G5" s="1548"/>
      <c r="H5" s="1549"/>
    </row>
    <row r="6" spans="1:8" ht="13">
      <c r="A6" s="1"/>
      <c r="B6" s="124"/>
      <c r="H6" s="126"/>
    </row>
    <row r="7" spans="1:8" ht="13">
      <c r="A7" s="1"/>
      <c r="B7" s="124" t="s">
        <v>1031</v>
      </c>
      <c r="C7" s="152">
        <v>25</v>
      </c>
      <c r="H7" s="126"/>
    </row>
    <row r="8" spans="1:8" ht="13.5" thickBot="1">
      <c r="A8" s="1"/>
      <c r="B8" s="124"/>
      <c r="H8" s="126"/>
    </row>
    <row r="9" spans="1:8" ht="13.5" thickBot="1">
      <c r="B9" s="243" t="s">
        <v>381</v>
      </c>
      <c r="C9" s="243" t="s">
        <v>214</v>
      </c>
      <c r="D9" s="243" t="s">
        <v>1032</v>
      </c>
      <c r="E9" s="243" t="s">
        <v>822</v>
      </c>
      <c r="F9" s="243" t="s">
        <v>1029</v>
      </c>
      <c r="G9" s="241" t="s">
        <v>209</v>
      </c>
      <c r="H9" s="243" t="s">
        <v>215</v>
      </c>
    </row>
    <row r="10" spans="1:8">
      <c r="B10" s="233">
        <v>90000</v>
      </c>
      <c r="C10" s="23">
        <v>0</v>
      </c>
      <c r="D10" s="40">
        <f>B10*(1-C10)</f>
        <v>90000</v>
      </c>
      <c r="E10" s="151">
        <v>8.5000000000000006E-2</v>
      </c>
      <c r="F10" s="152">
        <v>25</v>
      </c>
      <c r="G10" s="234">
        <f>PMT(E10/12,F10*12,-B10)</f>
        <v>724.70437511591808</v>
      </c>
      <c r="H10" s="235">
        <f>FV(E10/12,C7*12,G10,-B10)</f>
        <v>-6.9849193096160889E-10</v>
      </c>
    </row>
    <row r="11" spans="1:8">
      <c r="B11" s="236">
        <v>80000</v>
      </c>
      <c r="C11" s="23">
        <v>0</v>
      </c>
      <c r="D11" s="237">
        <f>B11*(1-C11)</f>
        <v>80000</v>
      </c>
      <c r="E11" s="151">
        <v>0.08</v>
      </c>
      <c r="F11" s="39">
        <f>F10</f>
        <v>25</v>
      </c>
      <c r="G11" s="238">
        <f>PMT(E11/12,F11*12,-B11)</f>
        <v>617.45297549840245</v>
      </c>
      <c r="H11" s="235">
        <f>FV(E11/12,C7*12,G11,-B11)</f>
        <v>1.6298145055770874E-9</v>
      </c>
    </row>
    <row r="12" spans="1:8">
      <c r="B12" s="239">
        <f>B10-B11</f>
        <v>10000</v>
      </c>
      <c r="D12" s="40">
        <f>D10-D11</f>
        <v>10000</v>
      </c>
      <c r="F12">
        <f>F10</f>
        <v>25</v>
      </c>
      <c r="G12" s="234">
        <f>G10-G11</f>
        <v>107.25139961751563</v>
      </c>
      <c r="H12" s="240">
        <f>H10-H11</f>
        <v>-2.3283064365386963E-9</v>
      </c>
    </row>
    <row r="13" spans="1:8" ht="13" thickBot="1">
      <c r="B13" s="124"/>
      <c r="H13" s="126"/>
    </row>
    <row r="14" spans="1:8" ht="13.5" thickBot="1">
      <c r="B14" s="124"/>
      <c r="C14" s="170" t="s">
        <v>1028</v>
      </c>
      <c r="D14" s="169">
        <f>RATE(C7*12,G12,-D12,H12)*12</f>
        <v>0.1226037049060773</v>
      </c>
      <c r="F14" t="s">
        <v>1030</v>
      </c>
      <c r="H14" s="126"/>
    </row>
    <row r="15" spans="1:8" ht="13" thickBot="1">
      <c r="B15" s="134"/>
      <c r="C15" s="4"/>
      <c r="D15" s="4"/>
      <c r="E15" s="4"/>
      <c r="F15" s="4"/>
      <c r="G15" s="4"/>
      <c r="H15" s="135"/>
    </row>
    <row r="16" spans="1:8">
      <c r="B16" s="124"/>
      <c r="H16" s="126"/>
    </row>
    <row r="17" spans="2:8" ht="13" thickBot="1">
      <c r="B17" s="124"/>
      <c r="H17" s="126"/>
    </row>
    <row r="18" spans="2:8" ht="13.5" thickBot="1">
      <c r="B18" s="1547" t="s">
        <v>1123</v>
      </c>
      <c r="C18" s="1548"/>
      <c r="D18" s="1548"/>
      <c r="E18" s="1548"/>
      <c r="F18" s="1548"/>
      <c r="G18" s="1548"/>
      <c r="H18" s="1549"/>
    </row>
    <row r="19" spans="2:8">
      <c r="B19" s="124"/>
      <c r="H19" s="126"/>
    </row>
    <row r="20" spans="2:8">
      <c r="B20" s="124" t="s">
        <v>1031</v>
      </c>
      <c r="C20" s="152">
        <v>25</v>
      </c>
      <c r="H20" s="126"/>
    </row>
    <row r="21" spans="2:8" ht="13" thickBot="1">
      <c r="B21" s="124"/>
      <c r="H21" s="126"/>
    </row>
    <row r="22" spans="2:8" ht="13.5" thickBot="1">
      <c r="B22" s="243" t="s">
        <v>381</v>
      </c>
      <c r="C22" s="243" t="s">
        <v>214</v>
      </c>
      <c r="D22" s="243" t="s">
        <v>1032</v>
      </c>
      <c r="E22" s="243" t="s">
        <v>822</v>
      </c>
      <c r="F22" s="243" t="s">
        <v>1029</v>
      </c>
      <c r="G22" s="241" t="s">
        <v>209</v>
      </c>
      <c r="H22" s="243" t="s">
        <v>215</v>
      </c>
    </row>
    <row r="23" spans="2:8">
      <c r="B23" s="233">
        <v>90000</v>
      </c>
      <c r="C23" s="23">
        <v>0.02</v>
      </c>
      <c r="D23" s="40">
        <f>B23*(1-C23)</f>
        <v>88200</v>
      </c>
      <c r="E23" s="151">
        <v>8.5000000000000006E-2</v>
      </c>
      <c r="F23" s="152">
        <v>25</v>
      </c>
      <c r="G23" s="234">
        <f>PMT(E23/12,F23*12,-B23)</f>
        <v>724.70437511591808</v>
      </c>
      <c r="H23" s="235">
        <f>FV(E23/12,C20*12,G23,-B23)</f>
        <v>-6.9849193096160889E-10</v>
      </c>
    </row>
    <row r="24" spans="2:8">
      <c r="B24" s="236">
        <v>80000</v>
      </c>
      <c r="C24" s="23">
        <v>0</v>
      </c>
      <c r="D24" s="237">
        <f>B24*(1-C24)</f>
        <v>80000</v>
      </c>
      <c r="E24" s="151">
        <v>0.08</v>
      </c>
      <c r="F24" s="39">
        <f>F23</f>
        <v>25</v>
      </c>
      <c r="G24" s="238">
        <f>PMT(E24/12,F24*12,-B24)</f>
        <v>617.45297549840245</v>
      </c>
      <c r="H24" s="235">
        <f>FV(E24/12,C20*12,G24,-B24)</f>
        <v>1.6298145055770874E-9</v>
      </c>
    </row>
    <row r="25" spans="2:8">
      <c r="B25" s="239">
        <f>B23-B24</f>
        <v>10000</v>
      </c>
      <c r="D25" s="40">
        <f>D23-D24</f>
        <v>8200</v>
      </c>
      <c r="F25">
        <f>F23</f>
        <v>25</v>
      </c>
      <c r="G25" s="234">
        <f>G23-G24</f>
        <v>107.25139961751563</v>
      </c>
      <c r="H25" s="240">
        <f>H23-H24</f>
        <v>-2.3283064365386963E-9</v>
      </c>
    </row>
    <row r="26" spans="2:8" ht="13" thickBot="1">
      <c r="B26" s="124"/>
      <c r="H26" s="126"/>
    </row>
    <row r="27" spans="2:8" ht="13.5" thickBot="1">
      <c r="B27" s="124"/>
      <c r="C27" s="170" t="s">
        <v>1028</v>
      </c>
      <c r="D27" s="169">
        <f>RATE(C20*12,G25,-D25,H25)*12</f>
        <v>0.15348689667756285</v>
      </c>
      <c r="F27" t="s">
        <v>1030</v>
      </c>
      <c r="H27" s="126"/>
    </row>
    <row r="28" spans="2:8" ht="13" thickBot="1">
      <c r="B28" s="134"/>
      <c r="C28" s="4"/>
      <c r="D28" s="4"/>
      <c r="E28" s="4"/>
      <c r="F28" s="4"/>
      <c r="G28" s="4"/>
      <c r="H28" s="135"/>
    </row>
    <row r="29" spans="2:8">
      <c r="B29" s="124"/>
      <c r="H29" s="126"/>
    </row>
    <row r="30" spans="2:8" ht="13" thickBot="1">
      <c r="B30" s="124"/>
      <c r="H30" s="126"/>
    </row>
    <row r="31" spans="2:8" ht="13.5" thickBot="1">
      <c r="B31" s="1547" t="s">
        <v>1124</v>
      </c>
      <c r="C31" s="1548"/>
      <c r="D31" s="1548"/>
      <c r="E31" s="1548"/>
      <c r="F31" s="1548"/>
      <c r="G31" s="1548"/>
      <c r="H31" s="1549"/>
    </row>
    <row r="32" spans="2:8">
      <c r="B32" s="124"/>
      <c r="H32" s="126"/>
    </row>
    <row r="33" spans="2:8">
      <c r="B33" s="124" t="s">
        <v>1031</v>
      </c>
      <c r="C33" s="152">
        <v>5</v>
      </c>
      <c r="H33" s="126"/>
    </row>
    <row r="34" spans="2:8" ht="13" thickBot="1">
      <c r="B34" s="124"/>
      <c r="H34" s="126"/>
    </row>
    <row r="35" spans="2:8" ht="13.5" thickBot="1">
      <c r="B35" s="243" t="s">
        <v>381</v>
      </c>
      <c r="C35" s="243" t="s">
        <v>214</v>
      </c>
      <c r="D35" s="243" t="s">
        <v>1032</v>
      </c>
      <c r="E35" s="243" t="s">
        <v>822</v>
      </c>
      <c r="F35" s="243" t="s">
        <v>1029</v>
      </c>
      <c r="G35" s="241" t="s">
        <v>209</v>
      </c>
      <c r="H35" s="243" t="s">
        <v>215</v>
      </c>
    </row>
    <row r="36" spans="2:8">
      <c r="B36" s="233">
        <v>90000</v>
      </c>
      <c r="C36" s="23">
        <v>0.02</v>
      </c>
      <c r="D36" s="40">
        <f>B36*(1-C36)</f>
        <v>88200</v>
      </c>
      <c r="E36" s="151">
        <v>8.5000000000000006E-2</v>
      </c>
      <c r="F36" s="152">
        <v>25</v>
      </c>
      <c r="G36" s="234">
        <f>PMT(E36/12,F36*12,-B36)</f>
        <v>724.70437511591808</v>
      </c>
      <c r="H36" s="235">
        <f>FV(E36/12,C33*12,G36,-B36)</f>
        <v>83508.293769160548</v>
      </c>
    </row>
    <row r="37" spans="2:8">
      <c r="B37" s="236">
        <v>80000</v>
      </c>
      <c r="C37" s="23">
        <v>0</v>
      </c>
      <c r="D37" s="237">
        <f>B37*(1-C37)</f>
        <v>80000</v>
      </c>
      <c r="E37" s="151">
        <v>0.08</v>
      </c>
      <c r="F37" s="39">
        <f>F36</f>
        <v>25</v>
      </c>
      <c r="G37" s="238">
        <f>PMT(E37/12,F37*12,-B37)</f>
        <v>617.45297549840245</v>
      </c>
      <c r="H37" s="235">
        <f>FV(E37/12,C33*12,G37,-B37)</f>
        <v>73819.153145236109</v>
      </c>
    </row>
    <row r="38" spans="2:8">
      <c r="B38" s="239">
        <f>B36-B37</f>
        <v>10000</v>
      </c>
      <c r="D38" s="40">
        <f>D36-D37</f>
        <v>8200</v>
      </c>
      <c r="F38">
        <f>F36</f>
        <v>25</v>
      </c>
      <c r="G38" s="234">
        <f>G36-G37</f>
        <v>107.25139961751563</v>
      </c>
      <c r="H38" s="240">
        <f>H36-H37</f>
        <v>9689.1406239244388</v>
      </c>
    </row>
    <row r="39" spans="2:8" ht="13" thickBot="1">
      <c r="B39" s="124"/>
      <c r="H39" s="126"/>
    </row>
    <row r="40" spans="2:8" ht="13.5" thickBot="1">
      <c r="B40" s="124"/>
      <c r="C40" s="170" t="s">
        <v>1028</v>
      </c>
      <c r="D40" s="169">
        <f>RATE(C33*12,G38,-D38,H38)*12</f>
        <v>0.17962649833973218</v>
      </c>
      <c r="F40" t="s">
        <v>1030</v>
      </c>
      <c r="H40" s="126"/>
    </row>
    <row r="41" spans="2:8" ht="13" thickBot="1">
      <c r="B41" s="134"/>
      <c r="C41" s="4"/>
      <c r="D41" s="4"/>
      <c r="E41" s="4"/>
      <c r="F41" s="4"/>
      <c r="G41" s="4"/>
      <c r="H41" s="135"/>
    </row>
  </sheetData>
  <mergeCells count="5">
    <mergeCell ref="B31:H31"/>
    <mergeCell ref="B2:H2"/>
    <mergeCell ref="B3:H3"/>
    <mergeCell ref="B5:H5"/>
    <mergeCell ref="B18:H18"/>
  </mergeCells>
  <phoneticPr fontId="39"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H58"/>
  <sheetViews>
    <sheetView workbookViewId="0">
      <selection activeCell="L23" sqref="L23"/>
    </sheetView>
  </sheetViews>
  <sheetFormatPr defaultRowHeight="12.5"/>
  <cols>
    <col min="2" max="2" width="12.7265625" customWidth="1"/>
    <col min="3" max="3" width="16.54296875" customWidth="1"/>
    <col min="4" max="4" width="15.54296875" customWidth="1"/>
    <col min="8" max="8" width="16.1796875" customWidth="1"/>
  </cols>
  <sheetData>
    <row r="1" spans="2:8" ht="13" thickBot="1"/>
    <row r="2" spans="2:8" ht="18.5" thickBot="1">
      <c r="B2" s="1525" t="s">
        <v>1078</v>
      </c>
      <c r="C2" s="1542"/>
      <c r="D2" s="1542"/>
      <c r="E2" s="1542"/>
      <c r="F2" s="1542"/>
      <c r="G2" s="1542"/>
      <c r="H2" s="1543"/>
    </row>
    <row r="3" spans="2:8" ht="13.5" thickBot="1">
      <c r="B3" s="1553" t="s">
        <v>1115</v>
      </c>
      <c r="C3" s="1554"/>
      <c r="D3" s="1554"/>
      <c r="E3" s="1554"/>
      <c r="F3" s="1554"/>
      <c r="G3" s="1554"/>
      <c r="H3" s="1555"/>
    </row>
    <row r="4" spans="2:8" ht="13.5" thickBot="1">
      <c r="B4" s="227"/>
      <c r="H4" s="126"/>
    </row>
    <row r="5" spans="2:8" ht="13.5" thickBot="1">
      <c r="B5" s="1547" t="s">
        <v>1122</v>
      </c>
      <c r="C5" s="1538"/>
      <c r="D5" s="1538"/>
      <c r="E5" s="1538"/>
      <c r="F5" s="1538"/>
      <c r="G5" s="1538"/>
      <c r="H5" s="1539"/>
    </row>
    <row r="6" spans="2:8" ht="13">
      <c r="B6" s="168"/>
      <c r="H6" s="126"/>
    </row>
    <row r="7" spans="2:8" ht="13" thickBot="1">
      <c r="B7" s="124" t="s">
        <v>1031</v>
      </c>
      <c r="C7" s="152">
        <v>20</v>
      </c>
      <c r="H7" s="126"/>
    </row>
    <row r="8" spans="2:8" ht="13.5" thickBot="1">
      <c r="B8" s="243" t="s">
        <v>1125</v>
      </c>
      <c r="D8" s="121"/>
      <c r="H8" s="126"/>
    </row>
    <row r="9" spans="2:8" ht="13.5" thickBot="1">
      <c r="B9" s="243" t="s">
        <v>381</v>
      </c>
      <c r="C9" s="243" t="s">
        <v>214</v>
      </c>
      <c r="D9" s="243" t="s">
        <v>1032</v>
      </c>
      <c r="E9" s="243" t="s">
        <v>822</v>
      </c>
      <c r="F9" s="243" t="s">
        <v>1029</v>
      </c>
      <c r="G9" s="243" t="s">
        <v>209</v>
      </c>
      <c r="H9" s="242" t="s">
        <v>215</v>
      </c>
    </row>
    <row r="10" spans="2:8" ht="13.5" thickBot="1">
      <c r="B10" s="233">
        <v>220000</v>
      </c>
      <c r="C10" s="23">
        <v>0</v>
      </c>
      <c r="D10" s="40">
        <f>B10*(1-C10)</f>
        <v>220000</v>
      </c>
      <c r="E10" s="151">
        <v>9.5000000000000001E-2</v>
      </c>
      <c r="F10" s="152">
        <v>20</v>
      </c>
      <c r="G10" s="694">
        <f>PMT(E10/12,F10*12,-B10)</f>
        <v>2050.6886132337399</v>
      </c>
      <c r="H10" s="235">
        <f>FV(E10/12,C7*12,G10,-B10)</f>
        <v>6.28642737865448E-9</v>
      </c>
    </row>
    <row r="11" spans="2:8" ht="13" thickBot="1">
      <c r="B11" s="124"/>
      <c r="H11" s="126"/>
    </row>
    <row r="12" spans="2:8" ht="13.5" thickBot="1">
      <c r="B12" s="243" t="s">
        <v>1126</v>
      </c>
      <c r="D12" s="121"/>
      <c r="H12" s="126"/>
    </row>
    <row r="13" spans="2:8" ht="13.5" thickBot="1">
      <c r="B13" s="243" t="s">
        <v>381</v>
      </c>
      <c r="C13" s="243" t="s">
        <v>214</v>
      </c>
      <c r="D13" s="243" t="s">
        <v>1032</v>
      </c>
      <c r="E13" s="243" t="s">
        <v>822</v>
      </c>
      <c r="F13" s="243" t="s">
        <v>1029</v>
      </c>
      <c r="G13" s="243" t="s">
        <v>209</v>
      </c>
      <c r="H13" s="242" t="s">
        <v>215</v>
      </c>
    </row>
    <row r="14" spans="2:8">
      <c r="B14" s="233">
        <v>180000</v>
      </c>
      <c r="C14" s="23">
        <v>0</v>
      </c>
      <c r="D14" s="40">
        <f>B14*(1-C14)</f>
        <v>180000</v>
      </c>
      <c r="E14" s="151">
        <v>0.09</v>
      </c>
      <c r="F14" s="152">
        <v>20</v>
      </c>
      <c r="G14" s="234">
        <f>PMT(E14/12,F14*12,-B14)</f>
        <v>1619.5067205303114</v>
      </c>
      <c r="H14" s="235">
        <f>FV(E14/12,C7*12,G14,-B14)</f>
        <v>-4.4237822294235229E-9</v>
      </c>
    </row>
    <row r="15" spans="2:8" ht="13" thickBot="1">
      <c r="B15" s="236">
        <v>40000</v>
      </c>
      <c r="C15" s="23">
        <v>0</v>
      </c>
      <c r="D15" s="237">
        <f>B15*(1-C15)</f>
        <v>40000</v>
      </c>
      <c r="E15" s="151">
        <v>0.13</v>
      </c>
      <c r="F15" s="39">
        <f>F14</f>
        <v>20</v>
      </c>
      <c r="G15" s="238">
        <f>PMT(E15/12,F15*12,-B15)</f>
        <v>468.63028451132141</v>
      </c>
      <c r="H15" s="235">
        <f>FV(E15/12,C7*12,G15,-B15)</f>
        <v>4.6566128730773926E-10</v>
      </c>
    </row>
    <row r="16" spans="2:8" ht="13.5" thickBot="1">
      <c r="B16" s="124">
        <f>SUM(B14:B15)</f>
        <v>220000</v>
      </c>
      <c r="D16" s="40">
        <f>SUM(D14:D15)</f>
        <v>220000</v>
      </c>
      <c r="F16">
        <f>F14</f>
        <v>20</v>
      </c>
      <c r="G16" s="694">
        <f>SUM(G14:G15)</f>
        <v>2088.1370050416326</v>
      </c>
      <c r="H16" s="126">
        <f>SUM(H14:H15)</f>
        <v>-3.9581209421157837E-9</v>
      </c>
    </row>
    <row r="17" spans="2:8">
      <c r="B17" s="124"/>
      <c r="H17" s="126"/>
    </row>
    <row r="18" spans="2:8">
      <c r="B18" s="124" t="s">
        <v>903</v>
      </c>
      <c r="C18" s="23">
        <f>RATE(C7*12,G16,-B16,H16)*12</f>
        <v>9.7596719594160553E-2</v>
      </c>
      <c r="H18" s="126"/>
    </row>
    <row r="19" spans="2:8">
      <c r="B19" s="124"/>
      <c r="H19" s="126"/>
    </row>
    <row r="20" spans="2:8" ht="13.5" thickBot="1">
      <c r="B20" s="375"/>
      <c r="C20" s="4"/>
      <c r="D20" s="4"/>
      <c r="E20" s="4"/>
      <c r="F20" s="4"/>
      <c r="G20" s="4"/>
      <c r="H20" s="135"/>
    </row>
    <row r="21" spans="2:8">
      <c r="B21" s="124"/>
      <c r="H21" s="126"/>
    </row>
    <row r="22" spans="2:8" ht="13" thickBot="1">
      <c r="B22" s="124"/>
      <c r="H22" s="126"/>
    </row>
    <row r="23" spans="2:8" ht="13.5" thickBot="1">
      <c r="B23" s="1547" t="s">
        <v>1123</v>
      </c>
      <c r="C23" s="1538"/>
      <c r="D23" s="1538"/>
      <c r="E23" s="1538"/>
      <c r="F23" s="1538"/>
      <c r="G23" s="1538"/>
      <c r="H23" s="1539"/>
    </row>
    <row r="24" spans="2:8" ht="13">
      <c r="B24" s="168"/>
      <c r="H24" s="126"/>
    </row>
    <row r="25" spans="2:8" ht="13" thickBot="1">
      <c r="B25" s="124" t="s">
        <v>1031</v>
      </c>
      <c r="C25" s="152">
        <v>5</v>
      </c>
      <c r="H25" s="126"/>
    </row>
    <row r="26" spans="2:8" ht="13.5" thickBot="1">
      <c r="B26" s="243" t="s">
        <v>1125</v>
      </c>
      <c r="D26" s="121"/>
      <c r="H26" s="126"/>
    </row>
    <row r="27" spans="2:8" ht="13.5" thickBot="1">
      <c r="B27" s="243" t="s">
        <v>381</v>
      </c>
      <c r="C27" s="243" t="s">
        <v>214</v>
      </c>
      <c r="D27" s="243" t="s">
        <v>1032</v>
      </c>
      <c r="E27" s="243" t="s">
        <v>822</v>
      </c>
      <c r="F27" s="243" t="s">
        <v>1029</v>
      </c>
      <c r="G27" s="243" t="s">
        <v>209</v>
      </c>
      <c r="H27" s="242" t="s">
        <v>215</v>
      </c>
    </row>
    <row r="28" spans="2:8" ht="13.5" thickBot="1">
      <c r="B28" s="233">
        <v>220000</v>
      </c>
      <c r="C28" s="23">
        <v>0</v>
      </c>
      <c r="D28" s="40">
        <f>B28*(1-C28)</f>
        <v>220000</v>
      </c>
      <c r="E28" s="151">
        <v>9.5000000000000001E-2</v>
      </c>
      <c r="F28" s="152">
        <v>20</v>
      </c>
      <c r="G28" s="694">
        <f>PMT(E28/12,F28*12,-B28)</f>
        <v>2050.6886132337399</v>
      </c>
      <c r="H28" s="235">
        <f>FV(E28/12,C25*12,G28,-B28)</f>
        <v>196383.84792913817</v>
      </c>
    </row>
    <row r="29" spans="2:8">
      <c r="B29" s="124"/>
      <c r="C29" s="23"/>
      <c r="D29" s="40"/>
      <c r="H29" s="235"/>
    </row>
    <row r="30" spans="2:8" ht="13" thickBot="1">
      <c r="B30" s="124" t="s">
        <v>903</v>
      </c>
      <c r="C30" s="23">
        <f>RATE(C25*12,G28,-B28,H28)*12</f>
        <v>9.5000000000001986E-2</v>
      </c>
      <c r="H30" s="126"/>
    </row>
    <row r="31" spans="2:8" ht="13.5" thickBot="1">
      <c r="B31" s="243" t="s">
        <v>1126</v>
      </c>
      <c r="D31" s="121"/>
      <c r="H31" s="126"/>
    </row>
    <row r="32" spans="2:8" ht="13.5" thickBot="1">
      <c r="B32" s="243" t="s">
        <v>381</v>
      </c>
      <c r="C32" s="243" t="s">
        <v>214</v>
      </c>
      <c r="D32" s="243" t="s">
        <v>1032</v>
      </c>
      <c r="E32" s="243" t="s">
        <v>822</v>
      </c>
      <c r="F32" s="243" t="s">
        <v>1029</v>
      </c>
      <c r="G32" s="243" t="s">
        <v>209</v>
      </c>
      <c r="H32" s="242" t="s">
        <v>215</v>
      </c>
    </row>
    <row r="33" spans="2:8">
      <c r="B33" s="233">
        <v>180000</v>
      </c>
      <c r="C33" s="23">
        <v>0</v>
      </c>
      <c r="D33" s="40">
        <f>B33*(1-C33)</f>
        <v>180000</v>
      </c>
      <c r="E33" s="151">
        <v>0.09</v>
      </c>
      <c r="F33" s="152">
        <v>20</v>
      </c>
      <c r="G33" s="234">
        <f>PMT(E33/12,F33*12,-B33)</f>
        <v>1619.5067205303114</v>
      </c>
      <c r="H33" s="235">
        <f>FV(E33/12,C25*12,G33,-B33)</f>
        <v>159672.68820836773</v>
      </c>
    </row>
    <row r="34" spans="2:8" ht="13" thickBot="1">
      <c r="B34" s="236">
        <v>40000</v>
      </c>
      <c r="C34" s="23">
        <v>0</v>
      </c>
      <c r="D34" s="237">
        <f>B34*(1-C34)</f>
        <v>40000</v>
      </c>
      <c r="E34" s="151">
        <v>0.13</v>
      </c>
      <c r="F34" s="39">
        <f>F33</f>
        <v>20</v>
      </c>
      <c r="G34" s="238">
        <f>PMT(E34/12,F34*12,-B34)</f>
        <v>468.63028451132141</v>
      </c>
      <c r="H34" s="696">
        <f>FV(E34/12,C25*12,G34,-B34)</f>
        <v>37038.781715532088</v>
      </c>
    </row>
    <row r="35" spans="2:8" ht="13.5" thickBot="1">
      <c r="B35" s="124">
        <f>SUM(B33:B34)</f>
        <v>220000</v>
      </c>
      <c r="D35" s="40">
        <f>SUM(D33:D34)</f>
        <v>220000</v>
      </c>
      <c r="F35">
        <f>F33</f>
        <v>20</v>
      </c>
      <c r="G35" s="694">
        <f>SUM(G33:G34)</f>
        <v>2088.1370050416326</v>
      </c>
      <c r="H35" s="244">
        <f>SUM(H33:H34)</f>
        <v>196711.46992389983</v>
      </c>
    </row>
    <row r="36" spans="2:8">
      <c r="B36" s="124"/>
      <c r="H36" s="126"/>
    </row>
    <row r="37" spans="2:8">
      <c r="B37" s="124" t="s">
        <v>903</v>
      </c>
      <c r="C37" s="23">
        <f>RATE(C25*12,G35,-B35,H35)*12</f>
        <v>9.7380448877642883E-2</v>
      </c>
      <c r="H37" s="126"/>
    </row>
    <row r="38" spans="2:8" ht="13.5" thickBot="1">
      <c r="B38" s="375"/>
      <c r="C38" s="4"/>
      <c r="D38" s="4"/>
      <c r="E38" s="4"/>
      <c r="F38" s="4"/>
      <c r="G38" s="4"/>
      <c r="H38" s="135"/>
    </row>
    <row r="39" spans="2:8">
      <c r="B39" s="124"/>
      <c r="H39" s="126"/>
    </row>
    <row r="40" spans="2:8">
      <c r="B40" s="124"/>
      <c r="H40" s="126"/>
    </row>
    <row r="41" spans="2:8">
      <c r="B41" s="124"/>
      <c r="H41" s="126"/>
    </row>
    <row r="42" spans="2:8" ht="13" thickBot="1">
      <c r="B42" s="124"/>
      <c r="H42" s="126"/>
    </row>
    <row r="43" spans="2:8" ht="13.5" thickBot="1">
      <c r="B43" s="1547" t="s">
        <v>1127</v>
      </c>
      <c r="C43" s="1538"/>
      <c r="D43" s="1538"/>
      <c r="E43" s="1538"/>
      <c r="F43" s="1538"/>
      <c r="G43" s="1538"/>
      <c r="H43" s="1539"/>
    </row>
    <row r="44" spans="2:8" ht="13">
      <c r="B44" s="168"/>
      <c r="H44" s="126"/>
    </row>
    <row r="45" spans="2:8" ht="13" thickBot="1">
      <c r="B45" s="124" t="s">
        <v>1031</v>
      </c>
      <c r="C45" s="152">
        <v>5</v>
      </c>
      <c r="H45" s="126"/>
    </row>
    <row r="46" spans="2:8" ht="13.5" thickBot="1">
      <c r="B46" s="243" t="s">
        <v>1125</v>
      </c>
      <c r="D46" s="121"/>
      <c r="H46" s="126"/>
    </row>
    <row r="47" spans="2:8" ht="13.5" thickBot="1">
      <c r="B47" s="243" t="s">
        <v>381</v>
      </c>
      <c r="C47" s="243" t="s">
        <v>214</v>
      </c>
      <c r="D47" s="243" t="s">
        <v>1032</v>
      </c>
      <c r="E47" s="243" t="s">
        <v>822</v>
      </c>
      <c r="F47" s="243" t="s">
        <v>1029</v>
      </c>
      <c r="G47" s="243" t="s">
        <v>209</v>
      </c>
      <c r="H47" s="242" t="s">
        <v>215</v>
      </c>
    </row>
    <row r="48" spans="2:8" ht="13.5" thickBot="1">
      <c r="B48" s="233">
        <v>220000</v>
      </c>
      <c r="C48" s="23">
        <v>0</v>
      </c>
      <c r="D48" s="40">
        <f>B48*(1-C48)</f>
        <v>220000</v>
      </c>
      <c r="E48" s="151">
        <v>9.5000000000000001E-2</v>
      </c>
      <c r="F48" s="152">
        <v>20</v>
      </c>
      <c r="G48" s="694">
        <f>PMT(E48/12,F48*12,-B48)</f>
        <v>2050.6886132337399</v>
      </c>
      <c r="H48" s="235">
        <f>FV(E48/12,C45*12,G48,-B48)</f>
        <v>196383.84792913817</v>
      </c>
    </row>
    <row r="49" spans="2:8" ht="13">
      <c r="B49" s="124"/>
      <c r="C49" s="23"/>
      <c r="D49" s="40"/>
      <c r="E49" s="151"/>
      <c r="F49" s="152"/>
      <c r="G49" s="697"/>
      <c r="H49" s="235"/>
    </row>
    <row r="50" spans="2:8" ht="13" thickBot="1">
      <c r="B50" s="124" t="s">
        <v>903</v>
      </c>
      <c r="C50" s="23">
        <f>RATE(C45*12,G48,-B48,H48)*12</f>
        <v>9.5000000000001986E-2</v>
      </c>
      <c r="H50" s="126"/>
    </row>
    <row r="51" spans="2:8" ht="13.5" thickBot="1">
      <c r="B51" s="243" t="s">
        <v>1126</v>
      </c>
      <c r="D51" s="121"/>
      <c r="H51" s="126"/>
    </row>
    <row r="52" spans="2:8" ht="13.5" thickBot="1">
      <c r="B52" s="243" t="s">
        <v>381</v>
      </c>
      <c r="C52" s="243" t="s">
        <v>214</v>
      </c>
      <c r="D52" s="243" t="s">
        <v>1032</v>
      </c>
      <c r="E52" s="243" t="s">
        <v>822</v>
      </c>
      <c r="F52" s="243" t="s">
        <v>1029</v>
      </c>
      <c r="G52" s="243" t="s">
        <v>209</v>
      </c>
      <c r="H52" s="242" t="s">
        <v>215</v>
      </c>
    </row>
    <row r="53" spans="2:8">
      <c r="B53" s="233">
        <v>180000</v>
      </c>
      <c r="C53" s="23">
        <v>0</v>
      </c>
      <c r="D53" s="40">
        <f>B53*(1-C53)</f>
        <v>180000</v>
      </c>
      <c r="E53" s="151">
        <v>0.09</v>
      </c>
      <c r="F53" s="152">
        <v>20</v>
      </c>
      <c r="G53" s="234">
        <f>PMT(E53/12,F53*12,-B53)</f>
        <v>1619.5067205303114</v>
      </c>
      <c r="H53" s="235">
        <f>FV(E53/12,C45*12,G53,-B53)</f>
        <v>159672.68820836773</v>
      </c>
    </row>
    <row r="54" spans="2:8" ht="13" thickBot="1">
      <c r="B54" s="236">
        <v>40000</v>
      </c>
      <c r="C54" s="23">
        <v>0</v>
      </c>
      <c r="D54" s="237">
        <f>B54*(1-C54)</f>
        <v>40000</v>
      </c>
      <c r="E54" s="151">
        <v>0.13</v>
      </c>
      <c r="F54" s="39">
        <v>10</v>
      </c>
      <c r="G54" s="238">
        <f>PMT(E54/12,F54*12,-B54)</f>
        <v>597.24295990889937</v>
      </c>
      <c r="H54" s="696">
        <f>FV(E54/12,C45*12,G54,-B54)</f>
        <v>26248.892127585146</v>
      </c>
    </row>
    <row r="55" spans="2:8" ht="13.5" thickBot="1">
      <c r="B55" s="124">
        <f>SUM(B53:B54)</f>
        <v>220000</v>
      </c>
      <c r="D55">
        <f>SUM(D53:D54)</f>
        <v>220000</v>
      </c>
      <c r="F55">
        <f>F53</f>
        <v>20</v>
      </c>
      <c r="G55" s="694">
        <f>SUM(G53:G54)</f>
        <v>2216.7496804392108</v>
      </c>
      <c r="H55" s="695">
        <f>SUM(H53:H54)</f>
        <v>185921.58033595287</v>
      </c>
    </row>
    <row r="56" spans="2:8">
      <c r="B56" s="124"/>
      <c r="H56" s="126"/>
    </row>
    <row r="57" spans="2:8">
      <c r="B57" s="124" t="s">
        <v>903</v>
      </c>
      <c r="C57" s="23">
        <f>RATE(C45*12,G55,-B55,H55)*12</f>
        <v>9.6699237668960492E-2</v>
      </c>
      <c r="H57" s="126"/>
    </row>
    <row r="58" spans="2:8" ht="13.5" thickBot="1">
      <c r="B58" s="375"/>
      <c r="C58" s="4"/>
      <c r="D58" s="4"/>
      <c r="E58" s="4"/>
      <c r="F58" s="4"/>
      <c r="G58" s="4"/>
      <c r="H58" s="135"/>
    </row>
  </sheetData>
  <mergeCells count="5">
    <mergeCell ref="B23:H23"/>
    <mergeCell ref="B43:H43"/>
    <mergeCell ref="B2:H2"/>
    <mergeCell ref="B3:H3"/>
    <mergeCell ref="B5:H5"/>
  </mergeCells>
  <phoneticPr fontId="39"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93"/>
  <sheetViews>
    <sheetView workbookViewId="0">
      <selection activeCell="I80" sqref="I80"/>
    </sheetView>
  </sheetViews>
  <sheetFormatPr defaultRowHeight="12.5"/>
  <cols>
    <col min="2" max="2" width="26.81640625" customWidth="1"/>
    <col min="4" max="4" width="13.7265625" customWidth="1"/>
    <col min="5" max="5" width="10.7265625" customWidth="1"/>
    <col min="6" max="6" width="17.7265625" customWidth="1"/>
    <col min="7" max="7" width="11.453125" customWidth="1"/>
  </cols>
  <sheetData>
    <row r="1" spans="2:10" ht="13" thickBot="1"/>
    <row r="2" spans="2:10" ht="18.5" thickBot="1">
      <c r="B2" s="1525" t="s">
        <v>1079</v>
      </c>
      <c r="C2" s="1536"/>
      <c r="D2" s="1536"/>
      <c r="E2" s="1536"/>
      <c r="F2" s="1536"/>
      <c r="G2" s="1536"/>
      <c r="H2" s="1536"/>
      <c r="I2" s="1536"/>
      <c r="J2" s="1534"/>
    </row>
    <row r="3" spans="2:10" ht="18.5" thickBot="1">
      <c r="B3" s="1556" t="s">
        <v>967</v>
      </c>
      <c r="C3" s="1536"/>
      <c r="D3" s="1536"/>
      <c r="E3" s="1536"/>
      <c r="F3" s="1536"/>
      <c r="G3" s="1536"/>
      <c r="H3" s="1536"/>
      <c r="I3" s="1536"/>
      <c r="J3" s="1534"/>
    </row>
    <row r="4" spans="2:10" ht="16" thickBot="1">
      <c r="B4" s="124"/>
      <c r="C4" s="26"/>
      <c r="G4" s="266"/>
      <c r="J4" s="126"/>
    </row>
    <row r="5" spans="2:10" ht="13.5" thickBot="1">
      <c r="B5" s="1531" t="s">
        <v>968</v>
      </c>
      <c r="C5" s="1532"/>
      <c r="D5" s="1533"/>
      <c r="E5" s="39"/>
      <c r="F5" s="1531" t="s">
        <v>969</v>
      </c>
      <c r="G5" s="1532"/>
      <c r="H5" s="1533"/>
      <c r="J5" s="126"/>
    </row>
    <row r="6" spans="2:10" ht="15.5">
      <c r="B6" s="124"/>
      <c r="D6" s="126"/>
      <c r="F6" s="245" t="s">
        <v>950</v>
      </c>
      <c r="H6" s="246">
        <v>0.8</v>
      </c>
      <c r="J6" s="126"/>
    </row>
    <row r="7" spans="2:10">
      <c r="B7" s="124" t="s">
        <v>957</v>
      </c>
      <c r="D7" s="247">
        <v>150000</v>
      </c>
      <c r="F7" s="124" t="s">
        <v>460</v>
      </c>
      <c r="H7" s="247">
        <f>H6*D7</f>
        <v>120000</v>
      </c>
      <c r="J7" s="126"/>
    </row>
    <row r="8" spans="2:10">
      <c r="B8" s="124" t="s">
        <v>970</v>
      </c>
      <c r="D8" s="247">
        <v>12000</v>
      </c>
      <c r="F8" s="124" t="s">
        <v>571</v>
      </c>
      <c r="H8" s="246">
        <v>7.0000000000000007E-2</v>
      </c>
      <c r="J8" s="126"/>
    </row>
    <row r="9" spans="2:10">
      <c r="B9" s="124" t="s">
        <v>971</v>
      </c>
      <c r="D9" s="246">
        <v>0.02</v>
      </c>
      <c r="F9" s="124" t="s">
        <v>1080</v>
      </c>
      <c r="H9" s="248">
        <v>30</v>
      </c>
      <c r="J9" s="126"/>
    </row>
    <row r="10" spans="2:10" ht="13" thickBot="1">
      <c r="B10" s="124" t="s">
        <v>972</v>
      </c>
      <c r="D10" s="246">
        <f>+D9</f>
        <v>0.02</v>
      </c>
      <c r="F10" s="134" t="s">
        <v>1081</v>
      </c>
      <c r="G10" s="4"/>
      <c r="H10" s="249">
        <v>12</v>
      </c>
      <c r="J10" s="126"/>
    </row>
    <row r="11" spans="2:10">
      <c r="B11" s="124" t="s">
        <v>276</v>
      </c>
      <c r="D11" s="250">
        <v>500</v>
      </c>
      <c r="J11" s="126"/>
    </row>
    <row r="12" spans="2:10">
      <c r="B12" s="124" t="s">
        <v>325</v>
      </c>
      <c r="D12" s="250">
        <v>500</v>
      </c>
      <c r="J12" s="126"/>
    </row>
    <row r="13" spans="2:10">
      <c r="B13" s="124" t="s">
        <v>986</v>
      </c>
      <c r="D13" s="246">
        <v>0.02</v>
      </c>
      <c r="H13" s="23"/>
      <c r="J13" s="126"/>
    </row>
    <row r="14" spans="2:10">
      <c r="B14" s="124" t="s">
        <v>973</v>
      </c>
      <c r="D14" s="246">
        <v>0.28000000000000003</v>
      </c>
      <c r="H14" s="23"/>
      <c r="J14" s="126"/>
    </row>
    <row r="15" spans="2:10">
      <c r="B15" s="124" t="s">
        <v>987</v>
      </c>
      <c r="D15" s="246">
        <v>1.4999999999999999E-2</v>
      </c>
      <c r="H15" s="23"/>
      <c r="J15" s="126"/>
    </row>
    <row r="16" spans="2:10" ht="13" thickBot="1">
      <c r="B16" s="134" t="s">
        <v>599</v>
      </c>
      <c r="C16" s="4"/>
      <c r="D16" s="251">
        <v>7.0000000000000007E-2</v>
      </c>
      <c r="J16" s="126"/>
    </row>
    <row r="17" spans="2:10" ht="13" thickBot="1">
      <c r="B17" s="124"/>
      <c r="J17" s="126"/>
    </row>
    <row r="18" spans="2:10" ht="13.5" thickBot="1">
      <c r="B18" s="1531" t="s">
        <v>974</v>
      </c>
      <c r="C18" s="1532"/>
      <c r="D18" s="1533"/>
      <c r="J18" s="126"/>
    </row>
    <row r="19" spans="2:10">
      <c r="B19" s="124"/>
      <c r="D19" s="126"/>
      <c r="J19" s="126"/>
    </row>
    <row r="20" spans="2:10">
      <c r="B20" s="124" t="s">
        <v>975</v>
      </c>
      <c r="D20" s="158">
        <f>H7*D21</f>
        <v>9580.3559305802373</v>
      </c>
      <c r="J20" s="126"/>
    </row>
    <row r="21" spans="2:10">
      <c r="B21" s="124" t="s">
        <v>976</v>
      </c>
      <c r="D21" s="252">
        <f>PMT(H8/H10,H9*H10,-1)*H10</f>
        <v>7.9836299421501972E-2</v>
      </c>
      <c r="J21" s="126"/>
    </row>
    <row r="22" spans="2:10" ht="13" thickBot="1">
      <c r="B22" s="134" t="s">
        <v>977</v>
      </c>
      <c r="C22" s="4"/>
      <c r="D22" s="253">
        <f>D7-H7</f>
        <v>30000</v>
      </c>
      <c r="J22" s="126"/>
    </row>
    <row r="23" spans="2:10" ht="13" thickBot="1">
      <c r="B23" s="124"/>
      <c r="J23" s="126"/>
    </row>
    <row r="24" spans="2:10" ht="13.5" thickBot="1">
      <c r="B24" s="1531" t="s">
        <v>978</v>
      </c>
      <c r="C24" s="1532"/>
      <c r="D24" s="1532"/>
      <c r="E24" s="1532"/>
      <c r="F24" s="1532"/>
      <c r="G24" s="1532"/>
      <c r="H24" s="1532"/>
      <c r="I24" s="1533"/>
      <c r="J24" s="126"/>
    </row>
    <row r="25" spans="2:10">
      <c r="B25" s="124" t="s">
        <v>576</v>
      </c>
      <c r="E25">
        <v>1</v>
      </c>
      <c r="F25">
        <f>(1+E25)</f>
        <v>2</v>
      </c>
      <c r="G25">
        <f>(1+F25)</f>
        <v>3</v>
      </c>
      <c r="H25">
        <f>(1+G25)</f>
        <v>4</v>
      </c>
      <c r="I25" s="126">
        <f>(1+H25)</f>
        <v>5</v>
      </c>
      <c r="J25" s="126"/>
    </row>
    <row r="26" spans="2:10">
      <c r="B26" s="124" t="s">
        <v>209</v>
      </c>
      <c r="E26" s="8">
        <f>$D$20</f>
        <v>9580.3559305802373</v>
      </c>
      <c r="F26" s="8">
        <f>$D$20</f>
        <v>9580.3559305802373</v>
      </c>
      <c r="G26" s="8">
        <f>$D$20</f>
        <v>9580.3559305802373</v>
      </c>
      <c r="H26" s="8">
        <f>$D$20</f>
        <v>9580.3559305802373</v>
      </c>
      <c r="I26" s="158">
        <f>$D$20</f>
        <v>9580.3559305802373</v>
      </c>
      <c r="J26" s="126"/>
    </row>
    <row r="27" spans="2:10">
      <c r="B27" s="124" t="s">
        <v>215</v>
      </c>
      <c r="E27" s="24">
        <f>IF($H$9&gt;E25-$E25+1,(($D20/$H$10)/PMT($H$8/($H$10),($H9-(E25-$E25+1))*$H$10,-1)),0)</f>
        <v>118781.02820484596</v>
      </c>
      <c r="F27" s="24">
        <f>IF($H$9&gt;F25-$E25+1,(($D20/$H$10)/PMT($H$8/($H$10),($H9-(F25-$E25+1))*$H$10,-1)),0)</f>
        <v>117473.93684005877</v>
      </c>
      <c r="G27" s="24">
        <f>IF($H$9&gt;G25-$E25+1,(($D20/$H$10)/PMT($H$8/($H$10),($H9-(G25-$E25+1))*$H$10,-1)),0)</f>
        <v>116072.35573482461</v>
      </c>
      <c r="H27" s="24">
        <f>IF($H$9&gt;H25-$E25+1,(($D20/$H$10)/PMT($H$8/($H$10),($H9-(H25-$E25+1))*$H$10,-1)),0)</f>
        <v>114569.45421816652</v>
      </c>
      <c r="I27" s="163">
        <f>IF($H$9&gt;I25-$E25+1,(($D20/$H$10)/PMT($H$8/($H$10),($H9-(I25-$E25+1))*$H$10,-1)),0)</f>
        <v>112957.90782935025</v>
      </c>
      <c r="J27" s="126"/>
    </row>
    <row r="28" spans="2:10">
      <c r="B28" s="124" t="s">
        <v>210</v>
      </c>
      <c r="E28" s="24">
        <f>($D$20-(($H$7-E27)))</f>
        <v>8361.3841354262004</v>
      </c>
      <c r="F28" s="24">
        <f>IF(E27&gt;0,($D$20-((E27-F27))),0)</f>
        <v>8273.2645657930443</v>
      </c>
      <c r="G28" s="24">
        <f>IF(F27&gt;0,($D$20-((F27-G27))),0)</f>
        <v>8178.7748253460777</v>
      </c>
      <c r="H28" s="24">
        <f>IF(G27&gt;0,($D$20-((G27-H27))),0)</f>
        <v>8077.4544139221434</v>
      </c>
      <c r="I28" s="163">
        <f>IF(H27&gt;0,($D$20-((H27-I27))),0)</f>
        <v>7968.8095417639743</v>
      </c>
      <c r="J28" s="126"/>
    </row>
    <row r="29" spans="2:10" ht="13" thickBot="1">
      <c r="B29" s="134" t="s">
        <v>387</v>
      </c>
      <c r="C29" s="4"/>
      <c r="D29" s="4"/>
      <c r="E29" s="31">
        <f>E26-E28</f>
        <v>1218.971795154037</v>
      </c>
      <c r="F29" s="31">
        <f>F26-F28</f>
        <v>1307.091364787193</v>
      </c>
      <c r="G29" s="31">
        <f>G26-G28</f>
        <v>1401.5811052341596</v>
      </c>
      <c r="H29" s="31">
        <f>H26-H28</f>
        <v>1502.9015166580939</v>
      </c>
      <c r="I29" s="207">
        <f>I26-I28</f>
        <v>1611.5463888162631</v>
      </c>
      <c r="J29" s="126"/>
    </row>
    <row r="30" spans="2:10" ht="13" thickBot="1">
      <c r="B30" s="124"/>
      <c r="E30" s="24"/>
      <c r="F30" s="24"/>
      <c r="G30" s="24"/>
      <c r="H30" s="24"/>
      <c r="I30" s="24"/>
      <c r="J30" s="126"/>
    </row>
    <row r="31" spans="2:10" ht="13.5" thickBot="1">
      <c r="B31" s="1531" t="s">
        <v>988</v>
      </c>
      <c r="C31" s="1532"/>
      <c r="D31" s="1532"/>
      <c r="E31" s="1532"/>
      <c r="F31" s="1532"/>
      <c r="G31" s="1532"/>
      <c r="H31" s="1532"/>
      <c r="I31" s="1533"/>
      <c r="J31" s="126"/>
    </row>
    <row r="32" spans="2:10">
      <c r="B32" s="124"/>
      <c r="D32">
        <v>0</v>
      </c>
      <c r="E32">
        <v>1</v>
      </c>
      <c r="F32">
        <f>(1+E32)</f>
        <v>2</v>
      </c>
      <c r="G32">
        <f>(1+F32)</f>
        <v>3</v>
      </c>
      <c r="H32">
        <f>(1+G32)</f>
        <v>4</v>
      </c>
      <c r="I32" s="126">
        <f>(1+H32)</f>
        <v>5</v>
      </c>
      <c r="J32" s="126"/>
    </row>
    <row r="33" spans="2:10">
      <c r="B33" s="124" t="s">
        <v>989</v>
      </c>
      <c r="D33" s="8">
        <f>D7</f>
        <v>150000</v>
      </c>
      <c r="E33" s="24">
        <f>D33*(1+$D$10)</f>
        <v>153000</v>
      </c>
      <c r="F33" s="24">
        <f>E33*(1+$D$10)</f>
        <v>156060</v>
      </c>
      <c r="G33" s="24">
        <f>F33*(1+$D$10)</f>
        <v>159181.20000000001</v>
      </c>
      <c r="H33" s="24">
        <f>G33*(1+$D$10)</f>
        <v>162364.82400000002</v>
      </c>
      <c r="I33" s="163">
        <f>H33*(1+$D$10)</f>
        <v>165612.12048000001</v>
      </c>
      <c r="J33" s="126"/>
    </row>
    <row r="34" spans="2:10" ht="13" thickBot="1">
      <c r="B34" s="134" t="s">
        <v>547</v>
      </c>
      <c r="C34" s="4"/>
      <c r="D34" s="4"/>
      <c r="E34" s="254">
        <f>D8</f>
        <v>12000</v>
      </c>
      <c r="F34" s="254">
        <f>E34*(1+$D$9)</f>
        <v>12240</v>
      </c>
      <c r="G34" s="254">
        <f>F34*(1+$D$9)</f>
        <v>12484.800000000001</v>
      </c>
      <c r="H34" s="254">
        <f>G34*(1+$D$9)</f>
        <v>12734.496000000001</v>
      </c>
      <c r="I34" s="255">
        <f>H34*(1+$D$9)</f>
        <v>12989.185920000002</v>
      </c>
      <c r="J34" s="126"/>
    </row>
    <row r="35" spans="2:10" ht="13" thickBot="1">
      <c r="B35" s="124"/>
      <c r="J35" s="126"/>
    </row>
    <row r="36" spans="2:10" ht="13.5" thickBot="1">
      <c r="B36" s="1531" t="s">
        <v>990</v>
      </c>
      <c r="C36" s="1532"/>
      <c r="D36" s="1532"/>
      <c r="E36" s="1532"/>
      <c r="F36" s="1532"/>
      <c r="G36" s="1532"/>
      <c r="H36" s="1532"/>
      <c r="I36" s="1533"/>
      <c r="J36" s="126"/>
    </row>
    <row r="37" spans="2:10">
      <c r="B37" s="124"/>
      <c r="D37" s="6" t="s">
        <v>262</v>
      </c>
      <c r="E37">
        <v>1</v>
      </c>
      <c r="F37">
        <f>1+E37</f>
        <v>2</v>
      </c>
      <c r="G37">
        <f>1+F37</f>
        <v>3</v>
      </c>
      <c r="H37">
        <f>1+G37</f>
        <v>4</v>
      </c>
      <c r="I37" s="126">
        <f>1+H37</f>
        <v>5</v>
      </c>
      <c r="J37" s="126"/>
    </row>
    <row r="38" spans="2:10">
      <c r="B38" s="124"/>
      <c r="E38" s="8"/>
      <c r="F38" s="8"/>
      <c r="G38" s="8"/>
      <c r="H38" s="8"/>
      <c r="I38" s="158"/>
      <c r="J38" s="126"/>
    </row>
    <row r="39" spans="2:10">
      <c r="B39" s="124" t="s">
        <v>290</v>
      </c>
      <c r="E39" s="231">
        <f>$D$15*D33</f>
        <v>2250</v>
      </c>
      <c r="F39" s="231">
        <f>$D$15*E33</f>
        <v>2295</v>
      </c>
      <c r="G39" s="231">
        <f>$D$15*F33</f>
        <v>2340.9</v>
      </c>
      <c r="H39" s="231">
        <f>$D$15*G33</f>
        <v>2387.7180000000003</v>
      </c>
      <c r="I39" s="256">
        <f>$D$15*H33</f>
        <v>2435.4723600000002</v>
      </c>
      <c r="J39" s="126"/>
    </row>
    <row r="40" spans="2:10">
      <c r="B40" s="124" t="s">
        <v>276</v>
      </c>
      <c r="E40" s="231">
        <f>D11</f>
        <v>500</v>
      </c>
      <c r="F40" s="231">
        <f t="shared" ref="F40:I41" si="0">E40*(1+$D$13)</f>
        <v>510</v>
      </c>
      <c r="G40" s="231">
        <f t="shared" si="0"/>
        <v>520.20000000000005</v>
      </c>
      <c r="H40" s="231">
        <f t="shared" si="0"/>
        <v>530.60400000000004</v>
      </c>
      <c r="I40" s="256">
        <f t="shared" si="0"/>
        <v>541.21608000000003</v>
      </c>
      <c r="J40" s="126"/>
    </row>
    <row r="41" spans="2:10">
      <c r="B41" s="124" t="s">
        <v>325</v>
      </c>
      <c r="E41" s="78">
        <f>D12</f>
        <v>500</v>
      </c>
      <c r="F41" s="78">
        <f t="shared" si="0"/>
        <v>510</v>
      </c>
      <c r="G41" s="78">
        <f t="shared" si="0"/>
        <v>520.20000000000005</v>
      </c>
      <c r="H41" s="78">
        <f t="shared" si="0"/>
        <v>530.60400000000004</v>
      </c>
      <c r="I41" s="257">
        <f t="shared" si="0"/>
        <v>541.21608000000003</v>
      </c>
      <c r="J41" s="126"/>
    </row>
    <row r="42" spans="2:10">
      <c r="B42" s="124" t="s">
        <v>979</v>
      </c>
      <c r="E42" s="258">
        <f>IF(E25&gt;$H$9,0,(($D21)*$H7))</f>
        <v>9580.3559305802373</v>
      </c>
      <c r="F42" s="258">
        <f>IF(F25&gt;$H$9,0,(($D21)*$H7))</f>
        <v>9580.3559305802373</v>
      </c>
      <c r="G42" s="258">
        <f>IF(G25&gt;$H$9,0,(($D21)*$H7))</f>
        <v>9580.3559305802373</v>
      </c>
      <c r="H42" s="258">
        <f>IF(H25&gt;$H$9,0,(($D21)*$H7))</f>
        <v>9580.3559305802373</v>
      </c>
      <c r="I42" s="259">
        <f>IF(I25&gt;$H$9,0,(($D21)*$H7))</f>
        <v>9580.3559305802373</v>
      </c>
      <c r="J42" s="126"/>
    </row>
    <row r="43" spans="2:10" ht="13" thickBot="1">
      <c r="B43" s="134" t="s">
        <v>991</v>
      </c>
      <c r="C43" s="4"/>
      <c r="D43" s="4"/>
      <c r="E43" s="260">
        <f>SUM(E39:E42)</f>
        <v>12830.355930580237</v>
      </c>
      <c r="F43" s="260">
        <f>SUM(F39:F42)</f>
        <v>12895.355930580237</v>
      </c>
      <c r="G43" s="260">
        <f>SUM(G39:G42)</f>
        <v>12961.655930580237</v>
      </c>
      <c r="H43" s="260">
        <f>SUM(H39:H42)</f>
        <v>13029.281930580237</v>
      </c>
      <c r="I43" s="261">
        <f>SUM(I39:I42)</f>
        <v>13098.260450580237</v>
      </c>
      <c r="J43" s="126"/>
    </row>
    <row r="44" spans="2:10" ht="16" thickBot="1">
      <c r="B44" s="124"/>
      <c r="E44" s="267"/>
      <c r="F44" s="267"/>
      <c r="G44" s="267"/>
      <c r="H44" s="267"/>
      <c r="I44" s="267"/>
      <c r="J44" s="126"/>
    </row>
    <row r="45" spans="2:10" ht="13.5" thickBot="1">
      <c r="B45" s="1531" t="s">
        <v>980</v>
      </c>
      <c r="C45" s="1532"/>
      <c r="D45" s="1532"/>
      <c r="E45" s="1532"/>
      <c r="F45" s="1532"/>
      <c r="G45" s="1532"/>
      <c r="H45" s="1532"/>
      <c r="I45" s="1533"/>
      <c r="J45" s="126"/>
    </row>
    <row r="46" spans="2:10">
      <c r="B46" s="124"/>
      <c r="I46" s="126"/>
      <c r="J46" s="126"/>
    </row>
    <row r="47" spans="2:10">
      <c r="B47" s="124" t="s">
        <v>290</v>
      </c>
      <c r="E47" s="8">
        <f>+E39</f>
        <v>2250</v>
      </c>
      <c r="F47" s="8">
        <f>+F39</f>
        <v>2295</v>
      </c>
      <c r="G47" s="8">
        <f>+G39</f>
        <v>2340.9</v>
      </c>
      <c r="H47" s="8">
        <f>+H39</f>
        <v>2387.7180000000003</v>
      </c>
      <c r="I47" s="158">
        <f>+I39</f>
        <v>2435.4723600000002</v>
      </c>
      <c r="J47" s="126"/>
    </row>
    <row r="48" spans="2:10">
      <c r="B48" s="124" t="s">
        <v>210</v>
      </c>
      <c r="E48" s="82">
        <f>+E28</f>
        <v>8361.3841354262004</v>
      </c>
      <c r="F48" s="82">
        <f>+F28</f>
        <v>8273.2645657930443</v>
      </c>
      <c r="G48" s="82">
        <f>+G28</f>
        <v>8178.7748253460777</v>
      </c>
      <c r="H48" s="82">
        <f>+H28</f>
        <v>8077.4544139221434</v>
      </c>
      <c r="I48" s="262">
        <f>+I28</f>
        <v>7968.8095417639743</v>
      </c>
      <c r="J48" s="126"/>
    </row>
    <row r="49" spans="2:10">
      <c r="B49" s="171" t="s">
        <v>981</v>
      </c>
      <c r="E49" s="40">
        <f>+E47+E48</f>
        <v>10611.3841354262</v>
      </c>
      <c r="F49" s="40">
        <f>+F47+F48</f>
        <v>10568.264565793044</v>
      </c>
      <c r="G49" s="40">
        <f>+G47+G48</f>
        <v>10519.674825346077</v>
      </c>
      <c r="H49" s="40">
        <f>+H47+H48</f>
        <v>10465.172413922144</v>
      </c>
      <c r="I49" s="244">
        <f>+I47+I48</f>
        <v>10404.281901763974</v>
      </c>
      <c r="J49" s="126"/>
    </row>
    <row r="50" spans="2:10" ht="13" thickBot="1">
      <c r="B50" s="134" t="s">
        <v>982</v>
      </c>
      <c r="C50" s="4"/>
      <c r="D50" s="4"/>
      <c r="E50" s="31">
        <f>+E49*$D$14</f>
        <v>2971.1875579193365</v>
      </c>
      <c r="F50" s="31">
        <f>+F49*$D$14</f>
        <v>2959.1140784220529</v>
      </c>
      <c r="G50" s="31">
        <f>+G49*$D$14</f>
        <v>2945.5089510969019</v>
      </c>
      <c r="H50" s="31">
        <f>+H49*$D$14</f>
        <v>2930.2482758982005</v>
      </c>
      <c r="I50" s="207">
        <f>+I49*$D$14</f>
        <v>2913.1989324939132</v>
      </c>
      <c r="J50" s="126"/>
    </row>
    <row r="51" spans="2:10" ht="13" thickBot="1">
      <c r="B51" s="124"/>
      <c r="E51" s="24"/>
      <c r="F51" s="24"/>
      <c r="G51" s="24"/>
      <c r="H51" s="24"/>
      <c r="I51" s="24"/>
      <c r="J51" s="126"/>
    </row>
    <row r="52" spans="2:10" ht="13.5" thickBot="1">
      <c r="B52" s="1531" t="s">
        <v>1017</v>
      </c>
      <c r="C52" s="1532"/>
      <c r="D52" s="1532"/>
      <c r="E52" s="1532"/>
      <c r="F52" s="1532"/>
      <c r="G52" s="1532"/>
      <c r="H52" s="1532"/>
      <c r="I52" s="1533"/>
      <c r="J52" s="126"/>
    </row>
    <row r="53" spans="2:10">
      <c r="B53" s="124" t="s">
        <v>991</v>
      </c>
      <c r="E53" s="24">
        <f>E43</f>
        <v>12830.355930580237</v>
      </c>
      <c r="F53" s="24">
        <f>F43</f>
        <v>12895.355930580237</v>
      </c>
      <c r="G53" s="24">
        <f>G43</f>
        <v>12961.655930580237</v>
      </c>
      <c r="H53" s="24">
        <f>H43</f>
        <v>13029.281930580237</v>
      </c>
      <c r="I53" s="163">
        <f>I43</f>
        <v>13098.260450580237</v>
      </c>
      <c r="J53" s="126"/>
    </row>
    <row r="54" spans="2:10">
      <c r="B54" s="124" t="s">
        <v>982</v>
      </c>
      <c r="E54" s="82">
        <f>E50</f>
        <v>2971.1875579193365</v>
      </c>
      <c r="F54" s="82">
        <f>F50</f>
        <v>2959.1140784220529</v>
      </c>
      <c r="G54" s="82">
        <f>G50</f>
        <v>2945.5089510969019</v>
      </c>
      <c r="H54" s="82">
        <f>H50</f>
        <v>2930.2482758982005</v>
      </c>
      <c r="I54" s="262">
        <f>I50</f>
        <v>2913.1989324939132</v>
      </c>
      <c r="J54" s="126"/>
    </row>
    <row r="55" spans="2:10" ht="13" thickBot="1">
      <c r="B55" s="134" t="s">
        <v>1018</v>
      </c>
      <c r="C55" s="4"/>
      <c r="D55" s="4"/>
      <c r="E55" s="31">
        <f>E53-E54</f>
        <v>9859.1683726609008</v>
      </c>
      <c r="F55" s="31">
        <f>F53-F54</f>
        <v>9936.241852158184</v>
      </c>
      <c r="G55" s="31">
        <f>G53-G54</f>
        <v>10016.146979483336</v>
      </c>
      <c r="H55" s="31">
        <f>H53-H54</f>
        <v>10099.033654682036</v>
      </c>
      <c r="I55" s="207">
        <f>I53-I54</f>
        <v>10185.061518086324</v>
      </c>
      <c r="J55" s="126"/>
    </row>
    <row r="56" spans="2:10" ht="13" thickBot="1">
      <c r="B56" s="124"/>
      <c r="E56" s="24"/>
      <c r="F56" s="24"/>
      <c r="G56" s="24"/>
      <c r="H56" s="24"/>
      <c r="I56" s="24"/>
      <c r="J56" s="126"/>
    </row>
    <row r="57" spans="2:10" ht="13.5" thickBot="1">
      <c r="B57" s="1531" t="s">
        <v>1019</v>
      </c>
      <c r="C57" s="1532"/>
      <c r="D57" s="1532"/>
      <c r="E57" s="1532"/>
      <c r="F57" s="1532"/>
      <c r="G57" s="1532"/>
      <c r="H57" s="1532"/>
      <c r="I57" s="1533"/>
      <c r="J57" s="126"/>
    </row>
    <row r="58" spans="2:10" ht="13" thickBot="1">
      <c r="B58" s="228" t="s">
        <v>547</v>
      </c>
      <c r="C58" s="4"/>
      <c r="D58" s="4"/>
      <c r="E58" s="263">
        <f>E34</f>
        <v>12000</v>
      </c>
      <c r="F58" s="263">
        <f>F34</f>
        <v>12240</v>
      </c>
      <c r="G58" s="263">
        <f>G34</f>
        <v>12484.800000000001</v>
      </c>
      <c r="H58" s="263">
        <f>H34</f>
        <v>12734.496000000001</v>
      </c>
      <c r="I58" s="253">
        <f>I34</f>
        <v>12989.185920000002</v>
      </c>
      <c r="J58" s="126"/>
    </row>
    <row r="59" spans="2:10" ht="13" thickBot="1">
      <c r="B59" s="124"/>
      <c r="E59" s="79"/>
      <c r="F59" s="79"/>
      <c r="G59" s="79"/>
      <c r="H59" s="79"/>
      <c r="I59" s="79"/>
      <c r="J59" s="126"/>
    </row>
    <row r="60" spans="2:10" ht="13.5" thickBot="1">
      <c r="B60" s="1531" t="s">
        <v>39</v>
      </c>
      <c r="C60" s="1532"/>
      <c r="D60" s="1532"/>
      <c r="E60" s="1532"/>
      <c r="F60" s="1532"/>
      <c r="G60" s="1532"/>
      <c r="H60" s="1532"/>
      <c r="I60" s="1533"/>
      <c r="J60" s="126"/>
    </row>
    <row r="61" spans="2:10">
      <c r="B61" s="171" t="s">
        <v>1020</v>
      </c>
      <c r="E61" s="40">
        <f>E58</f>
        <v>12000</v>
      </c>
      <c r="F61" s="40">
        <f>F58</f>
        <v>12240</v>
      </c>
      <c r="G61" s="40">
        <f>G58</f>
        <v>12484.800000000001</v>
      </c>
      <c r="H61" s="40">
        <f>H58</f>
        <v>12734.496000000001</v>
      </c>
      <c r="I61" s="244">
        <f>I58</f>
        <v>12989.185920000002</v>
      </c>
      <c r="J61" s="126"/>
    </row>
    <row r="62" spans="2:10">
      <c r="B62" s="171" t="s">
        <v>1021</v>
      </c>
      <c r="E62" s="82">
        <f>E55</f>
        <v>9859.1683726609008</v>
      </c>
      <c r="F62" s="82">
        <f>F55</f>
        <v>9936.241852158184</v>
      </c>
      <c r="G62" s="82">
        <f>G55</f>
        <v>10016.146979483336</v>
      </c>
      <c r="H62" s="82">
        <f>H55</f>
        <v>10099.033654682036</v>
      </c>
      <c r="I62" s="262">
        <f>I55</f>
        <v>10185.061518086324</v>
      </c>
      <c r="J62" s="126"/>
    </row>
    <row r="63" spans="2:10" ht="13" thickBot="1">
      <c r="B63" s="228" t="s">
        <v>992</v>
      </c>
      <c r="C63" s="4"/>
      <c r="D63" s="4"/>
      <c r="E63" s="263">
        <f>E61-E62</f>
        <v>2140.8316273390992</v>
      </c>
      <c r="F63" s="263">
        <f>F61-F62</f>
        <v>2303.758147841816</v>
      </c>
      <c r="G63" s="263">
        <f>G61-G62</f>
        <v>2468.6530205166655</v>
      </c>
      <c r="H63" s="263">
        <f>H61-H62</f>
        <v>2635.4623453179647</v>
      </c>
      <c r="I63" s="253">
        <f>I61-I62</f>
        <v>2804.1244019136775</v>
      </c>
      <c r="J63" s="126"/>
    </row>
    <row r="64" spans="2:10" ht="13" thickBot="1">
      <c r="B64" s="124"/>
      <c r="J64" s="126"/>
    </row>
    <row r="65" spans="2:10" ht="13.5" thickBot="1">
      <c r="B65" s="1531" t="s">
        <v>40</v>
      </c>
      <c r="C65" s="1532"/>
      <c r="D65" s="1532"/>
      <c r="E65" s="1532"/>
      <c r="F65" s="1532"/>
      <c r="G65" s="1532"/>
      <c r="H65" s="1532"/>
      <c r="I65" s="1533"/>
      <c r="J65" s="126"/>
    </row>
    <row r="66" spans="2:10">
      <c r="B66" s="124"/>
      <c r="E66">
        <v>1</v>
      </c>
      <c r="F66">
        <f>(1+E66)</f>
        <v>2</v>
      </c>
      <c r="G66">
        <f>(1+F66)</f>
        <v>3</v>
      </c>
      <c r="H66">
        <f>(1+G66)</f>
        <v>4</v>
      </c>
      <c r="I66" s="126">
        <f>(1+H66)</f>
        <v>5</v>
      </c>
      <c r="J66" s="126"/>
    </row>
    <row r="67" spans="2:10">
      <c r="B67" s="124" t="s">
        <v>983</v>
      </c>
      <c r="D67" s="160"/>
      <c r="E67" s="24">
        <f>+$D$7*(1+$D$10)^E66</f>
        <v>153000</v>
      </c>
      <c r="F67" s="24">
        <f>+$D$7*(1+$D$10)^F66</f>
        <v>156060</v>
      </c>
      <c r="G67" s="24">
        <f>+$D$7*(1+$D$10)^G66</f>
        <v>159181.19999999998</v>
      </c>
      <c r="H67" s="24">
        <f>+$D$7*(1+$D$10)^H66</f>
        <v>162364.82399999999</v>
      </c>
      <c r="I67" s="163">
        <f>+$D$7*(1+$D$10)^I66</f>
        <v>165612.12048000001</v>
      </c>
      <c r="J67" s="126"/>
    </row>
    <row r="68" spans="2:10">
      <c r="B68" s="124" t="s">
        <v>477</v>
      </c>
      <c r="D68" s="160"/>
      <c r="E68" s="24">
        <f>$D$16*E67</f>
        <v>10710.000000000002</v>
      </c>
      <c r="F68" s="24">
        <f>$D$16*F67</f>
        <v>10924.2</v>
      </c>
      <c r="G68" s="24">
        <f>$D$16*G67</f>
        <v>11142.683999999999</v>
      </c>
      <c r="H68" s="24">
        <f>$D$16*H67</f>
        <v>11365.537680000001</v>
      </c>
      <c r="I68" s="163">
        <f>$D$16*I67</f>
        <v>11592.848433600002</v>
      </c>
      <c r="J68" s="126"/>
    </row>
    <row r="69" spans="2:10">
      <c r="B69" s="124" t="s">
        <v>580</v>
      </c>
      <c r="E69" s="82">
        <f>E27</f>
        <v>118781.02820484596</v>
      </c>
      <c r="F69" s="82">
        <f>F27</f>
        <v>117473.93684005877</v>
      </c>
      <c r="G69" s="82">
        <f>G27</f>
        <v>116072.35573482461</v>
      </c>
      <c r="H69" s="82">
        <f>H27</f>
        <v>114569.45421816652</v>
      </c>
      <c r="I69" s="262">
        <f>I27</f>
        <v>112957.90782935025</v>
      </c>
      <c r="J69" s="126"/>
    </row>
    <row r="70" spans="2:10" ht="13" thickBot="1">
      <c r="B70" s="134" t="s">
        <v>984</v>
      </c>
      <c r="C70" s="4"/>
      <c r="D70" s="4"/>
      <c r="E70" s="31">
        <f>E67-E68-E69</f>
        <v>23508.971795154037</v>
      </c>
      <c r="F70" s="31">
        <f>F67-F68-F69</f>
        <v>27661.863159941218</v>
      </c>
      <c r="G70" s="31">
        <f>G67-G68-G69</f>
        <v>31966.160265175364</v>
      </c>
      <c r="H70" s="31">
        <f>H67-H68-H69</f>
        <v>36429.832101833468</v>
      </c>
      <c r="I70" s="207">
        <f>I67-I68-I69</f>
        <v>41061.364217049748</v>
      </c>
      <c r="J70" s="126"/>
    </row>
    <row r="71" spans="2:10" ht="13" thickBot="1">
      <c r="B71" s="124"/>
      <c r="E71" s="24"/>
      <c r="F71" s="24"/>
      <c r="G71" s="24"/>
      <c r="H71" s="24"/>
      <c r="I71" s="24"/>
      <c r="J71" s="126"/>
    </row>
    <row r="72" spans="2:10" ht="13.5" thickBot="1">
      <c r="B72" s="1531" t="s">
        <v>41</v>
      </c>
      <c r="C72" s="1532"/>
      <c r="D72" s="1532"/>
      <c r="E72" s="1532"/>
      <c r="F72" s="1532"/>
      <c r="G72" s="1532"/>
      <c r="H72" s="1532"/>
      <c r="I72" s="1533"/>
      <c r="J72" s="126"/>
    </row>
    <row r="73" spans="2:10">
      <c r="B73" s="124"/>
      <c r="E73" s="24"/>
      <c r="F73" s="24"/>
      <c r="G73" s="24"/>
      <c r="H73" s="24"/>
      <c r="I73" s="163"/>
      <c r="J73" s="126"/>
    </row>
    <row r="74" spans="2:10">
      <c r="B74" s="124" t="s">
        <v>983</v>
      </c>
      <c r="E74" s="8">
        <f t="shared" ref="E74:I75" si="1">E67</f>
        <v>153000</v>
      </c>
      <c r="F74" s="8">
        <f t="shared" si="1"/>
        <v>156060</v>
      </c>
      <c r="G74" s="8">
        <f t="shared" si="1"/>
        <v>159181.19999999998</v>
      </c>
      <c r="H74" s="8">
        <f t="shared" si="1"/>
        <v>162364.82399999999</v>
      </c>
      <c r="I74" s="158">
        <f t="shared" si="1"/>
        <v>165612.12048000001</v>
      </c>
      <c r="J74" s="126"/>
    </row>
    <row r="75" spans="2:10">
      <c r="B75" s="124" t="s">
        <v>42</v>
      </c>
      <c r="E75" s="24">
        <f t="shared" si="1"/>
        <v>10710.000000000002</v>
      </c>
      <c r="F75" s="24">
        <f t="shared" si="1"/>
        <v>10924.2</v>
      </c>
      <c r="G75" s="24">
        <f t="shared" si="1"/>
        <v>11142.683999999999</v>
      </c>
      <c r="H75" s="24">
        <f t="shared" si="1"/>
        <v>11365.537680000001</v>
      </c>
      <c r="I75" s="163">
        <f t="shared" si="1"/>
        <v>11592.848433600002</v>
      </c>
      <c r="J75" s="126"/>
    </row>
    <row r="76" spans="2:10">
      <c r="B76" s="124" t="s">
        <v>43</v>
      </c>
      <c r="E76" s="82">
        <f>$D$7</f>
        <v>150000</v>
      </c>
      <c r="F76" s="82">
        <f>$D$7</f>
        <v>150000</v>
      </c>
      <c r="G76" s="82">
        <f>$D$7</f>
        <v>150000</v>
      </c>
      <c r="H76" s="82">
        <f>$D$7</f>
        <v>150000</v>
      </c>
      <c r="I76" s="262">
        <f>$D$7</f>
        <v>150000</v>
      </c>
      <c r="J76" s="126"/>
    </row>
    <row r="77" spans="2:10">
      <c r="B77" s="124" t="s">
        <v>44</v>
      </c>
      <c r="E77" s="24">
        <f>E74-E75-E76</f>
        <v>-7710</v>
      </c>
      <c r="F77" s="24">
        <f>F74-F75-F76</f>
        <v>-4864.2000000000116</v>
      </c>
      <c r="G77" s="24">
        <f>G74-G75-G76</f>
        <v>-1961.4840000000258</v>
      </c>
      <c r="H77" s="24">
        <f>H74-H75-H76</f>
        <v>999.2863199999847</v>
      </c>
      <c r="I77" s="163">
        <f>I74-I75-I76</f>
        <v>4019.2720464000013</v>
      </c>
      <c r="J77" s="126"/>
    </row>
    <row r="78" spans="2:10">
      <c r="B78" s="124" t="s">
        <v>45</v>
      </c>
      <c r="E78" s="24">
        <f>IF(E77&lt;=0,0,IF(E77&lt;500000,E77,500000-E77))</f>
        <v>0</v>
      </c>
      <c r="F78" s="24">
        <f>IF(F77&lt;=0,0,IF(F77&lt;500000,F77,500000-F77))</f>
        <v>0</v>
      </c>
      <c r="G78" s="24">
        <f>IF(G77&lt;=0,0,IF(G77&lt;500000,G77,500000-G77))</f>
        <v>0</v>
      </c>
      <c r="H78" s="24">
        <f>IF(H77&lt;=0,0,IF(H77&lt;500000,H77,500000-H77))</f>
        <v>999.2863199999847</v>
      </c>
      <c r="I78" s="163">
        <f>IF(I77&lt;=0,0,IF(I77&lt;500000,I77,500000-I77))</f>
        <v>4019.2720464000013</v>
      </c>
      <c r="J78" s="126"/>
    </row>
    <row r="79" spans="2:10">
      <c r="B79" s="124" t="s">
        <v>46</v>
      </c>
      <c r="E79" s="24">
        <f>IF(E77-E78&lt;0,0,E77-E78)</f>
        <v>0</v>
      </c>
      <c r="F79" s="24">
        <f>IF(F77-F78&lt;0,0,F77-F78)</f>
        <v>0</v>
      </c>
      <c r="G79" s="24">
        <f>IF(G77-G78&lt;0,0,G77-G78)</f>
        <v>0</v>
      </c>
      <c r="H79" s="24">
        <f>IF(H77-H78&lt;0,0,H77-H78)</f>
        <v>0</v>
      </c>
      <c r="I79" s="163">
        <f>IF(I77-I78&lt;0,0,I77-I78)</f>
        <v>0</v>
      </c>
      <c r="J79" s="126"/>
    </row>
    <row r="80" spans="2:10">
      <c r="B80" s="124" t="s">
        <v>47</v>
      </c>
      <c r="E80" s="24">
        <f>E79*$D$14</f>
        <v>0</v>
      </c>
      <c r="F80" s="24">
        <f>F79*$D$14</f>
        <v>0</v>
      </c>
      <c r="G80" s="24">
        <f>G79*$D$14</f>
        <v>0</v>
      </c>
      <c r="H80" s="24">
        <f>H79*$D$14</f>
        <v>0</v>
      </c>
      <c r="I80" s="24">
        <f>I79*$D$14</f>
        <v>0</v>
      </c>
      <c r="J80" s="126"/>
    </row>
    <row r="81" spans="2:10" ht="13" thickBot="1">
      <c r="B81" s="134" t="s">
        <v>596</v>
      </c>
      <c r="C81" s="4"/>
      <c r="D81" s="4"/>
      <c r="E81" s="31">
        <f>E70-E80</f>
        <v>23508.971795154037</v>
      </c>
      <c r="F81" s="31">
        <f>F70-F80</f>
        <v>27661.863159941218</v>
      </c>
      <c r="G81" s="31">
        <f>G70-G80</f>
        <v>31966.160265175364</v>
      </c>
      <c r="H81" s="31">
        <f>H70-H80</f>
        <v>36429.832101833468</v>
      </c>
      <c r="I81" s="207">
        <f>I70-I80</f>
        <v>41061.364217049748</v>
      </c>
      <c r="J81" s="126"/>
    </row>
    <row r="82" spans="2:10" ht="13" thickBot="1">
      <c r="B82" s="124"/>
      <c r="D82" s="268"/>
      <c r="J82" s="126"/>
    </row>
    <row r="83" spans="2:10" ht="13.5" thickBot="1">
      <c r="B83" s="1531" t="s">
        <v>985</v>
      </c>
      <c r="C83" s="1532"/>
      <c r="D83" s="1532"/>
      <c r="E83" s="1532"/>
      <c r="F83" s="1532"/>
      <c r="G83" s="1532"/>
      <c r="H83" s="1532"/>
      <c r="I83" s="1532"/>
      <c r="J83" s="1534"/>
    </row>
    <row r="84" spans="2:10" ht="13.5" thickBot="1">
      <c r="B84" s="124"/>
      <c r="E84" s="264" t="s">
        <v>993</v>
      </c>
      <c r="J84" s="204" t="s">
        <v>995</v>
      </c>
    </row>
    <row r="85" spans="2:10">
      <c r="B85" s="124"/>
      <c r="C85" t="s">
        <v>994</v>
      </c>
      <c r="D85">
        <v>0</v>
      </c>
      <c r="E85">
        <f>(1+D85)</f>
        <v>1</v>
      </c>
      <c r="F85">
        <f>(1+E85)</f>
        <v>2</v>
      </c>
      <c r="G85">
        <f>(1+F85)</f>
        <v>3</v>
      </c>
      <c r="H85">
        <f>(1+G85)</f>
        <v>4</v>
      </c>
      <c r="I85">
        <f>(1+H85)</f>
        <v>5</v>
      </c>
      <c r="J85" s="126"/>
    </row>
    <row r="86" spans="2:10" ht="13">
      <c r="B86" s="124"/>
      <c r="C86">
        <v>1</v>
      </c>
      <c r="D86" s="231">
        <f>-($D$7-$H$7)</f>
        <v>-30000</v>
      </c>
      <c r="E86" s="8">
        <f>E63+E81</f>
        <v>25649.803422493136</v>
      </c>
      <c r="J86" s="265">
        <f>IRR(D86:I86,0.1)</f>
        <v>-0.14500655258356221</v>
      </c>
    </row>
    <row r="87" spans="2:10" ht="13">
      <c r="B87" s="124"/>
      <c r="C87">
        <v>2</v>
      </c>
      <c r="D87" s="231">
        <f>-($D$7-$H$7)</f>
        <v>-30000</v>
      </c>
      <c r="E87" s="231">
        <f>E63</f>
        <v>2140.8316273390992</v>
      </c>
      <c r="F87" s="231">
        <f>F63+F81</f>
        <v>29965.621307783033</v>
      </c>
      <c r="G87" s="231"/>
      <c r="H87" s="231"/>
      <c r="I87" s="231"/>
      <c r="J87" s="265">
        <f>IRR(D87:I87,0.1)</f>
        <v>3.5744096904836598E-2</v>
      </c>
    </row>
    <row r="88" spans="2:10" ht="13">
      <c r="B88" s="124"/>
      <c r="C88">
        <v>3</v>
      </c>
      <c r="D88" s="231">
        <f>-($D$7-$H$7)</f>
        <v>-30000</v>
      </c>
      <c r="E88" s="231">
        <f>E63</f>
        <v>2140.8316273390992</v>
      </c>
      <c r="F88" s="231">
        <f>F63</f>
        <v>2303.758147841816</v>
      </c>
      <c r="G88" s="231">
        <f>G63+G81</f>
        <v>34434.813285692027</v>
      </c>
      <c r="H88" s="231"/>
      <c r="I88" s="231"/>
      <c r="J88" s="265">
        <f>IRR(D88:I88,0.1)</f>
        <v>9.6349505584755413E-2</v>
      </c>
    </row>
    <row r="89" spans="2:10" ht="13">
      <c r="B89" s="124"/>
      <c r="C89">
        <v>4</v>
      </c>
      <c r="D89" s="231">
        <f>-($D$7-$H$7)</f>
        <v>-30000</v>
      </c>
      <c r="E89" s="231">
        <f>E63</f>
        <v>2140.8316273390992</v>
      </c>
      <c r="F89" s="231">
        <f>F63</f>
        <v>2303.758147841816</v>
      </c>
      <c r="G89" s="231">
        <f>G63</f>
        <v>2468.6530205166655</v>
      </c>
      <c r="H89" s="231">
        <f>H63+H81</f>
        <v>39065.294447151435</v>
      </c>
      <c r="I89" s="231"/>
      <c r="J89" s="265">
        <f>IRR(D89:I89,0.1)</f>
        <v>0.12339849642260448</v>
      </c>
    </row>
    <row r="90" spans="2:10" ht="13">
      <c r="B90" s="124"/>
      <c r="C90">
        <v>5</v>
      </c>
      <c r="D90" s="231">
        <f>-($D$7-$H$7)</f>
        <v>-30000</v>
      </c>
      <c r="E90" s="231">
        <f>E63</f>
        <v>2140.8316273390992</v>
      </c>
      <c r="F90" s="231">
        <f>F63</f>
        <v>2303.758147841816</v>
      </c>
      <c r="G90" s="231">
        <f>G63</f>
        <v>2468.6530205166655</v>
      </c>
      <c r="H90" s="231">
        <f>H63</f>
        <v>2635.4623453179647</v>
      </c>
      <c r="I90" s="231">
        <f>I63+I81</f>
        <v>43865.488618963427</v>
      </c>
      <c r="J90" s="265">
        <f>IRR(D90:I90,0.1)</f>
        <v>0.13705035377999031</v>
      </c>
    </row>
    <row r="91" spans="2:10" ht="13" thickBot="1">
      <c r="B91" s="134"/>
      <c r="C91" s="4"/>
      <c r="D91" s="254"/>
      <c r="E91" s="254"/>
      <c r="F91" s="254"/>
      <c r="G91" s="254"/>
      <c r="H91" s="254"/>
      <c r="I91" s="254"/>
      <c r="J91" s="135"/>
    </row>
    <row r="92" spans="2:10">
      <c r="E92" s="23"/>
    </row>
    <row r="93" spans="2:10">
      <c r="E93" s="23"/>
      <c r="H93" s="23"/>
      <c r="I93" s="23"/>
    </row>
  </sheetData>
  <mergeCells count="15">
    <mergeCell ref="B18:D18"/>
    <mergeCell ref="B24:I24"/>
    <mergeCell ref="B31:I31"/>
    <mergeCell ref="B36:I36"/>
    <mergeCell ref="B2:J2"/>
    <mergeCell ref="B3:J3"/>
    <mergeCell ref="B5:D5"/>
    <mergeCell ref="F5:H5"/>
    <mergeCell ref="B65:I65"/>
    <mergeCell ref="B72:I72"/>
    <mergeCell ref="B83:J83"/>
    <mergeCell ref="B45:I45"/>
    <mergeCell ref="B52:I52"/>
    <mergeCell ref="B57:I57"/>
    <mergeCell ref="B60:I60"/>
  </mergeCells>
  <phoneticPr fontId="0"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BB901"/>
  </sheetPr>
  <dimension ref="B1:P67"/>
  <sheetViews>
    <sheetView workbookViewId="0">
      <selection activeCell="R17" sqref="R17"/>
    </sheetView>
  </sheetViews>
  <sheetFormatPr defaultRowHeight="12.5"/>
  <cols>
    <col min="1" max="1" width="2.7265625" customWidth="1"/>
    <col min="2" max="2" width="13.1796875" customWidth="1"/>
    <col min="3" max="4" width="12.453125" customWidth="1"/>
    <col min="5" max="5" width="12.54296875" customWidth="1"/>
    <col min="6" max="6" width="11" customWidth="1"/>
    <col min="7" max="7" width="10.54296875" customWidth="1"/>
    <col min="8" max="8" width="11.54296875" customWidth="1"/>
    <col min="9" max="9" width="6.1796875" customWidth="1"/>
    <col min="10" max="10" width="14.81640625" customWidth="1"/>
    <col min="11" max="11" width="12.7265625" customWidth="1"/>
    <col min="13" max="13" width="12.453125" customWidth="1"/>
    <col min="14" max="14" width="12" customWidth="1"/>
    <col min="15" max="15" width="11" customWidth="1"/>
    <col min="16" max="16" width="11.54296875" customWidth="1"/>
  </cols>
  <sheetData>
    <row r="1" spans="2:16" ht="13" thickBot="1"/>
    <row r="2" spans="2:16" ht="18.5" thickBot="1">
      <c r="B2" s="1525" t="s">
        <v>1741</v>
      </c>
      <c r="C2" s="1557"/>
      <c r="D2" s="1557"/>
      <c r="E2" s="1557"/>
      <c r="F2" s="1557"/>
      <c r="G2" s="1557"/>
      <c r="H2" s="1558"/>
      <c r="I2" s="25"/>
      <c r="J2" s="1525" t="s">
        <v>1743</v>
      </c>
      <c r="K2" s="1557"/>
      <c r="L2" s="1557"/>
      <c r="M2" s="1557"/>
      <c r="N2" s="1557"/>
      <c r="O2" s="1557"/>
      <c r="P2" s="1558"/>
    </row>
    <row r="3" spans="2:16" ht="16" thickBot="1">
      <c r="B3" s="1528" t="s">
        <v>1742</v>
      </c>
      <c r="C3" s="1540"/>
      <c r="D3" s="1540"/>
      <c r="E3" s="1540"/>
      <c r="F3" s="1540"/>
      <c r="G3" s="1540"/>
      <c r="H3" s="1541"/>
      <c r="I3" s="26"/>
      <c r="J3" s="1528" t="s">
        <v>1742</v>
      </c>
      <c r="K3" s="1540"/>
      <c r="L3" s="1540"/>
      <c r="M3" s="1540"/>
      <c r="N3" s="1540"/>
      <c r="O3" s="1540"/>
      <c r="P3" s="1541"/>
    </row>
    <row r="4" spans="2:16">
      <c r="B4" s="124"/>
      <c r="H4" s="126"/>
      <c r="J4" s="124"/>
      <c r="P4" s="126"/>
    </row>
    <row r="5" spans="2:16" ht="13" thickBot="1">
      <c r="B5" s="124"/>
      <c r="H5" s="126"/>
      <c r="J5" s="124"/>
      <c r="P5" s="126"/>
    </row>
    <row r="6" spans="2:16" ht="13.5" thickBot="1">
      <c r="B6" s="1531" t="s">
        <v>207</v>
      </c>
      <c r="C6" s="1532"/>
      <c r="D6" s="1532"/>
      <c r="E6" s="1532"/>
      <c r="F6" s="1532"/>
      <c r="G6" s="1532"/>
      <c r="H6" s="1533"/>
      <c r="J6" s="1531" t="s">
        <v>207</v>
      </c>
      <c r="K6" s="1532"/>
      <c r="L6" s="1532"/>
      <c r="M6" s="1532"/>
      <c r="N6" s="1532"/>
      <c r="O6" s="1532"/>
      <c r="P6" s="1533"/>
    </row>
    <row r="7" spans="2:16" ht="13.5" thickBot="1">
      <c r="B7" s="1118" t="s">
        <v>256</v>
      </c>
      <c r="C7" s="1370"/>
      <c r="D7" s="1372">
        <v>0.1</v>
      </c>
      <c r="E7" s="1523" t="s">
        <v>257</v>
      </c>
      <c r="F7" s="1370"/>
      <c r="G7" s="1370"/>
      <c r="H7" s="1371"/>
      <c r="J7" s="1118" t="s">
        <v>256</v>
      </c>
      <c r="K7" s="1370"/>
      <c r="L7" s="1372">
        <v>0.06</v>
      </c>
      <c r="M7" s="1523" t="s">
        <v>257</v>
      </c>
      <c r="N7" s="1370"/>
      <c r="O7" s="1370"/>
      <c r="P7" s="1371"/>
    </row>
    <row r="8" spans="2:16" ht="13">
      <c r="B8" s="829"/>
      <c r="C8" s="1299"/>
      <c r="D8" s="1373"/>
      <c r="E8" s="1133" t="s">
        <v>259</v>
      </c>
      <c r="F8" s="268"/>
      <c r="G8" s="1374">
        <v>20</v>
      </c>
      <c r="H8" s="1308"/>
      <c r="J8" s="829"/>
      <c r="K8" s="1299"/>
      <c r="L8" s="1373"/>
      <c r="M8" s="1133" t="s">
        <v>259</v>
      </c>
      <c r="N8" s="268"/>
      <c r="O8" s="1374">
        <v>20</v>
      </c>
      <c r="P8" s="1308"/>
    </row>
    <row r="9" spans="2:16">
      <c r="B9" s="1300"/>
      <c r="C9" s="1299"/>
      <c r="D9" s="1375"/>
      <c r="E9" s="1133" t="s">
        <v>260</v>
      </c>
      <c r="F9" s="268"/>
      <c r="G9" s="1374">
        <v>1</v>
      </c>
      <c r="H9" s="1308" t="s">
        <v>258</v>
      </c>
      <c r="J9" s="1300"/>
      <c r="K9" s="1299"/>
      <c r="L9" s="1375"/>
      <c r="M9" s="1133" t="s">
        <v>260</v>
      </c>
      <c r="N9" s="268"/>
      <c r="O9" s="1374">
        <v>1</v>
      </c>
      <c r="P9" s="1308" t="s">
        <v>258</v>
      </c>
    </row>
    <row r="10" spans="2:16">
      <c r="B10" s="1300"/>
      <c r="C10" s="1299"/>
      <c r="D10" s="1375"/>
      <c r="E10" s="1133" t="s">
        <v>261</v>
      </c>
      <c r="F10" s="268"/>
      <c r="G10" s="1374">
        <v>20</v>
      </c>
      <c r="H10" s="1308"/>
      <c r="J10" s="1300"/>
      <c r="K10" s="1299"/>
      <c r="L10" s="1375"/>
      <c r="M10" s="1133" t="s">
        <v>261</v>
      </c>
      <c r="N10" s="268"/>
      <c r="O10" s="1374">
        <v>20</v>
      </c>
      <c r="P10" s="1308"/>
    </row>
    <row r="11" spans="2:16" ht="13" thickBot="1">
      <c r="B11" s="1376"/>
      <c r="C11" s="1377"/>
      <c r="D11" s="1378"/>
      <c r="E11" s="134"/>
      <c r="F11" s="4"/>
      <c r="G11" s="4"/>
      <c r="H11" s="135"/>
      <c r="J11" s="1376"/>
      <c r="K11" s="1377"/>
      <c r="L11" s="1378"/>
      <c r="M11" s="134"/>
      <c r="N11" s="4"/>
      <c r="O11" s="4"/>
      <c r="P11" s="135"/>
    </row>
    <row r="12" spans="2:16">
      <c r="B12" s="124"/>
      <c r="H12" s="126"/>
      <c r="J12" s="124"/>
      <c r="P12" s="126"/>
    </row>
    <row r="13" spans="2:16" ht="13" thickBot="1">
      <c r="B13" s="124"/>
      <c r="H13" s="126"/>
      <c r="J13" s="124"/>
      <c r="P13" s="126"/>
    </row>
    <row r="14" spans="2:16" ht="13.5" thickBot="1">
      <c r="B14" s="1547" t="s">
        <v>1619</v>
      </c>
      <c r="C14" s="1548"/>
      <c r="D14" s="1548"/>
      <c r="E14" s="1548"/>
      <c r="F14" s="1548"/>
      <c r="G14" s="1548"/>
      <c r="H14" s="1549"/>
      <c r="J14" s="1547" t="s">
        <v>1619</v>
      </c>
      <c r="K14" s="1548"/>
      <c r="L14" s="1548"/>
      <c r="M14" s="1548"/>
      <c r="N14" s="1548"/>
      <c r="O14" s="1548"/>
      <c r="P14" s="1549"/>
    </row>
    <row r="15" spans="2:16" ht="13.5" thickBot="1">
      <c r="B15" s="157" t="s">
        <v>262</v>
      </c>
      <c r="C15" s="157">
        <v>0</v>
      </c>
      <c r="D15" s="157">
        <v>1</v>
      </c>
      <c r="E15" s="157">
        <v>2</v>
      </c>
      <c r="F15" s="157">
        <v>3</v>
      </c>
      <c r="G15" s="157">
        <v>4</v>
      </c>
      <c r="H15" s="157">
        <v>5</v>
      </c>
      <c r="J15" s="157" t="s">
        <v>262</v>
      </c>
      <c r="K15" s="157">
        <v>0</v>
      </c>
      <c r="L15" s="157">
        <v>1</v>
      </c>
      <c r="M15" s="157">
        <v>2</v>
      </c>
      <c r="N15" s="157">
        <v>3</v>
      </c>
      <c r="O15" s="157">
        <v>4</v>
      </c>
      <c r="P15" s="157">
        <v>5</v>
      </c>
    </row>
    <row r="16" spans="2:16">
      <c r="B16" s="230" t="s">
        <v>266</v>
      </c>
      <c r="C16" s="122"/>
      <c r="D16" s="1379">
        <v>40</v>
      </c>
      <c r="E16" s="1379">
        <v>40</v>
      </c>
      <c r="F16" s="1379">
        <v>40</v>
      </c>
      <c r="G16" s="1379">
        <v>40</v>
      </c>
      <c r="H16" s="1380">
        <v>40</v>
      </c>
      <c r="J16" s="230" t="s">
        <v>266</v>
      </c>
      <c r="K16" s="122"/>
      <c r="L16" s="1379">
        <v>40</v>
      </c>
      <c r="M16" s="1379">
        <v>40</v>
      </c>
      <c r="N16" s="1379">
        <v>40</v>
      </c>
      <c r="O16" s="1379">
        <v>40</v>
      </c>
      <c r="P16" s="1380">
        <v>40</v>
      </c>
    </row>
    <row r="17" spans="2:16">
      <c r="B17" s="1133" t="s">
        <v>1620</v>
      </c>
      <c r="D17" s="464">
        <f>$G$8</f>
        <v>20</v>
      </c>
      <c r="E17" s="464">
        <f>+D17+$G$9</f>
        <v>21</v>
      </c>
      <c r="F17" s="464">
        <f>+E17+$G$9</f>
        <v>22</v>
      </c>
      <c r="G17" s="464">
        <f>+F17+$G$9</f>
        <v>23</v>
      </c>
      <c r="H17" s="1381">
        <f>+G17+$G$9</f>
        <v>24</v>
      </c>
      <c r="J17" s="1133" t="s">
        <v>1620</v>
      </c>
      <c r="L17" s="464">
        <f>$G$8</f>
        <v>20</v>
      </c>
      <c r="M17" s="464">
        <f>+L17+$G$9</f>
        <v>21</v>
      </c>
      <c r="N17" s="464">
        <f>+M17+$G$9</f>
        <v>22</v>
      </c>
      <c r="O17" s="464">
        <f>+N17+$G$9</f>
        <v>23</v>
      </c>
      <c r="P17" s="1381">
        <f>+O17+$G$9</f>
        <v>24</v>
      </c>
    </row>
    <row r="18" spans="2:16">
      <c r="B18" s="1133" t="s">
        <v>1621</v>
      </c>
      <c r="D18" s="1382">
        <v>0</v>
      </c>
      <c r="E18" s="1382">
        <v>0</v>
      </c>
      <c r="F18" s="1382">
        <v>0</v>
      </c>
      <c r="G18" s="1382">
        <v>0</v>
      </c>
      <c r="H18" s="1383">
        <v>0</v>
      </c>
      <c r="J18" s="1133" t="s">
        <v>1621</v>
      </c>
      <c r="L18" s="1382">
        <v>0</v>
      </c>
      <c r="M18" s="1382">
        <v>0</v>
      </c>
      <c r="N18" s="1382">
        <v>0</v>
      </c>
      <c r="O18" s="1382">
        <v>0</v>
      </c>
      <c r="P18" s="1383">
        <v>0</v>
      </c>
    </row>
    <row r="19" spans="2:16">
      <c r="B19" s="1133" t="s">
        <v>1622</v>
      </c>
      <c r="D19" s="464">
        <f>D16-D17+D18</f>
        <v>20</v>
      </c>
      <c r="E19" s="464">
        <f t="shared" ref="E19:H19" si="0">E16-E17+E18</f>
        <v>19</v>
      </c>
      <c r="F19" s="464">
        <f t="shared" si="0"/>
        <v>18</v>
      </c>
      <c r="G19" s="464">
        <f t="shared" si="0"/>
        <v>17</v>
      </c>
      <c r="H19" s="1381">
        <f t="shared" si="0"/>
        <v>16</v>
      </c>
      <c r="J19" s="1133" t="s">
        <v>1622</v>
      </c>
      <c r="L19" s="464">
        <f>L16-L17+L18</f>
        <v>20</v>
      </c>
      <c r="M19" s="464">
        <f t="shared" ref="M19:P19" si="1">M16-M17+M18</f>
        <v>19</v>
      </c>
      <c r="N19" s="464">
        <f t="shared" si="1"/>
        <v>18</v>
      </c>
      <c r="O19" s="464">
        <f t="shared" si="1"/>
        <v>17</v>
      </c>
      <c r="P19" s="1381">
        <f t="shared" si="1"/>
        <v>16</v>
      </c>
    </row>
    <row r="20" spans="2:16">
      <c r="B20" s="1133" t="s">
        <v>1623</v>
      </c>
      <c r="C20" s="464">
        <f>AVERAGE(D19:H19)</f>
        <v>18</v>
      </c>
      <c r="H20" s="126"/>
      <c r="J20" s="1133" t="s">
        <v>1623</v>
      </c>
      <c r="K20" s="464">
        <f>AVERAGE(L19:P19)</f>
        <v>18</v>
      </c>
      <c r="P20" s="126"/>
    </row>
    <row r="21" spans="2:16">
      <c r="B21" s="124" t="s">
        <v>263</v>
      </c>
      <c r="C21" s="1384">
        <f>NPV($D$7,D19:H19)</f>
        <v>68.953933847042222</v>
      </c>
      <c r="H21" s="126"/>
      <c r="J21" s="124" t="s">
        <v>263</v>
      </c>
      <c r="K21" s="1384">
        <f>NPV($L$7,L19:P19)</f>
        <v>76.312727024057139</v>
      </c>
      <c r="P21" s="126"/>
    </row>
    <row r="22" spans="2:16" ht="13" thickBot="1">
      <c r="B22" s="134" t="s">
        <v>264</v>
      </c>
      <c r="C22" s="1385">
        <f>PMT(D7,H15,-C21)</f>
        <v>18.189874039737266</v>
      </c>
      <c r="D22" s="4"/>
      <c r="E22" s="4"/>
      <c r="F22" s="4"/>
      <c r="G22" s="4"/>
      <c r="H22" s="135"/>
      <c r="J22" s="134" t="s">
        <v>264</v>
      </c>
      <c r="K22" s="1385">
        <f>PMT(L7,P15,-K21)</f>
        <v>18.116366702599134</v>
      </c>
      <c r="L22" s="4"/>
      <c r="M22" s="4"/>
      <c r="N22" s="4"/>
      <c r="O22" s="4"/>
      <c r="P22" s="135"/>
    </row>
    <row r="23" spans="2:16">
      <c r="B23" s="124"/>
      <c r="C23" s="1386"/>
      <c r="H23" s="126"/>
      <c r="J23" s="124"/>
      <c r="K23" s="1386"/>
      <c r="P23" s="126"/>
    </row>
    <row r="24" spans="2:16" ht="13" thickBot="1">
      <c r="B24" s="124"/>
      <c r="H24" s="126"/>
      <c r="J24" s="124"/>
      <c r="P24" s="126"/>
    </row>
    <row r="25" spans="2:16" ht="13.5" thickBot="1">
      <c r="B25" s="1547" t="s">
        <v>1624</v>
      </c>
      <c r="C25" s="1548"/>
      <c r="D25" s="1548"/>
      <c r="E25" s="1548"/>
      <c r="F25" s="1548"/>
      <c r="G25" s="1548"/>
      <c r="H25" s="1549"/>
      <c r="J25" s="1547" t="s">
        <v>1624</v>
      </c>
      <c r="K25" s="1548"/>
      <c r="L25" s="1548"/>
      <c r="M25" s="1548"/>
      <c r="N25" s="1548"/>
      <c r="O25" s="1548"/>
      <c r="P25" s="1549"/>
    </row>
    <row r="26" spans="2:16" ht="13.5" thickBot="1">
      <c r="B26" s="157" t="s">
        <v>262</v>
      </c>
      <c r="C26" s="157">
        <v>0</v>
      </c>
      <c r="D26" s="157">
        <v>1</v>
      </c>
      <c r="E26" s="157">
        <v>2</v>
      </c>
      <c r="F26" s="157">
        <v>3</v>
      </c>
      <c r="G26" s="157">
        <v>4</v>
      </c>
      <c r="H26" s="157">
        <v>5</v>
      </c>
      <c r="J26" s="157" t="s">
        <v>262</v>
      </c>
      <c r="K26" s="157">
        <v>0</v>
      </c>
      <c r="L26" s="157">
        <v>1</v>
      </c>
      <c r="M26" s="157">
        <v>2</v>
      </c>
      <c r="N26" s="157">
        <v>3</v>
      </c>
      <c r="O26" s="157">
        <v>4</v>
      </c>
      <c r="P26" s="157">
        <v>5</v>
      </c>
    </row>
    <row r="27" spans="2:16">
      <c r="B27" s="230" t="s">
        <v>266</v>
      </c>
      <c r="C27" s="122"/>
      <c r="D27" s="1379">
        <v>38</v>
      </c>
      <c r="E27" s="1379">
        <v>38</v>
      </c>
      <c r="F27" s="1379">
        <v>38</v>
      </c>
      <c r="G27" s="1379">
        <v>38</v>
      </c>
      <c r="H27" s="1380">
        <v>38</v>
      </c>
      <c r="J27" s="230" t="s">
        <v>266</v>
      </c>
      <c r="K27" s="122"/>
      <c r="L27" s="1379">
        <v>38</v>
      </c>
      <c r="M27" s="1379">
        <v>38</v>
      </c>
      <c r="N27" s="1379">
        <v>38</v>
      </c>
      <c r="O27" s="1379">
        <v>38</v>
      </c>
      <c r="P27" s="1380">
        <v>38</v>
      </c>
    </row>
    <row r="28" spans="2:16">
      <c r="B28" s="1133" t="s">
        <v>1620</v>
      </c>
      <c r="D28" s="464">
        <f>$G$8</f>
        <v>20</v>
      </c>
      <c r="E28" s="464">
        <f>+D28+$G$9</f>
        <v>21</v>
      </c>
      <c r="F28" s="464">
        <f>+E28+$G$9</f>
        <v>22</v>
      </c>
      <c r="G28" s="464">
        <f>+F28+$G$9</f>
        <v>23</v>
      </c>
      <c r="H28" s="1381">
        <f>+G28+$G$9</f>
        <v>24</v>
      </c>
      <c r="J28" s="1133" t="s">
        <v>1620</v>
      </c>
      <c r="L28" s="464">
        <f>$G$8</f>
        <v>20</v>
      </c>
      <c r="M28" s="464">
        <f>+L28+$G$9</f>
        <v>21</v>
      </c>
      <c r="N28" s="464">
        <f>+M28+$G$9</f>
        <v>22</v>
      </c>
      <c r="O28" s="464">
        <f>+N28+$G$9</f>
        <v>23</v>
      </c>
      <c r="P28" s="1381">
        <f>+O28+$G$9</f>
        <v>24</v>
      </c>
    </row>
    <row r="29" spans="2:16">
      <c r="B29" s="1133" t="s">
        <v>1621</v>
      </c>
      <c r="D29" s="1382">
        <f>IF(D28&gt;$G$8,(D28-$G$8),0)</f>
        <v>0</v>
      </c>
      <c r="E29" s="1382">
        <f>IF(E28&gt;$G$8,(E28-$G$8),0)</f>
        <v>1</v>
      </c>
      <c r="F29" s="1382">
        <f>IF(F28&gt;$G$8,(F28-$G$8),0)</f>
        <v>2</v>
      </c>
      <c r="G29" s="1382">
        <f>IF(G28&gt;$G$8,(G28-$G$8),0)</f>
        <v>3</v>
      </c>
      <c r="H29" s="1383">
        <f>IF(H28&gt;$G$8,(H28-$G$8),0)</f>
        <v>4</v>
      </c>
      <c r="J29" s="1133" t="s">
        <v>1621</v>
      </c>
      <c r="L29" s="1382">
        <f>IF(L28&gt;$G$8,(L28-$G$8),0)</f>
        <v>0</v>
      </c>
      <c r="M29" s="1382">
        <f>IF(M28&gt;$G$8,(M28-$G$8),0)</f>
        <v>1</v>
      </c>
      <c r="N29" s="1382">
        <f>IF(N28&gt;$G$8,(N28-$G$8),0)</f>
        <v>2</v>
      </c>
      <c r="O29" s="1382">
        <f>IF(O28&gt;$G$8,(O28-$G$8),0)</f>
        <v>3</v>
      </c>
      <c r="P29" s="1383">
        <f>IF(P28&gt;$G$8,(P28-$G$8),0)</f>
        <v>4</v>
      </c>
    </row>
    <row r="30" spans="2:16">
      <c r="B30" s="1133" t="s">
        <v>1625</v>
      </c>
      <c r="D30" s="464">
        <f>D27-D28+D29</f>
        <v>18</v>
      </c>
      <c r="E30" s="464">
        <f t="shared" ref="E30:H30" si="2">E27-E28+E29</f>
        <v>18</v>
      </c>
      <c r="F30" s="464">
        <f t="shared" si="2"/>
        <v>18</v>
      </c>
      <c r="G30" s="464">
        <f t="shared" si="2"/>
        <v>18</v>
      </c>
      <c r="H30" s="1381">
        <f t="shared" si="2"/>
        <v>18</v>
      </c>
      <c r="J30" s="1133" t="s">
        <v>1625</v>
      </c>
      <c r="L30" s="464">
        <f>L27-L28+L29</f>
        <v>18</v>
      </c>
      <c r="M30" s="464">
        <f t="shared" ref="M30:P30" si="3">M27-M28+M29</f>
        <v>18</v>
      </c>
      <c r="N30" s="464">
        <f t="shared" si="3"/>
        <v>18</v>
      </c>
      <c r="O30" s="464">
        <f t="shared" si="3"/>
        <v>18</v>
      </c>
      <c r="P30" s="1381">
        <f t="shared" si="3"/>
        <v>18</v>
      </c>
    </row>
    <row r="31" spans="2:16">
      <c r="B31" s="1133" t="s">
        <v>1623</v>
      </c>
      <c r="C31" s="464">
        <f>AVERAGE(D30:H30)</f>
        <v>18</v>
      </c>
      <c r="H31" s="126"/>
      <c r="J31" s="1133" t="s">
        <v>1623</v>
      </c>
      <c r="K31" s="464">
        <f>AVERAGE(L30:P30)</f>
        <v>18</v>
      </c>
      <c r="P31" s="126"/>
    </row>
    <row r="32" spans="2:16">
      <c r="B32" s="124" t="s">
        <v>263</v>
      </c>
      <c r="C32" s="1384">
        <f>NPV($D$7,D30:H30)</f>
        <v>68.234161849352049</v>
      </c>
      <c r="H32" s="126"/>
      <c r="J32" s="124" t="s">
        <v>263</v>
      </c>
      <c r="K32" s="1384">
        <f>NPV($L$7,L30:P30)</f>
        <v>75.822548140182832</v>
      </c>
      <c r="P32" s="126"/>
    </row>
    <row r="33" spans="2:16" ht="13" thickBot="1">
      <c r="B33" s="134" t="s">
        <v>264</v>
      </c>
      <c r="C33" s="1385">
        <f>PMT($D$7,H26,-C32)</f>
        <v>17.999999999999996</v>
      </c>
      <c r="D33" s="4"/>
      <c r="E33" s="4"/>
      <c r="F33" s="4"/>
      <c r="G33" s="4"/>
      <c r="H33" s="135"/>
      <c r="J33" s="134" t="s">
        <v>264</v>
      </c>
      <c r="K33" s="1385">
        <f>PMT($L$7,P26,-K32)</f>
        <v>17.999999999999996</v>
      </c>
      <c r="L33" s="4"/>
      <c r="M33" s="4"/>
      <c r="N33" s="4"/>
      <c r="O33" s="4"/>
      <c r="P33" s="135"/>
    </row>
    <row r="34" spans="2:16">
      <c r="B34" s="124"/>
      <c r="D34" s="161"/>
      <c r="H34" s="126"/>
      <c r="J34" s="124"/>
      <c r="L34" s="161"/>
      <c r="P34" s="126"/>
    </row>
    <row r="35" spans="2:16" ht="13" thickBot="1">
      <c r="B35" s="124"/>
      <c r="D35" s="161"/>
      <c r="H35" s="126"/>
      <c r="J35" s="124"/>
      <c r="L35" s="161"/>
      <c r="P35" s="126"/>
    </row>
    <row r="36" spans="2:16" ht="13.5" thickBot="1">
      <c r="B36" s="1547" t="s">
        <v>1626</v>
      </c>
      <c r="C36" s="1548"/>
      <c r="D36" s="1548"/>
      <c r="E36" s="1548"/>
      <c r="F36" s="1548"/>
      <c r="G36" s="1548"/>
      <c r="H36" s="1549"/>
      <c r="J36" s="1547" t="s">
        <v>1740</v>
      </c>
      <c r="K36" s="1548"/>
      <c r="L36" s="1548"/>
      <c r="M36" s="1548"/>
      <c r="N36" s="1548"/>
      <c r="O36" s="1548"/>
      <c r="P36" s="1549"/>
    </row>
    <row r="37" spans="2:16" ht="13.5" thickBot="1">
      <c r="B37" s="157" t="s">
        <v>262</v>
      </c>
      <c r="C37" s="157">
        <v>0</v>
      </c>
      <c r="D37" s="157">
        <v>1</v>
      </c>
      <c r="E37" s="157">
        <v>2</v>
      </c>
      <c r="F37" s="157">
        <v>3</v>
      </c>
      <c r="G37" s="157">
        <v>4</v>
      </c>
      <c r="H37" s="157">
        <v>5</v>
      </c>
      <c r="J37" s="157" t="s">
        <v>262</v>
      </c>
      <c r="K37" s="157">
        <v>0</v>
      </c>
      <c r="L37" s="157">
        <v>1</v>
      </c>
      <c r="M37" s="157">
        <v>2</v>
      </c>
      <c r="N37" s="157">
        <v>3</v>
      </c>
      <c r="O37" s="157">
        <v>4</v>
      </c>
      <c r="P37" s="157">
        <v>5</v>
      </c>
    </row>
    <row r="38" spans="2:16">
      <c r="B38" s="230" t="s">
        <v>266</v>
      </c>
      <c r="C38" s="122"/>
      <c r="D38" s="1379">
        <v>39</v>
      </c>
      <c r="E38" s="1379">
        <v>41</v>
      </c>
      <c r="F38" s="1379">
        <v>43</v>
      </c>
      <c r="G38" s="1379">
        <v>45</v>
      </c>
      <c r="H38" s="1380">
        <v>47</v>
      </c>
      <c r="J38" s="230" t="s">
        <v>266</v>
      </c>
      <c r="K38" s="122"/>
      <c r="L38" s="1379">
        <v>20</v>
      </c>
      <c r="M38" s="1379">
        <v>40</v>
      </c>
      <c r="N38" s="1379">
        <v>49</v>
      </c>
      <c r="O38" s="1379">
        <v>49</v>
      </c>
      <c r="P38" s="1380">
        <v>49</v>
      </c>
    </row>
    <row r="39" spans="2:16">
      <c r="B39" s="1133" t="s">
        <v>1620</v>
      </c>
      <c r="D39" s="464">
        <f>$G$8</f>
        <v>20</v>
      </c>
      <c r="E39" s="464">
        <f>+D39+$G$9</f>
        <v>21</v>
      </c>
      <c r="F39" s="464">
        <f>+E39+$G$9</f>
        <v>22</v>
      </c>
      <c r="G39" s="464">
        <f>+F39+$G$9</f>
        <v>23</v>
      </c>
      <c r="H39" s="1381">
        <f>+G39+$G$9</f>
        <v>24</v>
      </c>
      <c r="J39" s="1133" t="s">
        <v>1620</v>
      </c>
      <c r="L39" s="464">
        <f>$G$8</f>
        <v>20</v>
      </c>
      <c r="M39" s="464">
        <f>+L39+$G$9</f>
        <v>21</v>
      </c>
      <c r="N39" s="464">
        <f>+M39+$G$9</f>
        <v>22</v>
      </c>
      <c r="O39" s="464">
        <f>+N39+$G$9</f>
        <v>23</v>
      </c>
      <c r="P39" s="1381">
        <f>+O39+$G$9</f>
        <v>24</v>
      </c>
    </row>
    <row r="40" spans="2:16">
      <c r="B40" s="1133" t="s">
        <v>1621</v>
      </c>
      <c r="D40" s="1382">
        <v>0</v>
      </c>
      <c r="E40" s="1382">
        <v>0</v>
      </c>
      <c r="F40" s="1382">
        <v>0</v>
      </c>
      <c r="G40" s="1382">
        <v>0</v>
      </c>
      <c r="H40" s="1383">
        <v>0</v>
      </c>
      <c r="J40" s="1133" t="s">
        <v>1621</v>
      </c>
      <c r="L40" s="1382">
        <v>0</v>
      </c>
      <c r="M40" s="1382">
        <v>0</v>
      </c>
      <c r="N40" s="1382">
        <v>0</v>
      </c>
      <c r="O40" s="1382">
        <v>0</v>
      </c>
      <c r="P40" s="1383">
        <v>0</v>
      </c>
    </row>
    <row r="41" spans="2:16">
      <c r="B41" s="1133" t="s">
        <v>1625</v>
      </c>
      <c r="D41" s="464">
        <f>D38-D39+D40</f>
        <v>19</v>
      </c>
      <c r="E41" s="464">
        <f t="shared" ref="E41:H41" si="4">E38-E39+E40</f>
        <v>20</v>
      </c>
      <c r="F41" s="464">
        <f t="shared" si="4"/>
        <v>21</v>
      </c>
      <c r="G41" s="464">
        <f t="shared" si="4"/>
        <v>22</v>
      </c>
      <c r="H41" s="1381">
        <f t="shared" si="4"/>
        <v>23</v>
      </c>
      <c r="J41" s="1133" t="s">
        <v>1625</v>
      </c>
      <c r="L41" s="464">
        <f>L38-L39+L40</f>
        <v>0</v>
      </c>
      <c r="M41" s="464">
        <f t="shared" ref="M41:P41" si="5">M38-M39+M40</f>
        <v>19</v>
      </c>
      <c r="N41" s="464">
        <f t="shared" si="5"/>
        <v>27</v>
      </c>
      <c r="O41" s="464">
        <f t="shared" si="5"/>
        <v>26</v>
      </c>
      <c r="P41" s="1381">
        <f t="shared" si="5"/>
        <v>25</v>
      </c>
    </row>
    <row r="42" spans="2:16">
      <c r="B42" s="1133" t="s">
        <v>1623</v>
      </c>
      <c r="C42" s="464">
        <f>AVERAGE(D41:H41)</f>
        <v>21</v>
      </c>
      <c r="H42" s="126"/>
      <c r="J42" s="1133" t="s">
        <v>1623</v>
      </c>
      <c r="K42" s="464">
        <f>AVERAGE(L41:P41)</f>
        <v>19.399999999999999</v>
      </c>
      <c r="P42" s="126"/>
    </row>
    <row r="43" spans="2:16">
      <c r="B43" s="124" t="s">
        <v>263</v>
      </c>
      <c r="C43" s="1384">
        <f>NPV($D$7,D41:H41)</f>
        <v>78.886750159887228</v>
      </c>
      <c r="H43" s="126"/>
      <c r="J43" s="124" t="s">
        <v>263</v>
      </c>
      <c r="K43" s="1384">
        <f>NPV($L$7,L41:P41)</f>
        <v>78.855542567982653</v>
      </c>
      <c r="P43" s="126"/>
    </row>
    <row r="44" spans="2:16" ht="13" thickBot="1">
      <c r="B44" s="134" t="s">
        <v>264</v>
      </c>
      <c r="C44" s="1385">
        <f>PMT($D$7,H37,-C43)</f>
        <v>20.810125960262731</v>
      </c>
      <c r="D44" s="4"/>
      <c r="E44" s="4"/>
      <c r="F44" s="4"/>
      <c r="G44" s="4"/>
      <c r="H44" s="135"/>
      <c r="J44" s="134" t="s">
        <v>264</v>
      </c>
      <c r="K44" s="1385">
        <f>PMT($L$7,P37,-K43)</f>
        <v>18.720021959687529</v>
      </c>
      <c r="L44" s="4"/>
      <c r="M44" s="4"/>
      <c r="N44" s="4"/>
      <c r="O44" s="4"/>
      <c r="P44" s="135"/>
    </row>
    <row r="45" spans="2:16">
      <c r="B45" s="124"/>
      <c r="H45" s="126"/>
    </row>
    <row r="46" spans="2:16" ht="13" thickBot="1">
      <c r="B46" s="385"/>
      <c r="C46" s="21"/>
      <c r="D46" s="21"/>
      <c r="E46" s="21"/>
      <c r="F46" s="21"/>
      <c r="G46" s="21"/>
      <c r="H46" s="126"/>
    </row>
    <row r="47" spans="2:16" ht="13.5" thickBot="1">
      <c r="B47" s="1547" t="s">
        <v>1627</v>
      </c>
      <c r="C47" s="1548"/>
      <c r="D47" s="1548"/>
      <c r="E47" s="1548"/>
      <c r="F47" s="1548"/>
      <c r="G47" s="1548"/>
      <c r="H47" s="1549"/>
    </row>
    <row r="48" spans="2:16" ht="13.5" thickBot="1">
      <c r="B48" s="157" t="s">
        <v>262</v>
      </c>
      <c r="C48" s="157">
        <v>0</v>
      </c>
      <c r="D48" s="157">
        <v>1</v>
      </c>
      <c r="E48" s="157">
        <v>2</v>
      </c>
      <c r="F48" s="157">
        <v>3</v>
      </c>
      <c r="G48" s="157">
        <v>4</v>
      </c>
      <c r="H48" s="157">
        <v>5</v>
      </c>
    </row>
    <row r="49" spans="2:8">
      <c r="B49" s="230" t="s">
        <v>266</v>
      </c>
      <c r="C49" s="122"/>
      <c r="D49" s="1379">
        <v>37</v>
      </c>
      <c r="E49" s="1379">
        <v>39</v>
      </c>
      <c r="F49" s="1379">
        <v>41</v>
      </c>
      <c r="G49" s="1379">
        <v>43</v>
      </c>
      <c r="H49" s="1380">
        <v>45</v>
      </c>
    </row>
    <row r="50" spans="2:8">
      <c r="B50" s="1133" t="s">
        <v>1620</v>
      </c>
      <c r="D50" s="464">
        <f>$G$8</f>
        <v>20</v>
      </c>
      <c r="E50" s="464">
        <f>+D50+$G$9</f>
        <v>21</v>
      </c>
      <c r="F50" s="464">
        <f>+E50+$G$9</f>
        <v>22</v>
      </c>
      <c r="G50" s="464">
        <f>+F50+$G$9</f>
        <v>23</v>
      </c>
      <c r="H50" s="1381">
        <f>+G50+$G$9</f>
        <v>24</v>
      </c>
    </row>
    <row r="51" spans="2:8">
      <c r="B51" s="1133" t="s">
        <v>1621</v>
      </c>
      <c r="D51" s="1382">
        <f>IF(D50&gt;$G$8,(D50-$G$8),0)</f>
        <v>0</v>
      </c>
      <c r="E51" s="1382">
        <f>IF(E50&gt;$G$8,(E50-$G$8),0)</f>
        <v>1</v>
      </c>
      <c r="F51" s="1382">
        <f>IF(F50&gt;$G$8,(F50-$G$8),0)</f>
        <v>2</v>
      </c>
      <c r="G51" s="1382">
        <f>IF(G50&gt;$G$8,(G50-$G$8),0)</f>
        <v>3</v>
      </c>
      <c r="H51" s="1383">
        <f>IF(H50&gt;$G$8,(H50-$G$8),0)</f>
        <v>4</v>
      </c>
    </row>
    <row r="52" spans="2:8">
      <c r="B52" s="1133" t="s">
        <v>1625</v>
      </c>
      <c r="D52" s="464">
        <f>D49-D50+D51</f>
        <v>17</v>
      </c>
      <c r="E52" s="464">
        <f t="shared" ref="E52:H52" si="6">E49-E50+E51</f>
        <v>19</v>
      </c>
      <c r="F52" s="464">
        <f t="shared" si="6"/>
        <v>21</v>
      </c>
      <c r="G52" s="464">
        <f t="shared" si="6"/>
        <v>23</v>
      </c>
      <c r="H52" s="1381">
        <f t="shared" si="6"/>
        <v>25</v>
      </c>
    </row>
    <row r="53" spans="2:8">
      <c r="B53" s="1133" t="s">
        <v>1623</v>
      </c>
      <c r="C53" s="464">
        <f>AVERAGE(D52:H52)</f>
        <v>21</v>
      </c>
      <c r="H53" s="126"/>
    </row>
    <row r="54" spans="2:8">
      <c r="B54" s="124" t="s">
        <v>263</v>
      </c>
      <c r="C54" s="1384">
        <f>NPV($D$7,D52:H52)</f>
        <v>78.16697816219704</v>
      </c>
      <c r="H54" s="126"/>
    </row>
    <row r="55" spans="2:8" ht="13" thickBot="1">
      <c r="B55" s="134" t="s">
        <v>264</v>
      </c>
      <c r="C55" s="1385">
        <f>PMT($D$7,H48,-C54)</f>
        <v>20.620251920525458</v>
      </c>
      <c r="D55" s="4"/>
      <c r="E55" s="4"/>
      <c r="F55" s="4"/>
      <c r="G55" s="4"/>
      <c r="H55" s="135"/>
    </row>
    <row r="56" spans="2:8">
      <c r="B56" s="124"/>
      <c r="C56" s="1386"/>
      <c r="H56" s="126"/>
    </row>
    <row r="57" spans="2:8" ht="13" thickBot="1">
      <c r="B57" s="385"/>
      <c r="C57" s="21"/>
      <c r="D57" s="21"/>
      <c r="E57" s="21"/>
      <c r="F57" s="21"/>
      <c r="G57" s="21"/>
      <c r="H57" s="126"/>
    </row>
    <row r="58" spans="2:8" ht="13.5" thickBot="1">
      <c r="B58" s="1547" t="s">
        <v>1628</v>
      </c>
      <c r="C58" s="1548"/>
      <c r="D58" s="1548"/>
      <c r="E58" s="1548"/>
      <c r="F58" s="1548"/>
      <c r="G58" s="1548"/>
      <c r="H58" s="1549"/>
    </row>
    <row r="59" spans="2:8" ht="13.5" thickBot="1">
      <c r="B59" s="157" t="s">
        <v>262</v>
      </c>
      <c r="C59" s="157">
        <v>0</v>
      </c>
      <c r="D59" s="157">
        <v>1</v>
      </c>
      <c r="E59" s="157">
        <v>2</v>
      </c>
      <c r="F59" s="157">
        <v>3</v>
      </c>
      <c r="G59" s="157">
        <v>4</v>
      </c>
      <c r="H59" s="157">
        <v>5</v>
      </c>
    </row>
    <row r="60" spans="2:8">
      <c r="B60" s="1118" t="s">
        <v>1629</v>
      </c>
      <c r="C60" s="122"/>
      <c r="D60" s="1387" t="s">
        <v>1243</v>
      </c>
      <c r="E60" s="1388">
        <v>0.05</v>
      </c>
      <c r="F60" s="1388">
        <v>0.06</v>
      </c>
      <c r="G60" s="1388">
        <v>0.06</v>
      </c>
      <c r="H60" s="1389">
        <v>0.06</v>
      </c>
    </row>
    <row r="61" spans="2:8">
      <c r="B61" s="124" t="s">
        <v>266</v>
      </c>
      <c r="D61" s="464">
        <v>35</v>
      </c>
      <c r="E61" s="464">
        <f>D61*(1+E60)</f>
        <v>36.75</v>
      </c>
      <c r="F61" s="464">
        <f t="shared" ref="F61:H61" si="7">E61*(1+F60)</f>
        <v>38.955000000000005</v>
      </c>
      <c r="G61" s="464">
        <f t="shared" si="7"/>
        <v>41.292300000000004</v>
      </c>
      <c r="H61" s="1381">
        <f t="shared" si="7"/>
        <v>43.769838000000007</v>
      </c>
    </row>
    <row r="62" spans="2:8">
      <c r="B62" s="1133" t="s">
        <v>1620</v>
      </c>
      <c r="D62" s="464">
        <f>$G$8</f>
        <v>20</v>
      </c>
      <c r="E62" s="464">
        <f>+D62+$G$9</f>
        <v>21</v>
      </c>
      <c r="F62" s="464">
        <f>+E62+$G$9</f>
        <v>22</v>
      </c>
      <c r="G62" s="464">
        <f>+F62+$G$9</f>
        <v>23</v>
      </c>
      <c r="H62" s="1381">
        <f>+G62+$G$9</f>
        <v>24</v>
      </c>
    </row>
    <row r="63" spans="2:8">
      <c r="B63" s="1133" t="s">
        <v>1621</v>
      </c>
      <c r="D63" s="1382">
        <f>IF(D62&gt;$G$8,(D62-$G$8),0)</f>
        <v>0</v>
      </c>
      <c r="E63" s="1382">
        <f>IF(E62&gt;$G$8,(E62-$G$8),0)</f>
        <v>1</v>
      </c>
      <c r="F63" s="1382">
        <f>IF(F62&gt;$G$8,(F62-$G$8),0)</f>
        <v>2</v>
      </c>
      <c r="G63" s="1382">
        <f>IF(G62&gt;$G$8,(G62-$G$8),0)</f>
        <v>3</v>
      </c>
      <c r="H63" s="1383">
        <f>IF(H62&gt;$G$8,(H62-$G$8),0)</f>
        <v>4</v>
      </c>
    </row>
    <row r="64" spans="2:8">
      <c r="B64" s="1133" t="s">
        <v>1625</v>
      </c>
      <c r="D64" s="464">
        <f>D61-D62+D63</f>
        <v>15</v>
      </c>
      <c r="E64" s="464">
        <f t="shared" ref="E64:H64" si="8">E61-E62+E63</f>
        <v>16.75</v>
      </c>
      <c r="F64" s="464">
        <f t="shared" si="8"/>
        <v>18.955000000000005</v>
      </c>
      <c r="G64" s="464">
        <f t="shared" si="8"/>
        <v>21.292300000000004</v>
      </c>
      <c r="H64" s="1381">
        <f t="shared" si="8"/>
        <v>23.769838000000007</v>
      </c>
    </row>
    <row r="65" spans="2:8">
      <c r="B65" s="1133" t="s">
        <v>1623</v>
      </c>
      <c r="C65" s="464">
        <f>AVERAGE(D64:H64)</f>
        <v>19.153427600000004</v>
      </c>
      <c r="H65" s="126"/>
    </row>
    <row r="66" spans="2:8">
      <c r="B66" s="124" t="s">
        <v>263</v>
      </c>
      <c r="C66" s="1384">
        <f>NPV($D$7,D64:H64)</f>
        <v>71.022637549596098</v>
      </c>
      <c r="H66" s="126"/>
    </row>
    <row r="67" spans="2:8" ht="13" thickBot="1">
      <c r="B67" s="134" t="s">
        <v>264</v>
      </c>
      <c r="C67" s="1385">
        <f>PMT($D$7,H59,-C66)</f>
        <v>18.73559286498174</v>
      </c>
      <c r="D67" s="4"/>
      <c r="E67" s="4"/>
      <c r="F67" s="4"/>
      <c r="G67" s="4"/>
      <c r="H67" s="135"/>
    </row>
  </sheetData>
  <mergeCells count="14">
    <mergeCell ref="J36:P36"/>
    <mergeCell ref="J2:P2"/>
    <mergeCell ref="J3:P3"/>
    <mergeCell ref="J6:P6"/>
    <mergeCell ref="J14:P14"/>
    <mergeCell ref="J25:P25"/>
    <mergeCell ref="B36:H36"/>
    <mergeCell ref="B47:H47"/>
    <mergeCell ref="B58:H58"/>
    <mergeCell ref="B2:H2"/>
    <mergeCell ref="B3:H3"/>
    <mergeCell ref="B6:H6"/>
    <mergeCell ref="B14:H14"/>
    <mergeCell ref="B25:H25"/>
  </mergeCell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rgb="FFEBB901"/>
  </sheetPr>
  <dimension ref="B6:M30"/>
  <sheetViews>
    <sheetView zoomScaleNormal="100" workbookViewId="0">
      <selection activeCell="U29" sqref="U29"/>
    </sheetView>
  </sheetViews>
  <sheetFormatPr defaultRowHeight="12.5"/>
  <cols>
    <col min="2" max="2" width="18.453125" customWidth="1"/>
    <col min="3" max="3" width="11.1796875" customWidth="1"/>
  </cols>
  <sheetData>
    <row r="6" spans="2:13" ht="13.5" thickBot="1">
      <c r="M6" s="1"/>
    </row>
    <row r="7" spans="2:13" ht="18.5" thickBot="1">
      <c r="B7" s="1525" t="s">
        <v>1006</v>
      </c>
      <c r="C7" s="1557"/>
      <c r="D7" s="1557"/>
      <c r="E7" s="1557"/>
      <c r="F7" s="1557"/>
      <c r="G7" s="1557"/>
      <c r="H7" s="1557"/>
      <c r="I7" s="1557"/>
      <c r="J7" s="1558"/>
      <c r="K7" s="19"/>
      <c r="L7" s="698"/>
    </row>
    <row r="8" spans="2:13" ht="16" thickBot="1">
      <c r="B8" s="1528" t="s">
        <v>248</v>
      </c>
      <c r="C8" s="1540"/>
      <c r="D8" s="1540"/>
      <c r="E8" s="1540"/>
      <c r="F8" s="1540"/>
      <c r="G8" s="1540"/>
      <c r="H8" s="1540"/>
      <c r="I8" s="1540"/>
      <c r="J8" s="1541"/>
      <c r="K8" s="20"/>
    </row>
    <row r="9" spans="2:13">
      <c r="B9" s="1568"/>
      <c r="C9" s="1569"/>
      <c r="D9" s="1569"/>
      <c r="E9" s="1569"/>
      <c r="F9" s="1569"/>
      <c r="G9" s="1569"/>
      <c r="H9" s="1569"/>
      <c r="I9" s="1569"/>
      <c r="J9" s="1570"/>
    </row>
    <row r="10" spans="2:13" ht="13" thickBot="1">
      <c r="B10" s="124"/>
      <c r="J10" s="126"/>
    </row>
    <row r="11" spans="2:13" ht="13.5" thickBot="1">
      <c r="B11" s="1531" t="s">
        <v>207</v>
      </c>
      <c r="C11" s="1532"/>
      <c r="D11" s="1532"/>
      <c r="E11" s="1532"/>
      <c r="F11" s="1532"/>
      <c r="G11" s="1532"/>
      <c r="H11" s="1532"/>
      <c r="I11" s="1532"/>
      <c r="J11" s="1533"/>
    </row>
    <row r="12" spans="2:13" ht="13.5" thickBot="1">
      <c r="B12" s="124"/>
      <c r="C12" s="1562" t="s">
        <v>249</v>
      </c>
      <c r="D12" s="1563"/>
      <c r="E12" s="1562" t="s">
        <v>250</v>
      </c>
      <c r="F12" s="1563"/>
      <c r="G12" s="1562" t="s">
        <v>251</v>
      </c>
      <c r="H12" s="1563"/>
      <c r="I12" s="1562" t="s">
        <v>252</v>
      </c>
      <c r="J12" s="1563"/>
    </row>
    <row r="13" spans="2:13">
      <c r="B13" s="145" t="s">
        <v>253</v>
      </c>
      <c r="C13" s="1571">
        <v>500000</v>
      </c>
      <c r="D13" s="1571"/>
      <c r="E13" s="1571">
        <v>600000</v>
      </c>
      <c r="F13" s="1571"/>
      <c r="G13" s="1571">
        <v>405000</v>
      </c>
      <c r="H13" s="1571"/>
      <c r="I13" s="1571">
        <v>400000</v>
      </c>
      <c r="J13" s="1572"/>
    </row>
    <row r="14" spans="2:13" ht="13">
      <c r="B14" s="145" t="s">
        <v>1092</v>
      </c>
      <c r="C14" s="1573">
        <v>0.13</v>
      </c>
      <c r="D14" s="1573"/>
      <c r="E14" s="1573">
        <v>0.13</v>
      </c>
      <c r="F14" s="1573"/>
      <c r="G14" s="1573">
        <v>0.12</v>
      </c>
      <c r="H14" s="1573"/>
      <c r="I14" s="1573">
        <v>0.1</v>
      </c>
      <c r="J14" s="1574"/>
    </row>
    <row r="15" spans="2:13" ht="13">
      <c r="B15" s="145" t="s">
        <v>1093</v>
      </c>
      <c r="C15" s="1573">
        <v>0.03</v>
      </c>
      <c r="D15" s="1573"/>
      <c r="E15" s="1573">
        <v>0.05</v>
      </c>
      <c r="F15" s="1573"/>
      <c r="G15" s="1573">
        <v>0.03</v>
      </c>
      <c r="H15" s="1573"/>
      <c r="I15" s="1573">
        <v>0.02</v>
      </c>
      <c r="J15" s="1574"/>
    </row>
    <row r="16" spans="2:13" ht="13" thickBot="1">
      <c r="B16" s="148" t="s">
        <v>254</v>
      </c>
      <c r="C16" s="1575">
        <v>4000000</v>
      </c>
      <c r="D16" s="1575"/>
      <c r="E16" s="1575">
        <v>6750000</v>
      </c>
      <c r="F16" s="1575"/>
      <c r="G16" s="1575">
        <v>3000000</v>
      </c>
      <c r="H16" s="1575"/>
      <c r="I16" s="1575">
        <v>4000000</v>
      </c>
      <c r="J16" s="1576"/>
    </row>
    <row r="17" spans="2:10">
      <c r="B17" s="212"/>
      <c r="C17" s="212"/>
      <c r="D17" s="212"/>
      <c r="E17" s="212"/>
      <c r="F17" s="212"/>
      <c r="G17" s="212"/>
      <c r="H17" s="212"/>
      <c r="I17" s="212"/>
      <c r="J17" s="212"/>
    </row>
    <row r="18" spans="2:10">
      <c r="B18" s="212"/>
      <c r="C18" s="212"/>
      <c r="D18" s="212"/>
      <c r="E18" s="212"/>
      <c r="F18" s="212"/>
      <c r="G18" s="212"/>
      <c r="H18" s="212"/>
      <c r="I18" s="212"/>
      <c r="J18" s="212"/>
    </row>
    <row r="19" spans="2:10">
      <c r="B19" s="212"/>
      <c r="C19" s="212"/>
      <c r="D19" s="212"/>
      <c r="E19" s="212"/>
      <c r="F19" s="212"/>
      <c r="G19" s="212"/>
      <c r="H19" s="212"/>
      <c r="I19" s="212"/>
      <c r="J19" s="212"/>
    </row>
    <row r="20" spans="2:10">
      <c r="B20" s="212"/>
      <c r="C20" s="212"/>
      <c r="D20" s="212"/>
      <c r="E20" s="212"/>
      <c r="F20" s="212"/>
      <c r="G20" s="212"/>
      <c r="H20" s="212"/>
      <c r="I20" s="212"/>
      <c r="J20" s="212"/>
    </row>
    <row r="21" spans="2:10" ht="13" thickBot="1"/>
    <row r="22" spans="2:10" ht="13.5" thickBot="1">
      <c r="B22" s="1531" t="s">
        <v>255</v>
      </c>
      <c r="C22" s="1532"/>
      <c r="D22" s="1532"/>
      <c r="E22" s="1532"/>
      <c r="F22" s="1532"/>
      <c r="G22" s="1532"/>
      <c r="H22" s="1532"/>
      <c r="I22" s="1532"/>
      <c r="J22" s="1533"/>
    </row>
    <row r="23" spans="2:10" ht="12.75" customHeight="1" thickBot="1">
      <c r="B23" s="124"/>
      <c r="C23" s="1562" t="s">
        <v>249</v>
      </c>
      <c r="D23" s="1563"/>
      <c r="E23" s="1562" t="s">
        <v>250</v>
      </c>
      <c r="F23" s="1563"/>
      <c r="G23" s="1562" t="s">
        <v>251</v>
      </c>
      <c r="H23" s="1563"/>
      <c r="I23" s="1562" t="s">
        <v>252</v>
      </c>
      <c r="J23" s="1563"/>
    </row>
    <row r="24" spans="2:10">
      <c r="B24" s="145" t="s">
        <v>253</v>
      </c>
      <c r="C24" s="1567">
        <f>C13</f>
        <v>500000</v>
      </c>
      <c r="D24" s="1567"/>
      <c r="E24" s="1567">
        <f>E13</f>
        <v>600000</v>
      </c>
      <c r="F24" s="1567"/>
      <c r="G24" s="1567">
        <f>G13</f>
        <v>405000</v>
      </c>
      <c r="H24" s="1567"/>
      <c r="I24" s="1567">
        <f>I13</f>
        <v>400000</v>
      </c>
      <c r="J24" s="1579"/>
    </row>
    <row r="25" spans="2:10">
      <c r="B25" s="145" t="s">
        <v>1301</v>
      </c>
      <c r="C25" s="1577">
        <f>C14-C15</f>
        <v>0.1</v>
      </c>
      <c r="D25" s="1577"/>
      <c r="E25" s="1577">
        <f>E14-E15</f>
        <v>0.08</v>
      </c>
      <c r="F25" s="1577"/>
      <c r="G25" s="1577">
        <f>G14-G15</f>
        <v>0.09</v>
      </c>
      <c r="H25" s="1577"/>
      <c r="I25" s="1577">
        <f>I14-I15</f>
        <v>0.08</v>
      </c>
      <c r="J25" s="1578"/>
    </row>
    <row r="26" spans="2:10">
      <c r="B26" s="145" t="s">
        <v>1298</v>
      </c>
      <c r="C26" s="1559">
        <f>C24/C25</f>
        <v>5000000</v>
      </c>
      <c r="D26" s="1559"/>
      <c r="E26" s="1559">
        <f>E24/E25</f>
        <v>7500000</v>
      </c>
      <c r="F26" s="1559"/>
      <c r="G26" s="1559">
        <f>G24/G25</f>
        <v>4500000</v>
      </c>
      <c r="H26" s="1559"/>
      <c r="I26" s="1559">
        <f>I24/I25</f>
        <v>5000000</v>
      </c>
      <c r="J26" s="1560"/>
    </row>
    <row r="27" spans="2:10">
      <c r="B27" s="145" t="s">
        <v>1299</v>
      </c>
      <c r="C27" s="1564">
        <f>C16</f>
        <v>4000000</v>
      </c>
      <c r="D27" s="1564"/>
      <c r="E27" s="1564">
        <f>E16</f>
        <v>6750000</v>
      </c>
      <c r="F27" s="1564"/>
      <c r="G27" s="1564">
        <f>G16</f>
        <v>3000000</v>
      </c>
      <c r="H27" s="1564"/>
      <c r="I27" s="1564">
        <f>I16</f>
        <v>4000000</v>
      </c>
      <c r="J27" s="1565"/>
    </row>
    <row r="28" spans="2:10">
      <c r="B28" s="145"/>
      <c r="C28" s="848"/>
      <c r="D28" s="848"/>
      <c r="E28" s="848"/>
      <c r="F28" s="848"/>
      <c r="G28" s="848"/>
      <c r="H28" s="848"/>
      <c r="I28" s="848"/>
      <c r="J28" s="849"/>
    </row>
    <row r="29" spans="2:10" ht="13" thickBot="1">
      <c r="B29" s="148" t="s">
        <v>1300</v>
      </c>
      <c r="C29" s="1561">
        <f>C26-C27</f>
        <v>1000000</v>
      </c>
      <c r="D29" s="1561"/>
      <c r="E29" s="1561">
        <f>E26-E27</f>
        <v>750000</v>
      </c>
      <c r="F29" s="1561"/>
      <c r="G29" s="1561">
        <f>G26-G27</f>
        <v>1500000</v>
      </c>
      <c r="H29" s="1561"/>
      <c r="I29" s="1561">
        <f>I26-I27</f>
        <v>1000000</v>
      </c>
      <c r="J29" s="1566"/>
    </row>
    <row r="30" spans="2:10">
      <c r="E30" s="1569"/>
      <c r="F30" s="1569"/>
    </row>
  </sheetData>
  <mergeCells count="50">
    <mergeCell ref="C16:D16"/>
    <mergeCell ref="E16:F16"/>
    <mergeCell ref="G16:H16"/>
    <mergeCell ref="I16:J16"/>
    <mergeCell ref="E30:F30"/>
    <mergeCell ref="B22:J22"/>
    <mergeCell ref="E25:F25"/>
    <mergeCell ref="G25:H25"/>
    <mergeCell ref="I25:J25"/>
    <mergeCell ref="I24:J24"/>
    <mergeCell ref="C25:D25"/>
    <mergeCell ref="C23:D23"/>
    <mergeCell ref="E23:F23"/>
    <mergeCell ref="G23:H23"/>
    <mergeCell ref="C24:D24"/>
    <mergeCell ref="C26:D26"/>
    <mergeCell ref="C14:D14"/>
    <mergeCell ref="E14:F14"/>
    <mergeCell ref="G14:H14"/>
    <mergeCell ref="I14:J14"/>
    <mergeCell ref="C15:D15"/>
    <mergeCell ref="E15:F15"/>
    <mergeCell ref="G15:H15"/>
    <mergeCell ref="I15:J15"/>
    <mergeCell ref="B7:J7"/>
    <mergeCell ref="B8:J8"/>
    <mergeCell ref="B9:J9"/>
    <mergeCell ref="G13:H13"/>
    <mergeCell ref="I13:J13"/>
    <mergeCell ref="B11:J11"/>
    <mergeCell ref="C12:D12"/>
    <mergeCell ref="E12:F12"/>
    <mergeCell ref="G12:H12"/>
    <mergeCell ref="I12:J12"/>
    <mergeCell ref="C13:D13"/>
    <mergeCell ref="E13:F13"/>
    <mergeCell ref="C29:D29"/>
    <mergeCell ref="C27:D27"/>
    <mergeCell ref="E27:F27"/>
    <mergeCell ref="G27:H27"/>
    <mergeCell ref="E26:F26"/>
    <mergeCell ref="G26:H26"/>
    <mergeCell ref="I26:J26"/>
    <mergeCell ref="E29:F29"/>
    <mergeCell ref="G29:H29"/>
    <mergeCell ref="I23:J23"/>
    <mergeCell ref="I27:J27"/>
    <mergeCell ref="I29:J29"/>
    <mergeCell ref="E24:F24"/>
    <mergeCell ref="G24:H24"/>
  </mergeCells>
  <phoneticPr fontId="4"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
  <dimension ref="B1:M61"/>
  <sheetViews>
    <sheetView topLeftCell="A4" workbookViewId="0">
      <selection activeCell="L36" sqref="L36"/>
    </sheetView>
  </sheetViews>
  <sheetFormatPr defaultRowHeight="12.5"/>
  <cols>
    <col min="2" max="2" width="19" customWidth="1"/>
    <col min="3" max="3" width="12.81640625" customWidth="1"/>
    <col min="4" max="4" width="12" customWidth="1"/>
    <col min="7" max="7" width="9.26953125" bestFit="1" customWidth="1"/>
    <col min="9" max="9" width="10" customWidth="1"/>
    <col min="12" max="12" width="12.26953125" bestFit="1" customWidth="1"/>
    <col min="13" max="13" width="12.26953125" customWidth="1"/>
  </cols>
  <sheetData>
    <row r="1" spans="2:11" ht="13" thickBot="1"/>
    <row r="2" spans="2:11" ht="18.5" thickBot="1">
      <c r="B2" s="1525" t="s">
        <v>1006</v>
      </c>
      <c r="C2" s="1557"/>
      <c r="D2" s="1557"/>
      <c r="E2" s="1557"/>
      <c r="F2" s="1557"/>
      <c r="G2" s="1557"/>
      <c r="H2" s="1557"/>
      <c r="I2" s="1557"/>
      <c r="J2" s="1558"/>
      <c r="K2" s="39"/>
    </row>
    <row r="3" spans="2:11" ht="16" thickBot="1">
      <c r="B3" s="1528" t="s">
        <v>838</v>
      </c>
      <c r="C3" s="1540"/>
      <c r="D3" s="1540"/>
      <c r="E3" s="1540"/>
      <c r="F3" s="1540"/>
      <c r="G3" s="1540"/>
      <c r="H3" s="1540"/>
      <c r="I3" s="1540"/>
      <c r="J3" s="1541"/>
      <c r="K3" s="39"/>
    </row>
    <row r="4" spans="2:11" ht="13">
      <c r="B4" s="1580" t="s">
        <v>1222</v>
      </c>
      <c r="C4" s="1581"/>
      <c r="D4" s="1581"/>
      <c r="E4" s="1581"/>
      <c r="F4" s="1581"/>
      <c r="G4" s="1581"/>
      <c r="H4" s="1581"/>
      <c r="I4" s="1581"/>
      <c r="J4" s="1582"/>
      <c r="K4" s="39"/>
    </row>
    <row r="5" spans="2:11" ht="13">
      <c r="B5" s="220" t="s">
        <v>1091</v>
      </c>
      <c r="C5" s="39"/>
      <c r="D5" s="39"/>
      <c r="E5" s="39"/>
      <c r="F5" s="39"/>
      <c r="G5" s="39"/>
      <c r="H5" s="39"/>
      <c r="I5" s="39"/>
      <c r="J5" s="146"/>
      <c r="K5" s="39"/>
    </row>
    <row r="6" spans="2:11" ht="13" thickBot="1">
      <c r="B6" s="384"/>
      <c r="C6" s="39"/>
      <c r="D6" s="39"/>
      <c r="E6" s="39"/>
      <c r="F6" s="39"/>
      <c r="G6" s="39"/>
      <c r="H6" s="39"/>
      <c r="I6" s="39"/>
      <c r="J6" s="146"/>
      <c r="K6" s="39"/>
    </row>
    <row r="7" spans="2:11" ht="13.5" thickBot="1">
      <c r="B7" s="1583" t="s">
        <v>207</v>
      </c>
      <c r="C7" s="1532"/>
      <c r="D7" s="1532"/>
      <c r="E7" s="1533"/>
      <c r="F7" s="39"/>
      <c r="G7" s="39"/>
      <c r="H7" s="39"/>
      <c r="I7" s="39"/>
      <c r="J7" s="146"/>
      <c r="K7" s="39"/>
    </row>
    <row r="8" spans="2:11">
      <c r="B8" s="171" t="s">
        <v>335</v>
      </c>
      <c r="C8" s="39"/>
      <c r="D8" s="759">
        <v>50000</v>
      </c>
      <c r="E8" s="146"/>
      <c r="F8" s="39"/>
      <c r="G8" s="39"/>
      <c r="H8" s="39"/>
      <c r="I8" s="39"/>
      <c r="J8" s="146"/>
      <c r="K8" s="39"/>
    </row>
    <row r="9" spans="2:11">
      <c r="B9" s="171" t="s">
        <v>839</v>
      </c>
      <c r="C9" s="39"/>
      <c r="D9" s="424">
        <v>0.03</v>
      </c>
      <c r="E9" s="146" t="s">
        <v>258</v>
      </c>
      <c r="F9" s="39"/>
      <c r="G9" s="39"/>
      <c r="H9" s="39"/>
      <c r="I9" s="39"/>
      <c r="J9" s="146"/>
      <c r="K9" s="39"/>
    </row>
    <row r="10" spans="2:11" ht="13">
      <c r="B10" s="171"/>
      <c r="C10" s="39"/>
      <c r="D10" s="39"/>
      <c r="E10" s="146"/>
      <c r="F10" s="3"/>
      <c r="G10" s="39"/>
      <c r="H10" s="39"/>
      <c r="I10" s="39"/>
      <c r="J10" s="146"/>
      <c r="K10" s="39"/>
    </row>
    <row r="11" spans="2:11" ht="13">
      <c r="B11" s="168" t="s">
        <v>829</v>
      </c>
      <c r="C11" s="39"/>
      <c r="D11" s="39"/>
      <c r="E11" s="146"/>
      <c r="F11" s="39"/>
      <c r="G11" s="39"/>
      <c r="H11" s="39"/>
      <c r="I11" s="39"/>
      <c r="J11" s="146"/>
      <c r="K11" s="39"/>
    </row>
    <row r="12" spans="2:11">
      <c r="B12" s="171" t="s">
        <v>840</v>
      </c>
      <c r="C12" s="39"/>
      <c r="D12" s="152">
        <v>1.2</v>
      </c>
      <c r="E12" s="146"/>
      <c r="F12" s="39"/>
      <c r="G12" s="39"/>
      <c r="H12" s="39"/>
      <c r="I12" s="39"/>
      <c r="J12" s="146"/>
      <c r="K12" s="39"/>
    </row>
    <row r="13" spans="2:11">
      <c r="B13" s="171" t="s">
        <v>830</v>
      </c>
      <c r="C13" s="39"/>
      <c r="D13" s="424">
        <v>0.11</v>
      </c>
      <c r="E13" s="146"/>
      <c r="F13" s="39"/>
      <c r="G13" s="39"/>
      <c r="H13" s="39"/>
      <c r="I13" s="39"/>
      <c r="J13" s="146"/>
      <c r="K13" s="39"/>
    </row>
    <row r="14" spans="2:11">
      <c r="B14" s="1133" t="s">
        <v>1499</v>
      </c>
      <c r="C14" s="39"/>
      <c r="D14" s="152">
        <v>20</v>
      </c>
      <c r="E14" s="146" t="s">
        <v>208</v>
      </c>
      <c r="F14" s="39"/>
      <c r="G14" s="39"/>
      <c r="H14" s="39"/>
      <c r="I14" s="39"/>
      <c r="J14" s="146"/>
      <c r="K14" s="39"/>
    </row>
    <row r="15" spans="2:11">
      <c r="B15" s="171" t="s">
        <v>831</v>
      </c>
      <c r="C15" s="39"/>
      <c r="D15" s="152">
        <v>12</v>
      </c>
      <c r="E15" s="146"/>
      <c r="F15" s="39"/>
      <c r="G15" s="39"/>
      <c r="H15" s="39"/>
      <c r="I15" s="39"/>
      <c r="J15" s="146"/>
      <c r="K15" s="39"/>
    </row>
    <row r="16" spans="2:11">
      <c r="B16" s="171"/>
      <c r="C16" s="39"/>
      <c r="D16" s="39"/>
      <c r="E16" s="146"/>
      <c r="F16" s="39"/>
      <c r="G16" s="39"/>
      <c r="H16" s="39"/>
      <c r="I16" s="39"/>
      <c r="J16" s="146"/>
      <c r="K16" s="39"/>
    </row>
    <row r="17" spans="2:13">
      <c r="B17" s="171" t="s">
        <v>376</v>
      </c>
      <c r="C17" s="39"/>
      <c r="D17" s="152">
        <v>5</v>
      </c>
      <c r="E17" s="146" t="s">
        <v>208</v>
      </c>
      <c r="F17" s="39"/>
      <c r="G17" s="39"/>
      <c r="H17" s="39"/>
      <c r="I17" s="39"/>
      <c r="J17" s="146"/>
      <c r="K17" s="39"/>
    </row>
    <row r="18" spans="2:13">
      <c r="B18" s="171" t="s">
        <v>268</v>
      </c>
      <c r="C18" s="39"/>
      <c r="D18" s="424">
        <v>0.11</v>
      </c>
      <c r="E18" s="146"/>
      <c r="F18" s="39"/>
      <c r="G18" s="39"/>
      <c r="H18" s="39"/>
      <c r="I18" s="39"/>
      <c r="J18" s="146"/>
      <c r="K18" s="39"/>
    </row>
    <row r="19" spans="2:13" ht="13" thickBot="1">
      <c r="B19" s="228" t="s">
        <v>1217</v>
      </c>
      <c r="C19" s="63"/>
      <c r="D19" s="864">
        <v>0.12</v>
      </c>
      <c r="E19" s="149"/>
      <c r="F19" s="39"/>
      <c r="G19" s="39"/>
      <c r="H19" s="39"/>
      <c r="I19" s="39"/>
      <c r="J19" s="146"/>
      <c r="K19" s="39"/>
    </row>
    <row r="20" spans="2:13">
      <c r="B20" s="384"/>
      <c r="C20" s="39"/>
      <c r="D20" s="39"/>
      <c r="E20" s="39"/>
      <c r="F20" s="39"/>
      <c r="G20" s="756"/>
      <c r="H20" s="39"/>
      <c r="I20" s="39"/>
      <c r="J20" s="146"/>
      <c r="K20" s="1082" t="s">
        <v>1219</v>
      </c>
      <c r="L20" s="122"/>
      <c r="M20" s="123"/>
    </row>
    <row r="21" spans="2:13" ht="13.5" thickBot="1">
      <c r="B21" s="474"/>
      <c r="C21" s="475"/>
      <c r="D21" s="39" t="s">
        <v>841</v>
      </c>
      <c r="E21" s="39"/>
      <c r="F21" s="39"/>
      <c r="G21" s="39"/>
      <c r="H21" s="39"/>
      <c r="I21" s="39"/>
      <c r="J21" s="146"/>
      <c r="K21" s="171"/>
      <c r="M21" s="126"/>
    </row>
    <row r="22" spans="2:13" ht="13">
      <c r="B22" s="276" t="s">
        <v>1215</v>
      </c>
      <c r="C22" s="466">
        <f>PMT(D13/D15,D14*D15,-1)*12</f>
        <v>0.12386260708512681</v>
      </c>
      <c r="D22" s="757" t="s">
        <v>1218</v>
      </c>
      <c r="E22" s="122"/>
      <c r="F22" s="122"/>
      <c r="G22" s="122"/>
      <c r="H22" s="277"/>
      <c r="I22" s="278"/>
      <c r="J22" s="146"/>
      <c r="K22" s="171" t="s">
        <v>1223</v>
      </c>
      <c r="L22" s="139">
        <f>-PV(D13/12,D14*12,(D8/12)/D12)</f>
        <v>336394.2326680611</v>
      </c>
      <c r="M22" s="126"/>
    </row>
    <row r="23" spans="2:13">
      <c r="B23" s="369" t="s">
        <v>211</v>
      </c>
      <c r="C23" s="57">
        <f>D30/C22</f>
        <v>336394.23266806023</v>
      </c>
      <c r="D23" s="55">
        <f>C23/E49</f>
        <v>0.67015987346046169</v>
      </c>
      <c r="E23" s="39" t="s">
        <v>1022</v>
      </c>
      <c r="F23" s="39"/>
      <c r="G23" s="39"/>
      <c r="H23" s="39"/>
      <c r="I23" s="146"/>
      <c r="J23" s="146"/>
      <c r="K23" s="171"/>
      <c r="M23" s="126"/>
    </row>
    <row r="24" spans="2:13" ht="13" thickBot="1">
      <c r="B24" s="467" t="s">
        <v>832</v>
      </c>
      <c r="C24" s="61">
        <f>PV(D13/D15,(D14-D17)*D15,-(D30/D15))</f>
        <v>305492.83714005025</v>
      </c>
      <c r="D24" s="111" t="s">
        <v>842</v>
      </c>
      <c r="E24" s="51">
        <f>D17</f>
        <v>5</v>
      </c>
      <c r="F24" s="51"/>
      <c r="G24" s="51"/>
      <c r="H24" s="51"/>
      <c r="I24" s="146"/>
      <c r="J24" s="146"/>
      <c r="K24" s="228" t="s">
        <v>1224</v>
      </c>
      <c r="L24" s="1083">
        <f>-PV(D13/12,(D14-D17)*12,(D8/12)/D12)</f>
        <v>305492.83714005025</v>
      </c>
      <c r="M24" s="1084">
        <f>FV(D13/12,D17*12,D30/12,-L22)</f>
        <v>305492.83714005013</v>
      </c>
    </row>
    <row r="25" spans="2:13" ht="13" thickBot="1">
      <c r="B25" s="384"/>
      <c r="C25" s="39"/>
      <c r="D25" s="39"/>
      <c r="E25" s="39"/>
      <c r="F25" s="39"/>
      <c r="G25" s="39"/>
      <c r="H25" s="39"/>
      <c r="I25" s="146"/>
      <c r="J25" s="146"/>
      <c r="K25" s="39"/>
    </row>
    <row r="26" spans="2:13" ht="13" thickBot="1">
      <c r="B26" s="384"/>
      <c r="C26" s="465" t="s">
        <v>262</v>
      </c>
      <c r="D26" s="465">
        <v>1</v>
      </c>
      <c r="E26" s="465">
        <v>2</v>
      </c>
      <c r="F26" s="465">
        <v>3</v>
      </c>
      <c r="G26" s="465">
        <v>4</v>
      </c>
      <c r="H26" s="465">
        <v>5</v>
      </c>
      <c r="I26" s="465">
        <v>6</v>
      </c>
      <c r="J26" s="146"/>
      <c r="K26" s="39"/>
    </row>
    <row r="27" spans="2:13">
      <c r="B27" s="369" t="s">
        <v>279</v>
      </c>
      <c r="C27" s="39"/>
      <c r="D27" s="57">
        <f>D8</f>
        <v>50000</v>
      </c>
      <c r="E27" s="57">
        <f>D27*(1+$D$9)</f>
        <v>51500</v>
      </c>
      <c r="F27" s="57">
        <f>E27*(1+$D$9)</f>
        <v>53045</v>
      </c>
      <c r="G27" s="57">
        <f>F27*(1+$D$9)</f>
        <v>54636.35</v>
      </c>
      <c r="H27" s="57">
        <f>G27*(1+$D$9)</f>
        <v>56275.440499999997</v>
      </c>
      <c r="I27" s="370">
        <f>H27*(1+$D$9)</f>
        <v>57963.703714999996</v>
      </c>
      <c r="J27" s="146"/>
      <c r="K27" s="39"/>
    </row>
    <row r="28" spans="2:13">
      <c r="B28" s="369"/>
      <c r="C28" s="39"/>
      <c r="D28" s="57"/>
      <c r="E28" s="57"/>
      <c r="F28" s="57"/>
      <c r="G28" s="57"/>
      <c r="H28" s="57"/>
      <c r="I28" s="146"/>
      <c r="J28" s="146"/>
      <c r="K28" s="39"/>
    </row>
    <row r="29" spans="2:13">
      <c r="B29" s="369"/>
      <c r="C29" s="34"/>
      <c r="D29" s="57"/>
      <c r="E29" s="57"/>
      <c r="F29" s="57"/>
      <c r="G29" s="57"/>
      <c r="H29" s="57"/>
      <c r="I29" s="146"/>
      <c r="J29" s="146"/>
      <c r="K29" s="39"/>
    </row>
    <row r="30" spans="2:13">
      <c r="B30" s="369" t="s">
        <v>833</v>
      </c>
      <c r="C30" s="34"/>
      <c r="D30" s="57">
        <f>$D$27/$D$12</f>
        <v>41666.666666666672</v>
      </c>
      <c r="E30" s="57">
        <f>$D$27/$D$12</f>
        <v>41666.666666666672</v>
      </c>
      <c r="F30" s="57">
        <f>$D$27/$D$12</f>
        <v>41666.666666666672</v>
      </c>
      <c r="G30" s="57">
        <f>$D$27/$D$12</f>
        <v>41666.666666666672</v>
      </c>
      <c r="H30" s="57">
        <f>$D$27/$D$12</f>
        <v>41666.666666666672</v>
      </c>
      <c r="I30" s="146"/>
      <c r="J30" s="146"/>
      <c r="K30" s="39"/>
    </row>
    <row r="31" spans="2:13">
      <c r="B31" s="369" t="s">
        <v>439</v>
      </c>
      <c r="C31" s="34"/>
      <c r="D31" s="57">
        <f>D27-D30</f>
        <v>8333.3333333333285</v>
      </c>
      <c r="E31" s="57">
        <f>E27-E30</f>
        <v>9833.3333333333285</v>
      </c>
      <c r="F31" s="57">
        <f>F27-F30</f>
        <v>11378.333333333328</v>
      </c>
      <c r="G31" s="57">
        <f>G27-G30</f>
        <v>12969.683333333327</v>
      </c>
      <c r="H31" s="57">
        <f>H27-H30</f>
        <v>14608.773833333325</v>
      </c>
      <c r="I31" s="146"/>
      <c r="J31" s="146"/>
      <c r="K31" s="39"/>
    </row>
    <row r="32" spans="2:13">
      <c r="B32" s="384"/>
      <c r="C32" s="39"/>
      <c r="D32" s="39"/>
      <c r="E32" s="39"/>
      <c r="F32" s="39"/>
      <c r="G32" s="39"/>
      <c r="H32" s="39"/>
      <c r="I32" s="146"/>
      <c r="J32" s="146"/>
      <c r="K32" s="39"/>
    </row>
    <row r="33" spans="2:11" ht="13.5" thickBot="1">
      <c r="B33" s="468" t="s">
        <v>834</v>
      </c>
      <c r="C33" s="63"/>
      <c r="D33" s="469">
        <f>D27/D30</f>
        <v>1.2</v>
      </c>
      <c r="E33" s="469">
        <f>E27/E30</f>
        <v>1.2359999999999998</v>
      </c>
      <c r="F33" s="469">
        <f>F27/F30</f>
        <v>1.2730799999999998</v>
      </c>
      <c r="G33" s="469">
        <f>G27/G30</f>
        <v>1.3112723999999998</v>
      </c>
      <c r="H33" s="469">
        <f>H27/H30</f>
        <v>1.3506105719999997</v>
      </c>
      <c r="I33" s="149"/>
      <c r="J33" s="146"/>
      <c r="K33" s="39"/>
    </row>
    <row r="34" spans="2:11" ht="13" thickBot="1">
      <c r="B34" s="384"/>
      <c r="C34" s="34"/>
      <c r="D34" s="34"/>
      <c r="E34" s="34"/>
      <c r="F34" s="34"/>
      <c r="G34" s="34"/>
      <c r="H34" s="34"/>
      <c r="I34" s="39"/>
      <c r="J34" s="146"/>
      <c r="K34" s="39"/>
    </row>
    <row r="35" spans="2:11" ht="13.5" thickBot="1">
      <c r="B35" s="944" t="s">
        <v>835</v>
      </c>
      <c r="C35" s="942"/>
      <c r="D35" s="945">
        <f>D17</f>
        <v>5</v>
      </c>
      <c r="E35" s="470"/>
      <c r="F35" s="470"/>
      <c r="G35" s="470"/>
      <c r="H35" s="470"/>
      <c r="I35" s="278"/>
      <c r="J35" s="146"/>
      <c r="K35" s="39"/>
    </row>
    <row r="36" spans="2:11">
      <c r="B36" s="384"/>
      <c r="C36" s="34"/>
      <c r="D36" s="34"/>
      <c r="E36" s="34"/>
      <c r="F36" s="34"/>
      <c r="G36" s="34"/>
      <c r="H36" s="34"/>
      <c r="I36" s="146"/>
      <c r="J36" s="146"/>
      <c r="K36" s="39"/>
    </row>
    <row r="37" spans="2:11">
      <c r="B37" s="369" t="s">
        <v>395</v>
      </c>
      <c r="C37" s="34"/>
      <c r="E37" s="34"/>
      <c r="F37" s="34"/>
      <c r="G37" s="34"/>
      <c r="H37" s="57">
        <f>I27/D18</f>
        <v>526942.76104545454</v>
      </c>
      <c r="I37" s="146"/>
      <c r="J37" s="146"/>
      <c r="K37" s="39"/>
    </row>
    <row r="38" spans="2:11">
      <c r="B38" s="369" t="s">
        <v>383</v>
      </c>
      <c r="C38" s="34"/>
      <c r="E38" s="34"/>
      <c r="F38" s="34"/>
      <c r="G38" s="34"/>
      <c r="H38" s="57">
        <f>C24</f>
        <v>305492.83714005025</v>
      </c>
      <c r="I38" s="146"/>
      <c r="J38" s="146"/>
      <c r="K38" s="39"/>
    </row>
    <row r="39" spans="2:11" ht="13" thickBot="1">
      <c r="B39" s="369" t="s">
        <v>1370</v>
      </c>
      <c r="C39" s="52"/>
      <c r="D39" s="21"/>
      <c r="E39" s="52"/>
      <c r="F39" s="52"/>
      <c r="G39" s="52"/>
      <c r="H39" s="61">
        <f>H37-H38</f>
        <v>221449.92390540428</v>
      </c>
      <c r="I39" s="471"/>
      <c r="J39" s="146"/>
      <c r="K39" s="39"/>
    </row>
    <row r="40" spans="2:11" ht="13.5" thickBot="1">
      <c r="B40" s="943" t="s">
        <v>1372</v>
      </c>
      <c r="I40" s="126"/>
      <c r="J40" s="146"/>
      <c r="K40" s="39"/>
    </row>
    <row r="41" spans="2:11" ht="13">
      <c r="B41" s="946" t="s">
        <v>1373</v>
      </c>
      <c r="C41" s="947"/>
      <c r="D41" s="34"/>
      <c r="E41" s="34"/>
      <c r="F41" s="34"/>
      <c r="G41" s="34"/>
      <c r="H41" s="34"/>
      <c r="I41" s="146"/>
      <c r="J41" s="146"/>
      <c r="K41" s="39"/>
    </row>
    <row r="42" spans="2:11">
      <c r="B42" s="369" t="s">
        <v>1374</v>
      </c>
      <c r="C42" s="34"/>
      <c r="D42" s="55">
        <f>D19</f>
        <v>0.12</v>
      </c>
      <c r="E42" s="57">
        <f>NPV(D19,D31:H31)</f>
        <v>39910.301071103102</v>
      </c>
      <c r="F42" s="34"/>
      <c r="G42" s="34"/>
      <c r="H42" s="34"/>
      <c r="I42" s="146"/>
      <c r="J42" s="146"/>
      <c r="K42" s="39"/>
    </row>
    <row r="43" spans="2:11">
      <c r="B43" s="369" t="s">
        <v>1220</v>
      </c>
      <c r="C43" s="34"/>
      <c r="D43" s="55">
        <f>D19</f>
        <v>0.12</v>
      </c>
      <c r="E43" s="61">
        <f>H39/(1+D19)^D17</f>
        <v>125656.63402076662</v>
      </c>
      <c r="F43" s="34"/>
      <c r="G43" s="34"/>
      <c r="H43" s="34"/>
      <c r="I43" s="146"/>
      <c r="J43" s="146"/>
      <c r="K43" s="39"/>
    </row>
    <row r="44" spans="2:11" ht="13">
      <c r="B44" s="369" t="s">
        <v>1375</v>
      </c>
      <c r="C44" s="34"/>
      <c r="D44" s="55"/>
      <c r="E44" s="57">
        <f>E42+E43</f>
        <v>165566.93509186973</v>
      </c>
      <c r="G44" s="34"/>
      <c r="H44" s="34"/>
      <c r="I44" s="146"/>
      <c r="J44" s="146"/>
      <c r="K44" s="39"/>
    </row>
    <row r="45" spans="2:11">
      <c r="B45" s="369"/>
      <c r="C45" s="34"/>
      <c r="D45" s="55"/>
      <c r="E45" s="57"/>
      <c r="G45" s="34"/>
      <c r="H45" s="34"/>
      <c r="I45" s="146"/>
      <c r="J45" s="146"/>
      <c r="K45" s="39"/>
    </row>
    <row r="46" spans="2:11" ht="13">
      <c r="B46" s="946" t="s">
        <v>1221</v>
      </c>
      <c r="C46" s="946"/>
      <c r="D46" s="55"/>
      <c r="E46" s="57"/>
      <c r="G46" s="34"/>
      <c r="H46" s="34"/>
      <c r="I46" s="146"/>
      <c r="J46" s="146"/>
      <c r="K46" s="39"/>
    </row>
    <row r="47" spans="2:11">
      <c r="B47" s="369" t="s">
        <v>843</v>
      </c>
      <c r="C47" s="34"/>
      <c r="D47" s="55"/>
      <c r="E47" s="57">
        <f>E44</f>
        <v>165566.93509186973</v>
      </c>
      <c r="G47" s="34"/>
      <c r="H47" s="34"/>
      <c r="I47" s="146"/>
      <c r="J47" s="146"/>
      <c r="K47" s="39"/>
    </row>
    <row r="48" spans="2:11">
      <c r="B48" s="369" t="s">
        <v>837</v>
      </c>
      <c r="C48" s="34"/>
      <c r="D48" s="34"/>
      <c r="E48" s="61">
        <f>C23</f>
        <v>336394.23266806023</v>
      </c>
      <c r="G48" s="34"/>
      <c r="H48" s="34"/>
      <c r="I48" s="146"/>
      <c r="J48" s="146"/>
      <c r="K48" s="39"/>
    </row>
    <row r="49" spans="2:11" ht="13.5" thickBot="1">
      <c r="B49" s="444" t="s">
        <v>1371</v>
      </c>
      <c r="C49" s="41"/>
      <c r="D49" s="41"/>
      <c r="E49" s="948">
        <f>E48+E47</f>
        <v>501961.16775992996</v>
      </c>
      <c r="G49" s="34"/>
      <c r="H49" s="34"/>
      <c r="I49" s="146"/>
      <c r="J49" s="146"/>
      <c r="K49" s="39"/>
    </row>
    <row r="50" spans="2:11" ht="13" thickTop="1">
      <c r="B50" s="387"/>
      <c r="C50" s="34"/>
      <c r="D50" s="34"/>
      <c r="E50" s="34"/>
      <c r="F50" s="34"/>
      <c r="G50" s="34"/>
      <c r="H50" s="34"/>
      <c r="I50" s="146"/>
      <c r="J50" s="146"/>
      <c r="K50" s="39"/>
    </row>
    <row r="51" spans="2:11" ht="13">
      <c r="B51" s="947" t="s">
        <v>1376</v>
      </c>
      <c r="C51" s="34"/>
      <c r="D51" s="34"/>
      <c r="E51" s="34"/>
      <c r="F51" s="34"/>
      <c r="G51" s="34"/>
      <c r="H51" s="34"/>
      <c r="I51" s="146"/>
      <c r="J51" s="146"/>
      <c r="K51" s="39"/>
    </row>
    <row r="52" spans="2:11">
      <c r="B52" s="369" t="s">
        <v>606</v>
      </c>
      <c r="C52" s="34"/>
      <c r="D52" s="34"/>
      <c r="E52" s="34"/>
      <c r="F52" s="34"/>
      <c r="G52" s="34"/>
      <c r="H52" s="34"/>
      <c r="I52" s="146"/>
      <c r="J52" s="146"/>
      <c r="K52" s="39"/>
    </row>
    <row r="53" spans="2:11">
      <c r="B53" s="950" t="s">
        <v>262</v>
      </c>
      <c r="C53" s="949">
        <v>0</v>
      </c>
      <c r="D53" s="949">
        <v>1</v>
      </c>
      <c r="E53" s="949">
        <v>2</v>
      </c>
      <c r="F53" s="949">
        <v>3</v>
      </c>
      <c r="G53" s="949">
        <v>4</v>
      </c>
      <c r="H53" s="949">
        <v>5</v>
      </c>
      <c r="I53" s="951"/>
      <c r="J53" s="146"/>
      <c r="K53" s="39"/>
    </row>
    <row r="54" spans="2:11">
      <c r="B54" s="387" t="s">
        <v>1377</v>
      </c>
      <c r="C54" s="57">
        <f>-E44</f>
        <v>-165566.93509186973</v>
      </c>
      <c r="D54" s="57">
        <f>D31</f>
        <v>8333.3333333333285</v>
      </c>
      <c r="E54" s="57">
        <f>E31</f>
        <v>9833.3333333333285</v>
      </c>
      <c r="F54" s="57">
        <f>F31</f>
        <v>11378.333333333328</v>
      </c>
      <c r="G54" s="57">
        <f>G31</f>
        <v>12969.683333333327</v>
      </c>
      <c r="H54" s="57">
        <f>H31+H39</f>
        <v>236058.69773873762</v>
      </c>
      <c r="I54" s="126"/>
      <c r="J54" s="146"/>
      <c r="K54" s="39"/>
    </row>
    <row r="55" spans="2:11" ht="13" thickBot="1">
      <c r="B55" s="384"/>
      <c r="C55" s="34"/>
      <c r="D55" s="34"/>
      <c r="E55" s="34"/>
      <c r="F55" s="34"/>
      <c r="G55" s="34"/>
      <c r="H55" s="34"/>
      <c r="I55" s="146"/>
      <c r="J55" s="146"/>
      <c r="K55" s="39"/>
    </row>
    <row r="56" spans="2:11" ht="13.5" thickBot="1">
      <c r="B56" s="472"/>
      <c r="C56" s="473" t="s">
        <v>836</v>
      </c>
      <c r="D56" s="155">
        <f>IRR(C54:H54,0.1)</f>
        <v>0.12000000000000011</v>
      </c>
      <c r="E56" s="64"/>
      <c r="F56" s="64"/>
      <c r="G56" s="64"/>
      <c r="H56" s="64"/>
      <c r="I56" s="149"/>
      <c r="J56" s="149"/>
      <c r="K56" s="39"/>
    </row>
    <row r="57" spans="2:11" ht="13" thickBot="1">
      <c r="B57" s="952" t="s">
        <v>1378</v>
      </c>
      <c r="C57" s="953"/>
      <c r="D57" s="953"/>
      <c r="E57" s="953"/>
      <c r="F57" s="953"/>
      <c r="G57" s="953"/>
      <c r="H57" s="953"/>
      <c r="I57" s="953"/>
      <c r="J57" s="954"/>
      <c r="K57" s="39"/>
    </row>
    <row r="58" spans="2:11">
      <c r="B58" s="39"/>
      <c r="C58" s="39"/>
      <c r="D58" s="39"/>
      <c r="E58" s="39"/>
      <c r="F58" s="39"/>
      <c r="G58" s="39"/>
      <c r="H58" s="39"/>
      <c r="I58" s="39"/>
      <c r="J58" s="39"/>
      <c r="K58" s="39"/>
    </row>
    <row r="59" spans="2:11">
      <c r="B59" s="39"/>
      <c r="C59" s="39"/>
      <c r="D59" s="39"/>
      <c r="E59" s="39"/>
      <c r="F59" s="39"/>
      <c r="G59" s="39"/>
      <c r="H59" s="39"/>
      <c r="I59" s="39"/>
      <c r="J59" s="39"/>
      <c r="K59" s="39"/>
    </row>
    <row r="60" spans="2:11">
      <c r="B60" s="39"/>
      <c r="C60" s="39"/>
      <c r="D60" s="39"/>
      <c r="E60" s="39"/>
      <c r="F60" s="39"/>
      <c r="G60" s="39"/>
      <c r="H60" s="39"/>
      <c r="I60" s="39"/>
      <c r="J60" s="39"/>
      <c r="K60" s="39"/>
    </row>
    <row r="61" spans="2:11">
      <c r="B61" s="39"/>
      <c r="C61" s="39"/>
      <c r="D61" s="39"/>
      <c r="E61" s="39"/>
      <c r="F61" s="39"/>
      <c r="G61" s="39"/>
      <c r="H61" s="39"/>
      <c r="I61" s="39"/>
      <c r="J61" s="39"/>
      <c r="K61" s="39"/>
    </row>
  </sheetData>
  <mergeCells count="4">
    <mergeCell ref="B2:J2"/>
    <mergeCell ref="B3:J3"/>
    <mergeCell ref="B4:J4"/>
    <mergeCell ref="B7:E7"/>
  </mergeCells>
  <phoneticPr fontId="0" type="noConversion"/>
  <pageMargins left="0.75" right="0.75" top="1" bottom="1" header="0.5" footer="0.5"/>
  <pageSetup orientation="portrait"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K90"/>
  <sheetViews>
    <sheetView topLeftCell="A13" workbookViewId="0">
      <selection activeCell="B71" sqref="A71:B71"/>
    </sheetView>
  </sheetViews>
  <sheetFormatPr defaultRowHeight="12.5"/>
  <cols>
    <col min="1" max="1" width="2.81640625" customWidth="1"/>
    <col min="2" max="2" width="28.7265625" bestFit="1" customWidth="1"/>
    <col min="3" max="3" width="14.54296875" customWidth="1"/>
    <col min="4" max="4" width="15.1796875" bestFit="1" customWidth="1"/>
    <col min="5" max="5" width="10.7265625" bestFit="1" customWidth="1"/>
    <col min="6" max="6" width="12.81640625" customWidth="1"/>
    <col min="7" max="8" width="11.7265625" bestFit="1" customWidth="1"/>
    <col min="9" max="9" width="10.7265625" bestFit="1" customWidth="1"/>
  </cols>
  <sheetData>
    <row r="1" spans="2:11" ht="13" thickBot="1"/>
    <row r="2" spans="2:11" ht="18.5" thickBot="1">
      <c r="B2" s="1525" t="s">
        <v>1587</v>
      </c>
      <c r="C2" s="1557"/>
      <c r="D2" s="1557"/>
      <c r="E2" s="1557"/>
      <c r="F2" s="1557"/>
      <c r="G2" s="1557"/>
      <c r="H2" s="1557"/>
      <c r="I2" s="1557"/>
      <c r="J2" s="1557"/>
      <c r="K2" s="1558"/>
    </row>
    <row r="3" spans="2:11" ht="16" thickBot="1">
      <c r="B3" s="1528" t="s">
        <v>1585</v>
      </c>
      <c r="C3" s="1540"/>
      <c r="D3" s="1529"/>
      <c r="E3" s="1529"/>
      <c r="F3" s="1529"/>
      <c r="G3" s="1529"/>
      <c r="H3" s="1529"/>
      <c r="I3" s="1529"/>
      <c r="J3" s="1529"/>
      <c r="K3" s="1530"/>
    </row>
    <row r="4" spans="2:11" ht="16" thickBot="1">
      <c r="B4" s="124"/>
      <c r="D4" s="20"/>
      <c r="K4" s="126"/>
    </row>
    <row r="5" spans="2:11" ht="13">
      <c r="B5" s="230" t="s">
        <v>64</v>
      </c>
      <c r="C5" s="122"/>
      <c r="D5" s="495" t="s">
        <v>65</v>
      </c>
      <c r="K5" s="126"/>
    </row>
    <row r="6" spans="2:11">
      <c r="B6" s="124" t="s">
        <v>66</v>
      </c>
      <c r="D6" s="248" t="s">
        <v>67</v>
      </c>
      <c r="K6" s="126"/>
    </row>
    <row r="7" spans="2:11">
      <c r="B7" s="124" t="s">
        <v>68</v>
      </c>
      <c r="D7" s="248" t="s">
        <v>69</v>
      </c>
      <c r="K7" s="126"/>
    </row>
    <row r="8" spans="2:11">
      <c r="B8" s="124" t="s">
        <v>70</v>
      </c>
      <c r="D8" s="248" t="s">
        <v>71</v>
      </c>
      <c r="K8" s="126"/>
    </row>
    <row r="9" spans="2:11">
      <c r="B9" s="124" t="s">
        <v>72</v>
      </c>
      <c r="D9" s="248">
        <v>95</v>
      </c>
      <c r="K9" s="126"/>
    </row>
    <row r="10" spans="2:11">
      <c r="B10" s="124" t="s">
        <v>73</v>
      </c>
      <c r="D10" s="496">
        <v>1100</v>
      </c>
      <c r="K10" s="126"/>
    </row>
    <row r="11" spans="2:11">
      <c r="B11" s="124" t="s">
        <v>74</v>
      </c>
      <c r="D11" s="496">
        <f>D9*D10</f>
        <v>104500</v>
      </c>
      <c r="K11" s="126"/>
    </row>
    <row r="12" spans="2:11" ht="13">
      <c r="B12" s="124"/>
      <c r="D12" s="497"/>
      <c r="K12" s="126"/>
    </row>
    <row r="13" spans="2:11">
      <c r="B13" s="124" t="s">
        <v>75</v>
      </c>
      <c r="D13" s="498">
        <v>36526</v>
      </c>
      <c r="K13" s="126"/>
    </row>
    <row r="14" spans="2:11">
      <c r="B14" s="124" t="s">
        <v>376</v>
      </c>
      <c r="D14" s="248">
        <v>5</v>
      </c>
      <c r="K14" s="126"/>
    </row>
    <row r="15" spans="2:11">
      <c r="B15" s="171" t="s">
        <v>76</v>
      </c>
      <c r="C15" s="39"/>
      <c r="D15" s="499">
        <v>0.11</v>
      </c>
      <c r="K15" s="126"/>
    </row>
    <row r="16" spans="2:11">
      <c r="B16" s="1133" t="s">
        <v>1505</v>
      </c>
      <c r="C16" s="39"/>
      <c r="D16" s="499">
        <v>0.09</v>
      </c>
      <c r="K16" s="126"/>
    </row>
    <row r="17" spans="2:11" ht="13" thickBot="1">
      <c r="B17" s="1139" t="s">
        <v>77</v>
      </c>
      <c r="C17" s="63"/>
      <c r="D17" s="500">
        <v>0.05</v>
      </c>
      <c r="K17" s="126"/>
    </row>
    <row r="18" spans="2:11" ht="13" thickBot="1">
      <c r="B18" s="124"/>
      <c r="K18" s="126"/>
    </row>
    <row r="19" spans="2:11" ht="13.5" thickBot="1">
      <c r="B19" s="157" t="s">
        <v>78</v>
      </c>
      <c r="C19" s="157"/>
      <c r="D19" s="157" t="s">
        <v>79</v>
      </c>
      <c r="F19" s="44"/>
      <c r="G19" s="39"/>
      <c r="H19" s="44"/>
      <c r="K19" s="126"/>
    </row>
    <row r="20" spans="2:11" ht="13">
      <c r="B20" s="124" t="s">
        <v>80</v>
      </c>
      <c r="D20" s="501" t="s">
        <v>81</v>
      </c>
      <c r="E20" s="477"/>
      <c r="F20" s="479"/>
      <c r="G20" s="477"/>
      <c r="H20" s="479"/>
      <c r="I20" s="39"/>
      <c r="K20" s="126"/>
    </row>
    <row r="21" spans="2:11" ht="13">
      <c r="B21" s="171" t="s">
        <v>776</v>
      </c>
      <c r="C21" s="39"/>
      <c r="D21" s="502">
        <v>95</v>
      </c>
      <c r="E21" s="39"/>
      <c r="F21" s="478"/>
      <c r="H21" s="478"/>
      <c r="I21" s="231"/>
      <c r="K21" s="126"/>
    </row>
    <row r="22" spans="2:11" ht="13">
      <c r="B22" s="171" t="s">
        <v>82</v>
      </c>
      <c r="C22" s="39"/>
      <c r="D22" s="503">
        <v>1200</v>
      </c>
      <c r="E22" s="39"/>
      <c r="F22" s="480"/>
      <c r="H22" s="480"/>
      <c r="K22" s="126"/>
    </row>
    <row r="23" spans="2:11" ht="13">
      <c r="B23" s="171" t="s">
        <v>83</v>
      </c>
      <c r="C23" s="39"/>
      <c r="D23" s="504">
        <v>1</v>
      </c>
      <c r="E23" s="39"/>
      <c r="F23" s="481"/>
      <c r="H23" s="481"/>
      <c r="K23" s="126"/>
    </row>
    <row r="24" spans="2:11" ht="13">
      <c r="B24" s="171" t="s">
        <v>84</v>
      </c>
      <c r="C24" s="39"/>
      <c r="D24" s="505">
        <v>1250</v>
      </c>
      <c r="F24" s="482"/>
      <c r="H24" s="482"/>
      <c r="K24" s="126"/>
    </row>
    <row r="25" spans="2:11" ht="13">
      <c r="B25" s="171" t="s">
        <v>85</v>
      </c>
      <c r="C25" s="39"/>
      <c r="D25" s="492">
        <v>0.03</v>
      </c>
      <c r="F25" s="483"/>
      <c r="H25" s="483"/>
      <c r="K25" s="126"/>
    </row>
    <row r="26" spans="2:11" ht="13">
      <c r="B26" s="168"/>
      <c r="C26" s="1"/>
      <c r="D26" s="126"/>
      <c r="K26" s="126"/>
    </row>
    <row r="27" spans="2:11">
      <c r="B27" s="171" t="s">
        <v>86</v>
      </c>
      <c r="C27" s="39"/>
      <c r="D27" s="503">
        <v>120</v>
      </c>
      <c r="K27" s="126"/>
    </row>
    <row r="28" spans="2:11">
      <c r="B28" s="171" t="s">
        <v>87</v>
      </c>
      <c r="C28" s="39"/>
      <c r="D28" s="492">
        <v>0.03</v>
      </c>
      <c r="K28" s="126"/>
    </row>
    <row r="29" spans="2:11">
      <c r="B29" s="124"/>
      <c r="D29" s="126"/>
      <c r="K29" s="126"/>
    </row>
    <row r="30" spans="2:11">
      <c r="B30" s="171" t="s">
        <v>88</v>
      </c>
      <c r="C30" s="39"/>
      <c r="D30" s="492">
        <v>0.05</v>
      </c>
      <c r="K30" s="126"/>
    </row>
    <row r="31" spans="2:11" ht="13.5" thickBot="1">
      <c r="B31" s="228" t="s">
        <v>89</v>
      </c>
      <c r="C31" s="63"/>
      <c r="D31" s="494">
        <v>0.01</v>
      </c>
      <c r="E31" s="484"/>
      <c r="F31" s="477"/>
      <c r="G31" s="484"/>
      <c r="H31" s="477"/>
      <c r="I31" s="484"/>
      <c r="K31" s="126"/>
    </row>
    <row r="32" spans="2:11" ht="13.5" thickBot="1">
      <c r="D32" s="477"/>
      <c r="E32" s="484"/>
      <c r="F32" s="477"/>
      <c r="G32" s="484"/>
      <c r="H32" s="477"/>
      <c r="I32" s="484"/>
      <c r="K32" s="126"/>
    </row>
    <row r="33" spans="2:11" ht="13.5" thickBot="1">
      <c r="B33" s="157" t="s">
        <v>1200</v>
      </c>
      <c r="C33" s="157"/>
      <c r="D33" s="1136" t="s">
        <v>90</v>
      </c>
      <c r="E33" s="1136" t="s">
        <v>91</v>
      </c>
      <c r="F33" s="1136" t="s">
        <v>92</v>
      </c>
      <c r="G33" s="157" t="s">
        <v>93</v>
      </c>
      <c r="K33" s="126"/>
    </row>
    <row r="34" spans="2:11">
      <c r="B34" s="171" t="s">
        <v>275</v>
      </c>
      <c r="C34" s="39"/>
      <c r="D34" s="364">
        <v>0</v>
      </c>
      <c r="E34" s="491">
        <v>87000</v>
      </c>
      <c r="F34" s="491">
        <v>0</v>
      </c>
      <c r="G34" s="492">
        <v>2.5000000000000001E-2</v>
      </c>
      <c r="K34" s="126"/>
    </row>
    <row r="35" spans="2:11">
      <c r="B35" s="171" t="s">
        <v>94</v>
      </c>
      <c r="C35" s="39"/>
      <c r="D35" s="364">
        <v>0</v>
      </c>
      <c r="E35" s="491">
        <v>20000</v>
      </c>
      <c r="F35" s="491">
        <v>0</v>
      </c>
      <c r="G35" s="492">
        <v>0.03</v>
      </c>
      <c r="H35" s="37"/>
      <c r="I35" s="39"/>
      <c r="K35" s="126"/>
    </row>
    <row r="36" spans="2:11">
      <c r="B36" s="171" t="s">
        <v>276</v>
      </c>
      <c r="C36" s="39"/>
      <c r="D36" s="364">
        <v>0</v>
      </c>
      <c r="E36" s="491">
        <v>0</v>
      </c>
      <c r="F36" s="491">
        <v>150</v>
      </c>
      <c r="G36" s="492">
        <v>0.03</v>
      </c>
      <c r="H36" s="37"/>
      <c r="I36" s="39"/>
      <c r="K36" s="126"/>
    </row>
    <row r="37" spans="2:11">
      <c r="B37" s="171" t="s">
        <v>95</v>
      </c>
      <c r="C37" s="39"/>
      <c r="D37" s="364">
        <v>0</v>
      </c>
      <c r="E37" s="491">
        <v>0</v>
      </c>
      <c r="F37" s="491">
        <v>550</v>
      </c>
      <c r="G37" s="492">
        <v>0.03</v>
      </c>
      <c r="K37" s="126"/>
    </row>
    <row r="38" spans="2:11">
      <c r="B38" s="171" t="s">
        <v>277</v>
      </c>
      <c r="C38" s="39"/>
      <c r="D38" s="364">
        <v>0</v>
      </c>
      <c r="E38" s="491">
        <v>8000</v>
      </c>
      <c r="F38" s="491">
        <v>0</v>
      </c>
      <c r="G38" s="492">
        <v>0.03</v>
      </c>
      <c r="K38" s="126"/>
    </row>
    <row r="39" spans="2:11">
      <c r="B39" s="171" t="s">
        <v>328</v>
      </c>
      <c r="C39" s="39"/>
      <c r="D39" s="364">
        <v>0.12</v>
      </c>
      <c r="E39" s="491">
        <v>0</v>
      </c>
      <c r="F39" s="491">
        <v>0</v>
      </c>
      <c r="G39" s="492">
        <v>0</v>
      </c>
      <c r="K39" s="126"/>
    </row>
    <row r="40" spans="2:11">
      <c r="B40" s="171" t="s">
        <v>274</v>
      </c>
      <c r="C40" s="39"/>
      <c r="D40" s="364">
        <v>0</v>
      </c>
      <c r="E40" s="491">
        <v>45000</v>
      </c>
      <c r="F40" s="491">
        <v>0</v>
      </c>
      <c r="G40" s="492">
        <v>0.03</v>
      </c>
      <c r="H40" s="39"/>
      <c r="I40" s="39"/>
      <c r="K40" s="126"/>
    </row>
    <row r="41" spans="2:11" ht="13" thickBot="1">
      <c r="B41" s="228" t="s">
        <v>96</v>
      </c>
      <c r="C41" s="63"/>
      <c r="D41" s="367">
        <v>0</v>
      </c>
      <c r="E41" s="493">
        <v>15000</v>
      </c>
      <c r="F41" s="493">
        <v>0</v>
      </c>
      <c r="G41" s="494">
        <v>0.03</v>
      </c>
      <c r="K41" s="126"/>
    </row>
    <row r="42" spans="2:11">
      <c r="B42" s="124"/>
      <c r="K42" s="126"/>
    </row>
    <row r="43" spans="2:11">
      <c r="B43" s="124"/>
      <c r="K43" s="126"/>
    </row>
    <row r="44" spans="2:11" ht="13" thickBot="1">
      <c r="B44" s="124"/>
      <c r="K44" s="126"/>
    </row>
    <row r="45" spans="2:11" ht="13.5" thickBot="1">
      <c r="B45" s="1547" t="s">
        <v>97</v>
      </c>
      <c r="C45" s="1548"/>
      <c r="D45" s="1584"/>
      <c r="E45" s="1584"/>
      <c r="F45" s="1584"/>
      <c r="G45" s="1584"/>
      <c r="H45" s="1584"/>
      <c r="I45" s="1585"/>
      <c r="K45" s="126"/>
    </row>
    <row r="46" spans="2:11" ht="13.5" thickBot="1">
      <c r="B46" s="157" t="s">
        <v>262</v>
      </c>
      <c r="C46" s="157">
        <v>0</v>
      </c>
      <c r="D46" s="157">
        <v>1</v>
      </c>
      <c r="E46" s="157">
        <f>D$46+1</f>
        <v>2</v>
      </c>
      <c r="F46" s="157">
        <f>E$46+1</f>
        <v>3</v>
      </c>
      <c r="G46" s="157">
        <f>F$46+1</f>
        <v>4</v>
      </c>
      <c r="H46" s="157">
        <f>G$46+1</f>
        <v>5</v>
      </c>
      <c r="I46" s="157">
        <f>H$46+1</f>
        <v>6</v>
      </c>
      <c r="K46" s="126"/>
    </row>
    <row r="47" spans="2:11" ht="13">
      <c r="B47" s="168" t="s">
        <v>269</v>
      </c>
      <c r="C47" s="1"/>
      <c r="D47" s="485"/>
      <c r="E47" s="485"/>
      <c r="F47" s="485"/>
      <c r="G47" s="485"/>
      <c r="H47" s="485"/>
      <c r="I47" s="875"/>
      <c r="K47" s="126"/>
    </row>
    <row r="48" spans="2:11">
      <c r="B48" s="171" t="s">
        <v>98</v>
      </c>
      <c r="C48" s="39"/>
      <c r="D48" s="486">
        <f>IF($D$23&gt;=D$46,($D$22*12)*$D$21,0)</f>
        <v>1368000</v>
      </c>
      <c r="E48" s="486">
        <f t="shared" ref="E48:I48" si="0">IF($D$23&gt;=E$46,($D$22*12)*$D$21,0)</f>
        <v>0</v>
      </c>
      <c r="F48" s="486">
        <f t="shared" si="0"/>
        <v>0</v>
      </c>
      <c r="G48" s="486">
        <f t="shared" si="0"/>
        <v>0</v>
      </c>
      <c r="H48" s="486">
        <f t="shared" si="0"/>
        <v>0</v>
      </c>
      <c r="I48" s="876">
        <f t="shared" si="0"/>
        <v>0</v>
      </c>
      <c r="K48" s="126"/>
    </row>
    <row r="49" spans="2:11">
      <c r="B49" s="171" t="s">
        <v>99</v>
      </c>
      <c r="C49" s="39"/>
      <c r="D49" s="116">
        <f t="shared" ref="D49:I49" si="1">IF(D$46&gt;$D$23,($D$24*12)*$D$21*((1+$D$25)^(D$46-1)),0)</f>
        <v>0</v>
      </c>
      <c r="E49" s="116">
        <f t="shared" si="1"/>
        <v>1467750</v>
      </c>
      <c r="F49" s="116">
        <f t="shared" si="1"/>
        <v>1511782.5</v>
      </c>
      <c r="G49" s="116">
        <f t="shared" si="1"/>
        <v>1557135.9750000001</v>
      </c>
      <c r="H49" s="116">
        <f t="shared" si="1"/>
        <v>1603850.0542499998</v>
      </c>
      <c r="I49" s="877">
        <f t="shared" si="1"/>
        <v>1651965.5558774997</v>
      </c>
      <c r="K49" s="126"/>
    </row>
    <row r="50" spans="2:11">
      <c r="B50" s="171" t="s">
        <v>100</v>
      </c>
      <c r="C50" s="39"/>
      <c r="D50" s="17">
        <f>$D$27*$D$21</f>
        <v>11400</v>
      </c>
      <c r="E50" s="818">
        <f>D50*(1+$D$28)</f>
        <v>11742</v>
      </c>
      <c r="F50" s="818">
        <f>E50*(1+$D$28)</f>
        <v>12094.26</v>
      </c>
      <c r="G50" s="818">
        <f>F50*(1+$D$28)</f>
        <v>12457.087800000001</v>
      </c>
      <c r="H50" s="818">
        <f>G50*(1+$D$28)</f>
        <v>12830.800434000001</v>
      </c>
      <c r="I50" s="878">
        <f>H50*(1+$D$28)</f>
        <v>13215.72444702</v>
      </c>
      <c r="K50" s="126"/>
    </row>
    <row r="51" spans="2:11" ht="13">
      <c r="B51" s="168" t="s">
        <v>288</v>
      </c>
      <c r="C51" s="1"/>
      <c r="D51" s="8">
        <f t="shared" ref="D51:I51" si="2">SUM(D48:D50)</f>
        <v>1379400</v>
      </c>
      <c r="E51" s="8">
        <f t="shared" si="2"/>
        <v>1479492</v>
      </c>
      <c r="F51" s="8">
        <f t="shared" si="2"/>
        <v>1523876.76</v>
      </c>
      <c r="G51" s="8">
        <f t="shared" si="2"/>
        <v>1569593.0628000002</v>
      </c>
      <c r="H51" s="8">
        <f t="shared" si="2"/>
        <v>1616680.8546839999</v>
      </c>
      <c r="I51" s="879">
        <f t="shared" si="2"/>
        <v>1665181.2803245198</v>
      </c>
      <c r="K51" s="126"/>
    </row>
    <row r="52" spans="2:11">
      <c r="B52" s="171" t="s">
        <v>101</v>
      </c>
      <c r="C52" s="39"/>
      <c r="D52" s="486">
        <f t="shared" ref="D52:I52" si="3">(D48+D49)*$D$30</f>
        <v>68400</v>
      </c>
      <c r="E52" s="486">
        <f t="shared" si="3"/>
        <v>73387.5</v>
      </c>
      <c r="F52" s="486">
        <f t="shared" si="3"/>
        <v>75589.125</v>
      </c>
      <c r="G52" s="486">
        <f t="shared" si="3"/>
        <v>77856.798750000002</v>
      </c>
      <c r="H52" s="486">
        <f t="shared" si="3"/>
        <v>80192.502712499991</v>
      </c>
      <c r="I52" s="876">
        <f t="shared" si="3"/>
        <v>82598.277793874993</v>
      </c>
      <c r="K52" s="126"/>
    </row>
    <row r="53" spans="2:11">
      <c r="B53" s="171" t="s">
        <v>102</v>
      </c>
      <c r="C53" s="39"/>
      <c r="D53" s="874">
        <f t="shared" ref="D53:I53" si="4">D51*$D$31</f>
        <v>13794</v>
      </c>
      <c r="E53" s="874">
        <f t="shared" si="4"/>
        <v>14794.92</v>
      </c>
      <c r="F53" s="874">
        <f t="shared" si="4"/>
        <v>15238.767600000001</v>
      </c>
      <c r="G53" s="874">
        <f t="shared" si="4"/>
        <v>15695.930628000002</v>
      </c>
      <c r="H53" s="874">
        <f t="shared" si="4"/>
        <v>16166.808546839999</v>
      </c>
      <c r="I53" s="880">
        <f t="shared" si="4"/>
        <v>16651.8128032452</v>
      </c>
      <c r="K53" s="126"/>
    </row>
    <row r="54" spans="2:11" ht="13">
      <c r="B54" s="168" t="s">
        <v>289</v>
      </c>
      <c r="C54" s="1"/>
      <c r="D54" s="486">
        <f t="shared" ref="D54:I54" si="5">D51-D52-D53</f>
        <v>1297206</v>
      </c>
      <c r="E54" s="486">
        <f t="shared" si="5"/>
        <v>1391309.58</v>
      </c>
      <c r="F54" s="486">
        <f t="shared" si="5"/>
        <v>1433048.8674000001</v>
      </c>
      <c r="G54" s="486">
        <f t="shared" si="5"/>
        <v>1476040.3334220001</v>
      </c>
      <c r="H54" s="486">
        <f t="shared" si="5"/>
        <v>1520321.5434246599</v>
      </c>
      <c r="I54" s="876">
        <f t="shared" si="5"/>
        <v>1565931.1897273997</v>
      </c>
      <c r="K54" s="126"/>
    </row>
    <row r="55" spans="2:11" ht="13">
      <c r="B55" s="168"/>
      <c r="C55" s="1"/>
      <c r="D55" s="486"/>
      <c r="E55" s="486"/>
      <c r="F55" s="486"/>
      <c r="G55" s="486"/>
      <c r="H55" s="486"/>
      <c r="I55" s="876"/>
      <c r="K55" s="126"/>
    </row>
    <row r="56" spans="2:11" ht="13">
      <c r="B56" s="168" t="s">
        <v>272</v>
      </c>
      <c r="C56" s="1"/>
      <c r="D56" s="486"/>
      <c r="E56" s="486"/>
      <c r="F56" s="486"/>
      <c r="G56" s="486"/>
      <c r="H56" s="486"/>
      <c r="I56" s="876"/>
      <c r="K56" s="126"/>
    </row>
    <row r="57" spans="2:11">
      <c r="B57" s="171" t="s">
        <v>275</v>
      </c>
      <c r="C57" s="39"/>
      <c r="D57" s="486">
        <f t="shared" ref="D57:D64" si="6">IF(D34&gt;0,D34*D$54,IF(E34&gt;0,E34,IF(F34&gt;0,F34*$D$9,0)))</f>
        <v>87000</v>
      </c>
      <c r="E57" s="486">
        <f t="shared" ref="E57:E64" si="7">IF(D34&gt;0,D34*E$54,IF(E34&gt;0,E34*((1+G34)^D$46),IF(F34&gt;0,F34*$D$9*((1+G34)^D$46),0)))</f>
        <v>89174.999999999985</v>
      </c>
      <c r="F57" s="486">
        <f t="shared" ref="F57:F64" si="8">IF(D34&gt;0,D34*F$54,IF(E34&gt;0,E34*((1+G34)^E$46),IF(F34&gt;0,F34*$D$9*((1+G34)^E$46),0)))</f>
        <v>91404.375</v>
      </c>
      <c r="G57" s="486">
        <f t="shared" ref="G57:G64" si="9">IF(D34&gt;0,D34*G$54,IF(E34&gt;0,E34*((1+G34)^F$46),IF(F34&gt;0,F34*$D$9*((1+G34)^F$46),0)))</f>
        <v>93689.484374999985</v>
      </c>
      <c r="H57" s="486">
        <f t="shared" ref="H57:H64" si="10">IF(D34&gt;0,D34*H$54,IF(E34&gt;0,E34*((1+G34)^G$46),IF(F34&gt;0,F34*$D$9*((1+G34)^G$46),0)))</f>
        <v>96031.721484374983</v>
      </c>
      <c r="I57" s="876">
        <f t="shared" ref="I57:I64" si="11">IF(D34&gt;0,D34*I$54,IF(E34&gt;0,E34*((1+G34)^H$46),IF(F34&gt;0,F34*$D$9*((1+G34)^H$46),0)))</f>
        <v>98432.514521484351</v>
      </c>
      <c r="K57" s="126"/>
    </row>
    <row r="58" spans="2:11">
      <c r="B58" s="171" t="s">
        <v>94</v>
      </c>
      <c r="C58" s="39"/>
      <c r="D58" s="486">
        <f t="shared" si="6"/>
        <v>20000</v>
      </c>
      <c r="E58" s="486">
        <f t="shared" si="7"/>
        <v>20600</v>
      </c>
      <c r="F58" s="486">
        <f t="shared" si="8"/>
        <v>21218</v>
      </c>
      <c r="G58" s="486">
        <f t="shared" si="9"/>
        <v>21854.54</v>
      </c>
      <c r="H58" s="486">
        <f t="shared" si="10"/>
        <v>22510.176199999998</v>
      </c>
      <c r="I58" s="876">
        <f t="shared" si="11"/>
        <v>23185.481485999997</v>
      </c>
      <c r="K58" s="126"/>
    </row>
    <row r="59" spans="2:11">
      <c r="B59" s="171" t="s">
        <v>276</v>
      </c>
      <c r="C59" s="39"/>
      <c r="D59" s="486">
        <f t="shared" si="6"/>
        <v>14250</v>
      </c>
      <c r="E59" s="486">
        <f t="shared" si="7"/>
        <v>14677.5</v>
      </c>
      <c r="F59" s="486">
        <f t="shared" si="8"/>
        <v>15117.824999999999</v>
      </c>
      <c r="G59" s="486">
        <f t="shared" si="9"/>
        <v>15571.35975</v>
      </c>
      <c r="H59" s="486">
        <f t="shared" si="10"/>
        <v>16038.500542499998</v>
      </c>
      <c r="I59" s="876">
        <f t="shared" si="11"/>
        <v>16519.655558774997</v>
      </c>
      <c r="K59" s="126"/>
    </row>
    <row r="60" spans="2:11">
      <c r="B60" s="171" t="s">
        <v>95</v>
      </c>
      <c r="C60" s="39"/>
      <c r="D60" s="486">
        <f t="shared" si="6"/>
        <v>52250</v>
      </c>
      <c r="E60" s="486">
        <f t="shared" si="7"/>
        <v>53817.5</v>
      </c>
      <c r="F60" s="486">
        <f t="shared" si="8"/>
        <v>55432.024999999994</v>
      </c>
      <c r="G60" s="486">
        <f t="shared" si="9"/>
        <v>57094.98575</v>
      </c>
      <c r="H60" s="486">
        <f t="shared" si="10"/>
        <v>58807.835322499996</v>
      </c>
      <c r="I60" s="876">
        <f t="shared" si="11"/>
        <v>60572.070382174992</v>
      </c>
      <c r="K60" s="126"/>
    </row>
    <row r="61" spans="2:11">
      <c r="B61" s="171" t="s">
        <v>277</v>
      </c>
      <c r="C61" s="39"/>
      <c r="D61" s="486">
        <f t="shared" si="6"/>
        <v>8000</v>
      </c>
      <c r="E61" s="486">
        <f t="shared" si="7"/>
        <v>8240</v>
      </c>
      <c r="F61" s="486">
        <f t="shared" si="8"/>
        <v>8487.1999999999989</v>
      </c>
      <c r="G61" s="486">
        <f t="shared" si="9"/>
        <v>8741.8160000000007</v>
      </c>
      <c r="H61" s="486">
        <f t="shared" si="10"/>
        <v>9004.0704799999985</v>
      </c>
      <c r="I61" s="876">
        <f t="shared" si="11"/>
        <v>9274.1925943999995</v>
      </c>
      <c r="K61" s="126"/>
    </row>
    <row r="62" spans="2:11">
      <c r="B62" s="171" t="s">
        <v>328</v>
      </c>
      <c r="C62" s="39"/>
      <c r="D62" s="486">
        <f>IF(D39&gt;0,D39*D$54,IF(E39&gt;0,E39,IF(F39&gt;0,F39*$D$9,0)))</f>
        <v>155664.72</v>
      </c>
      <c r="E62" s="486">
        <f t="shared" si="7"/>
        <v>166957.1496</v>
      </c>
      <c r="F62" s="486">
        <f t="shared" si="8"/>
        <v>171965.864088</v>
      </c>
      <c r="G62" s="486">
        <f t="shared" si="9"/>
        <v>177124.84001064001</v>
      </c>
      <c r="H62" s="486">
        <f t="shared" si="10"/>
        <v>182438.58521095917</v>
      </c>
      <c r="I62" s="876">
        <f t="shared" si="11"/>
        <v>187911.74276728797</v>
      </c>
      <c r="K62" s="126"/>
    </row>
    <row r="63" spans="2:11">
      <c r="B63" s="171" t="s">
        <v>274</v>
      </c>
      <c r="C63" s="39"/>
      <c r="D63" s="486">
        <f t="shared" si="6"/>
        <v>45000</v>
      </c>
      <c r="E63" s="486">
        <f t="shared" si="7"/>
        <v>46350</v>
      </c>
      <c r="F63" s="486">
        <f t="shared" si="8"/>
        <v>47740.5</v>
      </c>
      <c r="G63" s="486">
        <f t="shared" si="9"/>
        <v>49172.715000000004</v>
      </c>
      <c r="H63" s="486">
        <f t="shared" si="10"/>
        <v>50647.896449999993</v>
      </c>
      <c r="I63" s="876">
        <f t="shared" si="11"/>
        <v>52167.333343499995</v>
      </c>
      <c r="K63" s="126"/>
    </row>
    <row r="64" spans="2:11">
      <c r="B64" s="171" t="s">
        <v>96</v>
      </c>
      <c r="C64" s="39"/>
      <c r="D64" s="874">
        <f t="shared" si="6"/>
        <v>15000</v>
      </c>
      <c r="E64" s="874">
        <f t="shared" si="7"/>
        <v>15450</v>
      </c>
      <c r="F64" s="874">
        <f t="shared" si="8"/>
        <v>15913.5</v>
      </c>
      <c r="G64" s="874">
        <f t="shared" si="9"/>
        <v>16390.904999999999</v>
      </c>
      <c r="H64" s="874">
        <f t="shared" si="10"/>
        <v>16882.632149999998</v>
      </c>
      <c r="I64" s="880">
        <f t="shared" si="11"/>
        <v>17389.111114499996</v>
      </c>
      <c r="K64" s="126"/>
    </row>
    <row r="65" spans="2:11" ht="13">
      <c r="B65" s="168" t="s">
        <v>278</v>
      </c>
      <c r="C65" s="1"/>
      <c r="D65" s="8">
        <f t="shared" ref="D65:I65" si="12">SUM(D57:D64)</f>
        <v>397164.72</v>
      </c>
      <c r="E65" s="8">
        <f t="shared" si="12"/>
        <v>415267.1496</v>
      </c>
      <c r="F65" s="8">
        <f t="shared" si="12"/>
        <v>427279.28908799996</v>
      </c>
      <c r="G65" s="8">
        <f t="shared" si="12"/>
        <v>439640.64588563994</v>
      </c>
      <c r="H65" s="8">
        <f>SUM(H57:H64)</f>
        <v>452361.41784033418</v>
      </c>
      <c r="I65" s="879">
        <f t="shared" si="12"/>
        <v>465452.10176812229</v>
      </c>
      <c r="K65" s="126"/>
    </row>
    <row r="66" spans="2:11" ht="13">
      <c r="B66" s="168"/>
      <c r="C66" s="1"/>
      <c r="D66" s="8"/>
      <c r="E66" s="8"/>
      <c r="F66" s="8"/>
      <c r="G66" s="8"/>
      <c r="H66" s="8"/>
      <c r="I66" s="879"/>
      <c r="K66" s="126"/>
    </row>
    <row r="67" spans="2:11" ht="13">
      <c r="B67" s="168" t="s">
        <v>389</v>
      </c>
      <c r="C67" s="1"/>
      <c r="D67" s="368">
        <f t="shared" ref="D67:I67" si="13">D54-D65</f>
        <v>900041.28</v>
      </c>
      <c r="E67" s="368">
        <f t="shared" si="13"/>
        <v>976042.43040000007</v>
      </c>
      <c r="F67" s="368">
        <f t="shared" si="13"/>
        <v>1005769.5783120001</v>
      </c>
      <c r="G67" s="368">
        <f t="shared" si="13"/>
        <v>1036399.6875363601</v>
      </c>
      <c r="H67" s="368">
        <f t="shared" si="13"/>
        <v>1067960.1255843258</v>
      </c>
      <c r="I67" s="881">
        <f t="shared" si="13"/>
        <v>1100479.0879592774</v>
      </c>
      <c r="K67" s="126"/>
    </row>
    <row r="68" spans="2:11">
      <c r="B68" s="124"/>
      <c r="I68" s="126"/>
      <c r="K68" s="126"/>
    </row>
    <row r="69" spans="2:11" ht="13">
      <c r="B69" s="374" t="s">
        <v>1500</v>
      </c>
      <c r="C69" s="28"/>
      <c r="D69" s="1137">
        <f t="shared" ref="D69:I69" si="14">D65/D54</f>
        <v>0.30616935166812365</v>
      </c>
      <c r="E69" s="1137">
        <f t="shared" si="14"/>
        <v>0.29847214133320349</v>
      </c>
      <c r="F69" s="1137">
        <f t="shared" si="14"/>
        <v>0.29816100400206069</v>
      </c>
      <c r="G69" s="1137">
        <f t="shared" si="14"/>
        <v>0.29785137704631182</v>
      </c>
      <c r="H69" s="1137">
        <f t="shared" si="14"/>
        <v>0.29754325313403751</v>
      </c>
      <c r="I69" s="1138">
        <f t="shared" si="14"/>
        <v>0.29723662496891007</v>
      </c>
      <c r="K69" s="126"/>
    </row>
    <row r="70" spans="2:11">
      <c r="B70" s="124"/>
      <c r="I70" s="126"/>
      <c r="K70" s="126"/>
    </row>
    <row r="71" spans="2:11" ht="13">
      <c r="B71" s="1134" t="s">
        <v>1502</v>
      </c>
      <c r="D71" s="83"/>
      <c r="E71" s="83"/>
      <c r="F71" s="83"/>
      <c r="G71" s="83"/>
      <c r="H71" s="83"/>
      <c r="I71" s="508"/>
      <c r="K71" s="126"/>
    </row>
    <row r="72" spans="2:11" ht="13">
      <c r="B72" s="168" t="s">
        <v>1322</v>
      </c>
      <c r="C72" s="39"/>
      <c r="D72" s="513">
        <f t="shared" ref="D72:I72" si="15">D67</f>
        <v>900041.28</v>
      </c>
      <c r="E72" s="513">
        <f t="shared" si="15"/>
        <v>976042.43040000007</v>
      </c>
      <c r="F72" s="513">
        <f t="shared" si="15"/>
        <v>1005769.5783120001</v>
      </c>
      <c r="G72" s="513">
        <f t="shared" si="15"/>
        <v>1036399.6875363601</v>
      </c>
      <c r="H72" s="513">
        <f t="shared" si="15"/>
        <v>1067960.1255843258</v>
      </c>
      <c r="I72" s="515">
        <f t="shared" si="15"/>
        <v>1100479.0879592774</v>
      </c>
      <c r="K72" s="126"/>
    </row>
    <row r="73" spans="2:11">
      <c r="B73" s="171" t="s">
        <v>103</v>
      </c>
      <c r="C73" s="39"/>
      <c r="D73" s="886">
        <f>(1/((1+$D$15)^D46))</f>
        <v>0.9009009009009008</v>
      </c>
      <c r="E73" s="886">
        <f>(1/((1+$D$15)^E46))</f>
        <v>0.8116224332440547</v>
      </c>
      <c r="F73" s="886">
        <f>(1/((1+$D$15)^F46))</f>
        <v>0.73119138130095018</v>
      </c>
      <c r="G73" s="886">
        <f>(1/((1+$D$15)^G46))</f>
        <v>0.65873097414500015</v>
      </c>
      <c r="H73" s="886">
        <f>(1/((1+$D$15)^H46))</f>
        <v>0.5934513280585586</v>
      </c>
      <c r="I73" s="510"/>
      <c r="K73" s="126"/>
    </row>
    <row r="74" spans="2:11" ht="13">
      <c r="B74" s="1133" t="s">
        <v>1501</v>
      </c>
      <c r="C74" s="39"/>
      <c r="D74" s="513">
        <f>D72*D73</f>
        <v>810847.99999999988</v>
      </c>
      <c r="E74" s="513">
        <f>E72*(1/((1+$D$15)^E46))</f>
        <v>792177.93231068901</v>
      </c>
      <c r="F74" s="513">
        <f>F72*(1/((1+$D$15)^F46))</f>
        <v>735410.04723642557</v>
      </c>
      <c r="G74" s="513">
        <f>G72*(1/((1+$D$15)^G46))</f>
        <v>682708.57577440026</v>
      </c>
      <c r="H74" s="513">
        <f>H72*(1/((1+$D$15)^H46))</f>
        <v>633782.3548416032</v>
      </c>
      <c r="I74" s="509"/>
      <c r="K74" s="126"/>
    </row>
    <row r="75" spans="2:11">
      <c r="B75" s="124"/>
      <c r="I75" s="126"/>
      <c r="K75" s="126"/>
    </row>
    <row r="76" spans="2:11" ht="13">
      <c r="B76" s="1134" t="s">
        <v>1503</v>
      </c>
      <c r="D76" s="83"/>
      <c r="E76" s="83"/>
      <c r="F76" s="83"/>
      <c r="I76" s="508"/>
      <c r="K76" s="126"/>
    </row>
    <row r="77" spans="2:11" ht="13">
      <c r="B77" s="171" t="s">
        <v>655</v>
      </c>
      <c r="C77" s="39"/>
      <c r="E77" s="54"/>
      <c r="F77" s="113"/>
      <c r="H77" s="513">
        <f>$I$72/$D$16</f>
        <v>12227545.421769749</v>
      </c>
      <c r="I77" s="508"/>
      <c r="K77" s="126"/>
    </row>
    <row r="78" spans="2:11" ht="13">
      <c r="B78" s="171" t="s">
        <v>77</v>
      </c>
      <c r="C78" s="39"/>
      <c r="E78" s="54"/>
      <c r="F78" s="113"/>
      <c r="H78" s="882">
        <f>$H$77*$D$17</f>
        <v>611377.27108848747</v>
      </c>
      <c r="I78" s="508"/>
      <c r="K78" s="126"/>
    </row>
    <row r="79" spans="2:11" ht="13">
      <c r="B79" s="171" t="s">
        <v>106</v>
      </c>
      <c r="C79" s="39"/>
      <c r="E79" s="54"/>
      <c r="F79" s="113"/>
      <c r="H79" s="513">
        <f>H77-H78</f>
        <v>11616168.150681261</v>
      </c>
      <c r="I79" s="508"/>
      <c r="K79" s="126"/>
    </row>
    <row r="80" spans="2:11">
      <c r="B80" s="171" t="s">
        <v>108</v>
      </c>
      <c r="C80" s="39"/>
      <c r="E80" s="54"/>
      <c r="F80" s="113"/>
      <c r="G80" s="113"/>
      <c r="H80" s="887">
        <f>(1/((1+$D$15)^$D$14))</f>
        <v>0.5934513280585586</v>
      </c>
      <c r="I80" s="508"/>
      <c r="K80" s="126"/>
    </row>
    <row r="81" spans="2:11" ht="13">
      <c r="B81" s="171" t="s">
        <v>109</v>
      </c>
      <c r="C81" s="39"/>
      <c r="E81" s="83"/>
      <c r="G81" s="83"/>
      <c r="H81" s="513">
        <f>H79*H80</f>
        <v>6893630.4159733253</v>
      </c>
      <c r="I81" s="508"/>
      <c r="K81" s="126"/>
    </row>
    <row r="82" spans="2:11" ht="13.5" thickBot="1">
      <c r="B82" s="171"/>
      <c r="C82" s="39"/>
      <c r="D82" s="513"/>
      <c r="E82" s="83"/>
      <c r="G82" s="83"/>
      <c r="H82" s="83"/>
      <c r="I82" s="508"/>
      <c r="K82" s="126"/>
    </row>
    <row r="83" spans="2:11" ht="13.5" thickBot="1">
      <c r="B83" s="1135" t="s">
        <v>1504</v>
      </c>
      <c r="D83" s="513"/>
      <c r="E83" s="83"/>
      <c r="G83" s="83"/>
      <c r="H83" s="83"/>
      <c r="I83" s="508"/>
      <c r="K83" s="126"/>
    </row>
    <row r="84" spans="2:11" ht="13">
      <c r="B84" s="145" t="s">
        <v>104</v>
      </c>
      <c r="C84" s="513">
        <f>D74+E74+F74+G74+H74</f>
        <v>3654926.9101631176</v>
      </c>
      <c r="D84" s="513"/>
      <c r="E84" s="83"/>
      <c r="G84" s="83"/>
      <c r="H84" s="83"/>
      <c r="I84" s="508"/>
      <c r="K84" s="126"/>
    </row>
    <row r="85" spans="2:11" ht="13">
      <c r="B85" s="145" t="s">
        <v>105</v>
      </c>
      <c r="C85" s="882">
        <f>H81</f>
        <v>6893630.4159733253</v>
      </c>
      <c r="D85" s="513"/>
      <c r="E85" s="83"/>
      <c r="G85" s="83"/>
      <c r="H85" s="83"/>
      <c r="I85" s="508"/>
      <c r="K85" s="126"/>
    </row>
    <row r="86" spans="2:11" ht="13.5" thickBot="1">
      <c r="B86" s="541" t="s">
        <v>107</v>
      </c>
      <c r="C86" s="883">
        <f>C85+C84</f>
        <v>10548557.326136444</v>
      </c>
      <c r="D86" s="513"/>
      <c r="E86" s="83"/>
      <c r="G86" s="83"/>
      <c r="H86" s="83"/>
      <c r="I86" s="508"/>
      <c r="K86" s="126"/>
    </row>
    <row r="87" spans="2:11" ht="13.5" thickTop="1">
      <c r="B87" s="171"/>
      <c r="C87" s="39"/>
      <c r="D87" s="513"/>
      <c r="E87" s="83"/>
      <c r="G87" s="83"/>
      <c r="H87" s="83"/>
      <c r="I87" s="508"/>
      <c r="K87" s="126"/>
    </row>
    <row r="88" spans="2:11" ht="13.5" thickBot="1">
      <c r="B88" s="171" t="s">
        <v>1369</v>
      </c>
      <c r="C88" s="1175">
        <f>C86/D9</f>
        <v>111037.44553827835</v>
      </c>
      <c r="D88" s="513"/>
      <c r="E88" s="83"/>
      <c r="G88" s="83"/>
      <c r="H88" s="83"/>
      <c r="I88" s="508"/>
      <c r="K88" s="126"/>
    </row>
    <row r="89" spans="2:11" ht="14" thickTop="1" thickBot="1">
      <c r="B89" s="134"/>
      <c r="C89" s="4"/>
      <c r="D89" s="511"/>
      <c r="E89" s="4"/>
      <c r="F89" s="512" t="s">
        <v>110</v>
      </c>
      <c r="G89" s="4"/>
      <c r="H89" s="514">
        <f>(H77/C86)-1</f>
        <v>0.15916755663575266</v>
      </c>
      <c r="I89" s="135" t="s">
        <v>1216</v>
      </c>
      <c r="K89" s="126"/>
    </row>
    <row r="90" spans="2:11" ht="13" thickBot="1">
      <c r="B90" s="884" t="s">
        <v>1368</v>
      </c>
      <c r="C90" s="836"/>
      <c r="D90" s="836"/>
      <c r="E90" s="836"/>
      <c r="F90" s="836"/>
      <c r="G90" s="836"/>
      <c r="H90" s="836"/>
      <c r="I90" s="885"/>
      <c r="J90" s="4"/>
      <c r="K90" s="135"/>
    </row>
  </sheetData>
  <mergeCells count="3">
    <mergeCell ref="B2:K2"/>
    <mergeCell ref="B3:K3"/>
    <mergeCell ref="B45:I45"/>
  </mergeCells>
  <phoneticPr fontId="0" type="noConversion"/>
  <pageMargins left="0.75" right="0.75" top="1" bottom="1" header="0.5" footer="0.5"/>
  <pageSetup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B1:K90"/>
  <sheetViews>
    <sheetView topLeftCell="A49" workbookViewId="0">
      <selection activeCell="H77" sqref="H77"/>
    </sheetView>
  </sheetViews>
  <sheetFormatPr defaultRowHeight="12.5"/>
  <cols>
    <col min="1" max="1" width="2.81640625" customWidth="1"/>
    <col min="2" max="2" width="28.7265625" bestFit="1" customWidth="1"/>
    <col min="3" max="3" width="14.54296875" customWidth="1"/>
    <col min="4" max="4" width="15.1796875" bestFit="1" customWidth="1"/>
    <col min="5" max="5" width="10.7265625" bestFit="1" customWidth="1"/>
    <col min="6" max="6" width="12.81640625" customWidth="1"/>
    <col min="7" max="8" width="11.7265625" bestFit="1" customWidth="1"/>
    <col min="9" max="9" width="10.7265625" bestFit="1" customWidth="1"/>
  </cols>
  <sheetData>
    <row r="1" spans="2:11" ht="13" thickBot="1"/>
    <row r="2" spans="2:11" ht="18.5" thickBot="1">
      <c r="B2" s="1525" t="s">
        <v>1630</v>
      </c>
      <c r="C2" s="1557"/>
      <c r="D2" s="1557"/>
      <c r="E2" s="1557"/>
      <c r="F2" s="1557"/>
      <c r="G2" s="1557"/>
      <c r="H2" s="1557"/>
      <c r="I2" s="1557"/>
      <c r="J2" s="1557"/>
      <c r="K2" s="1558"/>
    </row>
    <row r="3" spans="2:11" ht="16" thickBot="1">
      <c r="B3" s="1528" t="s">
        <v>1650</v>
      </c>
      <c r="C3" s="1540"/>
      <c r="D3" s="1529"/>
      <c r="E3" s="1529"/>
      <c r="F3" s="1529"/>
      <c r="G3" s="1529"/>
      <c r="H3" s="1529"/>
      <c r="I3" s="1529"/>
      <c r="J3" s="1529"/>
      <c r="K3" s="1530"/>
    </row>
    <row r="4" spans="2:11" ht="16" thickBot="1">
      <c r="B4" s="124"/>
      <c r="D4" s="20"/>
      <c r="K4" s="126"/>
    </row>
    <row r="5" spans="2:11" ht="13">
      <c r="B5" s="230" t="s">
        <v>64</v>
      </c>
      <c r="C5" s="122"/>
      <c r="D5" s="495" t="s">
        <v>65</v>
      </c>
      <c r="K5" s="126"/>
    </row>
    <row r="6" spans="2:11">
      <c r="B6" s="124" t="s">
        <v>66</v>
      </c>
      <c r="D6" s="248" t="s">
        <v>67</v>
      </c>
      <c r="K6" s="126"/>
    </row>
    <row r="7" spans="2:11">
      <c r="B7" s="124" t="s">
        <v>68</v>
      </c>
      <c r="D7" s="248" t="s">
        <v>69</v>
      </c>
      <c r="K7" s="126"/>
    </row>
    <row r="8" spans="2:11">
      <c r="B8" s="124" t="s">
        <v>70</v>
      </c>
      <c r="D8" s="248" t="s">
        <v>71</v>
      </c>
      <c r="K8" s="126"/>
    </row>
    <row r="9" spans="2:11">
      <c r="B9" s="124" t="s">
        <v>72</v>
      </c>
      <c r="D9" s="248">
        <v>95</v>
      </c>
      <c r="K9" s="126"/>
    </row>
    <row r="10" spans="2:11">
      <c r="B10" s="124" t="s">
        <v>73</v>
      </c>
      <c r="D10" s="496">
        <v>1100</v>
      </c>
      <c r="K10" s="126"/>
    </row>
    <row r="11" spans="2:11">
      <c r="B11" s="124" t="s">
        <v>74</v>
      </c>
      <c r="D11" s="496">
        <f>D9*D10</f>
        <v>104500</v>
      </c>
      <c r="K11" s="126"/>
    </row>
    <row r="12" spans="2:11" ht="13">
      <c r="B12" s="124"/>
      <c r="D12" s="497"/>
      <c r="K12" s="126"/>
    </row>
    <row r="13" spans="2:11">
      <c r="B13" s="124" t="s">
        <v>75</v>
      </c>
      <c r="D13" s="498">
        <v>36526</v>
      </c>
      <c r="K13" s="126"/>
    </row>
    <row r="14" spans="2:11">
      <c r="B14" s="124" t="s">
        <v>376</v>
      </c>
      <c r="D14" s="248">
        <v>5</v>
      </c>
      <c r="K14" s="126"/>
    </row>
    <row r="15" spans="2:11">
      <c r="B15" s="171" t="s">
        <v>76</v>
      </c>
      <c r="C15" s="39"/>
      <c r="D15" s="499">
        <v>0.11</v>
      </c>
      <c r="K15" s="126"/>
    </row>
    <row r="16" spans="2:11">
      <c r="B16" s="1133" t="s">
        <v>1505</v>
      </c>
      <c r="C16" s="39"/>
      <c r="D16" s="499">
        <v>0.09</v>
      </c>
      <c r="K16" s="126"/>
    </row>
    <row r="17" spans="2:11" ht="13" thickBot="1">
      <c r="B17" s="1139" t="s">
        <v>77</v>
      </c>
      <c r="C17" s="63"/>
      <c r="D17" s="500">
        <v>0.05</v>
      </c>
      <c r="K17" s="126"/>
    </row>
    <row r="18" spans="2:11" ht="13" thickBot="1">
      <c r="B18" s="124"/>
      <c r="K18" s="126"/>
    </row>
    <row r="19" spans="2:11" ht="13.5" thickBot="1">
      <c r="B19" s="157" t="s">
        <v>78</v>
      </c>
      <c r="C19" s="157"/>
      <c r="D19" s="157" t="s">
        <v>79</v>
      </c>
      <c r="F19" s="44"/>
      <c r="G19" s="39"/>
      <c r="H19" s="44"/>
      <c r="K19" s="126"/>
    </row>
    <row r="20" spans="2:11" ht="13">
      <c r="B20" s="124" t="s">
        <v>80</v>
      </c>
      <c r="D20" s="501" t="s">
        <v>81</v>
      </c>
      <c r="E20" s="477"/>
      <c r="F20" s="479"/>
      <c r="G20" s="477"/>
      <c r="H20" s="479"/>
      <c r="I20" s="39"/>
      <c r="K20" s="126"/>
    </row>
    <row r="21" spans="2:11" ht="13">
      <c r="B21" s="171" t="s">
        <v>776</v>
      </c>
      <c r="C21" s="39"/>
      <c r="D21" s="502">
        <v>95</v>
      </c>
      <c r="E21" s="39"/>
      <c r="F21" s="478"/>
      <c r="H21" s="478"/>
      <c r="I21" s="231"/>
      <c r="K21" s="126"/>
    </row>
    <row r="22" spans="2:11" ht="13">
      <c r="B22" s="171"/>
      <c r="C22" s="39"/>
      <c r="D22" s="503"/>
      <c r="E22" s="39"/>
      <c r="F22" s="480"/>
      <c r="H22" s="480"/>
      <c r="K22" s="126"/>
    </row>
    <row r="23" spans="2:11" ht="13">
      <c r="B23" s="171" t="s">
        <v>83</v>
      </c>
      <c r="C23" s="39"/>
      <c r="D23" s="504">
        <v>1</v>
      </c>
      <c r="E23" s="39"/>
      <c r="F23" s="481"/>
      <c r="H23" s="481"/>
      <c r="K23" s="126"/>
    </row>
    <row r="24" spans="2:11" ht="13">
      <c r="B24" s="171" t="s">
        <v>84</v>
      </c>
      <c r="C24" s="39"/>
      <c r="D24" s="505">
        <v>1250</v>
      </c>
      <c r="F24" s="482"/>
      <c r="H24" s="482"/>
      <c r="K24" s="126"/>
    </row>
    <row r="25" spans="2:11" ht="13">
      <c r="B25" s="171" t="s">
        <v>85</v>
      </c>
      <c r="C25" s="39"/>
      <c r="D25" s="492">
        <v>0.03</v>
      </c>
      <c r="F25" s="483"/>
      <c r="H25" s="483"/>
      <c r="K25" s="126"/>
    </row>
    <row r="26" spans="2:11" ht="13">
      <c r="B26" s="168"/>
      <c r="C26" s="1"/>
      <c r="D26" s="126"/>
      <c r="K26" s="126"/>
    </row>
    <row r="27" spans="2:11">
      <c r="B27" s="171" t="s">
        <v>86</v>
      </c>
      <c r="C27" s="39"/>
      <c r="D27" s="503">
        <v>120</v>
      </c>
      <c r="K27" s="126"/>
    </row>
    <row r="28" spans="2:11">
      <c r="B28" s="171" t="s">
        <v>87</v>
      </c>
      <c r="C28" s="39"/>
      <c r="D28" s="492">
        <v>0.03</v>
      </c>
      <c r="K28" s="126"/>
    </row>
    <row r="29" spans="2:11">
      <c r="B29" s="124"/>
      <c r="D29" s="126"/>
      <c r="K29" s="126"/>
    </row>
    <row r="30" spans="2:11">
      <c r="B30" s="171" t="s">
        <v>88</v>
      </c>
      <c r="C30" s="39"/>
      <c r="D30" s="492">
        <v>0.05</v>
      </c>
      <c r="K30" s="126"/>
    </row>
    <row r="31" spans="2:11" ht="13.5" thickBot="1">
      <c r="B31" s="228" t="s">
        <v>89</v>
      </c>
      <c r="C31" s="63"/>
      <c r="D31" s="494">
        <v>0.01</v>
      </c>
      <c r="E31" s="484"/>
      <c r="F31" s="477"/>
      <c r="G31" s="484"/>
      <c r="H31" s="477"/>
      <c r="I31" s="484"/>
      <c r="K31" s="126"/>
    </row>
    <row r="32" spans="2:11" ht="13.5" thickBot="1">
      <c r="D32" s="477"/>
      <c r="E32" s="484"/>
      <c r="F32" s="477"/>
      <c r="G32" s="484"/>
      <c r="H32" s="477"/>
      <c r="I32" s="484"/>
      <c r="K32" s="126"/>
    </row>
    <row r="33" spans="2:11" ht="13.5" thickBot="1">
      <c r="B33" s="157" t="s">
        <v>1200</v>
      </c>
      <c r="C33" s="157"/>
      <c r="D33" s="1136" t="s">
        <v>90</v>
      </c>
      <c r="E33" s="1136" t="s">
        <v>91</v>
      </c>
      <c r="F33" s="1136" t="s">
        <v>92</v>
      </c>
      <c r="G33" s="157" t="s">
        <v>93</v>
      </c>
      <c r="K33" s="126"/>
    </row>
    <row r="34" spans="2:11">
      <c r="B34" s="171" t="s">
        <v>275</v>
      </c>
      <c r="C34" s="39"/>
      <c r="D34" s="364">
        <v>0</v>
      </c>
      <c r="E34" s="491">
        <v>87000</v>
      </c>
      <c r="F34" s="491">
        <v>0</v>
      </c>
      <c r="G34" s="492">
        <v>0.03</v>
      </c>
      <c r="K34" s="126"/>
    </row>
    <row r="35" spans="2:11">
      <c r="B35" s="171" t="s">
        <v>94</v>
      </c>
      <c r="C35" s="39"/>
      <c r="D35" s="364">
        <v>0</v>
      </c>
      <c r="E35" s="491">
        <v>20000</v>
      </c>
      <c r="F35" s="491">
        <v>0</v>
      </c>
      <c r="G35" s="492">
        <v>0.03</v>
      </c>
      <c r="H35" s="37"/>
      <c r="I35" s="39"/>
      <c r="K35" s="126"/>
    </row>
    <row r="36" spans="2:11">
      <c r="B36" s="171" t="s">
        <v>276</v>
      </c>
      <c r="C36" s="39"/>
      <c r="D36" s="364">
        <v>0</v>
      </c>
      <c r="E36" s="491">
        <v>0</v>
      </c>
      <c r="F36" s="491">
        <v>150</v>
      </c>
      <c r="G36" s="492">
        <v>0.03</v>
      </c>
      <c r="H36" s="37"/>
      <c r="I36" s="39"/>
      <c r="K36" s="126"/>
    </row>
    <row r="37" spans="2:11">
      <c r="B37" s="171" t="s">
        <v>95</v>
      </c>
      <c r="C37" s="39"/>
      <c r="D37" s="364">
        <v>0</v>
      </c>
      <c r="E37" s="491">
        <v>0</v>
      </c>
      <c r="F37" s="491">
        <v>550</v>
      </c>
      <c r="G37" s="492">
        <v>0.03</v>
      </c>
      <c r="K37" s="126"/>
    </row>
    <row r="38" spans="2:11">
      <c r="B38" s="171" t="s">
        <v>277</v>
      </c>
      <c r="C38" s="39"/>
      <c r="D38" s="364">
        <v>0</v>
      </c>
      <c r="E38" s="491">
        <v>8000</v>
      </c>
      <c r="F38" s="491">
        <v>0</v>
      </c>
      <c r="G38" s="492">
        <v>0.03</v>
      </c>
      <c r="K38" s="126"/>
    </row>
    <row r="39" spans="2:11">
      <c r="B39" s="171" t="s">
        <v>328</v>
      </c>
      <c r="C39" s="39"/>
      <c r="D39" s="364">
        <v>0.12</v>
      </c>
      <c r="E39" s="491">
        <v>0</v>
      </c>
      <c r="F39" s="491">
        <v>0</v>
      </c>
      <c r="G39" s="492">
        <v>0</v>
      </c>
      <c r="K39" s="126"/>
    </row>
    <row r="40" spans="2:11">
      <c r="B40" s="171" t="s">
        <v>274</v>
      </c>
      <c r="C40" s="39"/>
      <c r="D40" s="364">
        <v>0</v>
      </c>
      <c r="E40" s="491">
        <v>45000</v>
      </c>
      <c r="F40" s="491">
        <v>0</v>
      </c>
      <c r="G40" s="492">
        <v>0.03</v>
      </c>
      <c r="H40" s="39"/>
      <c r="I40" s="39"/>
      <c r="K40" s="126"/>
    </row>
    <row r="41" spans="2:11" ht="13" thickBot="1">
      <c r="B41" s="228" t="s">
        <v>96</v>
      </c>
      <c r="C41" s="63"/>
      <c r="D41" s="367">
        <v>0</v>
      </c>
      <c r="E41" s="493">
        <v>15000</v>
      </c>
      <c r="F41" s="493">
        <v>0</v>
      </c>
      <c r="G41" s="494">
        <v>0.03</v>
      </c>
      <c r="K41" s="126"/>
    </row>
    <row r="42" spans="2:11">
      <c r="B42" s="124"/>
      <c r="K42" s="126"/>
    </row>
    <row r="43" spans="2:11">
      <c r="B43" s="124"/>
      <c r="K43" s="126"/>
    </row>
    <row r="44" spans="2:11" ht="13" thickBot="1">
      <c r="B44" s="124"/>
      <c r="K44" s="126"/>
    </row>
    <row r="45" spans="2:11" ht="13.5" thickBot="1">
      <c r="B45" s="1547" t="s">
        <v>97</v>
      </c>
      <c r="C45" s="1548"/>
      <c r="D45" s="1584"/>
      <c r="E45" s="1584"/>
      <c r="F45" s="1584"/>
      <c r="G45" s="1584"/>
      <c r="H45" s="1584"/>
      <c r="I45" s="1585"/>
      <c r="K45" s="126"/>
    </row>
    <row r="46" spans="2:11" ht="13.5" thickBot="1">
      <c r="B46" s="157" t="s">
        <v>262</v>
      </c>
      <c r="C46" s="157">
        <v>0</v>
      </c>
      <c r="D46" s="157">
        <v>1</v>
      </c>
      <c r="E46" s="157">
        <f>D$46+1</f>
        <v>2</v>
      </c>
      <c r="F46" s="157">
        <f>E$46+1</f>
        <v>3</v>
      </c>
      <c r="G46" s="157">
        <f>F$46+1</f>
        <v>4</v>
      </c>
      <c r="H46" s="157">
        <f>G$46+1</f>
        <v>5</v>
      </c>
      <c r="I46" s="157">
        <f>H$46+1</f>
        <v>6</v>
      </c>
      <c r="K46" s="126"/>
    </row>
    <row r="47" spans="2:11" ht="13">
      <c r="B47" s="1294" t="s">
        <v>269</v>
      </c>
      <c r="C47" s="386"/>
      <c r="D47" s="1295"/>
      <c r="E47" s="1295"/>
      <c r="F47" s="1295"/>
      <c r="G47" s="1295"/>
      <c r="H47" s="1295"/>
      <c r="I47" s="1296"/>
      <c r="K47" s="126"/>
    </row>
    <row r="48" spans="2:11">
      <c r="B48" s="171"/>
      <c r="C48" s="39"/>
      <c r="E48" s="486"/>
      <c r="F48" s="486"/>
      <c r="G48" s="486"/>
      <c r="H48" s="486"/>
      <c r="I48" s="876"/>
      <c r="K48" s="126"/>
    </row>
    <row r="49" spans="2:11">
      <c r="B49" s="1133" t="s">
        <v>1316</v>
      </c>
      <c r="C49" s="39"/>
      <c r="D49" s="486">
        <f>IF($D$23&gt;=D$46,($D$24*12)*$D$21,0)</f>
        <v>1425000</v>
      </c>
      <c r="E49" s="116">
        <f>IF(E$46&gt;$D$23,($D$24*12)*$D$21*((1+$D$25)^(E$46-1)),0)</f>
        <v>1467750</v>
      </c>
      <c r="F49" s="116">
        <f t="shared" ref="F49:I49" si="0">IF(F$46&gt;$D$23,($D$24*12)*$D$21*((1+$D$25)^(F$46-1)),0)</f>
        <v>1511782.5</v>
      </c>
      <c r="G49" s="116">
        <f t="shared" si="0"/>
        <v>1557135.9750000001</v>
      </c>
      <c r="H49" s="116">
        <f t="shared" si="0"/>
        <v>1603850.0542499998</v>
      </c>
      <c r="I49" s="877">
        <f t="shared" si="0"/>
        <v>1651965.5558774997</v>
      </c>
      <c r="K49" s="126"/>
    </row>
    <row r="50" spans="2:11">
      <c r="B50" s="171" t="s">
        <v>100</v>
      </c>
      <c r="C50" s="39"/>
      <c r="D50" s="17">
        <f>$D$27*$D$21</f>
        <v>11400</v>
      </c>
      <c r="E50" s="818">
        <f>D50*(1+$D$28)</f>
        <v>11742</v>
      </c>
      <c r="F50" s="818">
        <f>E50*(1+$D$28)</f>
        <v>12094.26</v>
      </c>
      <c r="G50" s="818">
        <f>F50*(1+$D$28)</f>
        <v>12457.087800000001</v>
      </c>
      <c r="H50" s="818">
        <f>G50*(1+$D$28)</f>
        <v>12830.800434000001</v>
      </c>
      <c r="I50" s="878">
        <f>H50*(1+$D$28)</f>
        <v>13215.72444702</v>
      </c>
      <c r="K50" s="126"/>
    </row>
    <row r="51" spans="2:11" ht="13">
      <c r="B51" s="168" t="s">
        <v>288</v>
      </c>
      <c r="C51" s="1"/>
      <c r="D51" s="8">
        <f>SUM(D49:D50)</f>
        <v>1436400</v>
      </c>
      <c r="E51" s="8">
        <f t="shared" ref="E51:I51" si="1">SUM(E48:E50)</f>
        <v>1479492</v>
      </c>
      <c r="F51" s="8">
        <f t="shared" si="1"/>
        <v>1523876.76</v>
      </c>
      <c r="G51" s="8">
        <f t="shared" si="1"/>
        <v>1569593.0628000002</v>
      </c>
      <c r="H51" s="8">
        <f t="shared" si="1"/>
        <v>1616680.8546839999</v>
      </c>
      <c r="I51" s="879">
        <f t="shared" si="1"/>
        <v>1665181.2803245198</v>
      </c>
      <c r="K51" s="126"/>
    </row>
    <row r="52" spans="2:11">
      <c r="B52" s="171" t="s">
        <v>101</v>
      </c>
      <c r="C52" s="39"/>
      <c r="D52" s="486">
        <f>D49*$D$30</f>
        <v>71250</v>
      </c>
      <c r="E52" s="486">
        <f t="shared" ref="E52:I52" si="2">E49*$D$30</f>
        <v>73387.5</v>
      </c>
      <c r="F52" s="486">
        <f t="shared" si="2"/>
        <v>75589.125</v>
      </c>
      <c r="G52" s="486">
        <f t="shared" si="2"/>
        <v>77856.798750000002</v>
      </c>
      <c r="H52" s="486">
        <f t="shared" si="2"/>
        <v>80192.502712499991</v>
      </c>
      <c r="I52" s="506">
        <f t="shared" si="2"/>
        <v>82598.277793874993</v>
      </c>
      <c r="K52" s="126"/>
    </row>
    <row r="53" spans="2:11">
      <c r="B53" s="171" t="s">
        <v>102</v>
      </c>
      <c r="C53" s="39"/>
      <c r="D53" s="874">
        <f>D49*$D$31</f>
        <v>14250</v>
      </c>
      <c r="E53" s="874">
        <f>E49*$D$31</f>
        <v>14677.5</v>
      </c>
      <c r="F53" s="874">
        <f t="shared" ref="F53:I53" si="3">F49*$D$31</f>
        <v>15117.825000000001</v>
      </c>
      <c r="G53" s="874">
        <f t="shared" si="3"/>
        <v>15571.359750000001</v>
      </c>
      <c r="H53" s="874">
        <f t="shared" si="3"/>
        <v>16038.500542499998</v>
      </c>
      <c r="I53" s="916">
        <f t="shared" si="3"/>
        <v>16519.655558774997</v>
      </c>
      <c r="K53" s="126"/>
    </row>
    <row r="54" spans="2:11" ht="13">
      <c r="B54" s="168" t="s">
        <v>289</v>
      </c>
      <c r="C54" s="1"/>
      <c r="D54" s="486">
        <f t="shared" ref="D54:I54" si="4">D51-D52-D53</f>
        <v>1350900</v>
      </c>
      <c r="E54" s="486">
        <f t="shared" si="4"/>
        <v>1391427</v>
      </c>
      <c r="F54" s="486">
        <f t="shared" si="4"/>
        <v>1433169.81</v>
      </c>
      <c r="G54" s="486">
        <f t="shared" si="4"/>
        <v>1476164.9043000001</v>
      </c>
      <c r="H54" s="486">
        <f t="shared" si="4"/>
        <v>1520449.8514289998</v>
      </c>
      <c r="I54" s="876">
        <f t="shared" si="4"/>
        <v>1566063.3469718699</v>
      </c>
      <c r="K54" s="126"/>
    </row>
    <row r="55" spans="2:11" ht="13">
      <c r="B55" s="168"/>
      <c r="C55" s="1"/>
      <c r="D55" s="486"/>
      <c r="E55" s="486"/>
      <c r="F55" s="486"/>
      <c r="G55" s="486"/>
      <c r="H55" s="486"/>
      <c r="I55" s="876"/>
      <c r="K55" s="126"/>
    </row>
    <row r="56" spans="2:11" ht="13">
      <c r="B56" s="168" t="s">
        <v>272</v>
      </c>
      <c r="C56" s="1"/>
      <c r="D56" s="486"/>
      <c r="E56" s="486"/>
      <c r="F56" s="486"/>
      <c r="G56" s="486"/>
      <c r="H56" s="486"/>
      <c r="I56" s="876"/>
      <c r="K56" s="126"/>
    </row>
    <row r="57" spans="2:11">
      <c r="B57" s="171" t="s">
        <v>275</v>
      </c>
      <c r="C57" s="39"/>
      <c r="D57" s="486">
        <f t="shared" ref="D57:D64" si="5">IF(D34&gt;0,D34*D$54,IF(E34&gt;0,E34,IF(F34&gt;0,F34*$D$9,0)))</f>
        <v>87000</v>
      </c>
      <c r="E57" s="486">
        <f t="shared" ref="E57:E64" si="6">IF(D34&gt;0,D34*E$54,IF(E34&gt;0,E34*((1+G34)^D$46),IF(F34&gt;0,F34*$D$9*((1+G34)^D$46),0)))</f>
        <v>89610</v>
      </c>
      <c r="F57" s="486">
        <f t="shared" ref="F57:F64" si="7">IF(D34&gt;0,D34*F$54,IF(E34&gt;0,E34*((1+G34)^E$46),IF(F34&gt;0,F34*$D$9*((1+G34)^E$46),0)))</f>
        <v>92298.3</v>
      </c>
      <c r="G57" s="486">
        <f t="shared" ref="G57:G64" si="8">IF(D34&gt;0,D34*G$54,IF(E34&gt;0,E34*((1+G34)^F$46),IF(F34&gt;0,F34*$D$9*((1+G34)^F$46),0)))</f>
        <v>95067.248999999996</v>
      </c>
      <c r="H57" s="486">
        <f t="shared" ref="H57:H64" si="9">IF(D34&gt;0,D34*H$54,IF(E34&gt;0,E34*((1+G34)^G$46),IF(F34&gt;0,F34*$D$9*((1+G34)^G$46),0)))</f>
        <v>97919.266469999988</v>
      </c>
      <c r="I57" s="876">
        <f t="shared" ref="I57:I64" si="10">IF(D34&gt;0,D34*I$54,IF(E34&gt;0,E34*((1+G34)^H$46),IF(F34&gt;0,F34*$D$9*((1+G34)^H$46),0)))</f>
        <v>100856.84446409998</v>
      </c>
      <c r="K57" s="126"/>
    </row>
    <row r="58" spans="2:11">
      <c r="B58" s="171" t="s">
        <v>94</v>
      </c>
      <c r="C58" s="39"/>
      <c r="D58" s="486">
        <f t="shared" si="5"/>
        <v>20000</v>
      </c>
      <c r="E58" s="486">
        <f t="shared" si="6"/>
        <v>20600</v>
      </c>
      <c r="F58" s="486">
        <f t="shared" si="7"/>
        <v>21218</v>
      </c>
      <c r="G58" s="486">
        <f t="shared" si="8"/>
        <v>21854.54</v>
      </c>
      <c r="H58" s="486">
        <f t="shared" si="9"/>
        <v>22510.176199999998</v>
      </c>
      <c r="I58" s="876">
        <f t="shared" si="10"/>
        <v>23185.481485999997</v>
      </c>
      <c r="K58" s="126"/>
    </row>
    <row r="59" spans="2:11">
      <c r="B59" s="171" t="s">
        <v>276</v>
      </c>
      <c r="C59" s="39"/>
      <c r="D59" s="486">
        <f t="shared" si="5"/>
        <v>14250</v>
      </c>
      <c r="E59" s="486">
        <f t="shared" si="6"/>
        <v>14677.5</v>
      </c>
      <c r="F59" s="486">
        <f t="shared" si="7"/>
        <v>15117.824999999999</v>
      </c>
      <c r="G59" s="486">
        <f t="shared" si="8"/>
        <v>15571.35975</v>
      </c>
      <c r="H59" s="486">
        <f t="shared" si="9"/>
        <v>16038.500542499998</v>
      </c>
      <c r="I59" s="876">
        <f t="shared" si="10"/>
        <v>16519.655558774997</v>
      </c>
      <c r="K59" s="126"/>
    </row>
    <row r="60" spans="2:11">
      <c r="B60" s="171" t="s">
        <v>95</v>
      </c>
      <c r="C60" s="39"/>
      <c r="D60" s="486">
        <f t="shared" si="5"/>
        <v>52250</v>
      </c>
      <c r="E60" s="486">
        <f t="shared" si="6"/>
        <v>53817.5</v>
      </c>
      <c r="F60" s="486">
        <f t="shared" si="7"/>
        <v>55432.024999999994</v>
      </c>
      <c r="G60" s="486">
        <f t="shared" si="8"/>
        <v>57094.98575</v>
      </c>
      <c r="H60" s="486">
        <f t="shared" si="9"/>
        <v>58807.835322499996</v>
      </c>
      <c r="I60" s="876">
        <f t="shared" si="10"/>
        <v>60572.070382174992</v>
      </c>
      <c r="K60" s="126"/>
    </row>
    <row r="61" spans="2:11">
      <c r="B61" s="171" t="s">
        <v>277</v>
      </c>
      <c r="C61" s="39"/>
      <c r="D61" s="486">
        <f t="shared" si="5"/>
        <v>8000</v>
      </c>
      <c r="E61" s="486">
        <f t="shared" si="6"/>
        <v>8240</v>
      </c>
      <c r="F61" s="486">
        <f t="shared" si="7"/>
        <v>8487.1999999999989</v>
      </c>
      <c r="G61" s="486">
        <f t="shared" si="8"/>
        <v>8741.8160000000007</v>
      </c>
      <c r="H61" s="486">
        <f t="shared" si="9"/>
        <v>9004.0704799999985</v>
      </c>
      <c r="I61" s="876">
        <f t="shared" si="10"/>
        <v>9274.1925943999995</v>
      </c>
      <c r="K61" s="126"/>
    </row>
    <row r="62" spans="2:11">
      <c r="B62" s="171" t="s">
        <v>328</v>
      </c>
      <c r="C62" s="39"/>
      <c r="D62" s="486">
        <f>IF(D39&gt;0,D39*D$54,IF(E39&gt;0,E39,IF(F39&gt;0,F39*$D$9,0)))</f>
        <v>162108</v>
      </c>
      <c r="E62" s="486">
        <f t="shared" si="6"/>
        <v>166971.24</v>
      </c>
      <c r="F62" s="486">
        <f t="shared" si="7"/>
        <v>171980.37719999999</v>
      </c>
      <c r="G62" s="486">
        <f t="shared" si="8"/>
        <v>177139.788516</v>
      </c>
      <c r="H62" s="486">
        <f t="shared" si="9"/>
        <v>182453.98217147996</v>
      </c>
      <c r="I62" s="876">
        <f t="shared" si="10"/>
        <v>187927.60163662437</v>
      </c>
      <c r="K62" s="126"/>
    </row>
    <row r="63" spans="2:11">
      <c r="B63" s="171" t="s">
        <v>274</v>
      </c>
      <c r="C63" s="39"/>
      <c r="D63" s="486">
        <f t="shared" si="5"/>
        <v>45000</v>
      </c>
      <c r="E63" s="486">
        <f t="shared" si="6"/>
        <v>46350</v>
      </c>
      <c r="F63" s="486">
        <f t="shared" si="7"/>
        <v>47740.5</v>
      </c>
      <c r="G63" s="486">
        <f t="shared" si="8"/>
        <v>49172.715000000004</v>
      </c>
      <c r="H63" s="486">
        <f t="shared" si="9"/>
        <v>50647.896449999993</v>
      </c>
      <c r="I63" s="876">
        <f t="shared" si="10"/>
        <v>52167.333343499995</v>
      </c>
      <c r="K63" s="126"/>
    </row>
    <row r="64" spans="2:11">
      <c r="B64" s="171" t="s">
        <v>96</v>
      </c>
      <c r="C64" s="39"/>
      <c r="D64" s="874">
        <f t="shared" si="5"/>
        <v>15000</v>
      </c>
      <c r="E64" s="874">
        <f t="shared" si="6"/>
        <v>15450</v>
      </c>
      <c r="F64" s="874">
        <f t="shared" si="7"/>
        <v>15913.5</v>
      </c>
      <c r="G64" s="874">
        <f t="shared" si="8"/>
        <v>16390.904999999999</v>
      </c>
      <c r="H64" s="874">
        <f t="shared" si="9"/>
        <v>16882.632149999998</v>
      </c>
      <c r="I64" s="880">
        <f t="shared" si="10"/>
        <v>17389.111114499996</v>
      </c>
      <c r="K64" s="126"/>
    </row>
    <row r="65" spans="2:11" ht="13">
      <c r="B65" s="168" t="s">
        <v>278</v>
      </c>
      <c r="C65" s="1"/>
      <c r="D65" s="8">
        <f t="shared" ref="D65:I65" si="11">SUM(D57:D64)</f>
        <v>403608</v>
      </c>
      <c r="E65" s="8">
        <f t="shared" si="11"/>
        <v>415716.24</v>
      </c>
      <c r="F65" s="8">
        <f t="shared" si="11"/>
        <v>428187.72719999996</v>
      </c>
      <c r="G65" s="8">
        <f t="shared" si="11"/>
        <v>441033.35901599994</v>
      </c>
      <c r="H65" s="8">
        <f>SUM(H57:H64)</f>
        <v>454264.35978647997</v>
      </c>
      <c r="I65" s="879">
        <f t="shared" si="11"/>
        <v>467892.29058007424</v>
      </c>
      <c r="K65" s="126"/>
    </row>
    <row r="66" spans="2:11" ht="13">
      <c r="B66" s="168"/>
      <c r="C66" s="1"/>
      <c r="D66" s="8"/>
      <c r="E66" s="8"/>
      <c r="F66" s="8"/>
      <c r="G66" s="8"/>
      <c r="H66" s="8"/>
      <c r="I66" s="879"/>
      <c r="K66" s="126"/>
    </row>
    <row r="67" spans="2:11" ht="13">
      <c r="B67" s="168" t="s">
        <v>389</v>
      </c>
      <c r="C67" s="1"/>
      <c r="D67" s="368">
        <f t="shared" ref="D67:I67" si="12">D54-D65</f>
        <v>947292</v>
      </c>
      <c r="E67" s="368">
        <f t="shared" si="12"/>
        <v>975710.76</v>
      </c>
      <c r="F67" s="368">
        <f t="shared" si="12"/>
        <v>1004982.0828000001</v>
      </c>
      <c r="G67" s="368">
        <f t="shared" si="12"/>
        <v>1035131.5452840001</v>
      </c>
      <c r="H67" s="368">
        <f t="shared" si="12"/>
        <v>1066185.4916425198</v>
      </c>
      <c r="I67" s="881">
        <f t="shared" si="12"/>
        <v>1098171.0563917956</v>
      </c>
      <c r="K67" s="126"/>
    </row>
    <row r="68" spans="2:11">
      <c r="B68" s="124"/>
      <c r="I68" s="126"/>
      <c r="K68" s="126"/>
    </row>
    <row r="69" spans="2:11" ht="13">
      <c r="B69" s="374" t="s">
        <v>1500</v>
      </c>
      <c r="C69" s="28"/>
      <c r="D69" s="1137">
        <f t="shared" ref="D69:I69" si="13">D65/D54</f>
        <v>0.29876970908283368</v>
      </c>
      <c r="E69" s="1137">
        <f t="shared" si="13"/>
        <v>0.29876970908283368</v>
      </c>
      <c r="F69" s="1137">
        <f t="shared" si="13"/>
        <v>0.29876970908283362</v>
      </c>
      <c r="G69" s="1137">
        <f t="shared" si="13"/>
        <v>0.29876970908283362</v>
      </c>
      <c r="H69" s="1137">
        <f t="shared" si="13"/>
        <v>0.29876970908283368</v>
      </c>
      <c r="I69" s="1138">
        <f t="shared" si="13"/>
        <v>0.29876970908283357</v>
      </c>
      <c r="K69" s="126"/>
    </row>
    <row r="70" spans="2:11">
      <c r="B70" s="124"/>
      <c r="I70" s="126"/>
      <c r="K70" s="126"/>
    </row>
    <row r="71" spans="2:11" ht="13">
      <c r="B71" s="1134" t="s">
        <v>1502</v>
      </c>
      <c r="D71" s="83"/>
      <c r="E71" s="83"/>
      <c r="F71" s="83"/>
      <c r="G71" s="83"/>
      <c r="H71" s="83"/>
      <c r="I71" s="508"/>
      <c r="K71" s="126"/>
    </row>
    <row r="72" spans="2:11" ht="13">
      <c r="B72" s="168" t="s">
        <v>1322</v>
      </c>
      <c r="C72" s="39"/>
      <c r="D72" s="513">
        <f t="shared" ref="D72:I72" si="14">D67</f>
        <v>947292</v>
      </c>
      <c r="E72" s="513">
        <f t="shared" si="14"/>
        <v>975710.76</v>
      </c>
      <c r="F72" s="513">
        <f t="shared" si="14"/>
        <v>1004982.0828000001</v>
      </c>
      <c r="G72" s="513">
        <f t="shared" si="14"/>
        <v>1035131.5452840001</v>
      </c>
      <c r="H72" s="513">
        <f t="shared" si="14"/>
        <v>1066185.4916425198</v>
      </c>
      <c r="I72" s="515">
        <f t="shared" si="14"/>
        <v>1098171.0563917956</v>
      </c>
      <c r="K72" s="126"/>
    </row>
    <row r="73" spans="2:11">
      <c r="B73" s="171" t="s">
        <v>103</v>
      </c>
      <c r="C73" s="39"/>
      <c r="D73" s="886">
        <f>(1/((1+$D$15)^D46))</f>
        <v>0.9009009009009008</v>
      </c>
      <c r="E73" s="886">
        <f>(1/((1+$D$15)^E46))</f>
        <v>0.8116224332440547</v>
      </c>
      <c r="F73" s="886">
        <f>(1/((1+$D$15)^F46))</f>
        <v>0.73119138130095018</v>
      </c>
      <c r="G73" s="886">
        <f>(1/((1+$D$15)^G46))</f>
        <v>0.65873097414500015</v>
      </c>
      <c r="H73" s="886">
        <f>(1/((1+$D$15)^H46))</f>
        <v>0.5934513280585586</v>
      </c>
      <c r="I73" s="510"/>
      <c r="K73" s="126"/>
    </row>
    <row r="74" spans="2:11" ht="13">
      <c r="B74" s="1133" t="s">
        <v>1501</v>
      </c>
      <c r="C74" s="39"/>
      <c r="D74" s="513">
        <f>D72*D73</f>
        <v>853416.2162162161</v>
      </c>
      <c r="E74" s="513">
        <f>E72*(1/((1+$D$15)^E46))</f>
        <v>791908.7411736059</v>
      </c>
      <c r="F74" s="513">
        <f>F72*(1/((1+$D$15)^F46))</f>
        <v>734834.23730523791</v>
      </c>
      <c r="G74" s="513">
        <f>G72*(1/((1+$D$15)^G46))</f>
        <v>681873.21119314875</v>
      </c>
      <c r="H74" s="513">
        <f>H72*(1/((1+$D$15)^H46))</f>
        <v>632729.19597202062</v>
      </c>
      <c r="I74" s="509"/>
      <c r="K74" s="126"/>
    </row>
    <row r="75" spans="2:11">
      <c r="B75" s="124"/>
      <c r="I75" s="126"/>
      <c r="K75" s="126"/>
    </row>
    <row r="76" spans="2:11" ht="13">
      <c r="B76" s="1134" t="s">
        <v>1503</v>
      </c>
      <c r="D76" s="83"/>
      <c r="E76" s="83"/>
      <c r="F76" s="83"/>
      <c r="I76" s="508"/>
      <c r="K76" s="126"/>
    </row>
    <row r="77" spans="2:11" ht="13">
      <c r="B77" s="171" t="s">
        <v>655</v>
      </c>
      <c r="C77" s="39"/>
      <c r="E77" s="54"/>
      <c r="F77" s="113"/>
      <c r="H77" s="513">
        <f>$I$72/$D$16</f>
        <v>12201900.626575507</v>
      </c>
      <c r="I77" s="508"/>
      <c r="K77" s="126"/>
    </row>
    <row r="78" spans="2:11" ht="13">
      <c r="B78" s="171" t="s">
        <v>77</v>
      </c>
      <c r="C78" s="39"/>
      <c r="E78" s="54"/>
      <c r="F78" s="113"/>
      <c r="H78" s="882">
        <f>$H$77*$D$17</f>
        <v>610095.03132877534</v>
      </c>
      <c r="I78" s="508"/>
      <c r="K78" s="126"/>
    </row>
    <row r="79" spans="2:11" ht="13">
      <c r="B79" s="171" t="s">
        <v>106</v>
      </c>
      <c r="C79" s="39"/>
      <c r="E79" s="54"/>
      <c r="F79" s="113"/>
      <c r="H79" s="513">
        <f>H77-H78</f>
        <v>11591805.595246732</v>
      </c>
      <c r="I79" s="508"/>
      <c r="K79" s="126"/>
    </row>
    <row r="80" spans="2:11">
      <c r="B80" s="171" t="s">
        <v>108</v>
      </c>
      <c r="C80" s="39"/>
      <c r="E80" s="54"/>
      <c r="F80" s="113"/>
      <c r="G80" s="113"/>
      <c r="H80" s="887">
        <f>(1/((1+$D$15)^$D$14))</f>
        <v>0.5934513280585586</v>
      </c>
      <c r="I80" s="508"/>
      <c r="K80" s="126"/>
    </row>
    <row r="81" spans="2:11" ht="13">
      <c r="B81" s="171" t="s">
        <v>109</v>
      </c>
      <c r="C81" s="39"/>
      <c r="E81" s="83"/>
      <c r="G81" s="83"/>
      <c r="H81" s="513">
        <f>H79*H80</f>
        <v>6879172.425095804</v>
      </c>
      <c r="I81" s="508"/>
      <c r="K81" s="126"/>
    </row>
    <row r="82" spans="2:11" ht="13.5" thickBot="1">
      <c r="B82" s="171"/>
      <c r="C82" s="39"/>
      <c r="D82" s="513"/>
      <c r="E82" s="83"/>
      <c r="G82" s="83"/>
      <c r="H82" s="83"/>
      <c r="I82" s="508"/>
      <c r="K82" s="126"/>
    </row>
    <row r="83" spans="2:11" ht="13.5" thickBot="1">
      <c r="B83" s="1135" t="s">
        <v>1504</v>
      </c>
      <c r="D83" s="513"/>
      <c r="E83" s="83"/>
      <c r="G83" s="83"/>
      <c r="H83" s="83"/>
      <c r="I83" s="508"/>
      <c r="K83" s="126"/>
    </row>
    <row r="84" spans="2:11" ht="13">
      <c r="B84" s="145" t="s">
        <v>104</v>
      </c>
      <c r="C84" s="513">
        <f>D74+E74+F74+G74+H74</f>
        <v>3694761.6018602299</v>
      </c>
      <c r="D84" s="513"/>
      <c r="E84" s="83"/>
      <c r="G84" s="83"/>
      <c r="H84" s="83"/>
      <c r="I84" s="508"/>
      <c r="K84" s="126"/>
    </row>
    <row r="85" spans="2:11" ht="13">
      <c r="B85" s="145" t="s">
        <v>105</v>
      </c>
      <c r="C85" s="882">
        <f>H81</f>
        <v>6879172.425095804</v>
      </c>
      <c r="D85" s="513"/>
      <c r="E85" s="83"/>
      <c r="G85" s="83"/>
      <c r="H85" s="83"/>
      <c r="I85" s="508"/>
      <c r="K85" s="126"/>
    </row>
    <row r="86" spans="2:11" ht="13.5" thickBot="1">
      <c r="B86" s="541" t="s">
        <v>107</v>
      </c>
      <c r="C86" s="883">
        <f>C85+C84</f>
        <v>10573934.026956033</v>
      </c>
      <c r="D86" s="513"/>
      <c r="E86" s="83"/>
      <c r="G86" s="83"/>
      <c r="H86" s="83"/>
      <c r="I86" s="508"/>
      <c r="K86" s="126"/>
    </row>
    <row r="87" spans="2:11" ht="13.5" thickTop="1">
      <c r="B87" s="171"/>
      <c r="C87" s="39"/>
      <c r="D87" s="513"/>
      <c r="E87" s="83"/>
      <c r="G87" s="83"/>
      <c r="H87" s="83"/>
      <c r="I87" s="508"/>
      <c r="K87" s="126"/>
    </row>
    <row r="88" spans="2:11" ht="13.5" thickBot="1">
      <c r="B88" s="171" t="s">
        <v>1369</v>
      </c>
      <c r="C88" s="1175">
        <f>C86/D9</f>
        <v>111304.56870480035</v>
      </c>
      <c r="D88" s="513"/>
      <c r="E88" s="83"/>
      <c r="G88" s="83"/>
      <c r="H88" s="83"/>
      <c r="I88" s="508"/>
      <c r="K88" s="126"/>
    </row>
    <row r="89" spans="2:11" ht="14" thickTop="1" thickBot="1">
      <c r="B89" s="134"/>
      <c r="C89" s="4"/>
      <c r="D89" s="511"/>
      <c r="E89" s="4"/>
      <c r="F89" s="512" t="s">
        <v>110</v>
      </c>
      <c r="G89" s="4"/>
      <c r="H89" s="514">
        <f>(H77/C86)-1</f>
        <v>0.1539603515086545</v>
      </c>
      <c r="I89" s="135" t="s">
        <v>1216</v>
      </c>
      <c r="K89" s="126"/>
    </row>
    <row r="90" spans="2:11" ht="13" thickBot="1">
      <c r="B90" s="884" t="s">
        <v>1368</v>
      </c>
      <c r="C90" s="836"/>
      <c r="D90" s="836"/>
      <c r="E90" s="836"/>
      <c r="F90" s="836"/>
      <c r="G90" s="836"/>
      <c r="H90" s="836"/>
      <c r="I90" s="885"/>
      <c r="J90" s="4"/>
      <c r="K90" s="135"/>
    </row>
  </sheetData>
  <mergeCells count="3">
    <mergeCell ref="B2:K2"/>
    <mergeCell ref="B3:K3"/>
    <mergeCell ref="B45:I45"/>
  </mergeCells>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L106"/>
  <sheetViews>
    <sheetView tabSelected="1" workbookViewId="0">
      <selection activeCell="F15" sqref="F15"/>
    </sheetView>
  </sheetViews>
  <sheetFormatPr defaultRowHeight="12.5"/>
  <cols>
    <col min="4" max="4" width="13.81640625" customWidth="1"/>
    <col min="5" max="5" width="11.81640625" customWidth="1"/>
    <col min="6" max="6" width="10.1796875" customWidth="1"/>
    <col min="7" max="7" width="9.7265625" customWidth="1"/>
    <col min="8" max="8" width="10" customWidth="1"/>
    <col min="9" max="9" width="12.26953125" customWidth="1"/>
    <col min="10" max="10" width="11.1796875" customWidth="1"/>
  </cols>
  <sheetData>
    <row r="1" spans="2:12" ht="13" thickBot="1"/>
    <row r="2" spans="2:12" ht="18.5" thickBot="1">
      <c r="B2" s="1525" t="s">
        <v>63</v>
      </c>
      <c r="C2" s="1526"/>
      <c r="D2" s="1526"/>
      <c r="E2" s="1526"/>
      <c r="F2" s="1526"/>
      <c r="G2" s="1526"/>
      <c r="H2" s="1526"/>
      <c r="I2" s="1526"/>
      <c r="J2" s="1526"/>
      <c r="K2" s="1526"/>
      <c r="L2" s="1527"/>
    </row>
    <row r="3" spans="2:12" ht="16" thickBot="1">
      <c r="B3" s="1528" t="s">
        <v>814</v>
      </c>
      <c r="C3" s="1529"/>
      <c r="D3" s="1529"/>
      <c r="E3" s="1529"/>
      <c r="F3" s="1529"/>
      <c r="G3" s="1529"/>
      <c r="H3" s="1529"/>
      <c r="I3" s="1529"/>
      <c r="J3" s="1529"/>
      <c r="K3" s="1529"/>
      <c r="L3" s="1530"/>
    </row>
    <row r="4" spans="2:12">
      <c r="B4" s="124"/>
      <c r="C4" s="209"/>
      <c r="I4" s="209"/>
      <c r="L4" s="126"/>
    </row>
    <row r="5" spans="2:12" ht="13">
      <c r="B5" s="210" t="s">
        <v>1076</v>
      </c>
      <c r="C5" s="211"/>
      <c r="D5" s="211"/>
      <c r="E5" s="211"/>
      <c r="F5" s="211"/>
      <c r="G5" s="212"/>
      <c r="H5" s="212"/>
      <c r="I5" s="209"/>
      <c r="L5" s="126"/>
    </row>
    <row r="6" spans="2:12" ht="13" thickBot="1">
      <c r="B6" s="213"/>
      <c r="C6" s="22"/>
      <c r="D6" s="22"/>
      <c r="E6" s="22"/>
      <c r="F6" s="22"/>
      <c r="G6" s="22"/>
      <c r="L6" s="126"/>
    </row>
    <row r="7" spans="2:12" ht="13.5" thickBot="1">
      <c r="B7" s="213"/>
      <c r="C7" s="1531" t="s">
        <v>827</v>
      </c>
      <c r="D7" s="1532"/>
      <c r="E7" s="1532"/>
      <c r="F7" s="1532"/>
      <c r="G7" s="1533"/>
      <c r="H7" s="22"/>
      <c r="L7" s="126"/>
    </row>
    <row r="8" spans="2:12">
      <c r="B8" s="213"/>
      <c r="C8" s="124"/>
      <c r="G8" s="126"/>
      <c r="H8" s="22"/>
      <c r="L8" s="126"/>
    </row>
    <row r="9" spans="2:12">
      <c r="B9" s="213"/>
      <c r="C9" s="145" t="s">
        <v>460</v>
      </c>
      <c r="D9" s="39"/>
      <c r="E9" s="39"/>
      <c r="F9" s="150">
        <v>60000</v>
      </c>
      <c r="G9" s="146"/>
      <c r="H9" s="22"/>
      <c r="L9" s="126"/>
    </row>
    <row r="10" spans="2:12">
      <c r="B10" s="213"/>
      <c r="C10" s="145" t="s">
        <v>825</v>
      </c>
      <c r="D10" s="39"/>
      <c r="E10" s="39"/>
      <c r="F10" s="151">
        <v>0.12</v>
      </c>
      <c r="G10" s="146"/>
      <c r="H10" s="22"/>
      <c r="L10" s="126"/>
    </row>
    <row r="11" spans="2:12">
      <c r="B11" s="213"/>
      <c r="C11" s="145" t="s">
        <v>371</v>
      </c>
      <c r="D11" s="39"/>
      <c r="E11" s="39"/>
      <c r="F11" s="152">
        <v>30</v>
      </c>
      <c r="G11" s="147" t="s">
        <v>816</v>
      </c>
      <c r="H11" s="22"/>
      <c r="L11" s="126"/>
    </row>
    <row r="12" spans="2:12" ht="13" thickBot="1">
      <c r="B12" s="213"/>
      <c r="C12" s="148" t="s">
        <v>214</v>
      </c>
      <c r="D12" s="63"/>
      <c r="E12" s="63"/>
      <c r="F12" s="153">
        <v>3</v>
      </c>
      <c r="G12" s="149"/>
      <c r="H12" s="22"/>
      <c r="L12" s="126"/>
    </row>
    <row r="13" spans="2:12">
      <c r="B13" s="124"/>
      <c r="C13" s="39"/>
      <c r="D13" s="39"/>
      <c r="E13" s="39"/>
      <c r="F13" s="39"/>
      <c r="G13" s="39"/>
      <c r="L13" s="126"/>
    </row>
    <row r="14" spans="2:12">
      <c r="B14" s="124"/>
      <c r="C14" s="22" t="s">
        <v>817</v>
      </c>
      <c r="F14" s="846">
        <f>PMT(F10/12,F11*12,-F9)</f>
        <v>617.16755815530257</v>
      </c>
      <c r="L14" s="126"/>
    </row>
    <row r="15" spans="2:12">
      <c r="B15" s="124"/>
      <c r="C15" s="22" t="s">
        <v>819</v>
      </c>
      <c r="F15" s="846">
        <f>F14*12</f>
        <v>7406.0106978636304</v>
      </c>
      <c r="G15" s="22" t="s">
        <v>820</v>
      </c>
      <c r="L15" s="126"/>
    </row>
    <row r="16" spans="2:12">
      <c r="B16" s="124"/>
      <c r="C16" s="22" t="s">
        <v>1572</v>
      </c>
      <c r="F16" s="1287">
        <f>F14/F9</f>
        <v>1.0286125969255043E-2</v>
      </c>
      <c r="G16" s="22"/>
      <c r="L16" s="126"/>
    </row>
    <row r="17" spans="2:12">
      <c r="B17" s="124"/>
      <c r="C17" s="22" t="s">
        <v>818</v>
      </c>
      <c r="F17" s="847">
        <f>F15/F9</f>
        <v>0.12343351163106051</v>
      </c>
      <c r="G17" s="22"/>
      <c r="H17" s="22"/>
      <c r="L17" s="126"/>
    </row>
    <row r="18" spans="2:12">
      <c r="B18" s="124"/>
      <c r="C18" s="22" t="s">
        <v>1002</v>
      </c>
      <c r="F18" s="847">
        <f>F85</f>
        <v>0.12823369626777925</v>
      </c>
      <c r="G18" s="22"/>
      <c r="H18" s="22"/>
      <c r="L18" s="126"/>
    </row>
    <row r="19" spans="2:12">
      <c r="B19" s="124"/>
      <c r="L19" s="126"/>
    </row>
    <row r="20" spans="2:12">
      <c r="B20" s="124"/>
      <c r="C20" t="s">
        <v>828</v>
      </c>
      <c r="D20" s="22"/>
      <c r="L20" s="126"/>
    </row>
    <row r="21" spans="2:12" ht="13" thickBot="1">
      <c r="B21" s="124"/>
      <c r="L21" s="126"/>
    </row>
    <row r="22" spans="2:12" ht="13.5" thickBot="1">
      <c r="B22" s="157" t="s">
        <v>262</v>
      </c>
      <c r="C22" s="157" t="s">
        <v>216</v>
      </c>
      <c r="D22" s="157" t="s">
        <v>821</v>
      </c>
      <c r="E22" s="157" t="s">
        <v>209</v>
      </c>
      <c r="F22" s="157" t="s">
        <v>822</v>
      </c>
      <c r="G22" s="157" t="s">
        <v>210</v>
      </c>
      <c r="H22" s="157" t="s">
        <v>387</v>
      </c>
      <c r="I22" s="157" t="s">
        <v>823</v>
      </c>
      <c r="J22" s="156" t="s">
        <v>824</v>
      </c>
      <c r="L22" s="126"/>
    </row>
    <row r="23" spans="2:12">
      <c r="B23" s="124"/>
      <c r="C23">
        <v>0</v>
      </c>
      <c r="J23" s="158">
        <f>-(F9-F12/100*F9)</f>
        <v>-58200</v>
      </c>
      <c r="L23" s="126"/>
    </row>
    <row r="24" spans="2:12">
      <c r="B24" s="159" t="s">
        <v>815</v>
      </c>
      <c r="C24">
        <v>1</v>
      </c>
      <c r="D24" s="11">
        <f>F9</f>
        <v>60000</v>
      </c>
      <c r="E24" s="11">
        <f>F14</f>
        <v>617.16755815530257</v>
      </c>
      <c r="F24" s="23">
        <f>F10</f>
        <v>0.12</v>
      </c>
      <c r="G24" s="160">
        <f t="shared" ref="G24:G83" si="0">(F24/12)*D24</f>
        <v>600</v>
      </c>
      <c r="H24" s="160">
        <f t="shared" ref="H24:H83" si="1">E24-G24</f>
        <v>17.167558155302572</v>
      </c>
      <c r="I24" s="161">
        <f t="shared" ref="I24:I83" si="2">D24-H24</f>
        <v>59982.832441844701</v>
      </c>
      <c r="J24" s="162">
        <f t="shared" ref="J24:J82" si="3">E24</f>
        <v>617.16755815530257</v>
      </c>
      <c r="L24" s="126"/>
    </row>
    <row r="25" spans="2:12">
      <c r="B25" s="159"/>
      <c r="C25">
        <f t="shared" ref="C25:C35" si="4">1+C24</f>
        <v>2</v>
      </c>
      <c r="D25" s="161">
        <f t="shared" ref="D25:D83" si="5">I24</f>
        <v>59982.832441844701</v>
      </c>
      <c r="E25" s="161">
        <f t="shared" ref="E25:F56" si="6">E24</f>
        <v>617.16755815530257</v>
      </c>
      <c r="F25" s="23">
        <f t="shared" si="6"/>
        <v>0.12</v>
      </c>
      <c r="G25" s="160">
        <f t="shared" si="0"/>
        <v>599.82832441844698</v>
      </c>
      <c r="H25" s="160">
        <f t="shared" si="1"/>
        <v>17.33923373685559</v>
      </c>
      <c r="I25" s="161">
        <f t="shared" si="2"/>
        <v>59965.493208107844</v>
      </c>
      <c r="J25" s="162">
        <f t="shared" si="3"/>
        <v>617.16755815530257</v>
      </c>
      <c r="L25" s="126"/>
    </row>
    <row r="26" spans="2:12">
      <c r="B26" s="159"/>
      <c r="C26">
        <f t="shared" si="4"/>
        <v>3</v>
      </c>
      <c r="D26" s="161">
        <f t="shared" si="5"/>
        <v>59965.493208107844</v>
      </c>
      <c r="E26" s="161">
        <f t="shared" si="6"/>
        <v>617.16755815530257</v>
      </c>
      <c r="F26" s="23">
        <f t="shared" si="6"/>
        <v>0.12</v>
      </c>
      <c r="G26" s="160">
        <f t="shared" si="0"/>
        <v>599.65493208107841</v>
      </c>
      <c r="H26" s="160">
        <f t="shared" si="1"/>
        <v>17.512626074224158</v>
      </c>
      <c r="I26" s="161">
        <f t="shared" si="2"/>
        <v>59947.980582033619</v>
      </c>
      <c r="J26" s="162">
        <f t="shared" si="3"/>
        <v>617.16755815530257</v>
      </c>
      <c r="L26" s="126"/>
    </row>
    <row r="27" spans="2:12">
      <c r="B27" s="159"/>
      <c r="C27">
        <f t="shared" si="4"/>
        <v>4</v>
      </c>
      <c r="D27" s="161">
        <f t="shared" si="5"/>
        <v>59947.980582033619</v>
      </c>
      <c r="E27" s="161">
        <f t="shared" si="6"/>
        <v>617.16755815530257</v>
      </c>
      <c r="F27" s="23">
        <f t="shared" si="6"/>
        <v>0.12</v>
      </c>
      <c r="G27" s="160">
        <f t="shared" si="0"/>
        <v>599.4798058203362</v>
      </c>
      <c r="H27" s="160">
        <f t="shared" si="1"/>
        <v>17.687752334966376</v>
      </c>
      <c r="I27" s="161">
        <f t="shared" si="2"/>
        <v>59930.29282969865</v>
      </c>
      <c r="J27" s="162">
        <f t="shared" si="3"/>
        <v>617.16755815530257</v>
      </c>
      <c r="L27" s="126"/>
    </row>
    <row r="28" spans="2:12">
      <c r="B28" s="159"/>
      <c r="C28">
        <f t="shared" si="4"/>
        <v>5</v>
      </c>
      <c r="D28" s="161">
        <f t="shared" si="5"/>
        <v>59930.29282969865</v>
      </c>
      <c r="E28" s="161">
        <f t="shared" si="6"/>
        <v>617.16755815530257</v>
      </c>
      <c r="F28" s="23">
        <f t="shared" si="6"/>
        <v>0.12</v>
      </c>
      <c r="G28" s="160">
        <f t="shared" si="0"/>
        <v>599.30292829698647</v>
      </c>
      <c r="H28" s="160">
        <f t="shared" si="1"/>
        <v>17.864629858316107</v>
      </c>
      <c r="I28" s="161">
        <f t="shared" si="2"/>
        <v>59912.428199840331</v>
      </c>
      <c r="J28" s="162">
        <f t="shared" si="3"/>
        <v>617.16755815530257</v>
      </c>
      <c r="L28" s="126"/>
    </row>
    <row r="29" spans="2:12">
      <c r="B29" s="159"/>
      <c r="C29">
        <f t="shared" si="4"/>
        <v>6</v>
      </c>
      <c r="D29" s="161">
        <f t="shared" si="5"/>
        <v>59912.428199840331</v>
      </c>
      <c r="E29" s="161">
        <f t="shared" si="6"/>
        <v>617.16755815530257</v>
      </c>
      <c r="F29" s="23">
        <f t="shared" si="6"/>
        <v>0.12</v>
      </c>
      <c r="G29" s="160">
        <f t="shared" si="0"/>
        <v>599.12428199840338</v>
      </c>
      <c r="H29" s="160">
        <f t="shared" si="1"/>
        <v>18.043276156899196</v>
      </c>
      <c r="I29" s="161">
        <f t="shared" si="2"/>
        <v>59894.384923683428</v>
      </c>
      <c r="J29" s="162">
        <f t="shared" si="3"/>
        <v>617.16755815530257</v>
      </c>
      <c r="L29" s="126"/>
    </row>
    <row r="30" spans="2:12">
      <c r="B30" s="159"/>
      <c r="C30">
        <f t="shared" si="4"/>
        <v>7</v>
      </c>
      <c r="D30" s="161">
        <f t="shared" si="5"/>
        <v>59894.384923683428</v>
      </c>
      <c r="E30" s="161">
        <f t="shared" si="6"/>
        <v>617.16755815530257</v>
      </c>
      <c r="F30" s="23">
        <f t="shared" si="6"/>
        <v>0.12</v>
      </c>
      <c r="G30" s="160">
        <f t="shared" si="0"/>
        <v>598.94384923683435</v>
      </c>
      <c r="H30" s="160">
        <f t="shared" si="1"/>
        <v>18.223708918468219</v>
      </c>
      <c r="I30" s="161">
        <f t="shared" si="2"/>
        <v>59876.161214764958</v>
      </c>
      <c r="J30" s="162">
        <f t="shared" si="3"/>
        <v>617.16755815530257</v>
      </c>
      <c r="L30" s="126"/>
    </row>
    <row r="31" spans="2:12">
      <c r="B31" s="159"/>
      <c r="C31">
        <f t="shared" si="4"/>
        <v>8</v>
      </c>
      <c r="D31" s="161">
        <f t="shared" si="5"/>
        <v>59876.161214764958</v>
      </c>
      <c r="E31" s="161">
        <f t="shared" si="6"/>
        <v>617.16755815530257</v>
      </c>
      <c r="F31" s="23">
        <f t="shared" si="6"/>
        <v>0.12</v>
      </c>
      <c r="G31" s="160">
        <f t="shared" si="0"/>
        <v>598.76161214764954</v>
      </c>
      <c r="H31" s="160">
        <f t="shared" si="1"/>
        <v>18.405946007653029</v>
      </c>
      <c r="I31" s="161">
        <f t="shared" si="2"/>
        <v>59857.755268757304</v>
      </c>
      <c r="J31" s="162">
        <f t="shared" si="3"/>
        <v>617.16755815530257</v>
      </c>
      <c r="L31" s="126"/>
    </row>
    <row r="32" spans="2:12">
      <c r="B32" s="159"/>
      <c r="C32">
        <f t="shared" si="4"/>
        <v>9</v>
      </c>
      <c r="D32" s="161">
        <f t="shared" si="5"/>
        <v>59857.755268757304</v>
      </c>
      <c r="E32" s="161">
        <f t="shared" si="6"/>
        <v>617.16755815530257</v>
      </c>
      <c r="F32" s="23">
        <f t="shared" si="6"/>
        <v>0.12</v>
      </c>
      <c r="G32" s="160">
        <f t="shared" si="0"/>
        <v>598.57755268757307</v>
      </c>
      <c r="H32" s="160">
        <f t="shared" si="1"/>
        <v>18.590005467729497</v>
      </c>
      <c r="I32" s="161">
        <f t="shared" si="2"/>
        <v>59839.165263289571</v>
      </c>
      <c r="J32" s="162">
        <f t="shared" si="3"/>
        <v>617.16755815530257</v>
      </c>
      <c r="L32" s="126"/>
    </row>
    <row r="33" spans="2:12">
      <c r="B33" s="159"/>
      <c r="C33">
        <f t="shared" si="4"/>
        <v>10</v>
      </c>
      <c r="D33" s="161">
        <f t="shared" si="5"/>
        <v>59839.165263289571</v>
      </c>
      <c r="E33" s="161">
        <f t="shared" si="6"/>
        <v>617.16755815530257</v>
      </c>
      <c r="F33" s="23">
        <f t="shared" si="6"/>
        <v>0.12</v>
      </c>
      <c r="G33" s="160">
        <f t="shared" si="0"/>
        <v>598.39165263289567</v>
      </c>
      <c r="H33" s="160">
        <f t="shared" si="1"/>
        <v>18.775905522406902</v>
      </c>
      <c r="I33" s="161">
        <f t="shared" si="2"/>
        <v>59820.389357767162</v>
      </c>
      <c r="J33" s="162">
        <f t="shared" si="3"/>
        <v>617.16755815530257</v>
      </c>
      <c r="L33" s="126"/>
    </row>
    <row r="34" spans="2:12">
      <c r="B34" s="159"/>
      <c r="C34">
        <f t="shared" si="4"/>
        <v>11</v>
      </c>
      <c r="D34" s="161">
        <f t="shared" si="5"/>
        <v>59820.389357767162</v>
      </c>
      <c r="E34" s="161">
        <f t="shared" si="6"/>
        <v>617.16755815530257</v>
      </c>
      <c r="F34" s="23">
        <f t="shared" si="6"/>
        <v>0.12</v>
      </c>
      <c r="G34" s="160">
        <f t="shared" si="0"/>
        <v>598.20389357767169</v>
      </c>
      <c r="H34" s="160">
        <f t="shared" si="1"/>
        <v>18.96366457763088</v>
      </c>
      <c r="I34" s="161">
        <f t="shared" si="2"/>
        <v>59801.425693189529</v>
      </c>
      <c r="J34" s="162">
        <f t="shared" si="3"/>
        <v>617.16755815530257</v>
      </c>
      <c r="L34" s="126"/>
    </row>
    <row r="35" spans="2:12">
      <c r="B35" s="159"/>
      <c r="C35">
        <f t="shared" si="4"/>
        <v>12</v>
      </c>
      <c r="D35" s="161">
        <f t="shared" si="5"/>
        <v>59801.425693189529</v>
      </c>
      <c r="E35" s="161">
        <f t="shared" si="6"/>
        <v>617.16755815530257</v>
      </c>
      <c r="F35" s="23">
        <f t="shared" si="6"/>
        <v>0.12</v>
      </c>
      <c r="G35" s="160">
        <f t="shared" si="0"/>
        <v>598.01425693189526</v>
      </c>
      <c r="H35" s="160">
        <f t="shared" si="1"/>
        <v>19.153301223407311</v>
      </c>
      <c r="I35" s="161">
        <f t="shared" si="2"/>
        <v>59782.272391966122</v>
      </c>
      <c r="J35" s="162">
        <f t="shared" si="3"/>
        <v>617.16755815530257</v>
      </c>
      <c r="L35" s="126"/>
    </row>
    <row r="36" spans="2:12">
      <c r="B36" s="159">
        <v>2</v>
      </c>
      <c r="C36">
        <v>1</v>
      </c>
      <c r="D36" s="161">
        <f t="shared" si="5"/>
        <v>59782.272391966122</v>
      </c>
      <c r="E36" s="161">
        <f t="shared" si="6"/>
        <v>617.16755815530257</v>
      </c>
      <c r="F36" s="23">
        <f t="shared" si="6"/>
        <v>0.12</v>
      </c>
      <c r="G36" s="160">
        <f t="shared" si="0"/>
        <v>597.82272391966126</v>
      </c>
      <c r="H36" s="160">
        <f t="shared" si="1"/>
        <v>19.344834235641315</v>
      </c>
      <c r="I36" s="161">
        <f t="shared" si="2"/>
        <v>59762.92755773048</v>
      </c>
      <c r="J36" s="162">
        <f t="shared" si="3"/>
        <v>617.16755815530257</v>
      </c>
      <c r="L36" s="126"/>
    </row>
    <row r="37" spans="2:12">
      <c r="B37" s="159"/>
      <c r="C37">
        <f t="shared" ref="C37:C47" si="7">1+C36</f>
        <v>2</v>
      </c>
      <c r="D37" s="161">
        <f t="shared" si="5"/>
        <v>59762.92755773048</v>
      </c>
      <c r="E37" s="161">
        <f t="shared" si="6"/>
        <v>617.16755815530257</v>
      </c>
      <c r="F37" s="23">
        <f t="shared" si="6"/>
        <v>0.12</v>
      </c>
      <c r="G37" s="160">
        <f t="shared" si="0"/>
        <v>597.62927557730484</v>
      </c>
      <c r="H37" s="160">
        <f t="shared" si="1"/>
        <v>19.538282577997734</v>
      </c>
      <c r="I37" s="161">
        <f t="shared" si="2"/>
        <v>59743.389275152484</v>
      </c>
      <c r="J37" s="162">
        <f t="shared" si="3"/>
        <v>617.16755815530257</v>
      </c>
      <c r="L37" s="126"/>
    </row>
    <row r="38" spans="2:12">
      <c r="B38" s="159"/>
      <c r="C38">
        <f t="shared" si="7"/>
        <v>3</v>
      </c>
      <c r="D38" s="161">
        <f t="shared" si="5"/>
        <v>59743.389275152484</v>
      </c>
      <c r="E38" s="161">
        <f t="shared" si="6"/>
        <v>617.16755815530257</v>
      </c>
      <c r="F38" s="23">
        <f t="shared" si="6"/>
        <v>0.12</v>
      </c>
      <c r="G38" s="160">
        <f t="shared" si="0"/>
        <v>597.43389275152481</v>
      </c>
      <c r="H38" s="160">
        <f t="shared" si="1"/>
        <v>19.733665403777763</v>
      </c>
      <c r="I38" s="161">
        <f t="shared" si="2"/>
        <v>59723.655609748705</v>
      </c>
      <c r="J38" s="162">
        <f t="shared" si="3"/>
        <v>617.16755815530257</v>
      </c>
      <c r="L38" s="126"/>
    </row>
    <row r="39" spans="2:12">
      <c r="B39" s="159"/>
      <c r="C39">
        <f t="shared" si="7"/>
        <v>4</v>
      </c>
      <c r="D39" s="161">
        <f t="shared" si="5"/>
        <v>59723.655609748705</v>
      </c>
      <c r="E39" s="161">
        <f t="shared" si="6"/>
        <v>617.16755815530257</v>
      </c>
      <c r="F39" s="23">
        <f t="shared" si="6"/>
        <v>0.12</v>
      </c>
      <c r="G39" s="160">
        <f t="shared" si="0"/>
        <v>597.2365560974871</v>
      </c>
      <c r="H39" s="160">
        <f t="shared" si="1"/>
        <v>19.931002057815476</v>
      </c>
      <c r="I39" s="161">
        <f t="shared" si="2"/>
        <v>59703.724607690892</v>
      </c>
      <c r="J39" s="162">
        <f t="shared" si="3"/>
        <v>617.16755815530257</v>
      </c>
      <c r="L39" s="126"/>
    </row>
    <row r="40" spans="2:12">
      <c r="B40" s="159"/>
      <c r="C40">
        <f t="shared" si="7"/>
        <v>5</v>
      </c>
      <c r="D40" s="161">
        <f t="shared" si="5"/>
        <v>59703.724607690892</v>
      </c>
      <c r="E40" s="161">
        <f t="shared" si="6"/>
        <v>617.16755815530257</v>
      </c>
      <c r="F40" s="23">
        <f t="shared" si="6"/>
        <v>0.12</v>
      </c>
      <c r="G40" s="160">
        <f t="shared" si="0"/>
        <v>597.0372460769089</v>
      </c>
      <c r="H40" s="160">
        <f t="shared" si="1"/>
        <v>20.130312078393672</v>
      </c>
      <c r="I40" s="161">
        <f t="shared" si="2"/>
        <v>59683.5942956125</v>
      </c>
      <c r="J40" s="162">
        <f t="shared" si="3"/>
        <v>617.16755815530257</v>
      </c>
      <c r="L40" s="126"/>
    </row>
    <row r="41" spans="2:12">
      <c r="B41" s="159"/>
      <c r="C41">
        <f t="shared" si="7"/>
        <v>6</v>
      </c>
      <c r="D41" s="161">
        <f t="shared" si="5"/>
        <v>59683.5942956125</v>
      </c>
      <c r="E41" s="161">
        <f t="shared" si="6"/>
        <v>617.16755815530257</v>
      </c>
      <c r="F41" s="23">
        <f t="shared" si="6"/>
        <v>0.12</v>
      </c>
      <c r="G41" s="160">
        <f t="shared" si="0"/>
        <v>596.835942956125</v>
      </c>
      <c r="H41" s="160">
        <f t="shared" si="1"/>
        <v>20.331615199177577</v>
      </c>
      <c r="I41" s="161">
        <f t="shared" si="2"/>
        <v>59663.262680413325</v>
      </c>
      <c r="J41" s="162">
        <f t="shared" si="3"/>
        <v>617.16755815530257</v>
      </c>
      <c r="L41" s="126"/>
    </row>
    <row r="42" spans="2:12">
      <c r="B42" s="159"/>
      <c r="C42">
        <f t="shared" si="7"/>
        <v>7</v>
      </c>
      <c r="D42" s="161">
        <f t="shared" si="5"/>
        <v>59663.262680413325</v>
      </c>
      <c r="E42" s="161">
        <f t="shared" si="6"/>
        <v>617.16755815530257</v>
      </c>
      <c r="F42" s="23">
        <f t="shared" si="6"/>
        <v>0.12</v>
      </c>
      <c r="G42" s="160">
        <f t="shared" si="0"/>
        <v>596.63262680413322</v>
      </c>
      <c r="H42" s="160">
        <f t="shared" si="1"/>
        <v>20.534931351169348</v>
      </c>
      <c r="I42" s="161">
        <f t="shared" si="2"/>
        <v>59642.727749062156</v>
      </c>
      <c r="J42" s="162">
        <f t="shared" si="3"/>
        <v>617.16755815530257</v>
      </c>
      <c r="L42" s="126"/>
    </row>
    <row r="43" spans="2:12">
      <c r="B43" s="159"/>
      <c r="C43">
        <f t="shared" si="7"/>
        <v>8</v>
      </c>
      <c r="D43" s="161">
        <f t="shared" si="5"/>
        <v>59642.727749062156</v>
      </c>
      <c r="E43" s="161">
        <f t="shared" si="6"/>
        <v>617.16755815530257</v>
      </c>
      <c r="F43" s="23">
        <f t="shared" si="6"/>
        <v>0.12</v>
      </c>
      <c r="G43" s="160">
        <f t="shared" si="0"/>
        <v>596.42727749062158</v>
      </c>
      <c r="H43" s="160">
        <f t="shared" si="1"/>
        <v>20.740280664680995</v>
      </c>
      <c r="I43" s="161">
        <f t="shared" si="2"/>
        <v>59621.987468397478</v>
      </c>
      <c r="J43" s="162">
        <f t="shared" si="3"/>
        <v>617.16755815530257</v>
      </c>
      <c r="L43" s="126"/>
    </row>
    <row r="44" spans="2:12">
      <c r="B44" s="159"/>
      <c r="C44">
        <f t="shared" si="7"/>
        <v>9</v>
      </c>
      <c r="D44" s="161">
        <f t="shared" si="5"/>
        <v>59621.987468397478</v>
      </c>
      <c r="E44" s="161">
        <f t="shared" si="6"/>
        <v>617.16755815530257</v>
      </c>
      <c r="F44" s="23">
        <f t="shared" si="6"/>
        <v>0.12</v>
      </c>
      <c r="G44" s="160">
        <f t="shared" si="0"/>
        <v>596.21987468397481</v>
      </c>
      <c r="H44" s="160">
        <f t="shared" si="1"/>
        <v>20.947683471327764</v>
      </c>
      <c r="I44" s="161">
        <f t="shared" si="2"/>
        <v>59601.03978492615</v>
      </c>
      <c r="J44" s="162">
        <f t="shared" si="3"/>
        <v>617.16755815530257</v>
      </c>
      <c r="L44" s="126"/>
    </row>
    <row r="45" spans="2:12">
      <c r="B45" s="159"/>
      <c r="C45">
        <f t="shared" si="7"/>
        <v>10</v>
      </c>
      <c r="D45" s="161">
        <f t="shared" si="5"/>
        <v>59601.03978492615</v>
      </c>
      <c r="E45" s="161">
        <f t="shared" si="6"/>
        <v>617.16755815530257</v>
      </c>
      <c r="F45" s="23">
        <f t="shared" si="6"/>
        <v>0.12</v>
      </c>
      <c r="G45" s="160">
        <f t="shared" si="0"/>
        <v>596.01039784926149</v>
      </c>
      <c r="H45" s="160">
        <f t="shared" si="1"/>
        <v>21.157160306041078</v>
      </c>
      <c r="I45" s="161">
        <f t="shared" si="2"/>
        <v>59579.882624620106</v>
      </c>
      <c r="J45" s="162">
        <f t="shared" si="3"/>
        <v>617.16755815530257</v>
      </c>
      <c r="L45" s="126"/>
    </row>
    <row r="46" spans="2:12">
      <c r="B46" s="159"/>
      <c r="C46">
        <f t="shared" si="7"/>
        <v>11</v>
      </c>
      <c r="D46" s="161">
        <f t="shared" si="5"/>
        <v>59579.882624620106</v>
      </c>
      <c r="E46" s="161">
        <f t="shared" si="6"/>
        <v>617.16755815530257</v>
      </c>
      <c r="F46" s="23">
        <f t="shared" si="6"/>
        <v>0.12</v>
      </c>
      <c r="G46" s="160">
        <f t="shared" si="0"/>
        <v>595.79882624620109</v>
      </c>
      <c r="H46" s="160">
        <f t="shared" si="1"/>
        <v>21.368731909101484</v>
      </c>
      <c r="I46" s="161">
        <f t="shared" si="2"/>
        <v>59558.513892711002</v>
      </c>
      <c r="J46" s="162">
        <f t="shared" si="3"/>
        <v>617.16755815530257</v>
      </c>
      <c r="L46" s="126"/>
    </row>
    <row r="47" spans="2:12">
      <c r="B47" s="159"/>
      <c r="C47">
        <f t="shared" si="7"/>
        <v>12</v>
      </c>
      <c r="D47" s="161">
        <f t="shared" si="5"/>
        <v>59558.513892711002</v>
      </c>
      <c r="E47" s="161">
        <f t="shared" si="6"/>
        <v>617.16755815530257</v>
      </c>
      <c r="F47" s="23">
        <f t="shared" si="6"/>
        <v>0.12</v>
      </c>
      <c r="G47" s="160">
        <f t="shared" si="0"/>
        <v>595.58513892711005</v>
      </c>
      <c r="H47" s="160">
        <f t="shared" si="1"/>
        <v>21.582419228192521</v>
      </c>
      <c r="I47" s="161">
        <f t="shared" si="2"/>
        <v>59536.931473482808</v>
      </c>
      <c r="J47" s="162">
        <f t="shared" si="3"/>
        <v>617.16755815530257</v>
      </c>
      <c r="L47" s="126"/>
    </row>
    <row r="48" spans="2:12">
      <c r="B48" s="159">
        <v>3</v>
      </c>
      <c r="C48">
        <v>1</v>
      </c>
      <c r="D48" s="161">
        <f t="shared" si="5"/>
        <v>59536.931473482808</v>
      </c>
      <c r="E48" s="161">
        <f t="shared" si="6"/>
        <v>617.16755815530257</v>
      </c>
      <c r="F48" s="23">
        <f t="shared" si="6"/>
        <v>0.12</v>
      </c>
      <c r="G48" s="160">
        <f t="shared" si="0"/>
        <v>595.36931473482809</v>
      </c>
      <c r="H48" s="160">
        <f t="shared" si="1"/>
        <v>21.798243420474478</v>
      </c>
      <c r="I48" s="161">
        <f t="shared" si="2"/>
        <v>59515.133230062333</v>
      </c>
      <c r="J48" s="162">
        <f t="shared" si="3"/>
        <v>617.16755815530257</v>
      </c>
      <c r="L48" s="126"/>
    </row>
    <row r="49" spans="2:12">
      <c r="B49" s="159"/>
      <c r="C49">
        <f t="shared" ref="C49:C59" si="8">1+C48</f>
        <v>2</v>
      </c>
      <c r="D49" s="161">
        <f t="shared" si="5"/>
        <v>59515.133230062333</v>
      </c>
      <c r="E49" s="161">
        <f t="shared" si="6"/>
        <v>617.16755815530257</v>
      </c>
      <c r="F49" s="23">
        <f t="shared" si="6"/>
        <v>0.12</v>
      </c>
      <c r="G49" s="160">
        <f t="shared" si="0"/>
        <v>595.15133230062338</v>
      </c>
      <c r="H49" s="160">
        <f t="shared" si="1"/>
        <v>22.016225854679192</v>
      </c>
      <c r="I49" s="161">
        <f t="shared" si="2"/>
        <v>59493.117004207656</v>
      </c>
      <c r="J49" s="162">
        <f t="shared" si="3"/>
        <v>617.16755815530257</v>
      </c>
      <c r="L49" s="126"/>
    </row>
    <row r="50" spans="2:12">
      <c r="B50" s="159"/>
      <c r="C50">
        <f t="shared" si="8"/>
        <v>3</v>
      </c>
      <c r="D50" s="161">
        <f t="shared" si="5"/>
        <v>59493.117004207656</v>
      </c>
      <c r="E50" s="161">
        <f t="shared" si="6"/>
        <v>617.16755815530257</v>
      </c>
      <c r="F50" s="23">
        <f t="shared" si="6"/>
        <v>0.12</v>
      </c>
      <c r="G50" s="160">
        <f t="shared" si="0"/>
        <v>594.93117004207659</v>
      </c>
      <c r="H50" s="160">
        <f t="shared" si="1"/>
        <v>22.236388113225985</v>
      </c>
      <c r="I50" s="161">
        <f t="shared" si="2"/>
        <v>59470.88061609443</v>
      </c>
      <c r="J50" s="162">
        <f t="shared" si="3"/>
        <v>617.16755815530257</v>
      </c>
      <c r="L50" s="126"/>
    </row>
    <row r="51" spans="2:12">
      <c r="B51" s="159"/>
      <c r="C51">
        <f t="shared" si="8"/>
        <v>4</v>
      </c>
      <c r="D51" s="161">
        <f t="shared" si="5"/>
        <v>59470.88061609443</v>
      </c>
      <c r="E51" s="161">
        <f t="shared" si="6"/>
        <v>617.16755815530257</v>
      </c>
      <c r="F51" s="23">
        <f t="shared" si="6"/>
        <v>0.12</v>
      </c>
      <c r="G51" s="160">
        <f t="shared" si="0"/>
        <v>594.70880616094428</v>
      </c>
      <c r="H51" s="160">
        <f t="shared" si="1"/>
        <v>22.458751994358295</v>
      </c>
      <c r="I51" s="161">
        <f t="shared" si="2"/>
        <v>59448.42186410007</v>
      </c>
      <c r="J51" s="162">
        <f t="shared" si="3"/>
        <v>617.16755815530257</v>
      </c>
      <c r="L51" s="126"/>
    </row>
    <row r="52" spans="2:12">
      <c r="B52" s="159"/>
      <c r="C52">
        <f t="shared" si="8"/>
        <v>5</v>
      </c>
      <c r="D52" s="161">
        <f t="shared" si="5"/>
        <v>59448.42186410007</v>
      </c>
      <c r="E52" s="161">
        <f t="shared" si="6"/>
        <v>617.16755815530257</v>
      </c>
      <c r="F52" s="23">
        <f t="shared" si="6"/>
        <v>0.12</v>
      </c>
      <c r="G52" s="160">
        <f t="shared" si="0"/>
        <v>594.48421864100067</v>
      </c>
      <c r="H52" s="160">
        <f t="shared" si="1"/>
        <v>22.683339514301906</v>
      </c>
      <c r="I52" s="161">
        <f t="shared" si="2"/>
        <v>59425.738524585766</v>
      </c>
      <c r="J52" s="162">
        <f t="shared" si="3"/>
        <v>617.16755815530257</v>
      </c>
      <c r="L52" s="126"/>
    </row>
    <row r="53" spans="2:12">
      <c r="B53" s="159"/>
      <c r="C53">
        <f t="shared" si="8"/>
        <v>6</v>
      </c>
      <c r="D53" s="161">
        <f t="shared" si="5"/>
        <v>59425.738524585766</v>
      </c>
      <c r="E53" s="161">
        <f t="shared" si="6"/>
        <v>617.16755815530257</v>
      </c>
      <c r="F53" s="23">
        <f t="shared" si="6"/>
        <v>0.12</v>
      </c>
      <c r="G53" s="160">
        <f t="shared" si="0"/>
        <v>594.25738524585768</v>
      </c>
      <c r="H53" s="160">
        <f t="shared" si="1"/>
        <v>22.910172909444896</v>
      </c>
      <c r="I53" s="161">
        <f t="shared" si="2"/>
        <v>59402.828351676319</v>
      </c>
      <c r="J53" s="162">
        <f t="shared" si="3"/>
        <v>617.16755815530257</v>
      </c>
      <c r="L53" s="126"/>
    </row>
    <row r="54" spans="2:12">
      <c r="B54" s="159"/>
      <c r="C54">
        <f t="shared" si="8"/>
        <v>7</v>
      </c>
      <c r="D54" s="161">
        <f t="shared" si="5"/>
        <v>59402.828351676319</v>
      </c>
      <c r="E54" s="161">
        <f t="shared" si="6"/>
        <v>617.16755815530257</v>
      </c>
      <c r="F54" s="23">
        <f t="shared" si="6"/>
        <v>0.12</v>
      </c>
      <c r="G54" s="160">
        <f t="shared" si="0"/>
        <v>594.02828351676317</v>
      </c>
      <c r="H54" s="160">
        <f t="shared" si="1"/>
        <v>23.139274638539405</v>
      </c>
      <c r="I54" s="161">
        <f t="shared" si="2"/>
        <v>59379.689077037779</v>
      </c>
      <c r="J54" s="162">
        <f t="shared" si="3"/>
        <v>617.16755815530257</v>
      </c>
      <c r="L54" s="126"/>
    </row>
    <row r="55" spans="2:12">
      <c r="B55" s="159"/>
      <c r="C55">
        <f t="shared" si="8"/>
        <v>8</v>
      </c>
      <c r="D55" s="161">
        <f t="shared" si="5"/>
        <v>59379.689077037779</v>
      </c>
      <c r="E55" s="161">
        <f t="shared" si="6"/>
        <v>617.16755815530257</v>
      </c>
      <c r="F55" s="23">
        <f t="shared" si="6"/>
        <v>0.12</v>
      </c>
      <c r="G55" s="160">
        <f t="shared" si="0"/>
        <v>593.79689077037779</v>
      </c>
      <c r="H55" s="160">
        <f t="shared" si="1"/>
        <v>23.370667384924786</v>
      </c>
      <c r="I55" s="161">
        <f t="shared" si="2"/>
        <v>59356.318409652857</v>
      </c>
      <c r="J55" s="162">
        <f t="shared" si="3"/>
        <v>617.16755815530257</v>
      </c>
      <c r="L55" s="126"/>
    </row>
    <row r="56" spans="2:12">
      <c r="B56" s="159"/>
      <c r="C56">
        <f t="shared" si="8"/>
        <v>9</v>
      </c>
      <c r="D56" s="161">
        <f t="shared" si="5"/>
        <v>59356.318409652857</v>
      </c>
      <c r="E56" s="161">
        <f t="shared" si="6"/>
        <v>617.16755815530257</v>
      </c>
      <c r="F56" s="23">
        <f t="shared" si="6"/>
        <v>0.12</v>
      </c>
      <c r="G56" s="160">
        <f t="shared" si="0"/>
        <v>593.56318409652863</v>
      </c>
      <c r="H56" s="160">
        <f t="shared" si="1"/>
        <v>23.604374058773942</v>
      </c>
      <c r="I56" s="161">
        <f t="shared" si="2"/>
        <v>59332.714035594079</v>
      </c>
      <c r="J56" s="162">
        <f t="shared" si="3"/>
        <v>617.16755815530257</v>
      </c>
      <c r="L56" s="126"/>
    </row>
    <row r="57" spans="2:12">
      <c r="B57" s="159"/>
      <c r="C57">
        <f t="shared" si="8"/>
        <v>10</v>
      </c>
      <c r="D57" s="161">
        <f t="shared" si="5"/>
        <v>59332.714035594079</v>
      </c>
      <c r="E57" s="161">
        <f t="shared" ref="E57:F83" si="9">E56</f>
        <v>617.16755815530257</v>
      </c>
      <c r="F57" s="23">
        <f t="shared" si="9"/>
        <v>0.12</v>
      </c>
      <c r="G57" s="160">
        <f t="shared" si="0"/>
        <v>593.32714035594086</v>
      </c>
      <c r="H57" s="160">
        <f t="shared" si="1"/>
        <v>23.840417799361717</v>
      </c>
      <c r="I57" s="161">
        <f t="shared" si="2"/>
        <v>59308.873617794714</v>
      </c>
      <c r="J57" s="162">
        <f t="shared" si="3"/>
        <v>617.16755815530257</v>
      </c>
      <c r="L57" s="126"/>
    </row>
    <row r="58" spans="2:12">
      <c r="B58" s="159"/>
      <c r="C58">
        <f t="shared" si="8"/>
        <v>11</v>
      </c>
      <c r="D58" s="161">
        <f t="shared" si="5"/>
        <v>59308.873617794714</v>
      </c>
      <c r="E58" s="161">
        <f t="shared" si="9"/>
        <v>617.16755815530257</v>
      </c>
      <c r="F58" s="23">
        <f t="shared" si="9"/>
        <v>0.12</v>
      </c>
      <c r="G58" s="160">
        <f t="shared" si="0"/>
        <v>593.08873617794711</v>
      </c>
      <c r="H58" s="160">
        <f t="shared" si="1"/>
        <v>24.07882197735546</v>
      </c>
      <c r="I58" s="161">
        <f t="shared" si="2"/>
        <v>59284.794795817361</v>
      </c>
      <c r="J58" s="162">
        <f t="shared" si="3"/>
        <v>617.16755815530257</v>
      </c>
      <c r="L58" s="126"/>
    </row>
    <row r="59" spans="2:12">
      <c r="B59" s="159"/>
      <c r="C59">
        <f t="shared" si="8"/>
        <v>12</v>
      </c>
      <c r="D59" s="161">
        <f t="shared" si="5"/>
        <v>59284.794795817361</v>
      </c>
      <c r="E59" s="161">
        <f t="shared" si="9"/>
        <v>617.16755815530257</v>
      </c>
      <c r="F59" s="23">
        <f t="shared" si="9"/>
        <v>0.12</v>
      </c>
      <c r="G59" s="160">
        <f t="shared" si="0"/>
        <v>592.84794795817368</v>
      </c>
      <c r="H59" s="160">
        <f t="shared" si="1"/>
        <v>24.319610197128895</v>
      </c>
      <c r="I59" s="161">
        <f t="shared" si="2"/>
        <v>59260.475185620235</v>
      </c>
      <c r="J59" s="162">
        <f t="shared" si="3"/>
        <v>617.16755815530257</v>
      </c>
      <c r="L59" s="126"/>
    </row>
    <row r="60" spans="2:12">
      <c r="B60" s="159">
        <v>4</v>
      </c>
      <c r="C60">
        <v>1</v>
      </c>
      <c r="D60" s="161">
        <f t="shared" si="5"/>
        <v>59260.475185620235</v>
      </c>
      <c r="E60" s="161">
        <f t="shared" si="9"/>
        <v>617.16755815530257</v>
      </c>
      <c r="F60" s="23">
        <f t="shared" si="9"/>
        <v>0.12</v>
      </c>
      <c r="G60" s="160">
        <f t="shared" si="0"/>
        <v>592.60475185620237</v>
      </c>
      <c r="H60" s="160">
        <f t="shared" si="1"/>
        <v>24.562806299100203</v>
      </c>
      <c r="I60" s="161">
        <f t="shared" si="2"/>
        <v>59235.912379321133</v>
      </c>
      <c r="J60" s="162">
        <f t="shared" si="3"/>
        <v>617.16755815530257</v>
      </c>
      <c r="L60" s="126"/>
    </row>
    <row r="61" spans="2:12">
      <c r="B61" s="159"/>
      <c r="C61">
        <f t="shared" ref="C61:C71" si="10">1+C60</f>
        <v>2</v>
      </c>
      <c r="D61" s="161">
        <f t="shared" si="5"/>
        <v>59235.912379321133</v>
      </c>
      <c r="E61" s="161">
        <f t="shared" si="9"/>
        <v>617.16755815530257</v>
      </c>
      <c r="F61" s="23">
        <f t="shared" si="9"/>
        <v>0.12</v>
      </c>
      <c r="G61" s="160">
        <f t="shared" si="0"/>
        <v>592.35912379321132</v>
      </c>
      <c r="H61" s="160">
        <f t="shared" si="1"/>
        <v>24.808434362091248</v>
      </c>
      <c r="I61" s="161">
        <f t="shared" si="2"/>
        <v>59211.103944959039</v>
      </c>
      <c r="J61" s="162">
        <f t="shared" si="3"/>
        <v>617.16755815530257</v>
      </c>
      <c r="L61" s="126"/>
    </row>
    <row r="62" spans="2:12">
      <c r="B62" s="159"/>
      <c r="C62">
        <f t="shared" si="10"/>
        <v>3</v>
      </c>
      <c r="D62" s="161">
        <f t="shared" si="5"/>
        <v>59211.103944959039</v>
      </c>
      <c r="E62" s="161">
        <f t="shared" si="9"/>
        <v>617.16755815530257</v>
      </c>
      <c r="F62" s="23">
        <f t="shared" si="9"/>
        <v>0.12</v>
      </c>
      <c r="G62" s="160">
        <f t="shared" si="0"/>
        <v>592.11103944959041</v>
      </c>
      <c r="H62" s="160">
        <f t="shared" si="1"/>
        <v>25.056518705712165</v>
      </c>
      <c r="I62" s="161">
        <f t="shared" si="2"/>
        <v>59186.047426253324</v>
      </c>
      <c r="J62" s="162">
        <f t="shared" si="3"/>
        <v>617.16755815530257</v>
      </c>
      <c r="L62" s="126"/>
    </row>
    <row r="63" spans="2:12">
      <c r="B63" s="159"/>
      <c r="C63">
        <f t="shared" si="10"/>
        <v>4</v>
      </c>
      <c r="D63" s="161">
        <f t="shared" si="5"/>
        <v>59186.047426253324</v>
      </c>
      <c r="E63" s="161">
        <f t="shared" si="9"/>
        <v>617.16755815530257</v>
      </c>
      <c r="F63" s="23">
        <f t="shared" si="9"/>
        <v>0.12</v>
      </c>
      <c r="G63" s="160">
        <f t="shared" si="0"/>
        <v>591.86047426253322</v>
      </c>
      <c r="H63" s="160">
        <f t="shared" si="1"/>
        <v>25.307083892769356</v>
      </c>
      <c r="I63" s="161">
        <f t="shared" si="2"/>
        <v>59160.740342360557</v>
      </c>
      <c r="J63" s="162">
        <f t="shared" si="3"/>
        <v>617.16755815530257</v>
      </c>
      <c r="L63" s="126"/>
    </row>
    <row r="64" spans="2:12">
      <c r="B64" s="159"/>
      <c r="C64">
        <f t="shared" si="10"/>
        <v>5</v>
      </c>
      <c r="D64" s="161">
        <f t="shared" si="5"/>
        <v>59160.740342360557</v>
      </c>
      <c r="E64" s="161">
        <f t="shared" si="9"/>
        <v>617.16755815530257</v>
      </c>
      <c r="F64" s="23">
        <f t="shared" si="9"/>
        <v>0.12</v>
      </c>
      <c r="G64" s="160">
        <f t="shared" si="0"/>
        <v>591.60740342360555</v>
      </c>
      <c r="H64" s="160">
        <f t="shared" si="1"/>
        <v>25.560154731697025</v>
      </c>
      <c r="I64" s="161">
        <f t="shared" si="2"/>
        <v>59135.180187628859</v>
      </c>
      <c r="J64" s="162">
        <f t="shared" si="3"/>
        <v>617.16755815530257</v>
      </c>
      <c r="L64" s="126"/>
    </row>
    <row r="65" spans="2:12">
      <c r="B65" s="159"/>
      <c r="C65">
        <f t="shared" si="10"/>
        <v>6</v>
      </c>
      <c r="D65" s="161">
        <f t="shared" si="5"/>
        <v>59135.180187628859</v>
      </c>
      <c r="E65" s="161">
        <f t="shared" si="9"/>
        <v>617.16755815530257</v>
      </c>
      <c r="F65" s="23">
        <f t="shared" si="9"/>
        <v>0.12</v>
      </c>
      <c r="G65" s="160">
        <f t="shared" si="0"/>
        <v>591.35180187628862</v>
      </c>
      <c r="H65" s="160">
        <f t="shared" si="1"/>
        <v>25.815756279013954</v>
      </c>
      <c r="I65" s="161">
        <f t="shared" si="2"/>
        <v>59109.364431349844</v>
      </c>
      <c r="J65" s="162">
        <f t="shared" si="3"/>
        <v>617.16755815530257</v>
      </c>
      <c r="L65" s="126"/>
    </row>
    <row r="66" spans="2:12">
      <c r="B66" s="159"/>
      <c r="C66">
        <f t="shared" si="10"/>
        <v>7</v>
      </c>
      <c r="D66" s="161">
        <f t="shared" si="5"/>
        <v>59109.364431349844</v>
      </c>
      <c r="E66" s="161">
        <f t="shared" si="9"/>
        <v>617.16755815530257</v>
      </c>
      <c r="F66" s="23">
        <f t="shared" si="9"/>
        <v>0.12</v>
      </c>
      <c r="G66" s="160">
        <f t="shared" si="0"/>
        <v>591.09364431349843</v>
      </c>
      <c r="H66" s="160">
        <f t="shared" si="1"/>
        <v>26.073913841804142</v>
      </c>
      <c r="I66" s="161">
        <f t="shared" si="2"/>
        <v>59083.290517508038</v>
      </c>
      <c r="J66" s="162">
        <f t="shared" si="3"/>
        <v>617.16755815530257</v>
      </c>
      <c r="L66" s="126"/>
    </row>
    <row r="67" spans="2:12">
      <c r="B67" s="159"/>
      <c r="C67">
        <f t="shared" si="10"/>
        <v>8</v>
      </c>
      <c r="D67" s="161">
        <f t="shared" si="5"/>
        <v>59083.290517508038</v>
      </c>
      <c r="E67" s="161">
        <f t="shared" si="9"/>
        <v>617.16755815530257</v>
      </c>
      <c r="F67" s="23">
        <f t="shared" si="9"/>
        <v>0.12</v>
      </c>
      <c r="G67" s="160">
        <f t="shared" si="0"/>
        <v>590.83290517508044</v>
      </c>
      <c r="H67" s="160">
        <f t="shared" si="1"/>
        <v>26.334652980222131</v>
      </c>
      <c r="I67" s="161">
        <f t="shared" si="2"/>
        <v>59056.955864527816</v>
      </c>
      <c r="J67" s="162">
        <f t="shared" si="3"/>
        <v>617.16755815530257</v>
      </c>
      <c r="K67" s="11"/>
      <c r="L67" s="126"/>
    </row>
    <row r="68" spans="2:12">
      <c r="B68" s="159"/>
      <c r="C68">
        <f t="shared" si="10"/>
        <v>9</v>
      </c>
      <c r="D68" s="161">
        <f t="shared" si="5"/>
        <v>59056.955864527816</v>
      </c>
      <c r="E68" s="161">
        <f t="shared" si="9"/>
        <v>617.16755815530257</v>
      </c>
      <c r="F68" s="23">
        <f t="shared" si="9"/>
        <v>0.12</v>
      </c>
      <c r="G68" s="160">
        <f t="shared" si="0"/>
        <v>590.56955864527822</v>
      </c>
      <c r="H68" s="160">
        <f t="shared" si="1"/>
        <v>26.597999510024351</v>
      </c>
      <c r="I68" s="161">
        <f t="shared" si="2"/>
        <v>59030.357865017788</v>
      </c>
      <c r="J68" s="162">
        <f t="shared" si="3"/>
        <v>617.16755815530257</v>
      </c>
      <c r="L68" s="126"/>
    </row>
    <row r="69" spans="2:12">
      <c r="B69" s="159"/>
      <c r="C69">
        <f t="shared" si="10"/>
        <v>10</v>
      </c>
      <c r="D69" s="161">
        <f t="shared" si="5"/>
        <v>59030.357865017788</v>
      </c>
      <c r="E69" s="161">
        <f t="shared" si="9"/>
        <v>617.16755815530257</v>
      </c>
      <c r="F69" s="23">
        <f t="shared" si="9"/>
        <v>0.12</v>
      </c>
      <c r="G69" s="160">
        <f t="shared" si="0"/>
        <v>590.30357865017788</v>
      </c>
      <c r="H69" s="160">
        <f t="shared" si="1"/>
        <v>26.863979505124689</v>
      </c>
      <c r="I69" s="161">
        <f t="shared" si="2"/>
        <v>59003.49388551266</v>
      </c>
      <c r="J69" s="162">
        <f t="shared" si="3"/>
        <v>617.16755815530257</v>
      </c>
      <c r="L69" s="126"/>
    </row>
    <row r="70" spans="2:12">
      <c r="B70" s="159"/>
      <c r="C70">
        <f t="shared" si="10"/>
        <v>11</v>
      </c>
      <c r="D70" s="161">
        <f t="shared" si="5"/>
        <v>59003.49388551266</v>
      </c>
      <c r="E70" s="161">
        <f t="shared" si="9"/>
        <v>617.16755815530257</v>
      </c>
      <c r="F70" s="23">
        <f t="shared" si="9"/>
        <v>0.12</v>
      </c>
      <c r="G70" s="160">
        <f t="shared" si="0"/>
        <v>590.0349388551266</v>
      </c>
      <c r="H70" s="160">
        <f t="shared" si="1"/>
        <v>27.132619300175975</v>
      </c>
      <c r="I70" s="161">
        <f t="shared" si="2"/>
        <v>58976.361266212487</v>
      </c>
      <c r="J70" s="162">
        <f t="shared" si="3"/>
        <v>617.16755815530257</v>
      </c>
      <c r="L70" s="126"/>
    </row>
    <row r="71" spans="2:12">
      <c r="B71" s="159"/>
      <c r="C71">
        <f t="shared" si="10"/>
        <v>12</v>
      </c>
      <c r="D71" s="161">
        <f t="shared" si="5"/>
        <v>58976.361266212487</v>
      </c>
      <c r="E71" s="161">
        <f t="shared" si="9"/>
        <v>617.16755815530257</v>
      </c>
      <c r="F71" s="23">
        <f t="shared" si="9"/>
        <v>0.12</v>
      </c>
      <c r="G71" s="160">
        <f t="shared" si="0"/>
        <v>589.76361266212484</v>
      </c>
      <c r="H71" s="160">
        <f t="shared" si="1"/>
        <v>27.40394549317773</v>
      </c>
      <c r="I71" s="161">
        <f t="shared" si="2"/>
        <v>58948.95732071931</v>
      </c>
      <c r="J71" s="162">
        <f t="shared" si="3"/>
        <v>617.16755815530257</v>
      </c>
      <c r="L71" s="126"/>
    </row>
    <row r="72" spans="2:12">
      <c r="B72" s="159">
        <v>5</v>
      </c>
      <c r="C72">
        <v>1</v>
      </c>
      <c r="D72" s="161">
        <f t="shared" si="5"/>
        <v>58948.95732071931</v>
      </c>
      <c r="E72" s="161">
        <f t="shared" si="9"/>
        <v>617.16755815530257</v>
      </c>
      <c r="F72" s="23">
        <f t="shared" si="9"/>
        <v>0.12</v>
      </c>
      <c r="G72" s="160">
        <f t="shared" si="0"/>
        <v>589.48957320719308</v>
      </c>
      <c r="H72" s="160">
        <f t="shared" si="1"/>
        <v>27.677984948109497</v>
      </c>
      <c r="I72" s="161">
        <f t="shared" si="2"/>
        <v>58921.2793357712</v>
      </c>
      <c r="J72" s="162">
        <f t="shared" si="3"/>
        <v>617.16755815530257</v>
      </c>
      <c r="L72" s="126"/>
    </row>
    <row r="73" spans="2:12">
      <c r="B73" s="159"/>
      <c r="C73">
        <f t="shared" ref="C73:C83" si="11">1+C72</f>
        <v>2</v>
      </c>
      <c r="D73" s="161">
        <f t="shared" si="5"/>
        <v>58921.2793357712</v>
      </c>
      <c r="E73" s="161">
        <f t="shared" si="9"/>
        <v>617.16755815530257</v>
      </c>
      <c r="F73" s="23">
        <f t="shared" si="9"/>
        <v>0.12</v>
      </c>
      <c r="G73" s="160">
        <f t="shared" si="0"/>
        <v>589.21279335771203</v>
      </c>
      <c r="H73" s="160">
        <f t="shared" si="1"/>
        <v>27.954764797590542</v>
      </c>
      <c r="I73" s="161">
        <f t="shared" si="2"/>
        <v>58893.324570973607</v>
      </c>
      <c r="J73" s="162">
        <f t="shared" si="3"/>
        <v>617.16755815530257</v>
      </c>
      <c r="L73" s="126"/>
    </row>
    <row r="74" spans="2:12">
      <c r="B74" s="159"/>
      <c r="C74">
        <f t="shared" si="11"/>
        <v>3</v>
      </c>
      <c r="D74" s="161">
        <f t="shared" si="5"/>
        <v>58893.324570973607</v>
      </c>
      <c r="E74" s="161">
        <f t="shared" si="9"/>
        <v>617.16755815530257</v>
      </c>
      <c r="F74" s="23">
        <f t="shared" si="9"/>
        <v>0.12</v>
      </c>
      <c r="G74" s="160">
        <f t="shared" si="0"/>
        <v>588.93324570973607</v>
      </c>
      <c r="H74" s="160">
        <f t="shared" si="1"/>
        <v>28.234312445566502</v>
      </c>
      <c r="I74" s="161">
        <f t="shared" si="2"/>
        <v>58865.090258528042</v>
      </c>
      <c r="J74" s="162">
        <f t="shared" si="3"/>
        <v>617.16755815530257</v>
      </c>
      <c r="L74" s="126"/>
    </row>
    <row r="75" spans="2:12">
      <c r="B75" s="159"/>
      <c r="C75">
        <f t="shared" si="11"/>
        <v>4</v>
      </c>
      <c r="D75" s="161">
        <f t="shared" si="5"/>
        <v>58865.090258528042</v>
      </c>
      <c r="E75" s="161">
        <f t="shared" si="9"/>
        <v>617.16755815530257</v>
      </c>
      <c r="F75" s="23">
        <f t="shared" si="9"/>
        <v>0.12</v>
      </c>
      <c r="G75" s="160">
        <f t="shared" si="0"/>
        <v>588.65090258528039</v>
      </c>
      <c r="H75" s="160">
        <f t="shared" si="1"/>
        <v>28.516655570022181</v>
      </c>
      <c r="I75" s="161">
        <f t="shared" si="2"/>
        <v>58836.573602958022</v>
      </c>
      <c r="J75" s="162">
        <f t="shared" si="3"/>
        <v>617.16755815530257</v>
      </c>
      <c r="L75" s="126"/>
    </row>
    <row r="76" spans="2:12">
      <c r="B76" s="159"/>
      <c r="C76">
        <f t="shared" si="11"/>
        <v>5</v>
      </c>
      <c r="D76" s="161">
        <f t="shared" si="5"/>
        <v>58836.573602958022</v>
      </c>
      <c r="E76" s="161">
        <f t="shared" si="9"/>
        <v>617.16755815530257</v>
      </c>
      <c r="F76" s="23">
        <f t="shared" si="9"/>
        <v>0.12</v>
      </c>
      <c r="G76" s="160">
        <f t="shared" si="0"/>
        <v>588.36573602958026</v>
      </c>
      <c r="H76" s="160">
        <f t="shared" si="1"/>
        <v>28.80182212572231</v>
      </c>
      <c r="I76" s="161">
        <f t="shared" si="2"/>
        <v>58807.7717808323</v>
      </c>
      <c r="J76" s="162">
        <f t="shared" si="3"/>
        <v>617.16755815530257</v>
      </c>
      <c r="L76" s="126"/>
    </row>
    <row r="77" spans="2:12">
      <c r="B77" s="159"/>
      <c r="C77">
        <f t="shared" si="11"/>
        <v>6</v>
      </c>
      <c r="D77" s="161">
        <f t="shared" si="5"/>
        <v>58807.7717808323</v>
      </c>
      <c r="E77" s="161">
        <f t="shared" si="9"/>
        <v>617.16755815530257</v>
      </c>
      <c r="F77" s="23">
        <f t="shared" si="9"/>
        <v>0.12</v>
      </c>
      <c r="G77" s="160">
        <f t="shared" si="0"/>
        <v>588.07771780832297</v>
      </c>
      <c r="H77" s="160">
        <f t="shared" si="1"/>
        <v>29.089840346979599</v>
      </c>
      <c r="I77" s="161">
        <f t="shared" si="2"/>
        <v>58778.681940485323</v>
      </c>
      <c r="J77" s="162">
        <f t="shared" si="3"/>
        <v>617.16755815530257</v>
      </c>
      <c r="L77" s="126"/>
    </row>
    <row r="78" spans="2:12">
      <c r="B78" s="159"/>
      <c r="C78">
        <f t="shared" si="11"/>
        <v>7</v>
      </c>
      <c r="D78" s="161">
        <f t="shared" si="5"/>
        <v>58778.681940485323</v>
      </c>
      <c r="E78" s="161">
        <f t="shared" si="9"/>
        <v>617.16755815530257</v>
      </c>
      <c r="F78" s="23">
        <f t="shared" si="9"/>
        <v>0.12</v>
      </c>
      <c r="G78" s="160">
        <f t="shared" si="0"/>
        <v>587.78681940485319</v>
      </c>
      <c r="H78" s="160">
        <f t="shared" si="1"/>
        <v>29.380738750449382</v>
      </c>
      <c r="I78" s="161">
        <f t="shared" si="2"/>
        <v>58749.301201734874</v>
      </c>
      <c r="J78" s="162">
        <f t="shared" si="3"/>
        <v>617.16755815530257</v>
      </c>
      <c r="L78" s="126"/>
    </row>
    <row r="79" spans="2:12">
      <c r="B79" s="159"/>
      <c r="C79">
        <f t="shared" si="11"/>
        <v>8</v>
      </c>
      <c r="D79" s="161">
        <f t="shared" si="5"/>
        <v>58749.301201734874</v>
      </c>
      <c r="E79" s="161">
        <f t="shared" si="9"/>
        <v>617.16755815530257</v>
      </c>
      <c r="F79" s="23">
        <f t="shared" si="9"/>
        <v>0.12</v>
      </c>
      <c r="G79" s="160">
        <f t="shared" si="0"/>
        <v>587.49301201734875</v>
      </c>
      <c r="H79" s="160">
        <f t="shared" si="1"/>
        <v>29.674546137953826</v>
      </c>
      <c r="I79" s="161">
        <f t="shared" si="2"/>
        <v>58719.62665559692</v>
      </c>
      <c r="J79" s="162">
        <f t="shared" si="3"/>
        <v>617.16755815530257</v>
      </c>
      <c r="L79" s="126"/>
    </row>
    <row r="80" spans="2:12">
      <c r="B80" s="159"/>
      <c r="C80">
        <f t="shared" si="11"/>
        <v>9</v>
      </c>
      <c r="D80" s="161">
        <f t="shared" si="5"/>
        <v>58719.62665559692</v>
      </c>
      <c r="E80" s="161">
        <f t="shared" si="9"/>
        <v>617.16755815530257</v>
      </c>
      <c r="F80" s="23">
        <f t="shared" si="9"/>
        <v>0.12</v>
      </c>
      <c r="G80" s="160">
        <f t="shared" si="0"/>
        <v>587.19626655596926</v>
      </c>
      <c r="H80" s="160">
        <f t="shared" si="1"/>
        <v>29.971291599333313</v>
      </c>
      <c r="I80" s="161">
        <f t="shared" si="2"/>
        <v>58689.655363997583</v>
      </c>
      <c r="J80" s="162">
        <f t="shared" si="3"/>
        <v>617.16755815530257</v>
      </c>
      <c r="L80" s="126"/>
    </row>
    <row r="81" spans="2:12">
      <c r="B81" s="159"/>
      <c r="C81">
        <f t="shared" si="11"/>
        <v>10</v>
      </c>
      <c r="D81" s="161">
        <f t="shared" si="5"/>
        <v>58689.655363997583</v>
      </c>
      <c r="E81" s="161">
        <f t="shared" si="9"/>
        <v>617.16755815530257</v>
      </c>
      <c r="F81" s="23">
        <f t="shared" si="9"/>
        <v>0.12</v>
      </c>
      <c r="G81" s="160">
        <f t="shared" si="0"/>
        <v>586.89655363997588</v>
      </c>
      <c r="H81" s="160">
        <f t="shared" si="1"/>
        <v>30.271004515326695</v>
      </c>
      <c r="I81" s="161">
        <f t="shared" si="2"/>
        <v>58659.384359482254</v>
      </c>
      <c r="J81" s="162">
        <f t="shared" si="3"/>
        <v>617.16755815530257</v>
      </c>
      <c r="L81" s="126"/>
    </row>
    <row r="82" spans="2:12">
      <c r="B82" s="159"/>
      <c r="C82">
        <f t="shared" si="11"/>
        <v>11</v>
      </c>
      <c r="D82" s="161">
        <f t="shared" si="5"/>
        <v>58659.384359482254</v>
      </c>
      <c r="E82" s="161">
        <f t="shared" si="9"/>
        <v>617.16755815530257</v>
      </c>
      <c r="F82" s="23">
        <f t="shared" si="9"/>
        <v>0.12</v>
      </c>
      <c r="G82" s="160">
        <f t="shared" si="0"/>
        <v>586.5938435948226</v>
      </c>
      <c r="H82" s="160">
        <f t="shared" si="1"/>
        <v>30.573714560479971</v>
      </c>
      <c r="I82" s="161">
        <f t="shared" si="2"/>
        <v>58628.810644921774</v>
      </c>
      <c r="J82" s="162">
        <f t="shared" si="3"/>
        <v>617.16755815530257</v>
      </c>
      <c r="L82" s="126"/>
    </row>
    <row r="83" spans="2:12">
      <c r="B83" s="159"/>
      <c r="C83">
        <f t="shared" si="11"/>
        <v>12</v>
      </c>
      <c r="D83" s="161">
        <f t="shared" si="5"/>
        <v>58628.810644921774</v>
      </c>
      <c r="E83" s="161">
        <f t="shared" si="9"/>
        <v>617.16755815530257</v>
      </c>
      <c r="F83" s="23">
        <f t="shared" si="9"/>
        <v>0.12</v>
      </c>
      <c r="G83" s="160">
        <f t="shared" si="0"/>
        <v>586.28810644921771</v>
      </c>
      <c r="H83" s="160">
        <f t="shared" si="1"/>
        <v>30.879451706084865</v>
      </c>
      <c r="I83" s="161">
        <f t="shared" si="2"/>
        <v>58597.931193215692</v>
      </c>
      <c r="J83" s="163">
        <f>E83+I83</f>
        <v>59215.098751370992</v>
      </c>
      <c r="L83" s="126"/>
    </row>
    <row r="84" spans="2:12" ht="13" thickBot="1">
      <c r="B84" s="159"/>
      <c r="D84" s="160"/>
      <c r="E84" s="160"/>
      <c r="F84" s="23"/>
      <c r="G84" s="160"/>
      <c r="H84" s="160"/>
      <c r="I84" s="160"/>
      <c r="J84" s="126"/>
      <c r="L84" s="126"/>
    </row>
    <row r="85" spans="2:12" ht="13.5" thickBot="1">
      <c r="B85" s="159"/>
      <c r="D85" s="154" t="s">
        <v>826</v>
      </c>
      <c r="E85" s="164"/>
      <c r="F85" s="155">
        <f>IRR(J23:J83,+F10/12)*12</f>
        <v>0.12823369626777925</v>
      </c>
      <c r="G85" s="160"/>
      <c r="H85" s="160"/>
      <c r="I85" s="160"/>
      <c r="J85" s="126"/>
      <c r="L85" s="126"/>
    </row>
    <row r="86" spans="2:12" ht="13" thickBot="1">
      <c r="B86" s="165"/>
      <c r="C86" s="4"/>
      <c r="D86" s="166"/>
      <c r="E86" s="166"/>
      <c r="F86" s="142"/>
      <c r="G86" s="166"/>
      <c r="H86" s="166"/>
      <c r="I86" s="166"/>
      <c r="J86" s="135"/>
      <c r="L86" s="126"/>
    </row>
    <row r="87" spans="2:12" ht="13" thickBot="1">
      <c r="B87" s="165"/>
      <c r="C87" s="4"/>
      <c r="D87" s="166"/>
      <c r="E87" s="166"/>
      <c r="F87" s="142"/>
      <c r="G87" s="166"/>
      <c r="H87" s="166"/>
      <c r="I87" s="166"/>
      <c r="J87" s="4"/>
      <c r="K87" s="4"/>
      <c r="L87" s="135"/>
    </row>
    <row r="88" spans="2:12">
      <c r="B88" s="83"/>
    </row>
    <row r="89" spans="2:12">
      <c r="B89" s="83"/>
    </row>
    <row r="90" spans="2:12">
      <c r="B90" s="83"/>
    </row>
    <row r="91" spans="2:12">
      <c r="B91" s="83"/>
    </row>
    <row r="92" spans="2:12">
      <c r="B92" s="83"/>
    </row>
    <row r="93" spans="2:12">
      <c r="B93" s="83"/>
    </row>
    <row r="94" spans="2:12">
      <c r="B94" s="83"/>
    </row>
    <row r="95" spans="2:12">
      <c r="B95" s="83"/>
    </row>
    <row r="96" spans="2:12">
      <c r="B96" s="83"/>
    </row>
    <row r="97" spans="2:2">
      <c r="B97" s="83"/>
    </row>
    <row r="98" spans="2:2">
      <c r="B98" s="83"/>
    </row>
    <row r="99" spans="2:2">
      <c r="B99" s="83"/>
    </row>
    <row r="100" spans="2:2">
      <c r="B100" s="83"/>
    </row>
    <row r="101" spans="2:2">
      <c r="B101" s="83"/>
    </row>
    <row r="102" spans="2:2">
      <c r="B102" s="83"/>
    </row>
    <row r="103" spans="2:2">
      <c r="B103" s="83"/>
    </row>
    <row r="104" spans="2:2">
      <c r="B104" s="83"/>
    </row>
    <row r="105" spans="2:2">
      <c r="B105" s="83"/>
    </row>
    <row r="106" spans="2:2">
      <c r="B106" s="83"/>
    </row>
  </sheetData>
  <mergeCells count="3">
    <mergeCell ref="B2:L2"/>
    <mergeCell ref="B3:L3"/>
    <mergeCell ref="C7:G7"/>
  </mergeCells>
  <phoneticPr fontId="0" type="noConversion"/>
  <pageMargins left="0.75" right="0.75" top="1" bottom="1" header="0.5" footer="0.5"/>
  <pageSetup orientation="portrait" r:id="rId1"/>
  <headerFooter alignWithMargins="0"/>
  <ignoredErrors>
    <ignoredError sqref="B2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N44"/>
  <sheetViews>
    <sheetView workbookViewId="0"/>
  </sheetViews>
  <sheetFormatPr defaultColWidth="9.1796875" defaultRowHeight="14.5"/>
  <cols>
    <col min="1" max="1" width="9.1796875" style="711"/>
    <col min="2" max="5" width="12.1796875" style="711" customWidth="1"/>
    <col min="6" max="6" width="9.1796875" style="711"/>
    <col min="7" max="7" width="7.54296875" style="711" customWidth="1"/>
    <col min="8" max="8" width="12.453125" style="711" customWidth="1"/>
    <col min="9" max="9" width="11.453125" style="711" customWidth="1"/>
    <col min="10" max="10" width="10" style="711" customWidth="1"/>
    <col min="11" max="11" width="12.81640625" style="711" customWidth="1"/>
    <col min="12" max="12" width="11.54296875" style="711" customWidth="1"/>
    <col min="13" max="13" width="10.54296875" style="711" bestFit="1" customWidth="1"/>
    <col min="14" max="14" width="10.26953125" style="711" customWidth="1"/>
    <col min="15" max="16" width="11.26953125" style="711" customWidth="1"/>
    <col min="17" max="19" width="10.54296875" style="711" customWidth="1"/>
    <col min="20" max="20" width="10.7265625" style="711" customWidth="1"/>
    <col min="21" max="22" width="9.1796875" style="711"/>
    <col min="23" max="23" width="10.26953125" style="711" customWidth="1"/>
    <col min="24" max="24" width="19.54296875" style="711" customWidth="1"/>
    <col min="25" max="25" width="9.1796875" style="711"/>
    <col min="26" max="26" width="13.453125" style="711" customWidth="1"/>
    <col min="27" max="27" width="12" style="711" customWidth="1"/>
    <col min="28" max="31" width="9.1796875" style="711"/>
    <col min="32" max="32" width="12.26953125" style="711" customWidth="1"/>
    <col min="33" max="33" width="12" style="711" customWidth="1"/>
    <col min="34" max="34" width="10.453125" style="711" customWidth="1"/>
    <col min="35" max="35" width="10.81640625" style="711" customWidth="1"/>
    <col min="36" max="16384" width="9.1796875" style="711"/>
  </cols>
  <sheetData>
    <row r="1" spans="1:40" ht="23.5">
      <c r="B1" s="712"/>
      <c r="C1" s="740" t="s">
        <v>1178</v>
      </c>
      <c r="D1" s="712"/>
      <c r="E1" s="712"/>
      <c r="F1" s="712"/>
      <c r="G1" s="712"/>
      <c r="H1" s="712"/>
      <c r="I1" s="712"/>
      <c r="J1" s="712"/>
      <c r="K1" s="712"/>
      <c r="L1" s="712"/>
      <c r="M1" s="712"/>
      <c r="N1" s="712"/>
      <c r="O1" s="712"/>
      <c r="P1" s="712"/>
      <c r="Q1" s="712"/>
      <c r="R1" s="712"/>
      <c r="S1" s="712"/>
      <c r="T1" s="712"/>
      <c r="U1" s="712"/>
      <c r="V1" s="712"/>
    </row>
    <row r="2" spans="1:40" ht="23.5">
      <c r="B2" s="712"/>
      <c r="C2" s="740"/>
      <c r="D2" s="712"/>
      <c r="E2" s="712"/>
      <c r="F2" s="712"/>
      <c r="G2" s="712"/>
      <c r="H2" s="712"/>
      <c r="I2" s="712"/>
      <c r="J2" s="712"/>
      <c r="K2" s="712"/>
      <c r="L2" s="712"/>
      <c r="M2" s="712"/>
      <c r="N2" s="712"/>
      <c r="O2" s="712"/>
      <c r="P2" s="712"/>
      <c r="Q2" s="712"/>
      <c r="R2" s="712"/>
      <c r="S2" s="712"/>
      <c r="T2" s="712"/>
      <c r="U2" s="712"/>
      <c r="V2" s="712"/>
    </row>
    <row r="3" spans="1:40" ht="22.5" customHeight="1">
      <c r="A3" s="713">
        <v>1</v>
      </c>
      <c r="B3" s="714">
        <f>A3+1</f>
        <v>2</v>
      </c>
      <c r="C3" s="714">
        <f>B3+1</f>
        <v>3</v>
      </c>
      <c r="D3" s="714">
        <f>C3+1</f>
        <v>4</v>
      </c>
      <c r="E3" s="714">
        <f>D3+1</f>
        <v>5</v>
      </c>
      <c r="F3" s="714">
        <f>E3+1</f>
        <v>6</v>
      </c>
      <c r="G3" s="714"/>
      <c r="H3" s="714">
        <f t="shared" ref="H3:P3" si="0">G3+1</f>
        <v>1</v>
      </c>
      <c r="I3" s="714">
        <f t="shared" si="0"/>
        <v>2</v>
      </c>
      <c r="J3" s="714">
        <f t="shared" si="0"/>
        <v>3</v>
      </c>
      <c r="K3" s="714">
        <f t="shared" si="0"/>
        <v>4</v>
      </c>
      <c r="L3" s="714">
        <f t="shared" si="0"/>
        <v>5</v>
      </c>
      <c r="M3" s="714">
        <f t="shared" si="0"/>
        <v>6</v>
      </c>
      <c r="N3" s="714">
        <f t="shared" si="0"/>
        <v>7</v>
      </c>
      <c r="O3" s="714">
        <f t="shared" si="0"/>
        <v>8</v>
      </c>
      <c r="P3" s="714">
        <f t="shared" si="0"/>
        <v>9</v>
      </c>
      <c r="Q3" s="712"/>
      <c r="R3" s="712"/>
      <c r="S3" s="712"/>
      <c r="T3" s="712"/>
      <c r="U3" s="712"/>
      <c r="V3" s="712"/>
    </row>
    <row r="4" spans="1:40" ht="55.5" customHeight="1">
      <c r="A4" s="714" t="s">
        <v>1132</v>
      </c>
      <c r="B4" s="715" t="s">
        <v>1133</v>
      </c>
      <c r="C4" s="715" t="s">
        <v>1134</v>
      </c>
      <c r="D4" s="716" t="s">
        <v>1135</v>
      </c>
      <c r="E4" s="715" t="s">
        <v>1136</v>
      </c>
      <c r="F4" s="715" t="s">
        <v>1137</v>
      </c>
      <c r="G4" s="714" t="s">
        <v>1132</v>
      </c>
      <c r="H4" s="715" t="s">
        <v>1138</v>
      </c>
      <c r="I4" s="715" t="s">
        <v>1139</v>
      </c>
      <c r="J4" s="715" t="s">
        <v>1140</v>
      </c>
      <c r="K4" s="715" t="s">
        <v>1141</v>
      </c>
      <c r="L4" s="714" t="s">
        <v>262</v>
      </c>
      <c r="M4" s="715" t="s">
        <v>1142</v>
      </c>
      <c r="N4" s="715" t="s">
        <v>1143</v>
      </c>
      <c r="O4" s="715" t="s">
        <v>1144</v>
      </c>
      <c r="P4" s="715" t="s">
        <v>1145</v>
      </c>
      <c r="Q4" s="715" t="s">
        <v>1146</v>
      </c>
      <c r="R4" s="715" t="s">
        <v>1147</v>
      </c>
      <c r="S4" s="714" t="s">
        <v>262</v>
      </c>
      <c r="T4" s="715" t="s">
        <v>1145</v>
      </c>
      <c r="U4" s="715" t="s">
        <v>307</v>
      </c>
      <c r="V4" s="715" t="s">
        <v>689</v>
      </c>
      <c r="W4" s="715" t="s">
        <v>1148</v>
      </c>
      <c r="X4" s="715" t="s">
        <v>1149</v>
      </c>
      <c r="Y4" s="717" t="s">
        <v>1150</v>
      </c>
      <c r="AA4" s="716" t="str">
        <f>O4</f>
        <v>End of Year Occupied Space</v>
      </c>
      <c r="AB4" s="716" t="str">
        <f>D4</f>
        <v>End Year Office Employment</v>
      </c>
      <c r="AC4" s="715" t="s">
        <v>1137</v>
      </c>
      <c r="AE4" s="712" t="s">
        <v>262</v>
      </c>
      <c r="AF4" s="716" t="str">
        <f>AA4</f>
        <v>End of Year Occupied Space</v>
      </c>
      <c r="AG4" s="718" t="str">
        <f>K4</f>
        <v>End of Year Office Supply</v>
      </c>
      <c r="AH4" s="718" t="s">
        <v>1145</v>
      </c>
      <c r="AI4" s="716" t="s">
        <v>1146</v>
      </c>
      <c r="AK4" s="711" t="s">
        <v>1151</v>
      </c>
      <c r="AL4" s="711" t="s">
        <v>1152</v>
      </c>
    </row>
    <row r="5" spans="1:40" ht="18" customHeight="1">
      <c r="A5" s="712"/>
      <c r="B5" s="715"/>
      <c r="C5" s="715"/>
      <c r="E5" s="715"/>
      <c r="F5" s="715"/>
      <c r="G5" s="712"/>
      <c r="H5" s="715"/>
      <c r="I5" s="715"/>
      <c r="J5" s="715"/>
      <c r="K5" s="715"/>
      <c r="L5" s="714"/>
      <c r="M5" s="715"/>
      <c r="N5" s="715"/>
      <c r="O5" s="715"/>
      <c r="P5" s="715"/>
      <c r="Q5" s="715"/>
      <c r="S5" s="714"/>
      <c r="U5" s="715"/>
      <c r="V5" s="715"/>
      <c r="W5" s="715"/>
      <c r="X5" s="719"/>
      <c r="Y5" s="717"/>
      <c r="AE5" s="714"/>
    </row>
    <row r="6" spans="1:40">
      <c r="A6" s="712">
        <v>-19</v>
      </c>
      <c r="B6" s="720">
        <v>22800</v>
      </c>
      <c r="C6" s="720">
        <v>1000</v>
      </c>
      <c r="D6" s="721">
        <f t="shared" ref="D6:D25" si="1">B6+C6</f>
        <v>23800</v>
      </c>
      <c r="E6" s="722">
        <f t="shared" ref="E6:E25" si="2">C6/B6</f>
        <v>4.3859649122807015E-2</v>
      </c>
      <c r="F6" s="720">
        <v>250</v>
      </c>
      <c r="G6" s="712">
        <v>-19</v>
      </c>
      <c r="H6" s="720">
        <v>6500000</v>
      </c>
      <c r="I6" s="720">
        <v>400000</v>
      </c>
      <c r="J6" s="720">
        <v>0</v>
      </c>
      <c r="K6" s="720">
        <f t="shared" ref="K6:K25" si="3">H6+I6-J6</f>
        <v>6900000</v>
      </c>
      <c r="L6" s="712">
        <v>-20</v>
      </c>
      <c r="M6" s="720">
        <v>5700000</v>
      </c>
      <c r="N6" s="720">
        <f t="shared" ref="N6:N25" si="4">O6-M6</f>
        <v>250000</v>
      </c>
      <c r="O6" s="720">
        <f t="shared" ref="O6:O25" si="5">D6*F6</f>
        <v>5950000</v>
      </c>
      <c r="P6" s="722">
        <f t="shared" ref="P6:P25" si="6">O6/K6</f>
        <v>0.8623188405797102</v>
      </c>
      <c r="Q6" s="722">
        <f t="shared" ref="Q6:Q26" si="7">1-P6</f>
        <v>0.1376811594202898</v>
      </c>
      <c r="R6" s="723">
        <f t="shared" ref="R6:R25" si="8">$P$26</f>
        <v>0.85582984381072169</v>
      </c>
      <c r="S6" s="712">
        <f t="shared" ref="S6:S25" si="9">G6</f>
        <v>-19</v>
      </c>
      <c r="T6" s="723">
        <f t="shared" ref="T6:T25" si="10">P6</f>
        <v>0.8623188405797102</v>
      </c>
      <c r="U6" s="724">
        <v>4.76</v>
      </c>
      <c r="V6" s="712"/>
      <c r="W6" s="724">
        <v>3.25</v>
      </c>
      <c r="X6" s="724">
        <f t="shared" ref="X6:X25" si="11">U6-W6</f>
        <v>1.5099999999999998</v>
      </c>
      <c r="Y6" s="723"/>
      <c r="AA6" s="721">
        <f t="shared" ref="AA6:AA25" si="12">O6</f>
        <v>5950000</v>
      </c>
      <c r="AB6" s="721">
        <f t="shared" ref="AB6:AB25" si="13">D6</f>
        <v>23800</v>
      </c>
      <c r="AC6" s="711">
        <f t="shared" ref="AC6:AC25" si="14">AA6/AB6</f>
        <v>250</v>
      </c>
      <c r="AE6" s="712">
        <v>-20</v>
      </c>
      <c r="AF6" s="721">
        <f t="shared" ref="AF6:AF25" si="15">AA6</f>
        <v>5950000</v>
      </c>
      <c r="AG6" s="721">
        <f t="shared" ref="AG6:AG25" si="16">K6</f>
        <v>6900000</v>
      </c>
      <c r="AH6" s="723">
        <f t="shared" ref="AH6:AH25" si="17">AF6/AG6</f>
        <v>0.8623188405797102</v>
      </c>
      <c r="AI6" s="723">
        <f t="shared" ref="AI6:AI25" si="18">1-AH6</f>
        <v>0.1376811594202898</v>
      </c>
      <c r="AK6" s="711">
        <f t="shared" ref="AK6:AK25" ca="1" si="19">RAND()</f>
        <v>0.36023919514433766</v>
      </c>
      <c r="AL6" s="723">
        <f t="shared" ref="AL6:AL25" ca="1" si="20">AK6*0.1</f>
        <v>3.6023919514433768E-2</v>
      </c>
    </row>
    <row r="7" spans="1:40">
      <c r="A7" s="712">
        <f t="shared" ref="A7:A25" si="21">A6+1</f>
        <v>-18</v>
      </c>
      <c r="B7" s="720">
        <f t="shared" ref="B7:B25" si="22">B6+C6</f>
        <v>23800</v>
      </c>
      <c r="C7" s="720">
        <v>1200</v>
      </c>
      <c r="D7" s="721">
        <f t="shared" si="1"/>
        <v>25000</v>
      </c>
      <c r="E7" s="722">
        <f t="shared" si="2"/>
        <v>5.0420168067226892E-2</v>
      </c>
      <c r="F7" s="720">
        <v>250</v>
      </c>
      <c r="G7" s="712">
        <f t="shared" ref="G7:G25" si="23">G6+1</f>
        <v>-18</v>
      </c>
      <c r="H7" s="720">
        <f t="shared" ref="H7:H25" si="24">K6</f>
        <v>6900000</v>
      </c>
      <c r="I7" s="720">
        <v>300000</v>
      </c>
      <c r="J7" s="720">
        <v>0</v>
      </c>
      <c r="K7" s="720">
        <f t="shared" si="3"/>
        <v>7200000</v>
      </c>
      <c r="L7" s="712">
        <f t="shared" ref="L7:L25" si="25">L6+1</f>
        <v>-19</v>
      </c>
      <c r="M7" s="720">
        <f t="shared" ref="M7:M25" si="26">O6</f>
        <v>5950000</v>
      </c>
      <c r="N7" s="720">
        <f t="shared" si="4"/>
        <v>300000</v>
      </c>
      <c r="O7" s="720">
        <f t="shared" si="5"/>
        <v>6250000</v>
      </c>
      <c r="P7" s="722">
        <f t="shared" si="6"/>
        <v>0.86805555555555558</v>
      </c>
      <c r="Q7" s="722">
        <f t="shared" si="7"/>
        <v>0.13194444444444442</v>
      </c>
      <c r="R7" s="723">
        <f t="shared" si="8"/>
        <v>0.85582984381072169</v>
      </c>
      <c r="S7" s="712">
        <f t="shared" si="9"/>
        <v>-18</v>
      </c>
      <c r="T7" s="723">
        <f t="shared" si="10"/>
        <v>0.86805555555555558</v>
      </c>
      <c r="U7" s="724">
        <f t="shared" ref="U7:U25" si="27">U6*(1+V7)</f>
        <v>5.3844154682005403</v>
      </c>
      <c r="V7" s="722">
        <v>0.13117972021019761</v>
      </c>
      <c r="W7" s="725">
        <f t="shared" ref="W7:W25" si="28">W6*1.03</f>
        <v>3.3475000000000001</v>
      </c>
      <c r="X7" s="724">
        <f t="shared" si="11"/>
        <v>2.0369154682005401</v>
      </c>
      <c r="Y7" s="723">
        <f t="shared" ref="Y7:Y25" si="29">$AB$43+$AB$44*P7</f>
        <v>8.8959587858198796E-2</v>
      </c>
      <c r="AA7" s="721">
        <f t="shared" si="12"/>
        <v>6250000</v>
      </c>
      <c r="AB7" s="721">
        <f t="shared" si="13"/>
        <v>25000</v>
      </c>
      <c r="AC7" s="711">
        <f t="shared" si="14"/>
        <v>250</v>
      </c>
      <c r="AE7" s="712">
        <f t="shared" ref="AE7:AE25" si="30">AE6+1</f>
        <v>-19</v>
      </c>
      <c r="AF7" s="721">
        <f t="shared" si="15"/>
        <v>6250000</v>
      </c>
      <c r="AG7" s="721">
        <f t="shared" si="16"/>
        <v>7200000</v>
      </c>
      <c r="AH7" s="723">
        <f t="shared" si="17"/>
        <v>0.86805555555555558</v>
      </c>
      <c r="AI7" s="723">
        <f t="shared" si="18"/>
        <v>0.13194444444444442</v>
      </c>
      <c r="AK7" s="711">
        <f t="shared" ca="1" si="19"/>
        <v>0.23814651376719709</v>
      </c>
      <c r="AL7" s="723">
        <f t="shared" ca="1" si="20"/>
        <v>2.381465137671971E-2</v>
      </c>
    </row>
    <row r="8" spans="1:40">
      <c r="A8" s="712">
        <f t="shared" si="21"/>
        <v>-17</v>
      </c>
      <c r="B8" s="720">
        <f t="shared" si="22"/>
        <v>25000</v>
      </c>
      <c r="C8" s="720">
        <v>1400</v>
      </c>
      <c r="D8" s="721">
        <f t="shared" si="1"/>
        <v>26400</v>
      </c>
      <c r="E8" s="722">
        <f t="shared" si="2"/>
        <v>5.6000000000000001E-2</v>
      </c>
      <c r="F8" s="720">
        <v>250</v>
      </c>
      <c r="G8" s="712">
        <f t="shared" si="23"/>
        <v>-17</v>
      </c>
      <c r="H8" s="720">
        <f t="shared" si="24"/>
        <v>7200000</v>
      </c>
      <c r="I8" s="720">
        <v>100000</v>
      </c>
      <c r="J8" s="720">
        <v>0</v>
      </c>
      <c r="K8" s="720">
        <f t="shared" si="3"/>
        <v>7300000</v>
      </c>
      <c r="L8" s="712">
        <f t="shared" si="25"/>
        <v>-18</v>
      </c>
      <c r="M8" s="720">
        <f t="shared" si="26"/>
        <v>6250000</v>
      </c>
      <c r="N8" s="720">
        <f t="shared" si="4"/>
        <v>350000</v>
      </c>
      <c r="O8" s="720">
        <f t="shared" si="5"/>
        <v>6600000</v>
      </c>
      <c r="P8" s="722">
        <f t="shared" si="6"/>
        <v>0.90410958904109584</v>
      </c>
      <c r="Q8" s="722">
        <f t="shared" si="7"/>
        <v>9.589041095890416E-2</v>
      </c>
      <c r="R8" s="723">
        <f t="shared" si="8"/>
        <v>0.85582984381072169</v>
      </c>
      <c r="S8" s="712">
        <f t="shared" si="9"/>
        <v>-17</v>
      </c>
      <c r="T8" s="723">
        <f t="shared" si="10"/>
        <v>0.90410958904109584</v>
      </c>
      <c r="U8" s="724">
        <f t="shared" si="27"/>
        <v>6.3084341490949321</v>
      </c>
      <c r="V8" s="722">
        <v>0.17160984072486452</v>
      </c>
      <c r="W8" s="725">
        <f t="shared" si="28"/>
        <v>3.4479250000000001</v>
      </c>
      <c r="X8" s="724">
        <f t="shared" si="11"/>
        <v>2.8605091490949319</v>
      </c>
      <c r="Y8" s="723">
        <f t="shared" si="29"/>
        <v>0.17086637710907704</v>
      </c>
      <c r="AA8" s="721">
        <f t="shared" si="12"/>
        <v>6600000</v>
      </c>
      <c r="AB8" s="721">
        <f t="shared" si="13"/>
        <v>26400</v>
      </c>
      <c r="AC8" s="711">
        <f t="shared" si="14"/>
        <v>250</v>
      </c>
      <c r="AD8" s="726"/>
      <c r="AE8" s="712">
        <f t="shared" si="30"/>
        <v>-18</v>
      </c>
      <c r="AF8" s="721">
        <f t="shared" si="15"/>
        <v>6600000</v>
      </c>
      <c r="AG8" s="721">
        <f t="shared" si="16"/>
        <v>7300000</v>
      </c>
      <c r="AH8" s="723">
        <f t="shared" si="17"/>
        <v>0.90410958904109584</v>
      </c>
      <c r="AI8" s="723">
        <f t="shared" si="18"/>
        <v>9.589041095890416E-2</v>
      </c>
      <c r="AK8" s="711">
        <f t="shared" ca="1" si="19"/>
        <v>0.51169059848569476</v>
      </c>
      <c r="AL8" s="723">
        <f t="shared" ca="1" si="20"/>
        <v>5.1169059848569481E-2</v>
      </c>
      <c r="AM8" s="726"/>
      <c r="AN8" s="726"/>
    </row>
    <row r="9" spans="1:40">
      <c r="A9" s="712">
        <f t="shared" si="21"/>
        <v>-16</v>
      </c>
      <c r="B9" s="720">
        <f t="shared" si="22"/>
        <v>26400</v>
      </c>
      <c r="C9" s="720">
        <v>600</v>
      </c>
      <c r="D9" s="721">
        <f t="shared" si="1"/>
        <v>27000</v>
      </c>
      <c r="E9" s="722">
        <f t="shared" si="2"/>
        <v>2.2727272727272728E-2</v>
      </c>
      <c r="F9" s="720">
        <v>250</v>
      </c>
      <c r="G9" s="712">
        <f t="shared" si="23"/>
        <v>-16</v>
      </c>
      <c r="H9" s="720">
        <f t="shared" si="24"/>
        <v>7300000</v>
      </c>
      <c r="I9" s="720">
        <v>50000</v>
      </c>
      <c r="J9" s="720">
        <v>0</v>
      </c>
      <c r="K9" s="720">
        <f t="shared" si="3"/>
        <v>7350000</v>
      </c>
      <c r="L9" s="712">
        <f t="shared" si="25"/>
        <v>-17</v>
      </c>
      <c r="M9" s="720">
        <f t="shared" si="26"/>
        <v>6600000</v>
      </c>
      <c r="N9" s="720">
        <f t="shared" si="4"/>
        <v>150000</v>
      </c>
      <c r="O9" s="720">
        <f t="shared" si="5"/>
        <v>6750000</v>
      </c>
      <c r="P9" s="722">
        <f t="shared" si="6"/>
        <v>0.91836734693877553</v>
      </c>
      <c r="Q9" s="722">
        <f t="shared" si="7"/>
        <v>8.1632653061224469E-2</v>
      </c>
      <c r="R9" s="723">
        <f t="shared" si="8"/>
        <v>0.85582984381072169</v>
      </c>
      <c r="S9" s="712">
        <f t="shared" si="9"/>
        <v>-16</v>
      </c>
      <c r="T9" s="723">
        <f t="shared" si="10"/>
        <v>0.91836734693877553</v>
      </c>
      <c r="U9" s="724">
        <f t="shared" si="27"/>
        <v>7.7023341903206122</v>
      </c>
      <c r="V9" s="722">
        <v>0.22095816620764161</v>
      </c>
      <c r="W9" s="725">
        <f t="shared" si="28"/>
        <v>3.55136275</v>
      </c>
      <c r="X9" s="724">
        <f t="shared" si="11"/>
        <v>4.1509714403206122</v>
      </c>
      <c r="Y9" s="723">
        <f t="shared" si="29"/>
        <v>0.20325684936466137</v>
      </c>
      <c r="AA9" s="721">
        <f t="shared" si="12"/>
        <v>6750000</v>
      </c>
      <c r="AB9" s="721">
        <f t="shared" si="13"/>
        <v>27000</v>
      </c>
      <c r="AC9" s="711">
        <f t="shared" si="14"/>
        <v>250</v>
      </c>
      <c r="AD9" s="726"/>
      <c r="AE9" s="712">
        <f t="shared" si="30"/>
        <v>-17</v>
      </c>
      <c r="AF9" s="721">
        <f t="shared" si="15"/>
        <v>6750000</v>
      </c>
      <c r="AG9" s="721">
        <f t="shared" si="16"/>
        <v>7350000</v>
      </c>
      <c r="AH9" s="723">
        <f t="shared" si="17"/>
        <v>0.91836734693877553</v>
      </c>
      <c r="AI9" s="723">
        <f t="shared" si="18"/>
        <v>8.1632653061224469E-2</v>
      </c>
      <c r="AK9" s="711">
        <f t="shared" ca="1" si="19"/>
        <v>0.28010228524514269</v>
      </c>
      <c r="AL9" s="723">
        <f t="shared" ca="1" si="20"/>
        <v>2.801022852451427E-2</v>
      </c>
      <c r="AM9" s="726"/>
      <c r="AN9" s="726"/>
    </row>
    <row r="10" spans="1:40">
      <c r="A10" s="712">
        <f t="shared" si="21"/>
        <v>-15</v>
      </c>
      <c r="B10" s="720">
        <f t="shared" si="22"/>
        <v>27000</v>
      </c>
      <c r="C10" s="720">
        <v>408.16326530612247</v>
      </c>
      <c r="D10" s="721">
        <f t="shared" si="1"/>
        <v>27408.163265306124</v>
      </c>
      <c r="E10" s="722">
        <f t="shared" si="2"/>
        <v>1.5117157974300832E-2</v>
      </c>
      <c r="F10" s="720">
        <v>245</v>
      </c>
      <c r="G10" s="712">
        <f t="shared" si="23"/>
        <v>-15</v>
      </c>
      <c r="H10" s="720">
        <f t="shared" si="24"/>
        <v>7350000</v>
      </c>
      <c r="I10" s="720">
        <v>0</v>
      </c>
      <c r="J10" s="720">
        <v>0</v>
      </c>
      <c r="K10" s="720">
        <f t="shared" si="3"/>
        <v>7350000</v>
      </c>
      <c r="L10" s="712">
        <f t="shared" si="25"/>
        <v>-16</v>
      </c>
      <c r="M10" s="720">
        <f t="shared" si="26"/>
        <v>6750000</v>
      </c>
      <c r="N10" s="720">
        <f t="shared" si="4"/>
        <v>-35000</v>
      </c>
      <c r="O10" s="720">
        <f t="shared" si="5"/>
        <v>6715000</v>
      </c>
      <c r="P10" s="722">
        <f t="shared" si="6"/>
        <v>0.91360544217687079</v>
      </c>
      <c r="Q10" s="722">
        <f t="shared" si="7"/>
        <v>8.6394557823129214E-2</v>
      </c>
      <c r="R10" s="723">
        <f t="shared" si="8"/>
        <v>0.85582984381072169</v>
      </c>
      <c r="S10" s="712">
        <f t="shared" si="9"/>
        <v>-15</v>
      </c>
      <c r="T10" s="723">
        <f t="shared" si="10"/>
        <v>0.91360544217687079</v>
      </c>
      <c r="U10" s="724">
        <f t="shared" si="27"/>
        <v>9.4393485067036469</v>
      </c>
      <c r="V10" s="722">
        <v>0.22551791099455409</v>
      </c>
      <c r="W10" s="725">
        <f t="shared" si="28"/>
        <v>3.6579036325000001</v>
      </c>
      <c r="X10" s="724">
        <f t="shared" si="11"/>
        <v>5.7814448742036468</v>
      </c>
      <c r="Y10" s="723">
        <f t="shared" si="29"/>
        <v>0.19243885503616243</v>
      </c>
      <c r="AA10" s="721">
        <f t="shared" si="12"/>
        <v>6715000</v>
      </c>
      <c r="AB10" s="721">
        <f t="shared" si="13"/>
        <v>27408.163265306124</v>
      </c>
      <c r="AC10" s="711">
        <f t="shared" si="14"/>
        <v>244.99999999999997</v>
      </c>
      <c r="AD10" s="726"/>
      <c r="AE10" s="712">
        <f t="shared" si="30"/>
        <v>-16</v>
      </c>
      <c r="AF10" s="721">
        <f t="shared" si="15"/>
        <v>6715000</v>
      </c>
      <c r="AG10" s="721">
        <f t="shared" si="16"/>
        <v>7350000</v>
      </c>
      <c r="AH10" s="723">
        <f t="shared" si="17"/>
        <v>0.91360544217687079</v>
      </c>
      <c r="AI10" s="723">
        <f t="shared" si="18"/>
        <v>8.6394557823129214E-2</v>
      </c>
      <c r="AK10" s="711">
        <f t="shared" ca="1" si="19"/>
        <v>0.30254713714167425</v>
      </c>
      <c r="AL10" s="723">
        <f t="shared" ca="1" si="20"/>
        <v>3.0254713714167426E-2</v>
      </c>
      <c r="AM10" s="726"/>
      <c r="AN10" s="726"/>
    </row>
    <row r="11" spans="1:40">
      <c r="A11" s="712">
        <f t="shared" si="21"/>
        <v>-14</v>
      </c>
      <c r="B11" s="720">
        <f t="shared" si="22"/>
        <v>27408.163265306124</v>
      </c>
      <c r="C11" s="720">
        <v>208.33333333333334</v>
      </c>
      <c r="D11" s="721">
        <f t="shared" si="1"/>
        <v>27616.496598639456</v>
      </c>
      <c r="E11" s="722">
        <f t="shared" si="2"/>
        <v>7.6011417225117896E-3</v>
      </c>
      <c r="F11" s="720">
        <v>240</v>
      </c>
      <c r="G11" s="712">
        <f t="shared" si="23"/>
        <v>-14</v>
      </c>
      <c r="H11" s="720">
        <f t="shared" si="24"/>
        <v>7350000</v>
      </c>
      <c r="I11" s="720">
        <v>0</v>
      </c>
      <c r="J11" s="720">
        <v>0</v>
      </c>
      <c r="K11" s="720">
        <f t="shared" si="3"/>
        <v>7350000</v>
      </c>
      <c r="L11" s="712">
        <f t="shared" si="25"/>
        <v>-15</v>
      </c>
      <c r="M11" s="720">
        <f t="shared" si="26"/>
        <v>6715000</v>
      </c>
      <c r="N11" s="720">
        <f t="shared" si="4"/>
        <v>-87040.81632653065</v>
      </c>
      <c r="O11" s="720">
        <f t="shared" si="5"/>
        <v>6627959.1836734693</v>
      </c>
      <c r="P11" s="722">
        <f t="shared" si="6"/>
        <v>0.90176315424128839</v>
      </c>
      <c r="Q11" s="722">
        <f t="shared" si="7"/>
        <v>9.8236845758711611E-2</v>
      </c>
      <c r="R11" s="723">
        <f t="shared" si="8"/>
        <v>0.85582984381072169</v>
      </c>
      <c r="S11" s="712">
        <f t="shared" si="9"/>
        <v>-14</v>
      </c>
      <c r="T11" s="723">
        <f t="shared" si="10"/>
        <v>0.90176315424128839</v>
      </c>
      <c r="U11" s="724">
        <f t="shared" si="27"/>
        <v>10.743481147464452</v>
      </c>
      <c r="V11" s="722">
        <v>0.13815917908260664</v>
      </c>
      <c r="W11" s="725">
        <f t="shared" si="28"/>
        <v>3.7676407414750002</v>
      </c>
      <c r="X11" s="724">
        <f t="shared" si="11"/>
        <v>6.9758404059894517</v>
      </c>
      <c r="Y11" s="723">
        <f t="shared" si="29"/>
        <v>0.16553579625420989</v>
      </c>
      <c r="AA11" s="721">
        <f t="shared" si="12"/>
        <v>6627959.1836734693</v>
      </c>
      <c r="AB11" s="721">
        <f t="shared" si="13"/>
        <v>27616.496598639456</v>
      </c>
      <c r="AC11" s="711">
        <f t="shared" si="14"/>
        <v>240</v>
      </c>
      <c r="AD11" s="726"/>
      <c r="AE11" s="712">
        <f t="shared" si="30"/>
        <v>-15</v>
      </c>
      <c r="AF11" s="721">
        <f t="shared" si="15"/>
        <v>6627959.1836734693</v>
      </c>
      <c r="AG11" s="721">
        <f t="shared" si="16"/>
        <v>7350000</v>
      </c>
      <c r="AH11" s="723">
        <f t="shared" si="17"/>
        <v>0.90176315424128839</v>
      </c>
      <c r="AI11" s="723">
        <f t="shared" si="18"/>
        <v>9.8236845758711611E-2</v>
      </c>
      <c r="AK11" s="711">
        <f t="shared" ca="1" si="19"/>
        <v>0.10076508561547692</v>
      </c>
      <c r="AL11" s="723">
        <f t="shared" ca="1" si="20"/>
        <v>1.0076508561547693E-2</v>
      </c>
      <c r="AM11" s="726"/>
      <c r="AN11" s="726"/>
    </row>
    <row r="12" spans="1:40">
      <c r="A12" s="712">
        <f t="shared" si="21"/>
        <v>-13</v>
      </c>
      <c r="B12" s="720">
        <f t="shared" si="22"/>
        <v>27616.496598639456</v>
      </c>
      <c r="C12" s="720">
        <v>0</v>
      </c>
      <c r="D12" s="721">
        <f t="shared" si="1"/>
        <v>27616.496598639456</v>
      </c>
      <c r="E12" s="722">
        <f t="shared" si="2"/>
        <v>0</v>
      </c>
      <c r="F12" s="720">
        <v>235</v>
      </c>
      <c r="G12" s="712">
        <f t="shared" si="23"/>
        <v>-13</v>
      </c>
      <c r="H12" s="720">
        <f t="shared" si="24"/>
        <v>7350000</v>
      </c>
      <c r="I12" s="720">
        <v>25000</v>
      </c>
      <c r="J12" s="720">
        <v>20000</v>
      </c>
      <c r="K12" s="720">
        <f t="shared" si="3"/>
        <v>7355000</v>
      </c>
      <c r="L12" s="712">
        <f t="shared" si="25"/>
        <v>-14</v>
      </c>
      <c r="M12" s="720">
        <f t="shared" si="26"/>
        <v>6627959.1836734693</v>
      </c>
      <c r="N12" s="720">
        <f t="shared" si="4"/>
        <v>-138082.4829931967</v>
      </c>
      <c r="O12" s="720">
        <f t="shared" si="5"/>
        <v>6489876.7006802727</v>
      </c>
      <c r="P12" s="722">
        <f t="shared" si="6"/>
        <v>0.88237616596604662</v>
      </c>
      <c r="Q12" s="722">
        <f t="shared" si="7"/>
        <v>0.11762383403395338</v>
      </c>
      <c r="R12" s="723">
        <f t="shared" si="8"/>
        <v>0.85582984381072169</v>
      </c>
      <c r="S12" s="712">
        <f t="shared" si="9"/>
        <v>-13</v>
      </c>
      <c r="T12" s="723">
        <f t="shared" si="10"/>
        <v>0.88237616596604662</v>
      </c>
      <c r="U12" s="724">
        <f t="shared" si="27"/>
        <v>12.06634039430398</v>
      </c>
      <c r="V12" s="722">
        <v>0.12313134157188269</v>
      </c>
      <c r="W12" s="725">
        <f t="shared" si="28"/>
        <v>3.8806699637192503</v>
      </c>
      <c r="X12" s="724">
        <f t="shared" si="11"/>
        <v>8.1856704305847288</v>
      </c>
      <c r="Y12" s="723">
        <f t="shared" si="29"/>
        <v>0.12149284712047947</v>
      </c>
      <c r="AA12" s="721">
        <f t="shared" si="12"/>
        <v>6489876.7006802727</v>
      </c>
      <c r="AB12" s="721">
        <f t="shared" si="13"/>
        <v>27616.496598639456</v>
      </c>
      <c r="AC12" s="711">
        <f t="shared" si="14"/>
        <v>235.00000000000003</v>
      </c>
      <c r="AD12" s="726"/>
      <c r="AE12" s="712">
        <f t="shared" si="30"/>
        <v>-14</v>
      </c>
      <c r="AF12" s="721">
        <f t="shared" si="15"/>
        <v>6489876.7006802727</v>
      </c>
      <c r="AG12" s="721">
        <f t="shared" si="16"/>
        <v>7355000</v>
      </c>
      <c r="AH12" s="723">
        <f t="shared" si="17"/>
        <v>0.88237616596604662</v>
      </c>
      <c r="AI12" s="723">
        <f t="shared" si="18"/>
        <v>0.11762383403395338</v>
      </c>
      <c r="AK12" s="711">
        <f t="shared" ca="1" si="19"/>
        <v>0.57375391182822033</v>
      </c>
      <c r="AL12" s="723">
        <f t="shared" ca="1" si="20"/>
        <v>5.7375391182822033E-2</v>
      </c>
      <c r="AM12" s="726"/>
      <c r="AN12" s="726"/>
    </row>
    <row r="13" spans="1:40">
      <c r="A13" s="712">
        <f t="shared" si="21"/>
        <v>-12</v>
      </c>
      <c r="B13" s="720">
        <f t="shared" si="22"/>
        <v>27616.496598639456</v>
      </c>
      <c r="C13" s="720">
        <v>-215.51724137931035</v>
      </c>
      <c r="D13" s="721">
        <f t="shared" si="1"/>
        <v>27400.979357260145</v>
      </c>
      <c r="E13" s="722">
        <f t="shared" si="2"/>
        <v>-7.8039312701933356E-3</v>
      </c>
      <c r="F13" s="720">
        <v>232</v>
      </c>
      <c r="G13" s="712">
        <f t="shared" si="23"/>
        <v>-12</v>
      </c>
      <c r="H13" s="720">
        <f t="shared" si="24"/>
        <v>7355000</v>
      </c>
      <c r="I13" s="720">
        <v>75000</v>
      </c>
      <c r="J13" s="720">
        <v>0</v>
      </c>
      <c r="K13" s="720">
        <f t="shared" si="3"/>
        <v>7430000</v>
      </c>
      <c r="L13" s="712">
        <f t="shared" si="25"/>
        <v>-13</v>
      </c>
      <c r="M13" s="720">
        <f t="shared" si="26"/>
        <v>6489876.7006802727</v>
      </c>
      <c r="N13" s="720">
        <f t="shared" si="4"/>
        <v>-132849.48979591951</v>
      </c>
      <c r="O13" s="720">
        <f t="shared" si="5"/>
        <v>6357027.2108843531</v>
      </c>
      <c r="P13" s="722">
        <f t="shared" si="6"/>
        <v>0.85558912663315656</v>
      </c>
      <c r="Q13" s="722">
        <f t="shared" si="7"/>
        <v>0.14441087336684344</v>
      </c>
      <c r="R13" s="723">
        <f t="shared" si="8"/>
        <v>0.85582984381072169</v>
      </c>
      <c r="S13" s="712">
        <f t="shared" si="9"/>
        <v>-12</v>
      </c>
      <c r="T13" s="723">
        <f t="shared" si="10"/>
        <v>0.85558912663315656</v>
      </c>
      <c r="U13" s="724">
        <f t="shared" si="27"/>
        <v>13.015404066896574</v>
      </c>
      <c r="V13" s="722">
        <v>7.8653812305892509E-2</v>
      </c>
      <c r="W13" s="725">
        <f t="shared" si="28"/>
        <v>3.9970900626308281</v>
      </c>
      <c r="X13" s="724">
        <f t="shared" si="11"/>
        <v>9.0183140042657453</v>
      </c>
      <c r="Y13" s="723">
        <f t="shared" si="29"/>
        <v>6.0638618808577682E-2</v>
      </c>
      <c r="AA13" s="721">
        <f t="shared" si="12"/>
        <v>6357027.2108843531</v>
      </c>
      <c r="AB13" s="721">
        <f t="shared" si="13"/>
        <v>27400.979357260145</v>
      </c>
      <c r="AC13" s="711">
        <f t="shared" si="14"/>
        <v>231.99999999999997</v>
      </c>
      <c r="AD13" s="726"/>
      <c r="AE13" s="712">
        <f t="shared" si="30"/>
        <v>-13</v>
      </c>
      <c r="AF13" s="721">
        <f t="shared" si="15"/>
        <v>6357027.2108843531</v>
      </c>
      <c r="AG13" s="721">
        <f t="shared" si="16"/>
        <v>7430000</v>
      </c>
      <c r="AH13" s="723">
        <f t="shared" si="17"/>
        <v>0.85558912663315656</v>
      </c>
      <c r="AI13" s="723">
        <f t="shared" si="18"/>
        <v>0.14441087336684344</v>
      </c>
      <c r="AK13" s="711">
        <f t="shared" ca="1" si="19"/>
        <v>0.39571357214154801</v>
      </c>
      <c r="AL13" s="723">
        <f t="shared" ca="1" si="20"/>
        <v>3.9571357214154806E-2</v>
      </c>
      <c r="AM13" s="726"/>
      <c r="AN13" s="726"/>
    </row>
    <row r="14" spans="1:40">
      <c r="A14" s="712">
        <f t="shared" si="21"/>
        <v>-11</v>
      </c>
      <c r="B14" s="720">
        <f t="shared" si="22"/>
        <v>27400.979357260145</v>
      </c>
      <c r="C14" s="720">
        <v>-434.78260869565219</v>
      </c>
      <c r="D14" s="721">
        <f t="shared" si="1"/>
        <v>26966.196748564493</v>
      </c>
      <c r="E14" s="722">
        <f t="shared" si="2"/>
        <v>-1.5867411271212554E-2</v>
      </c>
      <c r="F14" s="720">
        <v>230</v>
      </c>
      <c r="G14" s="712">
        <f t="shared" si="23"/>
        <v>-11</v>
      </c>
      <c r="H14" s="720">
        <f t="shared" si="24"/>
        <v>7430000</v>
      </c>
      <c r="I14" s="720">
        <v>50000</v>
      </c>
      <c r="J14" s="720">
        <v>0</v>
      </c>
      <c r="K14" s="720">
        <f t="shared" si="3"/>
        <v>7480000</v>
      </c>
      <c r="L14" s="712">
        <f t="shared" si="25"/>
        <v>-12</v>
      </c>
      <c r="M14" s="720">
        <f t="shared" si="26"/>
        <v>6357027.2108843531</v>
      </c>
      <c r="N14" s="720">
        <f t="shared" si="4"/>
        <v>-154801.95871451963</v>
      </c>
      <c r="O14" s="720">
        <f t="shared" si="5"/>
        <v>6202225.2521698335</v>
      </c>
      <c r="P14" s="722">
        <f t="shared" si="6"/>
        <v>0.82917449895318629</v>
      </c>
      <c r="Q14" s="722">
        <f t="shared" si="7"/>
        <v>0.17082550104681371</v>
      </c>
      <c r="R14" s="723">
        <f t="shared" si="8"/>
        <v>0.85582984381072169</v>
      </c>
      <c r="S14" s="712">
        <f t="shared" si="9"/>
        <v>-11</v>
      </c>
      <c r="T14" s="723">
        <f t="shared" si="10"/>
        <v>0.82917449895318629</v>
      </c>
      <c r="U14" s="724">
        <f t="shared" si="27"/>
        <v>12.836622605664987</v>
      </c>
      <c r="V14" s="722">
        <v>-1.3736143750335061E-2</v>
      </c>
      <c r="W14" s="725">
        <f t="shared" si="28"/>
        <v>4.1170027645097527</v>
      </c>
      <c r="X14" s="724">
        <f t="shared" si="11"/>
        <v>8.7196198411552341</v>
      </c>
      <c r="Y14" s="723">
        <f t="shared" si="29"/>
        <v>6.3042739799823444E-4</v>
      </c>
      <c r="AA14" s="721">
        <f t="shared" si="12"/>
        <v>6202225.2521698335</v>
      </c>
      <c r="AB14" s="721">
        <f t="shared" si="13"/>
        <v>26966.196748564493</v>
      </c>
      <c r="AC14" s="711">
        <f t="shared" si="14"/>
        <v>230</v>
      </c>
      <c r="AD14" s="726"/>
      <c r="AE14" s="712">
        <f t="shared" si="30"/>
        <v>-12</v>
      </c>
      <c r="AF14" s="721">
        <f t="shared" si="15"/>
        <v>6202225.2521698335</v>
      </c>
      <c r="AG14" s="721">
        <f t="shared" si="16"/>
        <v>7480000</v>
      </c>
      <c r="AH14" s="723">
        <f t="shared" si="17"/>
        <v>0.82917449895318629</v>
      </c>
      <c r="AI14" s="723">
        <f t="shared" si="18"/>
        <v>0.17082550104681371</v>
      </c>
      <c r="AK14" s="711">
        <f t="shared" ca="1" si="19"/>
        <v>0.46730933266964536</v>
      </c>
      <c r="AL14" s="723">
        <f t="shared" ca="1" si="20"/>
        <v>4.6730933266964536E-2</v>
      </c>
      <c r="AM14" s="726"/>
      <c r="AN14" s="726"/>
    </row>
    <row r="15" spans="1:40">
      <c r="A15" s="712">
        <f t="shared" si="21"/>
        <v>-10</v>
      </c>
      <c r="B15" s="720">
        <f t="shared" si="22"/>
        <v>26966.196748564493</v>
      </c>
      <c r="C15" s="720">
        <v>-222.22222222222223</v>
      </c>
      <c r="D15" s="721">
        <f t="shared" si="1"/>
        <v>26743.97452634227</v>
      </c>
      <c r="E15" s="722">
        <f t="shared" si="2"/>
        <v>-8.2407698903276712E-3</v>
      </c>
      <c r="F15" s="720">
        <v>225</v>
      </c>
      <c r="G15" s="712">
        <f t="shared" si="23"/>
        <v>-10</v>
      </c>
      <c r="H15" s="720">
        <f t="shared" si="24"/>
        <v>7480000</v>
      </c>
      <c r="I15" s="720">
        <v>50000</v>
      </c>
      <c r="J15" s="720">
        <v>0</v>
      </c>
      <c r="K15" s="720">
        <f t="shared" si="3"/>
        <v>7530000</v>
      </c>
      <c r="L15" s="712">
        <f t="shared" si="25"/>
        <v>-11</v>
      </c>
      <c r="M15" s="720">
        <f t="shared" si="26"/>
        <v>6202225.2521698335</v>
      </c>
      <c r="N15" s="720">
        <f t="shared" si="4"/>
        <v>-184830.98374282289</v>
      </c>
      <c r="O15" s="720">
        <f t="shared" si="5"/>
        <v>6017394.2684270106</v>
      </c>
      <c r="P15" s="722">
        <f t="shared" si="6"/>
        <v>0.79912274481102397</v>
      </c>
      <c r="Q15" s="722">
        <f t="shared" si="7"/>
        <v>0.20087725518897603</v>
      </c>
      <c r="R15" s="723">
        <f t="shared" si="8"/>
        <v>0.85582984381072169</v>
      </c>
      <c r="S15" s="712">
        <f t="shared" si="9"/>
        <v>-10</v>
      </c>
      <c r="T15" s="723">
        <f t="shared" si="10"/>
        <v>0.79912274481102397</v>
      </c>
      <c r="U15" s="724">
        <f t="shared" si="27"/>
        <v>12.432732877239909</v>
      </c>
      <c r="V15" s="722">
        <v>-3.1463862484111274E-2</v>
      </c>
      <c r="W15" s="725">
        <f t="shared" si="28"/>
        <v>4.2405128474450455</v>
      </c>
      <c r="X15" s="724">
        <f t="shared" si="11"/>
        <v>8.1922200297948642</v>
      </c>
      <c r="Y15" s="723">
        <f t="shared" si="29"/>
        <v>-6.76405108349869E-2</v>
      </c>
      <c r="AA15" s="721">
        <f t="shared" si="12"/>
        <v>6017394.2684270106</v>
      </c>
      <c r="AB15" s="721">
        <f t="shared" si="13"/>
        <v>26743.97452634227</v>
      </c>
      <c r="AC15" s="711">
        <f t="shared" si="14"/>
        <v>225</v>
      </c>
      <c r="AD15" s="726"/>
      <c r="AE15" s="712">
        <f t="shared" si="30"/>
        <v>-11</v>
      </c>
      <c r="AF15" s="721">
        <f t="shared" si="15"/>
        <v>6017394.2684270106</v>
      </c>
      <c r="AG15" s="721">
        <f t="shared" si="16"/>
        <v>7530000</v>
      </c>
      <c r="AH15" s="723">
        <f t="shared" si="17"/>
        <v>0.79912274481102397</v>
      </c>
      <c r="AI15" s="723">
        <f t="shared" si="18"/>
        <v>0.20087725518897603</v>
      </c>
      <c r="AK15" s="711">
        <f t="shared" ca="1" si="19"/>
        <v>0.90416501454299503</v>
      </c>
      <c r="AL15" s="723">
        <f t="shared" ca="1" si="20"/>
        <v>9.0416501454299511E-2</v>
      </c>
      <c r="AM15" s="726"/>
      <c r="AN15" s="726"/>
    </row>
    <row r="16" spans="1:40">
      <c r="A16" s="712">
        <f t="shared" si="21"/>
        <v>-9</v>
      </c>
      <c r="B16" s="720">
        <f t="shared" si="22"/>
        <v>26743.97452634227</v>
      </c>
      <c r="C16" s="720">
        <v>0</v>
      </c>
      <c r="D16" s="721">
        <f t="shared" si="1"/>
        <v>26743.97452634227</v>
      </c>
      <c r="E16" s="722">
        <f t="shared" si="2"/>
        <v>0</v>
      </c>
      <c r="F16" s="720">
        <v>225</v>
      </c>
      <c r="G16" s="712">
        <f t="shared" si="23"/>
        <v>-9</v>
      </c>
      <c r="H16" s="720">
        <f t="shared" si="24"/>
        <v>7530000</v>
      </c>
      <c r="I16" s="720">
        <v>100000</v>
      </c>
      <c r="J16" s="720">
        <v>0</v>
      </c>
      <c r="K16" s="720">
        <f t="shared" si="3"/>
        <v>7630000</v>
      </c>
      <c r="L16" s="712">
        <f t="shared" si="25"/>
        <v>-10</v>
      </c>
      <c r="M16" s="720">
        <f t="shared" si="26"/>
        <v>6017394.2684270106</v>
      </c>
      <c r="N16" s="720">
        <f t="shared" si="4"/>
        <v>0</v>
      </c>
      <c r="O16" s="720">
        <f t="shared" si="5"/>
        <v>6017394.2684270106</v>
      </c>
      <c r="P16" s="722">
        <f t="shared" si="6"/>
        <v>0.78864931434167895</v>
      </c>
      <c r="Q16" s="722">
        <f t="shared" si="7"/>
        <v>0.21135068565832105</v>
      </c>
      <c r="R16" s="723">
        <f t="shared" si="8"/>
        <v>0.85582984381072169</v>
      </c>
      <c r="S16" s="712">
        <f t="shared" si="9"/>
        <v>-9</v>
      </c>
      <c r="T16" s="723">
        <f t="shared" si="10"/>
        <v>0.78864931434167895</v>
      </c>
      <c r="U16" s="724">
        <f t="shared" si="27"/>
        <v>11.289093833043836</v>
      </c>
      <c r="V16" s="722">
        <v>-9.1986134946218157E-2</v>
      </c>
      <c r="W16" s="725">
        <f t="shared" si="28"/>
        <v>4.3677282328683971</v>
      </c>
      <c r="X16" s="724">
        <f t="shared" si="11"/>
        <v>6.9213656001754389</v>
      </c>
      <c r="Y16" s="723">
        <f t="shared" si="29"/>
        <v>-9.1433828232620362E-2</v>
      </c>
      <c r="AA16" s="721">
        <f t="shared" si="12"/>
        <v>6017394.2684270106</v>
      </c>
      <c r="AB16" s="721">
        <f t="shared" si="13"/>
        <v>26743.97452634227</v>
      </c>
      <c r="AC16" s="711">
        <f t="shared" si="14"/>
        <v>225</v>
      </c>
      <c r="AD16" s="726"/>
      <c r="AE16" s="712">
        <f t="shared" si="30"/>
        <v>-10</v>
      </c>
      <c r="AF16" s="721">
        <f t="shared" si="15"/>
        <v>6017394.2684270106</v>
      </c>
      <c r="AG16" s="721">
        <f t="shared" si="16"/>
        <v>7630000</v>
      </c>
      <c r="AH16" s="723">
        <f t="shared" si="17"/>
        <v>0.78864931434167895</v>
      </c>
      <c r="AI16" s="723">
        <f t="shared" si="18"/>
        <v>0.21135068565832105</v>
      </c>
      <c r="AK16" s="711">
        <f t="shared" ca="1" si="19"/>
        <v>1.6517060152029694E-2</v>
      </c>
      <c r="AL16" s="723">
        <f t="shared" ca="1" si="20"/>
        <v>1.6517060152029695E-3</v>
      </c>
      <c r="AM16" s="726"/>
      <c r="AN16" s="726"/>
    </row>
    <row r="17" spans="1:40">
      <c r="A17" s="712">
        <f t="shared" si="21"/>
        <v>-8</v>
      </c>
      <c r="B17" s="720">
        <f t="shared" si="22"/>
        <v>26743.97452634227</v>
      </c>
      <c r="C17" s="720">
        <v>500</v>
      </c>
      <c r="D17" s="721">
        <f t="shared" si="1"/>
        <v>27243.97452634227</v>
      </c>
      <c r="E17" s="722">
        <f t="shared" si="2"/>
        <v>1.8695800039276518E-2</v>
      </c>
      <c r="F17" s="720">
        <v>230</v>
      </c>
      <c r="G17" s="712">
        <f t="shared" si="23"/>
        <v>-8</v>
      </c>
      <c r="H17" s="720">
        <f t="shared" si="24"/>
        <v>7630000</v>
      </c>
      <c r="I17" s="720">
        <v>200000</v>
      </c>
      <c r="J17" s="720">
        <v>0</v>
      </c>
      <c r="K17" s="720">
        <f t="shared" si="3"/>
        <v>7830000</v>
      </c>
      <c r="L17" s="712">
        <f t="shared" si="25"/>
        <v>-9</v>
      </c>
      <c r="M17" s="720">
        <f t="shared" si="26"/>
        <v>6017394.2684270106</v>
      </c>
      <c r="N17" s="720">
        <f t="shared" si="4"/>
        <v>248719.87263171189</v>
      </c>
      <c r="O17" s="720">
        <f t="shared" si="5"/>
        <v>6266114.1410587225</v>
      </c>
      <c r="P17" s="722">
        <f t="shared" si="6"/>
        <v>0.80027000524377045</v>
      </c>
      <c r="Q17" s="722">
        <f t="shared" si="7"/>
        <v>0.19972999475622955</v>
      </c>
      <c r="R17" s="723">
        <f t="shared" si="8"/>
        <v>0.85582984381072169</v>
      </c>
      <c r="S17" s="712">
        <f t="shared" si="9"/>
        <v>-8</v>
      </c>
      <c r="T17" s="723">
        <f t="shared" si="10"/>
        <v>0.80027000524377045</v>
      </c>
      <c r="U17" s="724">
        <f t="shared" si="27"/>
        <v>10.329779810366174</v>
      </c>
      <c r="V17" s="722">
        <v>-8.4977061654824243E-2</v>
      </c>
      <c r="W17" s="725">
        <f t="shared" si="28"/>
        <v>4.4987600798544491</v>
      </c>
      <c r="X17" s="724">
        <f t="shared" si="11"/>
        <v>5.8310197305117253</v>
      </c>
      <c r="Y17" s="723">
        <f t="shared" si="29"/>
        <v>-6.5034188895486622E-2</v>
      </c>
      <c r="AA17" s="721">
        <f t="shared" si="12"/>
        <v>6266114.1410587225</v>
      </c>
      <c r="AB17" s="721">
        <f t="shared" si="13"/>
        <v>27243.97452634227</v>
      </c>
      <c r="AC17" s="711">
        <f t="shared" si="14"/>
        <v>230</v>
      </c>
      <c r="AD17" s="726"/>
      <c r="AE17" s="712">
        <f t="shared" si="30"/>
        <v>-9</v>
      </c>
      <c r="AF17" s="721">
        <f t="shared" si="15"/>
        <v>6266114.1410587225</v>
      </c>
      <c r="AG17" s="721">
        <f t="shared" si="16"/>
        <v>7830000</v>
      </c>
      <c r="AH17" s="723">
        <f t="shared" si="17"/>
        <v>0.80027000524377045</v>
      </c>
      <c r="AI17" s="723">
        <f t="shared" si="18"/>
        <v>0.19972999475622955</v>
      </c>
      <c r="AK17" s="711">
        <f t="shared" ca="1" si="19"/>
        <v>0.66872931828381077</v>
      </c>
      <c r="AL17" s="723">
        <f t="shared" ca="1" si="20"/>
        <v>6.6872931828381083E-2</v>
      </c>
      <c r="AM17" s="726"/>
      <c r="AN17" s="726"/>
    </row>
    <row r="18" spans="1:40">
      <c r="A18" s="712">
        <f t="shared" si="21"/>
        <v>-7</v>
      </c>
      <c r="B18" s="720">
        <f t="shared" si="22"/>
        <v>27243.97452634227</v>
      </c>
      <c r="C18" s="720">
        <v>700</v>
      </c>
      <c r="D18" s="721">
        <f t="shared" si="1"/>
        <v>27943.97452634227</v>
      </c>
      <c r="E18" s="722">
        <f t="shared" si="2"/>
        <v>2.5693754753850918E-2</v>
      </c>
      <c r="F18" s="720">
        <v>235</v>
      </c>
      <c r="G18" s="712">
        <f t="shared" si="23"/>
        <v>-7</v>
      </c>
      <c r="H18" s="720">
        <f t="shared" si="24"/>
        <v>7830000</v>
      </c>
      <c r="I18" s="720">
        <v>300000</v>
      </c>
      <c r="J18" s="720">
        <v>0</v>
      </c>
      <c r="K18" s="720">
        <f t="shared" si="3"/>
        <v>8130000</v>
      </c>
      <c r="L18" s="712">
        <f t="shared" si="25"/>
        <v>-8</v>
      </c>
      <c r="M18" s="720">
        <f t="shared" si="26"/>
        <v>6266114.1410587225</v>
      </c>
      <c r="N18" s="720">
        <f t="shared" si="4"/>
        <v>300719.87263171095</v>
      </c>
      <c r="O18" s="720">
        <f t="shared" si="5"/>
        <v>6566834.0136904335</v>
      </c>
      <c r="P18" s="722">
        <f t="shared" si="6"/>
        <v>0.80772866097053297</v>
      </c>
      <c r="Q18" s="722">
        <f t="shared" si="7"/>
        <v>0.19227133902946703</v>
      </c>
      <c r="R18" s="723">
        <f t="shared" si="8"/>
        <v>0.85582984381072169</v>
      </c>
      <c r="S18" s="712">
        <f t="shared" si="9"/>
        <v>-7</v>
      </c>
      <c r="T18" s="723">
        <f t="shared" si="10"/>
        <v>0.80772866097053297</v>
      </c>
      <c r="U18" s="724">
        <f t="shared" si="27"/>
        <v>9.718703745593448</v>
      </c>
      <c r="V18" s="722">
        <v>-5.9156736735036464E-2</v>
      </c>
      <c r="W18" s="725">
        <f t="shared" si="28"/>
        <v>4.6337228822500824</v>
      </c>
      <c r="X18" s="724">
        <f t="shared" si="11"/>
        <v>5.0849808633433655</v>
      </c>
      <c r="Y18" s="723">
        <f t="shared" si="29"/>
        <v>-4.8089772871914516E-2</v>
      </c>
      <c r="AA18" s="721">
        <f t="shared" si="12"/>
        <v>6566834.0136904335</v>
      </c>
      <c r="AB18" s="721">
        <f t="shared" si="13"/>
        <v>27943.97452634227</v>
      </c>
      <c r="AC18" s="711">
        <f t="shared" si="14"/>
        <v>235</v>
      </c>
      <c r="AD18" s="726"/>
      <c r="AE18" s="712">
        <f t="shared" si="30"/>
        <v>-8</v>
      </c>
      <c r="AF18" s="721">
        <f t="shared" si="15"/>
        <v>6566834.0136904335</v>
      </c>
      <c r="AG18" s="721">
        <f t="shared" si="16"/>
        <v>8130000</v>
      </c>
      <c r="AH18" s="723">
        <f t="shared" si="17"/>
        <v>0.80772866097053297</v>
      </c>
      <c r="AI18" s="723">
        <f t="shared" si="18"/>
        <v>0.19227133902946703</v>
      </c>
      <c r="AK18" s="711">
        <f t="shared" ca="1" si="19"/>
        <v>0.93224250458807856</v>
      </c>
      <c r="AL18" s="723">
        <f t="shared" ca="1" si="20"/>
        <v>9.3224250458807861E-2</v>
      </c>
      <c r="AM18" s="726"/>
      <c r="AN18" s="726"/>
    </row>
    <row r="19" spans="1:40">
      <c r="A19" s="712">
        <f t="shared" si="21"/>
        <v>-6</v>
      </c>
      <c r="B19" s="720">
        <f t="shared" si="22"/>
        <v>27943.97452634227</v>
      </c>
      <c r="C19" s="720">
        <v>1000</v>
      </c>
      <c r="D19" s="721">
        <f t="shared" si="1"/>
        <v>28943.97452634227</v>
      </c>
      <c r="E19" s="722">
        <f t="shared" si="2"/>
        <v>3.5785890051442698E-2</v>
      </c>
      <c r="F19" s="720">
        <v>235</v>
      </c>
      <c r="G19" s="712">
        <f t="shared" si="23"/>
        <v>-6</v>
      </c>
      <c r="H19" s="720">
        <f t="shared" si="24"/>
        <v>8130000</v>
      </c>
      <c r="I19" s="720">
        <v>400000</v>
      </c>
      <c r="J19" s="720">
        <v>50000</v>
      </c>
      <c r="K19" s="720">
        <f t="shared" si="3"/>
        <v>8480000</v>
      </c>
      <c r="L19" s="712">
        <f t="shared" si="25"/>
        <v>-7</v>
      </c>
      <c r="M19" s="720">
        <f t="shared" si="26"/>
        <v>6566834.0136904335</v>
      </c>
      <c r="N19" s="720">
        <f t="shared" si="4"/>
        <v>235000</v>
      </c>
      <c r="O19" s="720">
        <f t="shared" si="5"/>
        <v>6801834.0136904335</v>
      </c>
      <c r="P19" s="722">
        <f t="shared" si="6"/>
        <v>0.80210306765217376</v>
      </c>
      <c r="Q19" s="722">
        <f t="shared" si="7"/>
        <v>0.19789693234782624</v>
      </c>
      <c r="R19" s="723">
        <f t="shared" si="8"/>
        <v>0.85582984381072169</v>
      </c>
      <c r="S19" s="712">
        <f t="shared" si="9"/>
        <v>-6</v>
      </c>
      <c r="T19" s="723">
        <f t="shared" si="10"/>
        <v>0.80210306765217376</v>
      </c>
      <c r="U19" s="724">
        <f t="shared" si="27"/>
        <v>9.4795747534704198</v>
      </c>
      <c r="V19" s="722">
        <v>-2.4605029475402093E-2</v>
      </c>
      <c r="W19" s="725">
        <f t="shared" si="28"/>
        <v>4.7727345687175848</v>
      </c>
      <c r="X19" s="724">
        <f t="shared" si="11"/>
        <v>4.7068401847528349</v>
      </c>
      <c r="Y19" s="723">
        <f t="shared" si="29"/>
        <v>-6.0869876560529335E-2</v>
      </c>
      <c r="AA19" s="721">
        <f t="shared" si="12"/>
        <v>6801834.0136904335</v>
      </c>
      <c r="AB19" s="721">
        <f t="shared" si="13"/>
        <v>28943.97452634227</v>
      </c>
      <c r="AC19" s="711">
        <f t="shared" si="14"/>
        <v>235</v>
      </c>
      <c r="AD19" s="726"/>
      <c r="AE19" s="712">
        <f t="shared" si="30"/>
        <v>-7</v>
      </c>
      <c r="AF19" s="721">
        <f t="shared" si="15"/>
        <v>6801834.0136904335</v>
      </c>
      <c r="AG19" s="721">
        <f t="shared" si="16"/>
        <v>8480000</v>
      </c>
      <c r="AH19" s="723">
        <f t="shared" si="17"/>
        <v>0.80210306765217376</v>
      </c>
      <c r="AI19" s="723">
        <f t="shared" si="18"/>
        <v>0.19789693234782624</v>
      </c>
      <c r="AK19" s="711">
        <f t="shared" ca="1" si="19"/>
        <v>0.84031275170010422</v>
      </c>
      <c r="AL19" s="723">
        <f t="shared" ca="1" si="20"/>
        <v>8.4031275170010425E-2</v>
      </c>
      <c r="AM19" s="726"/>
      <c r="AN19" s="726"/>
    </row>
    <row r="20" spans="1:40">
      <c r="A20" s="712">
        <f t="shared" si="21"/>
        <v>-5</v>
      </c>
      <c r="B20" s="720">
        <f t="shared" si="22"/>
        <v>28943.97452634227</v>
      </c>
      <c r="C20" s="720">
        <v>1100</v>
      </c>
      <c r="D20" s="721">
        <f t="shared" si="1"/>
        <v>30043.97452634227</v>
      </c>
      <c r="E20" s="722">
        <f t="shared" si="2"/>
        <v>3.8004455780558971E-2</v>
      </c>
      <c r="F20" s="720">
        <v>240</v>
      </c>
      <c r="G20" s="712">
        <f t="shared" si="23"/>
        <v>-5</v>
      </c>
      <c r="H20" s="720">
        <f t="shared" si="24"/>
        <v>8480000</v>
      </c>
      <c r="I20" s="720">
        <v>300000</v>
      </c>
      <c r="J20" s="720">
        <v>0</v>
      </c>
      <c r="K20" s="720">
        <f t="shared" si="3"/>
        <v>8780000</v>
      </c>
      <c r="L20" s="712">
        <f t="shared" si="25"/>
        <v>-6</v>
      </c>
      <c r="M20" s="720">
        <f t="shared" si="26"/>
        <v>6801834.0136904335</v>
      </c>
      <c r="N20" s="720">
        <f t="shared" si="4"/>
        <v>408719.87263171095</v>
      </c>
      <c r="O20" s="720">
        <f t="shared" si="5"/>
        <v>7210553.8863221444</v>
      </c>
      <c r="P20" s="722">
        <f t="shared" si="6"/>
        <v>0.82124759525309166</v>
      </c>
      <c r="Q20" s="722">
        <f t="shared" si="7"/>
        <v>0.17875240474690834</v>
      </c>
      <c r="R20" s="723">
        <f t="shared" si="8"/>
        <v>0.85582984381072169</v>
      </c>
      <c r="S20" s="712">
        <f t="shared" si="9"/>
        <v>-5</v>
      </c>
      <c r="T20" s="723">
        <f t="shared" si="10"/>
        <v>0.82124759525309166</v>
      </c>
      <c r="U20" s="724">
        <f t="shared" si="27"/>
        <v>9.2237330789901915</v>
      </c>
      <c r="V20" s="722">
        <v>-2.6988729044682757E-2</v>
      </c>
      <c r="W20" s="725">
        <f t="shared" si="28"/>
        <v>4.9159166057791124</v>
      </c>
      <c r="X20" s="724">
        <f t="shared" si="11"/>
        <v>4.3078164732110791</v>
      </c>
      <c r="Y20" s="723">
        <f t="shared" si="29"/>
        <v>-1.737774444873974E-2</v>
      </c>
      <c r="AA20" s="721">
        <f t="shared" si="12"/>
        <v>7210553.8863221444</v>
      </c>
      <c r="AB20" s="721">
        <f t="shared" si="13"/>
        <v>30043.97452634227</v>
      </c>
      <c r="AC20" s="711">
        <f t="shared" si="14"/>
        <v>240</v>
      </c>
      <c r="AD20" s="726"/>
      <c r="AE20" s="712">
        <f t="shared" si="30"/>
        <v>-6</v>
      </c>
      <c r="AF20" s="721">
        <f t="shared" si="15"/>
        <v>7210553.8863221444</v>
      </c>
      <c r="AG20" s="721">
        <f t="shared" si="16"/>
        <v>8780000</v>
      </c>
      <c r="AH20" s="723">
        <f t="shared" si="17"/>
        <v>0.82124759525309166</v>
      </c>
      <c r="AI20" s="723">
        <f t="shared" si="18"/>
        <v>0.17875240474690834</v>
      </c>
      <c r="AK20" s="711">
        <f t="shared" ca="1" si="19"/>
        <v>0.94385639713293457</v>
      </c>
      <c r="AL20" s="723">
        <f t="shared" ca="1" si="20"/>
        <v>9.4385639713293459E-2</v>
      </c>
      <c r="AM20" s="726"/>
      <c r="AN20" s="726"/>
    </row>
    <row r="21" spans="1:40">
      <c r="A21" s="712">
        <f t="shared" si="21"/>
        <v>-4</v>
      </c>
      <c r="B21" s="720">
        <f t="shared" si="22"/>
        <v>30043.97452634227</v>
      </c>
      <c r="C21" s="720">
        <v>1250</v>
      </c>
      <c r="D21" s="721">
        <f t="shared" si="1"/>
        <v>31293.97452634227</v>
      </c>
      <c r="E21" s="722">
        <f t="shared" si="2"/>
        <v>4.1605680330477311E-2</v>
      </c>
      <c r="F21" s="720">
        <v>240</v>
      </c>
      <c r="G21" s="712">
        <f t="shared" si="23"/>
        <v>-4</v>
      </c>
      <c r="H21" s="720">
        <f t="shared" si="24"/>
        <v>8780000</v>
      </c>
      <c r="I21" s="720">
        <v>250000</v>
      </c>
      <c r="J21" s="720">
        <v>0</v>
      </c>
      <c r="K21" s="720">
        <f t="shared" si="3"/>
        <v>9030000</v>
      </c>
      <c r="L21" s="712">
        <f t="shared" si="25"/>
        <v>-5</v>
      </c>
      <c r="M21" s="720">
        <f t="shared" si="26"/>
        <v>7210553.8863221444</v>
      </c>
      <c r="N21" s="720">
        <f t="shared" si="4"/>
        <v>300000</v>
      </c>
      <c r="O21" s="720">
        <f t="shared" si="5"/>
        <v>7510553.8863221444</v>
      </c>
      <c r="P21" s="722">
        <f t="shared" si="6"/>
        <v>0.83173354222836593</v>
      </c>
      <c r="Q21" s="722">
        <f t="shared" si="7"/>
        <v>0.16826645777163407</v>
      </c>
      <c r="R21" s="723">
        <f t="shared" si="8"/>
        <v>0.85582984381072169</v>
      </c>
      <c r="S21" s="712">
        <f t="shared" si="9"/>
        <v>-4</v>
      </c>
      <c r="T21" s="723">
        <f t="shared" si="10"/>
        <v>0.83173354222836593</v>
      </c>
      <c r="U21" s="724">
        <f t="shared" si="27"/>
        <v>9.0307569164658332</v>
      </c>
      <c r="V21" s="722">
        <v>-2.0921698500135512E-2</v>
      </c>
      <c r="W21" s="725">
        <f t="shared" si="28"/>
        <v>5.0633941039524855</v>
      </c>
      <c r="X21" s="724">
        <f t="shared" si="11"/>
        <v>3.9673628125133478</v>
      </c>
      <c r="Y21" s="723">
        <f t="shared" si="29"/>
        <v>6.4440076818264025E-3</v>
      </c>
      <c r="AA21" s="721">
        <f t="shared" si="12"/>
        <v>7510553.8863221444</v>
      </c>
      <c r="AB21" s="721">
        <f t="shared" si="13"/>
        <v>31293.97452634227</v>
      </c>
      <c r="AC21" s="711">
        <f t="shared" si="14"/>
        <v>240</v>
      </c>
      <c r="AD21" s="726"/>
      <c r="AE21" s="712">
        <f t="shared" si="30"/>
        <v>-5</v>
      </c>
      <c r="AF21" s="721">
        <f t="shared" si="15"/>
        <v>7510553.8863221444</v>
      </c>
      <c r="AG21" s="721">
        <f t="shared" si="16"/>
        <v>9030000</v>
      </c>
      <c r="AH21" s="723">
        <f t="shared" si="17"/>
        <v>0.83173354222836593</v>
      </c>
      <c r="AI21" s="723">
        <f t="shared" si="18"/>
        <v>0.16826645777163407</v>
      </c>
      <c r="AK21" s="711">
        <f t="shared" ca="1" si="19"/>
        <v>0.57470058628736198</v>
      </c>
      <c r="AL21" s="723">
        <f t="shared" ca="1" si="20"/>
        <v>5.7470058628736199E-2</v>
      </c>
      <c r="AM21" s="726"/>
      <c r="AN21" s="726"/>
    </row>
    <row r="22" spans="1:40">
      <c r="A22" s="712">
        <f t="shared" si="21"/>
        <v>-3</v>
      </c>
      <c r="B22" s="720">
        <f t="shared" si="22"/>
        <v>31293.97452634227</v>
      </c>
      <c r="C22" s="720">
        <v>816.32653061224494</v>
      </c>
      <c r="D22" s="721">
        <f t="shared" si="1"/>
        <v>32110.301056954515</v>
      </c>
      <c r="E22" s="722">
        <f t="shared" si="2"/>
        <v>2.6085741519508404E-2</v>
      </c>
      <c r="F22" s="720">
        <v>245</v>
      </c>
      <c r="G22" s="712">
        <f t="shared" si="23"/>
        <v>-3</v>
      </c>
      <c r="H22" s="720">
        <f t="shared" si="24"/>
        <v>9030000</v>
      </c>
      <c r="I22" s="720">
        <v>100000</v>
      </c>
      <c r="J22" s="720">
        <v>0</v>
      </c>
      <c r="K22" s="720">
        <f t="shared" si="3"/>
        <v>9130000</v>
      </c>
      <c r="L22" s="712">
        <f t="shared" si="25"/>
        <v>-4</v>
      </c>
      <c r="M22" s="720">
        <f t="shared" si="26"/>
        <v>7510553.8863221444</v>
      </c>
      <c r="N22" s="720">
        <f t="shared" si="4"/>
        <v>356469.87263171189</v>
      </c>
      <c r="O22" s="720">
        <f t="shared" si="5"/>
        <v>7867023.7589538563</v>
      </c>
      <c r="P22" s="722">
        <f t="shared" si="6"/>
        <v>0.86166744347796898</v>
      </c>
      <c r="Q22" s="722">
        <f t="shared" si="7"/>
        <v>0.13833255652203102</v>
      </c>
      <c r="R22" s="723">
        <f t="shared" si="8"/>
        <v>0.85582984381072169</v>
      </c>
      <c r="S22" s="712">
        <f t="shared" si="9"/>
        <v>-3</v>
      </c>
      <c r="T22" s="723">
        <f t="shared" si="10"/>
        <v>0.86166744347796898</v>
      </c>
      <c r="U22" s="724">
        <f t="shared" si="27"/>
        <v>9.327199073974322</v>
      </c>
      <c r="V22" s="722">
        <v>3.2825837330200447E-2</v>
      </c>
      <c r="W22" s="725">
        <f t="shared" si="28"/>
        <v>5.2152959270710602</v>
      </c>
      <c r="X22" s="724">
        <f t="shared" si="11"/>
        <v>4.1119031469032619</v>
      </c>
      <c r="Y22" s="723">
        <f t="shared" si="29"/>
        <v>7.4447210210917714E-2</v>
      </c>
      <c r="AA22" s="721">
        <f t="shared" si="12"/>
        <v>7867023.7589538563</v>
      </c>
      <c r="AB22" s="721">
        <f t="shared" si="13"/>
        <v>32110.301056954515</v>
      </c>
      <c r="AC22" s="711">
        <f t="shared" si="14"/>
        <v>245</v>
      </c>
      <c r="AD22" s="726"/>
      <c r="AE22" s="712">
        <f t="shared" si="30"/>
        <v>-4</v>
      </c>
      <c r="AF22" s="721">
        <f t="shared" si="15"/>
        <v>7867023.7589538563</v>
      </c>
      <c r="AG22" s="721">
        <f t="shared" si="16"/>
        <v>9130000</v>
      </c>
      <c r="AH22" s="723">
        <f t="shared" si="17"/>
        <v>0.86166744347796898</v>
      </c>
      <c r="AI22" s="723">
        <f t="shared" si="18"/>
        <v>0.13833255652203102</v>
      </c>
      <c r="AK22" s="711">
        <f t="shared" ca="1" si="19"/>
        <v>0.17092970537156205</v>
      </c>
      <c r="AL22" s="723">
        <f t="shared" ca="1" si="20"/>
        <v>1.7092970537156204E-2</v>
      </c>
      <c r="AM22" s="726"/>
      <c r="AN22" s="726"/>
    </row>
    <row r="23" spans="1:40">
      <c r="A23" s="712">
        <f t="shared" si="21"/>
        <v>-2</v>
      </c>
      <c r="B23" s="720">
        <f t="shared" si="22"/>
        <v>32110.301056954515</v>
      </c>
      <c r="C23" s="720">
        <v>600</v>
      </c>
      <c r="D23" s="721">
        <f t="shared" si="1"/>
        <v>32710.301056954515</v>
      </c>
      <c r="E23" s="722">
        <f t="shared" si="2"/>
        <v>1.8685592481234328E-2</v>
      </c>
      <c r="F23" s="720">
        <v>250</v>
      </c>
      <c r="G23" s="712">
        <f t="shared" si="23"/>
        <v>-2</v>
      </c>
      <c r="H23" s="720">
        <f t="shared" si="24"/>
        <v>9130000</v>
      </c>
      <c r="I23" s="720">
        <v>100000</v>
      </c>
      <c r="J23" s="720">
        <v>0</v>
      </c>
      <c r="K23" s="720">
        <f t="shared" si="3"/>
        <v>9230000</v>
      </c>
      <c r="L23" s="712">
        <f t="shared" si="25"/>
        <v>-3</v>
      </c>
      <c r="M23" s="720">
        <f t="shared" si="26"/>
        <v>7867023.7589538563</v>
      </c>
      <c r="N23" s="720">
        <f t="shared" si="4"/>
        <v>310551.50528477225</v>
      </c>
      <c r="O23" s="720">
        <f t="shared" si="5"/>
        <v>8177575.2642386286</v>
      </c>
      <c r="P23" s="722">
        <f t="shared" si="6"/>
        <v>0.8859778184440551</v>
      </c>
      <c r="Q23" s="722">
        <f t="shared" si="7"/>
        <v>0.1140221815559449</v>
      </c>
      <c r="R23" s="723">
        <f t="shared" si="8"/>
        <v>0.85582984381072169</v>
      </c>
      <c r="S23" s="712">
        <f t="shared" si="9"/>
        <v>-2</v>
      </c>
      <c r="T23" s="723">
        <f t="shared" si="10"/>
        <v>0.8859778184440551</v>
      </c>
      <c r="U23" s="724">
        <f t="shared" si="27"/>
        <v>10.401048732765487</v>
      </c>
      <c r="V23" s="722">
        <v>0.1151309895151188</v>
      </c>
      <c r="W23" s="725">
        <f t="shared" si="28"/>
        <v>5.3717548048831922</v>
      </c>
      <c r="X23" s="724">
        <f t="shared" si="11"/>
        <v>5.0292939278822946</v>
      </c>
      <c r="Y23" s="723">
        <f t="shared" si="29"/>
        <v>0.12967500489734629</v>
      </c>
      <c r="AA23" s="721">
        <f t="shared" si="12"/>
        <v>8177575.2642386286</v>
      </c>
      <c r="AB23" s="721">
        <f t="shared" si="13"/>
        <v>32710.301056954515</v>
      </c>
      <c r="AC23" s="711">
        <f t="shared" si="14"/>
        <v>250</v>
      </c>
      <c r="AD23" s="726"/>
      <c r="AE23" s="712">
        <f t="shared" si="30"/>
        <v>-3</v>
      </c>
      <c r="AF23" s="721">
        <f t="shared" si="15"/>
        <v>8177575.2642386286</v>
      </c>
      <c r="AG23" s="721">
        <f t="shared" si="16"/>
        <v>9230000</v>
      </c>
      <c r="AH23" s="723">
        <f t="shared" si="17"/>
        <v>0.8859778184440551</v>
      </c>
      <c r="AI23" s="723">
        <f t="shared" si="18"/>
        <v>0.1140221815559449</v>
      </c>
      <c r="AK23" s="711">
        <f t="shared" ca="1" si="19"/>
        <v>0.81375888968923904</v>
      </c>
      <c r="AL23" s="723">
        <f t="shared" ca="1" si="20"/>
        <v>8.1375888968923907E-2</v>
      </c>
      <c r="AM23" s="726"/>
      <c r="AN23" s="726"/>
    </row>
    <row r="24" spans="1:40">
      <c r="A24" s="712">
        <f t="shared" si="21"/>
        <v>-1</v>
      </c>
      <c r="B24" s="720">
        <f t="shared" si="22"/>
        <v>32710.301056954515</v>
      </c>
      <c r="C24" s="720">
        <v>560</v>
      </c>
      <c r="D24" s="721">
        <f t="shared" si="1"/>
        <v>33270.301056954515</v>
      </c>
      <c r="E24" s="722">
        <f t="shared" si="2"/>
        <v>1.711998917481497E-2</v>
      </c>
      <c r="F24" s="720">
        <v>250</v>
      </c>
      <c r="G24" s="712">
        <f t="shared" si="23"/>
        <v>-1</v>
      </c>
      <c r="H24" s="720">
        <f t="shared" si="24"/>
        <v>9230000</v>
      </c>
      <c r="I24" s="720">
        <v>50000</v>
      </c>
      <c r="J24" s="720">
        <v>0</v>
      </c>
      <c r="K24" s="720">
        <f t="shared" si="3"/>
        <v>9280000</v>
      </c>
      <c r="L24" s="712">
        <f t="shared" si="25"/>
        <v>-2</v>
      </c>
      <c r="M24" s="720">
        <f t="shared" si="26"/>
        <v>8177575.2642386286</v>
      </c>
      <c r="N24" s="720">
        <f t="shared" si="4"/>
        <v>140000</v>
      </c>
      <c r="O24" s="720">
        <f t="shared" si="5"/>
        <v>8317575.2642386286</v>
      </c>
      <c r="P24" s="722">
        <f t="shared" si="6"/>
        <v>0.89629043795674879</v>
      </c>
      <c r="Q24" s="722">
        <f t="shared" si="7"/>
        <v>0.10370956204325121</v>
      </c>
      <c r="R24" s="723">
        <f t="shared" si="8"/>
        <v>0.85582984381072169</v>
      </c>
      <c r="S24" s="712">
        <f t="shared" si="9"/>
        <v>-1</v>
      </c>
      <c r="T24" s="723">
        <f t="shared" si="10"/>
        <v>0.89629043795674879</v>
      </c>
      <c r="U24" s="724">
        <f t="shared" si="27"/>
        <v>11.857121350410095</v>
      </c>
      <c r="V24" s="722">
        <v>0.13999286562879704</v>
      </c>
      <c r="W24" s="725">
        <f t="shared" si="28"/>
        <v>5.5329074490296879</v>
      </c>
      <c r="X24" s="724">
        <f t="shared" si="11"/>
        <v>6.3242139013804071</v>
      </c>
      <c r="Y24" s="723">
        <f t="shared" si="29"/>
        <v>0.15310299537140715</v>
      </c>
      <c r="AA24" s="721">
        <f t="shared" si="12"/>
        <v>8317575.2642386286</v>
      </c>
      <c r="AB24" s="721">
        <f t="shared" si="13"/>
        <v>33270.301056954515</v>
      </c>
      <c r="AC24" s="711">
        <f t="shared" si="14"/>
        <v>250</v>
      </c>
      <c r="AD24" s="726"/>
      <c r="AE24" s="712">
        <f t="shared" si="30"/>
        <v>-2</v>
      </c>
      <c r="AF24" s="721">
        <f t="shared" si="15"/>
        <v>8317575.2642386286</v>
      </c>
      <c r="AG24" s="721">
        <f t="shared" si="16"/>
        <v>9280000</v>
      </c>
      <c r="AH24" s="723">
        <f t="shared" si="17"/>
        <v>0.89629043795674879</v>
      </c>
      <c r="AI24" s="723">
        <f t="shared" si="18"/>
        <v>0.10370956204325121</v>
      </c>
      <c r="AK24" s="711">
        <f t="shared" ca="1" si="19"/>
        <v>0.35987287910929566</v>
      </c>
      <c r="AL24" s="723">
        <f t="shared" ca="1" si="20"/>
        <v>3.5987287910929568E-2</v>
      </c>
      <c r="AM24" s="726"/>
      <c r="AN24" s="726"/>
    </row>
    <row r="25" spans="1:40">
      <c r="A25" s="712">
        <f t="shared" si="21"/>
        <v>0</v>
      </c>
      <c r="B25" s="720">
        <f t="shared" si="22"/>
        <v>33270.301056954515</v>
      </c>
      <c r="C25" s="720">
        <v>306.12244897959181</v>
      </c>
      <c r="D25" s="721">
        <f t="shared" si="1"/>
        <v>33576.423505934108</v>
      </c>
      <c r="E25" s="722">
        <f t="shared" si="2"/>
        <v>9.201072405553205E-3</v>
      </c>
      <c r="F25" s="720">
        <v>245</v>
      </c>
      <c r="G25" s="712">
        <f t="shared" si="23"/>
        <v>0</v>
      </c>
      <c r="H25" s="720">
        <f t="shared" si="24"/>
        <v>9280000</v>
      </c>
      <c r="I25" s="720">
        <v>0</v>
      </c>
      <c r="J25" s="720">
        <v>0</v>
      </c>
      <c r="K25" s="720">
        <f t="shared" si="3"/>
        <v>9280000</v>
      </c>
      <c r="L25" s="712">
        <f t="shared" si="25"/>
        <v>-1</v>
      </c>
      <c r="M25" s="720">
        <f t="shared" si="26"/>
        <v>8317575.2642386286</v>
      </c>
      <c r="N25" s="720">
        <f t="shared" si="4"/>
        <v>-91351.505284772255</v>
      </c>
      <c r="O25" s="720">
        <f t="shared" si="5"/>
        <v>8226223.7589538563</v>
      </c>
      <c r="P25" s="722">
        <f t="shared" si="6"/>
        <v>0.88644652574933791</v>
      </c>
      <c r="Q25" s="722">
        <f t="shared" si="7"/>
        <v>0.11355347425066209</v>
      </c>
      <c r="R25" s="723">
        <f t="shared" si="8"/>
        <v>0.85582984381072169</v>
      </c>
      <c r="S25" s="712">
        <f t="shared" si="9"/>
        <v>0</v>
      </c>
      <c r="T25" s="723">
        <f t="shared" si="10"/>
        <v>0.88644652574933791</v>
      </c>
      <c r="U25" s="724">
        <f t="shared" si="27"/>
        <v>13.332837242014449</v>
      </c>
      <c r="V25" s="722">
        <v>0.1244581925066757</v>
      </c>
      <c r="W25" s="725">
        <f t="shared" si="28"/>
        <v>5.6988946725005789</v>
      </c>
      <c r="X25" s="724">
        <f t="shared" si="11"/>
        <v>7.6339425695138701</v>
      </c>
      <c r="Y25" s="723">
        <f t="shared" si="29"/>
        <v>0.13073980422110454</v>
      </c>
      <c r="AA25" s="721">
        <f t="shared" si="12"/>
        <v>8226223.7589538563</v>
      </c>
      <c r="AB25" s="721">
        <f t="shared" si="13"/>
        <v>33576.423505934108</v>
      </c>
      <c r="AC25" s="711">
        <f t="shared" si="14"/>
        <v>245</v>
      </c>
      <c r="AD25" s="726"/>
      <c r="AE25" s="712">
        <f t="shared" si="30"/>
        <v>-1</v>
      </c>
      <c r="AF25" s="721">
        <f t="shared" si="15"/>
        <v>8226223.7589538563</v>
      </c>
      <c r="AG25" s="721">
        <f t="shared" si="16"/>
        <v>9280000</v>
      </c>
      <c r="AH25" s="723">
        <f t="shared" si="17"/>
        <v>0.88644652574933791</v>
      </c>
      <c r="AI25" s="723">
        <f t="shared" si="18"/>
        <v>0.11355347425066209</v>
      </c>
      <c r="AK25" s="711">
        <f t="shared" ca="1" si="19"/>
        <v>0.47561338551322807</v>
      </c>
      <c r="AL25" s="723">
        <f t="shared" ca="1" si="20"/>
        <v>4.7561338551322808E-2</v>
      </c>
      <c r="AM25" s="726"/>
      <c r="AN25" s="726"/>
    </row>
    <row r="26" spans="1:40">
      <c r="A26" s="712"/>
      <c r="B26" s="720"/>
      <c r="C26" s="720"/>
      <c r="E26" s="722"/>
      <c r="F26" s="720"/>
      <c r="G26" s="712"/>
      <c r="H26" s="720"/>
      <c r="I26" s="727">
        <f>AVERAGE(I6:I25)</f>
        <v>142500</v>
      </c>
      <c r="J26" s="720"/>
      <c r="K26" s="720"/>
      <c r="M26" s="720"/>
      <c r="N26" s="728"/>
      <c r="O26" s="729" t="s">
        <v>1153</v>
      </c>
      <c r="P26" s="730">
        <f>AVERAGE(P6:P25)</f>
        <v>0.85582984381072169</v>
      </c>
      <c r="Q26" s="730">
        <f t="shared" si="7"/>
        <v>0.14417015618927831</v>
      </c>
      <c r="T26" s="712"/>
      <c r="U26" s="724"/>
      <c r="V26" s="730">
        <f>AVERAGE(V6:V25)</f>
        <v>6.0409603130930856E-2</v>
      </c>
      <c r="W26" s="725"/>
      <c r="X26" s="722"/>
      <c r="Y26" s="730">
        <f>AVERAGE(Y6:Y25)</f>
        <v>6.0409603130931029E-2</v>
      </c>
      <c r="AH26" s="726"/>
      <c r="AK26" s="726">
        <f ca="1">AVERAGE(AK6:AK25)</f>
        <v>0.4965483062204788</v>
      </c>
      <c r="AL26" s="731">
        <f ca="1">AVERAGE(AL6:AL25)</f>
        <v>4.9654830622047889E-2</v>
      </c>
      <c r="AM26" s="726"/>
      <c r="AN26" s="726"/>
    </row>
    <row r="27" spans="1:40">
      <c r="A27" s="712"/>
      <c r="B27" s="720"/>
      <c r="C27" s="720"/>
      <c r="D27" s="722"/>
      <c r="E27" s="720"/>
      <c r="F27" s="712"/>
      <c r="G27" s="720"/>
      <c r="H27" s="720"/>
      <c r="I27" s="720"/>
      <c r="J27" s="720"/>
      <c r="K27" s="720"/>
      <c r="L27" s="728"/>
      <c r="M27" s="720"/>
      <c r="N27" s="722"/>
      <c r="O27" s="722"/>
      <c r="P27" s="722"/>
      <c r="R27" s="712"/>
      <c r="T27" s="724"/>
      <c r="U27" s="722"/>
      <c r="V27" s="725"/>
      <c r="W27" s="722"/>
      <c r="X27" s="721"/>
      <c r="AG27" s="726"/>
      <c r="AH27" s="726"/>
      <c r="AI27" s="726"/>
      <c r="AJ27" s="726"/>
      <c r="AK27" s="726"/>
      <c r="AL27" s="726"/>
      <c r="AM27" s="726"/>
      <c r="AN27" s="726"/>
    </row>
    <row r="28" spans="1:40" ht="52.5">
      <c r="A28" s="714" t="s">
        <v>262</v>
      </c>
      <c r="B28" s="715" t="s">
        <v>1133</v>
      </c>
      <c r="C28" s="715" t="s">
        <v>1154</v>
      </c>
      <c r="D28" s="716" t="s">
        <v>1135</v>
      </c>
      <c r="E28" s="715" t="s">
        <v>1136</v>
      </c>
      <c r="F28" s="715" t="s">
        <v>1137</v>
      </c>
      <c r="G28" s="714" t="s">
        <v>262</v>
      </c>
      <c r="H28" s="715" t="s">
        <v>1138</v>
      </c>
      <c r="I28" s="715" t="s">
        <v>1139</v>
      </c>
      <c r="J28" s="715" t="s">
        <v>1155</v>
      </c>
      <c r="K28" s="715" t="s">
        <v>1141</v>
      </c>
      <c r="L28" s="715" t="s">
        <v>1142</v>
      </c>
      <c r="M28" s="715" t="s">
        <v>1143</v>
      </c>
      <c r="N28" s="715" t="s">
        <v>1144</v>
      </c>
      <c r="O28" s="715" t="s">
        <v>1145</v>
      </c>
      <c r="P28" s="715" t="s">
        <v>1146</v>
      </c>
      <c r="R28" s="714" t="s">
        <v>262</v>
      </c>
      <c r="S28" s="715" t="s">
        <v>1145</v>
      </c>
      <c r="T28" s="732" t="s">
        <v>1150</v>
      </c>
      <c r="U28" s="715" t="s">
        <v>307</v>
      </c>
      <c r="V28" s="722"/>
      <c r="AA28" s="711" t="s">
        <v>1156</v>
      </c>
      <c r="AJ28" s="726"/>
      <c r="AK28" s="726"/>
      <c r="AL28" s="726"/>
      <c r="AM28" s="726"/>
      <c r="AN28" s="726"/>
    </row>
    <row r="29" spans="1:40" ht="15" thickBot="1">
      <c r="A29" s="711">
        <f>A25+1</f>
        <v>1</v>
      </c>
      <c r="B29" s="721">
        <f>D25</f>
        <v>33576.423505934108</v>
      </c>
      <c r="C29" s="720">
        <v>100</v>
      </c>
      <c r="D29" s="720">
        <f t="shared" ref="D29:D38" si="31">B29+C29</f>
        <v>33676.423505934108</v>
      </c>
      <c r="E29" s="722">
        <f t="shared" ref="E29:E38" si="32">C29/B29</f>
        <v>2.9782802799805811E-3</v>
      </c>
      <c r="F29" s="711">
        <v>245</v>
      </c>
      <c r="G29" s="711">
        <f>G25+1</f>
        <v>1</v>
      </c>
      <c r="H29" s="721">
        <f>K25</f>
        <v>9280000</v>
      </c>
      <c r="I29" s="711">
        <v>0</v>
      </c>
      <c r="J29" s="711">
        <v>0</v>
      </c>
      <c r="K29" s="721">
        <f t="shared" ref="K29:K38" si="33">H29+I29-J29</f>
        <v>9280000</v>
      </c>
      <c r="L29" s="720">
        <f>O25</f>
        <v>8226223.7589538563</v>
      </c>
      <c r="M29" s="720">
        <f t="shared" ref="M29:M38" si="34">N29-L29</f>
        <v>24500</v>
      </c>
      <c r="N29" s="720">
        <f t="shared" ref="N29:N38" si="35">D29*F29</f>
        <v>8250723.7589538563</v>
      </c>
      <c r="O29" s="722">
        <f t="shared" ref="O29:O38" si="36">N29/K29</f>
        <v>0.88908661195623451</v>
      </c>
      <c r="P29" s="722">
        <f t="shared" ref="P29:P38" si="37">1-O29</f>
        <v>0.11091338804376549</v>
      </c>
      <c r="R29" s="711">
        <v>1</v>
      </c>
      <c r="S29" s="723">
        <f t="shared" ref="S29:S38" si="38">O29</f>
        <v>0.88908661195623451</v>
      </c>
      <c r="T29" s="723">
        <f t="shared" ref="T29:T38" si="39">$AB$43+$AB$44*O29</f>
        <v>0.13673749611982489</v>
      </c>
      <c r="U29" s="733">
        <f>U25*(1+T29)</f>
        <v>15.155936022660656</v>
      </c>
      <c r="AJ29" s="726"/>
      <c r="AK29" s="726"/>
      <c r="AL29" s="726"/>
      <c r="AM29" s="726"/>
      <c r="AN29" s="726"/>
    </row>
    <row r="30" spans="1:40">
      <c r="A30" s="711">
        <f t="shared" ref="A30:A38" si="40">A29+1</f>
        <v>2</v>
      </c>
      <c r="B30" s="721">
        <f t="shared" ref="B30:B38" si="41">D29</f>
        <v>33676.423505934108</v>
      </c>
      <c r="C30" s="720">
        <v>500</v>
      </c>
      <c r="D30" s="720">
        <f t="shared" si="31"/>
        <v>34176.423505934108</v>
      </c>
      <c r="E30" s="722">
        <f t="shared" si="32"/>
        <v>1.4847182329557508E-2</v>
      </c>
      <c r="F30" s="711">
        <v>240</v>
      </c>
      <c r="G30" s="711">
        <f t="shared" ref="G30:G38" si="42">G29+1</f>
        <v>2</v>
      </c>
      <c r="H30" s="721">
        <f t="shared" ref="H30:H38" si="43">K29</f>
        <v>9280000</v>
      </c>
      <c r="I30" s="711">
        <v>0</v>
      </c>
      <c r="J30" s="711">
        <v>0</v>
      </c>
      <c r="K30" s="721">
        <f t="shared" si="33"/>
        <v>9280000</v>
      </c>
      <c r="L30" s="720">
        <f t="shared" ref="L30:L38" si="44">N29</f>
        <v>8250723.7589538563</v>
      </c>
      <c r="M30" s="720">
        <f t="shared" si="34"/>
        <v>-48382.117529670708</v>
      </c>
      <c r="N30" s="720">
        <f t="shared" si="35"/>
        <v>8202341.6414241856</v>
      </c>
      <c r="O30" s="722">
        <f t="shared" si="36"/>
        <v>0.88387302170519244</v>
      </c>
      <c r="P30" s="722">
        <f t="shared" si="37"/>
        <v>0.11612697829480756</v>
      </c>
      <c r="R30" s="711">
        <f t="shared" ref="R30:R38" si="45">R29+1</f>
        <v>2</v>
      </c>
      <c r="S30" s="723">
        <f t="shared" si="38"/>
        <v>0.88387302170519244</v>
      </c>
      <c r="T30" s="723">
        <f t="shared" si="39"/>
        <v>0.12489337226877817</v>
      </c>
      <c r="U30" s="733">
        <f t="shared" ref="U30:U38" si="46">U29*(1+T30)</f>
        <v>17.048811982420599</v>
      </c>
      <c r="AA30" s="734" t="s">
        <v>1157</v>
      </c>
      <c r="AB30" s="734"/>
      <c r="AJ30" s="726"/>
      <c r="AK30" s="726"/>
      <c r="AL30" s="726"/>
      <c r="AM30" s="726"/>
      <c r="AN30" s="726"/>
    </row>
    <row r="31" spans="1:40">
      <c r="A31" s="711">
        <f t="shared" si="40"/>
        <v>3</v>
      </c>
      <c r="B31" s="721">
        <f t="shared" si="41"/>
        <v>34176.423505934108</v>
      </c>
      <c r="C31" s="720">
        <v>1000</v>
      </c>
      <c r="D31" s="720">
        <f t="shared" si="31"/>
        <v>35176.423505934108</v>
      </c>
      <c r="E31" s="722">
        <f t="shared" si="32"/>
        <v>2.9259937038946405E-2</v>
      </c>
      <c r="F31" s="711">
        <v>235</v>
      </c>
      <c r="G31" s="711">
        <f t="shared" si="42"/>
        <v>3</v>
      </c>
      <c r="H31" s="721">
        <f t="shared" si="43"/>
        <v>9280000</v>
      </c>
      <c r="I31" s="711">
        <v>50000</v>
      </c>
      <c r="J31" s="711">
        <v>0</v>
      </c>
      <c r="K31" s="721">
        <f t="shared" si="33"/>
        <v>9330000</v>
      </c>
      <c r="L31" s="720">
        <f t="shared" si="44"/>
        <v>8202341.6414241856</v>
      </c>
      <c r="M31" s="720">
        <f t="shared" si="34"/>
        <v>64117.882470330223</v>
      </c>
      <c r="N31" s="720">
        <f t="shared" si="35"/>
        <v>8266459.5238945158</v>
      </c>
      <c r="O31" s="722">
        <f t="shared" si="36"/>
        <v>0.88600852346136294</v>
      </c>
      <c r="P31" s="722">
        <f t="shared" si="37"/>
        <v>0.11399147653863706</v>
      </c>
      <c r="R31" s="711">
        <f t="shared" si="45"/>
        <v>3</v>
      </c>
      <c r="S31" s="723">
        <f t="shared" si="38"/>
        <v>0.88600852346136294</v>
      </c>
      <c r="T31" s="723">
        <f t="shared" si="39"/>
        <v>0.1297447599049959</v>
      </c>
      <c r="U31" s="733">
        <f t="shared" si="46"/>
        <v>19.260805999745177</v>
      </c>
      <c r="AA31" s="711" t="s">
        <v>1158</v>
      </c>
      <c r="AB31" s="711">
        <v>0.97151179907356799</v>
      </c>
      <c r="AJ31" s="726"/>
      <c r="AK31" s="726"/>
      <c r="AL31" s="726"/>
      <c r="AM31" s="726"/>
      <c r="AN31" s="726"/>
    </row>
    <row r="32" spans="1:40">
      <c r="A32" s="711">
        <f t="shared" si="40"/>
        <v>4</v>
      </c>
      <c r="B32" s="721">
        <f t="shared" si="41"/>
        <v>35176.423505934108</v>
      </c>
      <c r="C32" s="720">
        <v>500</v>
      </c>
      <c r="D32" s="720">
        <f t="shared" si="31"/>
        <v>35676.423505934108</v>
      </c>
      <c r="E32" s="722">
        <f t="shared" si="32"/>
        <v>1.4214065847702004E-2</v>
      </c>
      <c r="F32" s="711">
        <v>240</v>
      </c>
      <c r="G32" s="711">
        <f t="shared" si="42"/>
        <v>4</v>
      </c>
      <c r="H32" s="721">
        <f t="shared" si="43"/>
        <v>9330000</v>
      </c>
      <c r="I32" s="711">
        <v>400000</v>
      </c>
      <c r="J32" s="711">
        <v>0</v>
      </c>
      <c r="K32" s="721">
        <f t="shared" si="33"/>
        <v>9730000</v>
      </c>
      <c r="L32" s="720">
        <f t="shared" si="44"/>
        <v>8266459.5238945158</v>
      </c>
      <c r="M32" s="720">
        <f t="shared" si="34"/>
        <v>295882.11752967071</v>
      </c>
      <c r="N32" s="720">
        <f t="shared" si="35"/>
        <v>8562341.6414241865</v>
      </c>
      <c r="O32" s="722">
        <f t="shared" si="36"/>
        <v>0.87999400220186907</v>
      </c>
      <c r="P32" s="722">
        <f t="shared" si="37"/>
        <v>0.12000599779813093</v>
      </c>
      <c r="R32" s="711">
        <f t="shared" si="45"/>
        <v>4</v>
      </c>
      <c r="S32" s="723">
        <f t="shared" si="38"/>
        <v>0.87999400220186907</v>
      </c>
      <c r="T32" s="723">
        <f t="shared" si="39"/>
        <v>0.11608109796148924</v>
      </c>
      <c r="U32" s="733">
        <f t="shared" si="46"/>
        <v>21.496621507818837</v>
      </c>
      <c r="AA32" s="711" t="s">
        <v>1159</v>
      </c>
      <c r="AB32" s="711">
        <v>0.94383517573916076</v>
      </c>
      <c r="AJ32" s="726"/>
      <c r="AK32" s="726"/>
      <c r="AL32" s="726"/>
      <c r="AM32" s="726"/>
      <c r="AN32" s="726"/>
    </row>
    <row r="33" spans="1:40">
      <c r="A33" s="711">
        <f t="shared" si="40"/>
        <v>5</v>
      </c>
      <c r="B33" s="721">
        <f t="shared" si="41"/>
        <v>35676.423505934108</v>
      </c>
      <c r="C33" s="720">
        <v>400</v>
      </c>
      <c r="D33" s="720">
        <f t="shared" si="31"/>
        <v>36076.423505934108</v>
      </c>
      <c r="E33" s="722">
        <f t="shared" si="32"/>
        <v>1.1211886189585889E-2</v>
      </c>
      <c r="F33" s="711">
        <v>245</v>
      </c>
      <c r="G33" s="711">
        <f t="shared" si="42"/>
        <v>5</v>
      </c>
      <c r="H33" s="721">
        <f t="shared" si="43"/>
        <v>9730000</v>
      </c>
      <c r="I33" s="711">
        <v>500000</v>
      </c>
      <c r="J33" s="711">
        <v>0</v>
      </c>
      <c r="K33" s="721">
        <f t="shared" si="33"/>
        <v>10230000</v>
      </c>
      <c r="L33" s="720">
        <f t="shared" si="44"/>
        <v>8562341.6414241865</v>
      </c>
      <c r="M33" s="720">
        <f t="shared" si="34"/>
        <v>276382.11752966978</v>
      </c>
      <c r="N33" s="720">
        <f t="shared" si="35"/>
        <v>8838723.7589538563</v>
      </c>
      <c r="O33" s="722">
        <f t="shared" si="36"/>
        <v>0.86400036744416975</v>
      </c>
      <c r="P33" s="722">
        <f t="shared" si="37"/>
        <v>0.13599963255583025</v>
      </c>
      <c r="R33" s="711">
        <f t="shared" si="45"/>
        <v>5</v>
      </c>
      <c r="S33" s="723">
        <f t="shared" si="38"/>
        <v>0.86400036744416975</v>
      </c>
      <c r="T33" s="723">
        <f t="shared" si="39"/>
        <v>7.9747097440305392E-2</v>
      </c>
      <c r="U33" s="733">
        <f t="shared" si="46"/>
        <v>23.210914677840229</v>
      </c>
      <c r="AA33" s="711" t="s">
        <v>1160</v>
      </c>
      <c r="AB33" s="711">
        <v>0.94053136254734659</v>
      </c>
      <c r="AJ33" s="726"/>
      <c r="AK33" s="726"/>
      <c r="AL33" s="726"/>
      <c r="AM33" s="726"/>
      <c r="AN33" s="726"/>
    </row>
    <row r="34" spans="1:40">
      <c r="A34" s="711">
        <f t="shared" si="40"/>
        <v>6</v>
      </c>
      <c r="B34" s="721">
        <f t="shared" si="41"/>
        <v>36076.423505934108</v>
      </c>
      <c r="C34" s="720">
        <v>300</v>
      </c>
      <c r="D34" s="720">
        <f t="shared" si="31"/>
        <v>36376.423505934108</v>
      </c>
      <c r="E34" s="722">
        <f t="shared" si="32"/>
        <v>8.315680182395405E-3</v>
      </c>
      <c r="F34" s="711">
        <v>245</v>
      </c>
      <c r="G34" s="711">
        <f t="shared" si="42"/>
        <v>6</v>
      </c>
      <c r="H34" s="721">
        <f t="shared" si="43"/>
        <v>10230000</v>
      </c>
      <c r="I34" s="711">
        <v>400000</v>
      </c>
      <c r="J34" s="711">
        <v>0</v>
      </c>
      <c r="K34" s="721">
        <f t="shared" si="33"/>
        <v>10630000</v>
      </c>
      <c r="L34" s="720">
        <f t="shared" si="44"/>
        <v>8838723.7589538563</v>
      </c>
      <c r="M34" s="720">
        <f t="shared" si="34"/>
        <v>73500</v>
      </c>
      <c r="N34" s="720">
        <f t="shared" si="35"/>
        <v>8912223.7589538563</v>
      </c>
      <c r="O34" s="722">
        <f t="shared" si="36"/>
        <v>0.83840298767204668</v>
      </c>
      <c r="P34" s="722">
        <f t="shared" si="37"/>
        <v>0.16159701232795332</v>
      </c>
      <c r="R34" s="711">
        <f t="shared" si="45"/>
        <v>6</v>
      </c>
      <c r="S34" s="723">
        <f t="shared" si="38"/>
        <v>0.83840298767204668</v>
      </c>
      <c r="T34" s="723">
        <f t="shared" si="39"/>
        <v>2.159551250846059E-2</v>
      </c>
      <c r="U34" s="733">
        <f t="shared" si="46"/>
        <v>23.71216627609834</v>
      </c>
      <c r="AA34" s="711" t="s">
        <v>1161</v>
      </c>
      <c r="AB34" s="711">
        <v>2.4987769134223358E-2</v>
      </c>
    </row>
    <row r="35" spans="1:40" ht="15" thickBot="1">
      <c r="A35" s="711">
        <f t="shared" si="40"/>
        <v>7</v>
      </c>
      <c r="B35" s="721">
        <f t="shared" si="41"/>
        <v>36376.423505934108</v>
      </c>
      <c r="C35" s="720">
        <v>200</v>
      </c>
      <c r="D35" s="720">
        <f t="shared" si="31"/>
        <v>36576.423505934108</v>
      </c>
      <c r="E35" s="722">
        <f t="shared" si="32"/>
        <v>5.4980666245919938E-3</v>
      </c>
      <c r="F35" s="711">
        <v>245</v>
      </c>
      <c r="G35" s="711">
        <f t="shared" si="42"/>
        <v>7</v>
      </c>
      <c r="H35" s="721">
        <f t="shared" si="43"/>
        <v>10630000</v>
      </c>
      <c r="I35" s="711">
        <v>200000</v>
      </c>
      <c r="J35" s="711">
        <v>0</v>
      </c>
      <c r="K35" s="721">
        <f t="shared" si="33"/>
        <v>10830000</v>
      </c>
      <c r="L35" s="720">
        <f t="shared" si="44"/>
        <v>8912223.7589538563</v>
      </c>
      <c r="M35" s="720">
        <f t="shared" si="34"/>
        <v>49000</v>
      </c>
      <c r="N35" s="720">
        <f t="shared" si="35"/>
        <v>8961223.7589538563</v>
      </c>
      <c r="O35" s="722">
        <f t="shared" si="36"/>
        <v>0.82744448374458512</v>
      </c>
      <c r="P35" s="722">
        <f t="shared" si="37"/>
        <v>0.17255551625541488</v>
      </c>
      <c r="R35" s="711">
        <f t="shared" si="45"/>
        <v>7</v>
      </c>
      <c r="S35" s="723">
        <f t="shared" si="38"/>
        <v>0.82744448374458512</v>
      </c>
      <c r="T35" s="723">
        <f t="shared" si="39"/>
        <v>-3.2997844921232033E-3</v>
      </c>
      <c r="U35" s="733">
        <f t="shared" si="46"/>
        <v>23.633921237545824</v>
      </c>
      <c r="AA35" s="735" t="s">
        <v>1162</v>
      </c>
      <c r="AB35" s="735">
        <v>19</v>
      </c>
    </row>
    <row r="36" spans="1:40">
      <c r="A36" s="711">
        <f t="shared" si="40"/>
        <v>8</v>
      </c>
      <c r="B36" s="721">
        <f t="shared" si="41"/>
        <v>36576.423505934108</v>
      </c>
      <c r="C36" s="720">
        <v>200</v>
      </c>
      <c r="D36" s="720">
        <f t="shared" si="31"/>
        <v>36776.423505934108</v>
      </c>
      <c r="E36" s="722">
        <f t="shared" si="32"/>
        <v>5.4680031788114074E-3</v>
      </c>
      <c r="F36" s="711">
        <v>250</v>
      </c>
      <c r="G36" s="711">
        <f t="shared" si="42"/>
        <v>8</v>
      </c>
      <c r="H36" s="721">
        <f t="shared" si="43"/>
        <v>10830000</v>
      </c>
      <c r="I36" s="711">
        <v>200000</v>
      </c>
      <c r="J36" s="711">
        <v>0</v>
      </c>
      <c r="K36" s="721">
        <f t="shared" si="33"/>
        <v>11030000</v>
      </c>
      <c r="L36" s="720">
        <f t="shared" si="44"/>
        <v>8961223.7589538563</v>
      </c>
      <c r="M36" s="720">
        <f t="shared" si="34"/>
        <v>232882.11752967164</v>
      </c>
      <c r="N36" s="720">
        <f t="shared" si="35"/>
        <v>9194105.8764835279</v>
      </c>
      <c r="O36" s="722">
        <f t="shared" si="36"/>
        <v>0.83355447656242321</v>
      </c>
      <c r="P36" s="722">
        <f t="shared" si="37"/>
        <v>0.16644552343757679</v>
      </c>
      <c r="R36" s="711">
        <f t="shared" si="45"/>
        <v>8</v>
      </c>
      <c r="S36" s="723">
        <f t="shared" si="38"/>
        <v>0.83355447656242321</v>
      </c>
      <c r="T36" s="723">
        <f t="shared" si="39"/>
        <v>1.0580767714490458E-2</v>
      </c>
      <c r="U36" s="733">
        <f t="shared" si="46"/>
        <v>23.883986268342859</v>
      </c>
    </row>
    <row r="37" spans="1:40" ht="15" thickBot="1">
      <c r="A37" s="711">
        <f t="shared" si="40"/>
        <v>9</v>
      </c>
      <c r="B37" s="721">
        <f t="shared" si="41"/>
        <v>36776.423505934108</v>
      </c>
      <c r="C37" s="720">
        <v>100</v>
      </c>
      <c r="D37" s="720">
        <f t="shared" si="31"/>
        <v>36876.423505934108</v>
      </c>
      <c r="E37" s="722">
        <f t="shared" si="32"/>
        <v>2.7191333595520612E-3</v>
      </c>
      <c r="F37" s="711">
        <v>250</v>
      </c>
      <c r="G37" s="711">
        <f t="shared" si="42"/>
        <v>9</v>
      </c>
      <c r="H37" s="721">
        <f t="shared" si="43"/>
        <v>11030000</v>
      </c>
      <c r="I37" s="711">
        <v>200000</v>
      </c>
      <c r="J37" s="711">
        <v>0</v>
      </c>
      <c r="K37" s="721">
        <f t="shared" si="33"/>
        <v>11230000</v>
      </c>
      <c r="L37" s="720">
        <f t="shared" si="44"/>
        <v>9194105.8764835279</v>
      </c>
      <c r="M37" s="720">
        <f t="shared" si="34"/>
        <v>25000</v>
      </c>
      <c r="N37" s="720">
        <f t="shared" si="35"/>
        <v>9219105.8764835279</v>
      </c>
      <c r="O37" s="722">
        <f t="shared" si="36"/>
        <v>0.82093551883201499</v>
      </c>
      <c r="P37" s="722">
        <f t="shared" si="37"/>
        <v>0.17906448116798501</v>
      </c>
      <c r="R37" s="711">
        <f t="shared" si="45"/>
        <v>9</v>
      </c>
      <c r="S37" s="723">
        <f t="shared" si="38"/>
        <v>0.82093551883201499</v>
      </c>
      <c r="T37" s="723">
        <f t="shared" si="39"/>
        <v>-1.8086713048925507E-2</v>
      </c>
      <c r="U37" s="733">
        <f t="shared" si="46"/>
        <v>23.452003462242864</v>
      </c>
      <c r="AA37" s="711" t="s">
        <v>1163</v>
      </c>
    </row>
    <row r="38" spans="1:40">
      <c r="A38" s="711">
        <f t="shared" si="40"/>
        <v>10</v>
      </c>
      <c r="B38" s="721">
        <f t="shared" si="41"/>
        <v>36876.423505934108</v>
      </c>
      <c r="C38" s="720">
        <v>100</v>
      </c>
      <c r="D38" s="720">
        <f t="shared" si="31"/>
        <v>36976.423505934108</v>
      </c>
      <c r="E38" s="722">
        <f t="shared" si="32"/>
        <v>2.7117597232255487E-3</v>
      </c>
      <c r="F38" s="711">
        <v>250</v>
      </c>
      <c r="G38" s="711">
        <f t="shared" si="42"/>
        <v>10</v>
      </c>
      <c r="H38" s="721">
        <f t="shared" si="43"/>
        <v>11230000</v>
      </c>
      <c r="I38" s="711">
        <v>200000</v>
      </c>
      <c r="J38" s="711">
        <v>0</v>
      </c>
      <c r="K38" s="721">
        <f t="shared" si="33"/>
        <v>11430000</v>
      </c>
      <c r="L38" s="720">
        <f t="shared" si="44"/>
        <v>9219105.8764835279</v>
      </c>
      <c r="M38" s="720">
        <f t="shared" si="34"/>
        <v>25000</v>
      </c>
      <c r="N38" s="720">
        <f t="shared" si="35"/>
        <v>9244105.8764835279</v>
      </c>
      <c r="O38" s="722">
        <f t="shared" si="36"/>
        <v>0.8087581694211311</v>
      </c>
      <c r="P38" s="722">
        <f t="shared" si="37"/>
        <v>0.1912418305788689</v>
      </c>
      <c r="R38" s="711">
        <f t="shared" si="45"/>
        <v>10</v>
      </c>
      <c r="S38" s="723">
        <f t="shared" si="38"/>
        <v>0.8087581694211311</v>
      </c>
      <c r="T38" s="723">
        <f t="shared" si="39"/>
        <v>-4.5750957390174873E-2</v>
      </c>
      <c r="U38" s="733">
        <f t="shared" si="46"/>
        <v>22.379051851127556</v>
      </c>
      <c r="AA38" s="736"/>
      <c r="AB38" s="736" t="s">
        <v>1164</v>
      </c>
      <c r="AC38" s="736" t="s">
        <v>1165</v>
      </c>
      <c r="AD38" s="736" t="s">
        <v>1166</v>
      </c>
      <c r="AE38" s="736" t="s">
        <v>1167</v>
      </c>
      <c r="AF38" s="736" t="s">
        <v>1168</v>
      </c>
    </row>
    <row r="39" spans="1:40">
      <c r="S39" s="737" t="s">
        <v>1153</v>
      </c>
      <c r="T39" s="738">
        <f>AVERAGE(T29:T38)</f>
        <v>5.5224264898712107E-2</v>
      </c>
      <c r="U39" s="739">
        <f>AVERAGE(U29:U38)</f>
        <v>21.323421928584292</v>
      </c>
      <c r="AA39" s="711" t="s">
        <v>914</v>
      </c>
      <c r="AB39" s="711">
        <v>17</v>
      </c>
      <c r="AC39" s="711">
        <v>1.0614606307189176E-2</v>
      </c>
      <c r="AD39" s="711">
        <v>6.2438860630524562E-4</v>
      </c>
    </row>
    <row r="40" spans="1:40" ht="15" thickBot="1">
      <c r="AA40" s="735" t="s">
        <v>292</v>
      </c>
      <c r="AB40" s="735">
        <v>18</v>
      </c>
      <c r="AC40" s="735">
        <v>0.18899028790499023</v>
      </c>
      <c r="AD40" s="735"/>
      <c r="AE40" s="735"/>
      <c r="AF40" s="735"/>
    </row>
    <row r="41" spans="1:40" ht="15" thickBot="1"/>
    <row r="42" spans="1:40">
      <c r="AA42" s="736"/>
      <c r="AB42" s="736" t="s">
        <v>1169</v>
      </c>
      <c r="AC42" s="736" t="s">
        <v>1161</v>
      </c>
      <c r="AD42" s="736" t="s">
        <v>1170</v>
      </c>
      <c r="AE42" s="736" t="s">
        <v>1171</v>
      </c>
      <c r="AF42" s="736" t="s">
        <v>1172</v>
      </c>
      <c r="AG42" s="736" t="s">
        <v>1173</v>
      </c>
      <c r="AH42" s="736" t="s">
        <v>1174</v>
      </c>
      <c r="AI42" s="736" t="s">
        <v>1175</v>
      </c>
    </row>
    <row r="43" spans="1:40">
      <c r="AA43" s="711" t="s">
        <v>1176</v>
      </c>
      <c r="AB43" s="711">
        <v>-1.8830706282744281</v>
      </c>
      <c r="AC43" s="711">
        <v>0.11512744040029518</v>
      </c>
      <c r="AD43" s="711">
        <v>-16.35640140810079</v>
      </c>
      <c r="AE43" s="711">
        <v>7.7798550126403439E-12</v>
      </c>
      <c r="AF43" s="711">
        <v>-2.1259682932519199</v>
      </c>
      <c r="AG43" s="711">
        <v>-1.640172963296936</v>
      </c>
      <c r="AH43" s="711">
        <v>-2.1259682932519199</v>
      </c>
      <c r="AI43" s="711">
        <v>-1.640172963296936</v>
      </c>
    </row>
    <row r="44" spans="1:40" ht="15" thickBot="1">
      <c r="AA44" s="735" t="s">
        <v>1177</v>
      </c>
      <c r="AB44" s="735">
        <v>2.2717788089847861</v>
      </c>
      <c r="AC44" s="735">
        <v>0.13440818176485816</v>
      </c>
      <c r="AD44" s="735">
        <v>16.902087202988685</v>
      </c>
      <c r="AE44" s="735">
        <v>4.5917799936741585E-12</v>
      </c>
      <c r="AF44" s="735">
        <v>1.988202335895138</v>
      </c>
      <c r="AG44" s="735">
        <v>2.5553552820744345</v>
      </c>
      <c r="AH44" s="735">
        <v>1.988202335895138</v>
      </c>
      <c r="AI44" s="735">
        <v>2.5553552820744345</v>
      </c>
    </row>
  </sheetData>
  <phoneticPr fontId="80" type="noConversion"/>
  <pageMargins left="0.75" right="0.75" top="1" bottom="1" header="0.5" footer="0.5"/>
  <pageSetup orientation="portrait" horizontalDpi="4294967294" r:id="rId1"/>
  <headerFooter alignWithMargins="0"/>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1"/>
  <dimension ref="B1:J122"/>
  <sheetViews>
    <sheetView zoomScaleNormal="100" workbookViewId="0"/>
  </sheetViews>
  <sheetFormatPr defaultRowHeight="12.5"/>
  <cols>
    <col min="2" max="2" width="29.81640625" customWidth="1"/>
    <col min="3" max="3" width="11.1796875" customWidth="1"/>
    <col min="4" max="4" width="15.453125" customWidth="1"/>
    <col min="5" max="5" width="21.81640625" customWidth="1"/>
    <col min="6" max="6" width="12.1796875" customWidth="1"/>
    <col min="7" max="7" width="15.81640625" customWidth="1"/>
    <col min="8" max="8" width="12.26953125" customWidth="1"/>
    <col min="9" max="9" width="16.7265625" customWidth="1"/>
    <col min="10" max="10" width="11.54296875" customWidth="1"/>
  </cols>
  <sheetData>
    <row r="1" spans="2:9" ht="13" thickBot="1"/>
    <row r="2" spans="2:9" ht="18.5" thickBot="1">
      <c r="B2" s="1525" t="s">
        <v>1586</v>
      </c>
      <c r="C2" s="1557"/>
      <c r="D2" s="1557"/>
      <c r="E2" s="1557"/>
      <c r="F2" s="1557"/>
      <c r="G2" s="1557"/>
      <c r="H2" s="1557"/>
      <c r="I2" s="1558"/>
    </row>
    <row r="3" spans="2:9" ht="16" thickBot="1">
      <c r="B3" s="1528" t="s">
        <v>1095</v>
      </c>
      <c r="C3" s="1540"/>
      <c r="D3" s="1540"/>
      <c r="E3" s="1540"/>
      <c r="F3" s="1540"/>
      <c r="G3" s="1540"/>
      <c r="H3" s="1540"/>
      <c r="I3" s="1541"/>
    </row>
    <row r="4" spans="2:9">
      <c r="B4" s="124"/>
      <c r="C4" s="37"/>
      <c r="D4" s="37"/>
      <c r="E4" s="37"/>
      <c r="F4" s="37"/>
      <c r="G4" s="37"/>
      <c r="H4" s="37"/>
      <c r="I4" s="524"/>
    </row>
    <row r="5" spans="2:9" ht="13">
      <c r="B5" s="1589" t="s">
        <v>1096</v>
      </c>
      <c r="C5" s="1590"/>
      <c r="D5" s="1590"/>
      <c r="E5" s="1590"/>
      <c r="F5" s="1590"/>
      <c r="G5" s="811" t="s">
        <v>1253</v>
      </c>
      <c r="H5" s="37"/>
      <c r="I5" s="524"/>
    </row>
    <row r="6" spans="2:9">
      <c r="B6" s="1591"/>
      <c r="C6" s="1590"/>
      <c r="D6" s="1590"/>
      <c r="E6" s="1590"/>
      <c r="F6" s="1590"/>
      <c r="G6" s="212"/>
      <c r="H6" s="212"/>
      <c r="I6" s="224"/>
    </row>
    <row r="7" spans="2:9" ht="13" thickBot="1">
      <c r="B7" s="223"/>
      <c r="C7" s="212"/>
      <c r="D7" s="212"/>
      <c r="E7" s="212"/>
      <c r="F7" s="212"/>
      <c r="G7" s="212"/>
      <c r="H7" s="212"/>
      <c r="I7" s="224"/>
    </row>
    <row r="8" spans="2:9" ht="13.5" thickBot="1">
      <c r="B8" s="1531" t="s">
        <v>1094</v>
      </c>
      <c r="C8" s="1592"/>
      <c r="D8" s="1592"/>
      <c r="E8" s="1593"/>
      <c r="G8" s="1" t="s">
        <v>1309</v>
      </c>
      <c r="I8" s="126"/>
    </row>
    <row r="9" spans="2:9">
      <c r="B9" s="171" t="s">
        <v>294</v>
      </c>
      <c r="C9" s="39"/>
      <c r="D9" s="516">
        <v>15</v>
      </c>
      <c r="E9" s="146" t="s">
        <v>295</v>
      </c>
      <c r="F9" s="275"/>
      <c r="I9" s="126"/>
    </row>
    <row r="10" spans="2:9">
      <c r="B10" s="171" t="s">
        <v>296</v>
      </c>
      <c r="C10" s="39"/>
      <c r="D10" s="362">
        <v>100000</v>
      </c>
      <c r="E10" s="146" t="s">
        <v>297</v>
      </c>
      <c r="F10" s="275"/>
      <c r="I10" s="126"/>
    </row>
    <row r="11" spans="2:9">
      <c r="B11" s="171" t="s">
        <v>298</v>
      </c>
      <c r="C11" s="39"/>
      <c r="D11" s="362">
        <v>96000</v>
      </c>
      <c r="E11" s="146" t="s">
        <v>297</v>
      </c>
      <c r="F11" s="275"/>
      <c r="I11" s="126"/>
    </row>
    <row r="12" spans="2:9">
      <c r="B12" s="171" t="s">
        <v>299</v>
      </c>
      <c r="C12" s="39"/>
      <c r="D12" s="151">
        <v>0.04</v>
      </c>
      <c r="E12" s="146" t="s">
        <v>258</v>
      </c>
      <c r="F12" s="275"/>
      <c r="I12" s="126"/>
    </row>
    <row r="13" spans="2:9">
      <c r="B13" s="171" t="s">
        <v>300</v>
      </c>
      <c r="C13" s="39"/>
      <c r="D13" s="151">
        <v>0.05</v>
      </c>
      <c r="E13" s="146" t="s">
        <v>301</v>
      </c>
      <c r="F13" s="275"/>
      <c r="I13" s="126"/>
    </row>
    <row r="14" spans="2:9">
      <c r="B14" s="171" t="s">
        <v>302</v>
      </c>
      <c r="C14" s="39"/>
      <c r="D14" s="151">
        <v>0.04</v>
      </c>
      <c r="E14" s="146" t="s">
        <v>258</v>
      </c>
      <c r="F14" s="275"/>
      <c r="I14" s="126"/>
    </row>
    <row r="15" spans="2:9" ht="13" thickBot="1">
      <c r="B15" s="228" t="s">
        <v>303</v>
      </c>
      <c r="C15" s="63"/>
      <c r="D15" s="201">
        <v>0.05</v>
      </c>
      <c r="E15" s="149" t="s">
        <v>258</v>
      </c>
      <c r="F15" s="1251"/>
      <c r="G15" s="4"/>
      <c r="H15" s="4"/>
      <c r="I15" s="135"/>
    </row>
    <row r="17" spans="2:10" ht="13" thickBot="1"/>
    <row r="18" spans="2:10" ht="13.5" thickBot="1">
      <c r="B18" s="1594" t="s">
        <v>304</v>
      </c>
      <c r="C18" s="1595"/>
      <c r="D18" s="1595"/>
      <c r="E18" s="1595"/>
      <c r="F18" s="1595"/>
      <c r="G18" s="1595"/>
      <c r="H18" s="1595"/>
      <c r="I18" s="1596"/>
    </row>
    <row r="19" spans="2:10" ht="14">
      <c r="B19" s="517"/>
      <c r="C19" s="517"/>
      <c r="D19" s="520" t="s">
        <v>1467</v>
      </c>
      <c r="E19" s="520"/>
      <c r="F19" s="520"/>
      <c r="G19" s="517"/>
      <c r="H19" s="517"/>
      <c r="I19" s="517"/>
    </row>
    <row r="20" spans="2:10" ht="14">
      <c r="B20" s="518" t="s">
        <v>305</v>
      </c>
      <c r="C20" s="518" t="s">
        <v>306</v>
      </c>
      <c r="D20" s="521" t="s">
        <v>307</v>
      </c>
      <c r="E20" s="521" t="s">
        <v>1467</v>
      </c>
      <c r="F20" s="521" t="s">
        <v>308</v>
      </c>
      <c r="G20" s="521" t="s">
        <v>309</v>
      </c>
      <c r="H20" s="518"/>
      <c r="I20" s="518" t="s">
        <v>310</v>
      </c>
    </row>
    <row r="21" spans="2:10" ht="14.5" thickBot="1">
      <c r="B21" s="519"/>
      <c r="C21" s="519"/>
      <c r="D21" s="522" t="s">
        <v>295</v>
      </c>
      <c r="E21" s="522" t="s">
        <v>307</v>
      </c>
      <c r="F21" s="522" t="s">
        <v>311</v>
      </c>
      <c r="G21" s="522" t="s">
        <v>295</v>
      </c>
      <c r="H21" s="519"/>
      <c r="I21" s="519"/>
    </row>
    <row r="22" spans="2:10">
      <c r="B22" s="124"/>
      <c r="I22" s="126"/>
    </row>
    <row r="23" spans="2:10">
      <c r="B23" s="124" t="s">
        <v>312</v>
      </c>
      <c r="C23" s="362">
        <v>70000</v>
      </c>
      <c r="D23" s="11">
        <v>14</v>
      </c>
      <c r="E23" s="8">
        <f t="shared" ref="E23:E28" si="0">C23*D23</f>
        <v>980000</v>
      </c>
      <c r="F23">
        <v>3</v>
      </c>
      <c r="G23" s="11">
        <v>4</v>
      </c>
      <c r="H23" s="11"/>
      <c r="I23" s="246">
        <v>0.5</v>
      </c>
      <c r="J23" s="11"/>
    </row>
    <row r="24" spans="2:10">
      <c r="B24" s="124" t="s">
        <v>313</v>
      </c>
      <c r="C24" s="362">
        <v>0</v>
      </c>
      <c r="D24" s="11">
        <v>14</v>
      </c>
      <c r="E24" s="24">
        <f t="shared" si="0"/>
        <v>0</v>
      </c>
      <c r="G24" s="161"/>
      <c r="H24" s="43"/>
      <c r="I24" s="246"/>
      <c r="J24" s="43"/>
    </row>
    <row r="25" spans="2:10">
      <c r="B25" s="124" t="s">
        <v>314</v>
      </c>
      <c r="C25" s="362">
        <v>0</v>
      </c>
      <c r="D25" s="11">
        <v>14</v>
      </c>
      <c r="E25" s="24">
        <f t="shared" si="0"/>
        <v>0</v>
      </c>
      <c r="G25" s="161"/>
      <c r="H25" s="43"/>
      <c r="I25" s="246"/>
      <c r="J25" s="43"/>
    </row>
    <row r="26" spans="2:10">
      <c r="B26" s="124" t="s">
        <v>315</v>
      </c>
      <c r="C26" s="362">
        <v>10000</v>
      </c>
      <c r="D26" s="11">
        <v>14.5</v>
      </c>
      <c r="E26" s="24">
        <f t="shared" si="0"/>
        <v>145000</v>
      </c>
      <c r="F26">
        <v>4</v>
      </c>
      <c r="G26" s="161">
        <v>4.25</v>
      </c>
      <c r="I26" s="246">
        <v>0.5</v>
      </c>
    </row>
    <row r="27" spans="2:10">
      <c r="B27" s="124" t="s">
        <v>316</v>
      </c>
      <c r="C27" s="362">
        <v>0</v>
      </c>
      <c r="D27" s="11">
        <v>15</v>
      </c>
      <c r="E27" s="24">
        <f t="shared" si="0"/>
        <v>0</v>
      </c>
      <c r="G27" s="161"/>
      <c r="I27" s="246"/>
    </row>
    <row r="28" spans="2:10">
      <c r="B28" s="124" t="s">
        <v>317</v>
      </c>
      <c r="C28" s="362">
        <v>16000</v>
      </c>
      <c r="D28" s="11">
        <v>15</v>
      </c>
      <c r="E28" s="24">
        <f t="shared" si="0"/>
        <v>240000</v>
      </c>
      <c r="F28">
        <v>5</v>
      </c>
      <c r="G28" s="161">
        <v>4.45</v>
      </c>
      <c r="I28" s="246">
        <v>0.5</v>
      </c>
    </row>
    <row r="29" spans="2:10">
      <c r="B29" s="124"/>
      <c r="C29" s="30"/>
      <c r="D29" s="11"/>
      <c r="E29" s="30"/>
      <c r="I29" s="126"/>
    </row>
    <row r="30" spans="2:10">
      <c r="B30" s="124" t="s">
        <v>292</v>
      </c>
      <c r="C30" s="24">
        <f>SUM(C23:C28)</f>
        <v>96000</v>
      </c>
      <c r="D30" s="11"/>
      <c r="E30" s="24">
        <f>SUM(E23:E28)</f>
        <v>1365000</v>
      </c>
      <c r="H30" s="43"/>
      <c r="I30" s="287"/>
      <c r="J30" s="43"/>
    </row>
    <row r="31" spans="2:10">
      <c r="B31" s="124"/>
      <c r="I31" s="126"/>
    </row>
    <row r="32" spans="2:10" ht="13.5" thickBot="1">
      <c r="B32" s="134"/>
      <c r="C32" s="4"/>
      <c r="D32" s="4"/>
      <c r="E32" s="523" t="s">
        <v>318</v>
      </c>
      <c r="F32" s="4"/>
      <c r="G32" s="4"/>
      <c r="H32" s="4"/>
      <c r="I32" s="135"/>
    </row>
    <row r="33" spans="2:9" ht="13" thickBot="1">
      <c r="B33" s="124"/>
      <c r="I33" s="126"/>
    </row>
    <row r="34" spans="2:9" ht="13.5" thickBot="1">
      <c r="B34" s="1547" t="s">
        <v>1554</v>
      </c>
      <c r="C34" s="1548"/>
      <c r="D34" s="1548"/>
      <c r="E34" s="1548"/>
      <c r="F34" s="1548"/>
      <c r="G34" s="1548"/>
      <c r="H34" s="1548"/>
      <c r="I34" s="1549"/>
    </row>
    <row r="35" spans="2:9" ht="14.5" thickBot="1">
      <c r="B35" s="124"/>
      <c r="D35" s="1252" t="s">
        <v>319</v>
      </c>
      <c r="E35" s="1253" t="s">
        <v>295</v>
      </c>
      <c r="I35" s="126"/>
    </row>
    <row r="36" spans="2:9" ht="13">
      <c r="B36" s="888" t="s">
        <v>1506</v>
      </c>
      <c r="I36" s="126"/>
    </row>
    <row r="37" spans="2:9">
      <c r="B37" s="124" t="s">
        <v>320</v>
      </c>
      <c r="D37" s="8">
        <v>148800</v>
      </c>
      <c r="E37" s="208">
        <f>D37/96000</f>
        <v>1.55</v>
      </c>
      <c r="F37" s="805" t="s">
        <v>321</v>
      </c>
      <c r="G37" s="805"/>
      <c r="H37" s="805"/>
      <c r="I37" s="126"/>
    </row>
    <row r="38" spans="2:9">
      <c r="B38" s="124" t="s">
        <v>276</v>
      </c>
      <c r="D38" s="24">
        <v>14400</v>
      </c>
      <c r="E38" s="208">
        <f>D38/96000</f>
        <v>0.15</v>
      </c>
      <c r="F38" s="6" t="s">
        <v>322</v>
      </c>
      <c r="G38" s="23">
        <v>0.04</v>
      </c>
      <c r="H38" t="s">
        <v>323</v>
      </c>
      <c r="I38" s="126"/>
    </row>
    <row r="39" spans="2:9">
      <c r="B39" s="124" t="s">
        <v>274</v>
      </c>
      <c r="D39" s="24">
        <v>120000</v>
      </c>
      <c r="E39" s="208">
        <f>D39/96000</f>
        <v>1.25</v>
      </c>
      <c r="F39" s="6" t="s">
        <v>322</v>
      </c>
      <c r="G39" s="23">
        <v>0.05</v>
      </c>
      <c r="H39" t="s">
        <v>323</v>
      </c>
      <c r="I39" s="126"/>
    </row>
    <row r="40" spans="2:9">
      <c r="B40" s="124" t="s">
        <v>324</v>
      </c>
      <c r="D40" s="24">
        <v>76800</v>
      </c>
      <c r="E40" s="208">
        <f>D40/96000</f>
        <v>0.8</v>
      </c>
      <c r="F40" s="6" t="s">
        <v>322</v>
      </c>
      <c r="G40" s="23">
        <v>0.03</v>
      </c>
      <c r="H40" t="s">
        <v>323</v>
      </c>
      <c r="I40" s="126"/>
    </row>
    <row r="41" spans="2:9">
      <c r="B41" s="124" t="s">
        <v>325</v>
      </c>
      <c r="D41" s="955">
        <v>67200</v>
      </c>
      <c r="E41" s="208">
        <f>D41/96000</f>
        <v>0.7</v>
      </c>
      <c r="F41" s="6" t="s">
        <v>322</v>
      </c>
      <c r="G41" s="23">
        <v>0.03</v>
      </c>
      <c r="H41" t="s">
        <v>323</v>
      </c>
      <c r="I41" s="126"/>
    </row>
    <row r="42" spans="2:9">
      <c r="B42" s="124"/>
      <c r="D42" s="17"/>
      <c r="E42" s="21"/>
      <c r="I42" s="126"/>
    </row>
    <row r="43" spans="2:9">
      <c r="B43" s="124" t="s">
        <v>326</v>
      </c>
      <c r="D43" s="24">
        <f>SUM(D37:D41)</f>
        <v>427200</v>
      </c>
      <c r="E43" s="809">
        <f>SUM(E37:E41)</f>
        <v>4.45</v>
      </c>
      <c r="F43" t="s">
        <v>327</v>
      </c>
      <c r="I43" s="126"/>
    </row>
    <row r="44" spans="2:9">
      <c r="B44" s="124"/>
      <c r="D44" s="24"/>
      <c r="E44" s="208"/>
      <c r="I44" s="126"/>
    </row>
    <row r="45" spans="2:9" ht="13">
      <c r="B45" s="449" t="s">
        <v>1507</v>
      </c>
      <c r="I45" s="126"/>
    </row>
    <row r="46" spans="2:9">
      <c r="B46" s="124" t="s">
        <v>1550</v>
      </c>
      <c r="D46" s="956">
        <f>F46*E30</f>
        <v>68250</v>
      </c>
      <c r="E46" s="957">
        <f>D46/96000</f>
        <v>0.7109375</v>
      </c>
      <c r="F46" s="23">
        <f>D13</f>
        <v>0.05</v>
      </c>
      <c r="G46" s="23" t="s">
        <v>329</v>
      </c>
      <c r="I46" s="126"/>
    </row>
    <row r="47" spans="2:9">
      <c r="B47" s="124"/>
      <c r="D47" s="17"/>
      <c r="E47" s="17"/>
      <c r="I47" s="126"/>
    </row>
    <row r="48" spans="2:9">
      <c r="B48" s="124" t="s">
        <v>292</v>
      </c>
      <c r="D48" s="8">
        <f>D43+D46</f>
        <v>495450</v>
      </c>
      <c r="E48" s="11">
        <f>E43+E46</f>
        <v>5.1609375000000002</v>
      </c>
      <c r="F48" s="23"/>
      <c r="I48" s="126"/>
    </row>
    <row r="49" spans="2:10" ht="13.5" thickBot="1">
      <c r="B49" s="1247" t="s">
        <v>1551</v>
      </c>
      <c r="C49" s="4"/>
      <c r="D49" s="4"/>
      <c r="E49" s="4"/>
      <c r="F49" s="4"/>
      <c r="G49" s="4"/>
      <c r="H49" s="4"/>
      <c r="I49" s="135"/>
    </row>
    <row r="50" spans="2:10" ht="13.5" thickBot="1">
      <c r="B50" s="374"/>
      <c r="I50" s="126"/>
    </row>
    <row r="51" spans="2:10" ht="13.5" thickBot="1">
      <c r="B51" s="1547" t="s">
        <v>1553</v>
      </c>
      <c r="C51" s="1538"/>
      <c r="D51" s="1538"/>
      <c r="E51" s="1538"/>
      <c r="F51" s="1538"/>
      <c r="G51" s="1538"/>
      <c r="H51" s="1538"/>
      <c r="I51" s="1539"/>
    </row>
    <row r="52" spans="2:10" ht="13.5" thickBot="1">
      <c r="B52" s="157" t="s">
        <v>262</v>
      </c>
      <c r="C52" s="157"/>
      <c r="D52" s="157">
        <v>1</v>
      </c>
      <c r="E52" s="157">
        <f>1+D52</f>
        <v>2</v>
      </c>
      <c r="F52" s="157">
        <f>1+E52</f>
        <v>3</v>
      </c>
      <c r="G52" s="157">
        <f>1+F52</f>
        <v>4</v>
      </c>
      <c r="H52" s="157">
        <f>1+G52</f>
        <v>5</v>
      </c>
      <c r="I52" s="157">
        <f>1+H52</f>
        <v>6</v>
      </c>
    </row>
    <row r="53" spans="2:10" ht="13.5" thickBot="1">
      <c r="B53" s="1586" t="s">
        <v>959</v>
      </c>
      <c r="C53" s="1587"/>
      <c r="D53" s="1587"/>
      <c r="E53" s="1587"/>
      <c r="F53" s="1587"/>
      <c r="G53" s="1587"/>
      <c r="H53" s="1587"/>
      <c r="I53" s="1588"/>
      <c r="J53" s="43"/>
    </row>
    <row r="54" spans="2:10">
      <c r="B54" s="124" t="s">
        <v>320</v>
      </c>
      <c r="D54" s="24">
        <f>D37</f>
        <v>148800</v>
      </c>
      <c r="E54" s="24">
        <f>D54</f>
        <v>148800</v>
      </c>
      <c r="F54" s="806">
        <f>E54*1.1</f>
        <v>163680</v>
      </c>
      <c r="G54" s="24">
        <f>F54</f>
        <v>163680</v>
      </c>
      <c r="H54" s="24">
        <f>G54</f>
        <v>163680</v>
      </c>
      <c r="I54" s="163">
        <f>H54</f>
        <v>163680</v>
      </c>
    </row>
    <row r="55" spans="2:10">
      <c r="B55" s="124" t="s">
        <v>276</v>
      </c>
      <c r="D55" s="24">
        <f>D38</f>
        <v>14400</v>
      </c>
      <c r="E55" s="24">
        <f>D55*(1+$G$38)</f>
        <v>14976</v>
      </c>
      <c r="F55" s="24">
        <f>E55*(1+$G$38)</f>
        <v>15575.04</v>
      </c>
      <c r="G55" s="24">
        <f>F55*(1+$G$38)</f>
        <v>16198.041600000002</v>
      </c>
      <c r="H55" s="24">
        <f>G55*(1+$G$38)</f>
        <v>16845.963264000002</v>
      </c>
      <c r="I55" s="163">
        <f>H55*(1+$G$38)</f>
        <v>17519.801794560004</v>
      </c>
      <c r="J55" s="43"/>
    </row>
    <row r="56" spans="2:10">
      <c r="B56" s="124" t="s">
        <v>274</v>
      </c>
      <c r="D56" s="24">
        <f>D39</f>
        <v>120000</v>
      </c>
      <c r="E56" s="24">
        <f>D56*(1+$G$39)</f>
        <v>126000</v>
      </c>
      <c r="F56" s="24">
        <f>E56*(1+$G$39)</f>
        <v>132300</v>
      </c>
      <c r="G56" s="24">
        <f>F56*(1+$G$39)</f>
        <v>138915</v>
      </c>
      <c r="H56" s="24">
        <f>G56*(1+$G$39)</f>
        <v>145860.75</v>
      </c>
      <c r="I56" s="163">
        <f>H56*(1+$G$39)</f>
        <v>153153.78750000001</v>
      </c>
      <c r="J56" s="43"/>
    </row>
    <row r="57" spans="2:10">
      <c r="B57" s="124" t="s">
        <v>324</v>
      </c>
      <c r="D57" s="24">
        <f>D40</f>
        <v>76800</v>
      </c>
      <c r="E57" s="24">
        <f>D57*(1+$G$40)</f>
        <v>79104</v>
      </c>
      <c r="F57" s="24">
        <f>E57*(1+$G$40)</f>
        <v>81477.119999999995</v>
      </c>
      <c r="G57" s="24">
        <f>F57*(1+$G$40)</f>
        <v>83921.433600000004</v>
      </c>
      <c r="H57" s="24">
        <f>G57*(1+$G$40)</f>
        <v>86439.076608000003</v>
      </c>
      <c r="I57" s="163">
        <f>H57*(1+$G$40)</f>
        <v>89032.248906239998</v>
      </c>
      <c r="J57" s="43"/>
    </row>
    <row r="58" spans="2:10">
      <c r="B58" s="124" t="s">
        <v>325</v>
      </c>
      <c r="D58" s="52">
        <f>D41</f>
        <v>67200</v>
      </c>
      <c r="E58" s="52">
        <f>D58*(1+$G$41)</f>
        <v>69216</v>
      </c>
      <c r="F58" s="52">
        <f>E58*(1+$G$41)</f>
        <v>71292.479999999996</v>
      </c>
      <c r="G58" s="52">
        <f>F58*(1+$G$41)</f>
        <v>73431.254399999991</v>
      </c>
      <c r="H58" s="52">
        <f>G58*(1+$G$41)</f>
        <v>75634.192031999992</v>
      </c>
      <c r="I58" s="398">
        <f>H58*(1+$G$41)</f>
        <v>77903.21779296</v>
      </c>
      <c r="J58" s="43"/>
    </row>
    <row r="59" spans="2:10">
      <c r="B59" s="124" t="s">
        <v>330</v>
      </c>
      <c r="D59" s="24">
        <f t="shared" ref="D59:I59" si="1">SUM(D54:D58)</f>
        <v>427200</v>
      </c>
      <c r="E59" s="24">
        <f t="shared" si="1"/>
        <v>438096</v>
      </c>
      <c r="F59" s="24">
        <f t="shared" si="1"/>
        <v>464324.64</v>
      </c>
      <c r="G59" s="24">
        <f t="shared" si="1"/>
        <v>476145.72959999996</v>
      </c>
      <c r="H59" s="24">
        <f t="shared" si="1"/>
        <v>488459.98190399999</v>
      </c>
      <c r="I59" s="163">
        <f t="shared" si="1"/>
        <v>501289.05599376</v>
      </c>
    </row>
    <row r="60" spans="2:10">
      <c r="B60" s="124" t="s">
        <v>331</v>
      </c>
      <c r="D60" s="809">
        <f t="shared" ref="D60:I60" si="2">D59/$C$30</f>
        <v>4.45</v>
      </c>
      <c r="E60" s="809">
        <f t="shared" si="2"/>
        <v>4.5635000000000003</v>
      </c>
      <c r="F60" s="809">
        <f t="shared" si="2"/>
        <v>4.8367149999999999</v>
      </c>
      <c r="G60" s="809">
        <f t="shared" si="2"/>
        <v>4.9598513499999992</v>
      </c>
      <c r="H60" s="809">
        <f t="shared" si="2"/>
        <v>5.0881248115000002</v>
      </c>
      <c r="I60" s="810">
        <f t="shared" si="2"/>
        <v>5.2217609999350003</v>
      </c>
    </row>
    <row r="61" spans="2:10" ht="13" thickBot="1">
      <c r="B61" s="124"/>
      <c r="D61" s="24"/>
      <c r="E61" s="24"/>
      <c r="F61" s="24"/>
      <c r="G61" s="24"/>
      <c r="H61" s="24"/>
      <c r="I61" s="163"/>
    </row>
    <row r="62" spans="2:10" ht="13.5" thickBot="1">
      <c r="B62" s="1586" t="s">
        <v>953</v>
      </c>
      <c r="C62" s="1587"/>
      <c r="D62" s="1587"/>
      <c r="E62" s="1587"/>
      <c r="F62" s="1587"/>
      <c r="G62" s="1587"/>
      <c r="H62" s="1587"/>
      <c r="I62" s="1588"/>
    </row>
    <row r="63" spans="2:10" ht="13" thickBot="1">
      <c r="B63" s="124" t="s">
        <v>328</v>
      </c>
      <c r="D63" s="24">
        <f t="shared" ref="D63:I63" si="3">$F$46*D99</f>
        <v>71050</v>
      </c>
      <c r="E63" s="24">
        <f t="shared" si="3"/>
        <v>72982.3</v>
      </c>
      <c r="F63" s="24">
        <f t="shared" si="3"/>
        <v>75708.982000000004</v>
      </c>
      <c r="G63" s="24">
        <f t="shared" si="3"/>
        <v>76380.281119250023</v>
      </c>
      <c r="H63" s="24">
        <f t="shared" si="3"/>
        <v>78811.096820227511</v>
      </c>
      <c r="I63" s="163">
        <f t="shared" si="3"/>
        <v>81675.253664500531</v>
      </c>
    </row>
    <row r="64" spans="2:10" ht="13.5" thickBot="1">
      <c r="B64" s="1586" t="s">
        <v>954</v>
      </c>
      <c r="C64" s="1587"/>
      <c r="D64" s="1587"/>
      <c r="E64" s="1587"/>
      <c r="F64" s="1587"/>
      <c r="G64" s="1587"/>
      <c r="H64" s="1587"/>
      <c r="I64" s="1588"/>
    </row>
    <row r="65" spans="2:10" ht="13" thickBot="1">
      <c r="B65" s="134" t="s">
        <v>278</v>
      </c>
      <c r="C65" s="4"/>
      <c r="D65" s="31">
        <f t="shared" ref="D65:I65" si="4">D63+D59</f>
        <v>498250</v>
      </c>
      <c r="E65" s="31">
        <f t="shared" si="4"/>
        <v>511078.3</v>
      </c>
      <c r="F65" s="31">
        <f t="shared" si="4"/>
        <v>540033.62199999997</v>
      </c>
      <c r="G65" s="31">
        <f t="shared" si="4"/>
        <v>552526.01071924996</v>
      </c>
      <c r="H65" s="31">
        <f t="shared" si="4"/>
        <v>567271.0787242275</v>
      </c>
      <c r="I65" s="207">
        <f t="shared" si="4"/>
        <v>582964.30965826055</v>
      </c>
      <c r="J65" s="43"/>
    </row>
    <row r="66" spans="2:10">
      <c r="I66" s="126"/>
    </row>
    <row r="67" spans="2:10" ht="13" thickBot="1">
      <c r="I67" s="126"/>
    </row>
    <row r="68" spans="2:10" ht="13.5" thickBot="1">
      <c r="B68" s="1547" t="s">
        <v>1555</v>
      </c>
      <c r="C68" s="1538"/>
      <c r="D68" s="1538"/>
      <c r="E68" s="1538"/>
      <c r="F68" s="1538"/>
      <c r="G68" s="1538"/>
      <c r="H68" s="1538"/>
      <c r="I68" s="1539"/>
    </row>
    <row r="69" spans="2:10" ht="13.5" thickBot="1">
      <c r="B69" s="197" t="s">
        <v>262</v>
      </c>
      <c r="C69" s="157"/>
      <c r="D69" s="157">
        <v>1</v>
      </c>
      <c r="E69" s="157">
        <f>1+D69</f>
        <v>2</v>
      </c>
      <c r="F69" s="157">
        <f>1+E69</f>
        <v>3</v>
      </c>
      <c r="G69" s="157">
        <f>1+F69</f>
        <v>4</v>
      </c>
      <c r="H69" s="157">
        <f>1+G69</f>
        <v>5</v>
      </c>
      <c r="I69" s="157">
        <f>1+H69</f>
        <v>6</v>
      </c>
    </row>
    <row r="70" spans="2:10" ht="13">
      <c r="B70" s="1254" t="s">
        <v>1316</v>
      </c>
      <c r="I70" s="126"/>
    </row>
    <row r="71" spans="2:10">
      <c r="B71" s="124" t="s">
        <v>312</v>
      </c>
      <c r="D71" s="24">
        <f>$E$23</f>
        <v>980000</v>
      </c>
      <c r="E71" s="24">
        <f>D71</f>
        <v>980000</v>
      </c>
      <c r="F71" s="24">
        <f>E71</f>
        <v>980000</v>
      </c>
      <c r="G71" s="806">
        <f>($D$9*(1+$D$12)^($G$69-1))*C23</f>
        <v>1181107.2000000002</v>
      </c>
      <c r="H71" s="24">
        <f>G71</f>
        <v>1181107.2000000002</v>
      </c>
      <c r="I71" s="163">
        <f>H71</f>
        <v>1181107.2000000002</v>
      </c>
      <c r="J71" s="43"/>
    </row>
    <row r="72" spans="2:10">
      <c r="B72" s="124" t="s">
        <v>313</v>
      </c>
      <c r="D72" s="24"/>
      <c r="E72" s="24"/>
      <c r="F72" s="24"/>
      <c r="G72" s="24"/>
      <c r="H72" s="24"/>
      <c r="I72" s="163"/>
      <c r="J72" s="43"/>
    </row>
    <row r="73" spans="2:10">
      <c r="B73" s="124" t="s">
        <v>314</v>
      </c>
      <c r="D73" s="24"/>
      <c r="E73" s="24"/>
      <c r="F73" s="24"/>
      <c r="G73" s="24"/>
      <c r="H73" s="24"/>
      <c r="I73" s="163"/>
      <c r="J73" s="43"/>
    </row>
    <row r="74" spans="2:10">
      <c r="B74" s="124" t="s">
        <v>315</v>
      </c>
      <c r="D74" s="24">
        <f>$E$26</f>
        <v>145000</v>
      </c>
      <c r="E74" s="24">
        <f>D74</f>
        <v>145000</v>
      </c>
      <c r="F74" s="24">
        <f>E74</f>
        <v>145000</v>
      </c>
      <c r="G74" s="24">
        <f>F74</f>
        <v>145000</v>
      </c>
      <c r="H74" s="806">
        <f>($D$9*(1+$D$12)^($H$69-1))*C26</f>
        <v>175478.78400000001</v>
      </c>
      <c r="I74" s="163">
        <f>H74</f>
        <v>175478.78400000001</v>
      </c>
    </row>
    <row r="75" spans="2:10">
      <c r="B75" s="124" t="s">
        <v>316</v>
      </c>
      <c r="D75" s="24"/>
      <c r="E75" s="24"/>
      <c r="F75" s="24"/>
      <c r="G75" s="24"/>
      <c r="H75" s="24"/>
      <c r="I75" s="163"/>
    </row>
    <row r="76" spans="2:10">
      <c r="B76" s="124" t="s">
        <v>317</v>
      </c>
      <c r="D76" s="24">
        <f>$E$28</f>
        <v>240000</v>
      </c>
      <c r="E76" s="24">
        <f>D76</f>
        <v>240000</v>
      </c>
      <c r="F76" s="24">
        <f>E76</f>
        <v>240000</v>
      </c>
      <c r="G76" s="24">
        <f>F76</f>
        <v>240000</v>
      </c>
      <c r="H76" s="24">
        <f>G76</f>
        <v>240000</v>
      </c>
      <c r="I76" s="807">
        <f>($D$9*(1+$D$12)^($I$69-1))*C28</f>
        <v>291996.69657600007</v>
      </c>
    </row>
    <row r="77" spans="2:10">
      <c r="B77" s="124"/>
      <c r="D77" s="30"/>
      <c r="E77" s="30"/>
      <c r="F77" s="30"/>
      <c r="G77" s="30"/>
      <c r="H77" s="30"/>
      <c r="I77" s="959"/>
      <c r="J77" s="43"/>
    </row>
    <row r="78" spans="2:10">
      <c r="B78" s="140" t="s">
        <v>960</v>
      </c>
      <c r="D78" s="24">
        <f t="shared" ref="D78:I78" si="5">SUM(D71:D76)</f>
        <v>1365000</v>
      </c>
      <c r="E78" s="24">
        <f t="shared" si="5"/>
        <v>1365000</v>
      </c>
      <c r="F78" s="24">
        <f t="shared" si="5"/>
        <v>1365000</v>
      </c>
      <c r="G78" s="24">
        <f t="shared" si="5"/>
        <v>1566107.2000000002</v>
      </c>
      <c r="H78" s="24">
        <f t="shared" si="5"/>
        <v>1596585.9840000002</v>
      </c>
      <c r="I78" s="163">
        <f t="shared" si="5"/>
        <v>1648582.6805760004</v>
      </c>
      <c r="J78" s="43"/>
    </row>
    <row r="79" spans="2:10">
      <c r="B79" s="140"/>
      <c r="D79" s="24"/>
      <c r="E79" s="24"/>
      <c r="F79" s="24"/>
      <c r="G79" s="24"/>
      <c r="H79" s="24"/>
      <c r="I79" s="163"/>
      <c r="J79" s="43"/>
    </row>
    <row r="80" spans="2:10" ht="13">
      <c r="B80" s="1254" t="s">
        <v>1317</v>
      </c>
      <c r="D80" s="24"/>
      <c r="E80" s="24"/>
      <c r="F80" s="24"/>
      <c r="G80" s="24"/>
      <c r="H80" s="24"/>
      <c r="I80" s="163"/>
    </row>
    <row r="81" spans="2:10">
      <c r="B81" s="124" t="s">
        <v>312</v>
      </c>
      <c r="D81" s="24">
        <f>D71*((1+$I23*$D$14)^(D69+0)-1)</f>
        <v>19600.000000000018</v>
      </c>
      <c r="E81" s="24">
        <f>E71*((1+$I23*$D$14)^(E69+0)-1)</f>
        <v>39591.999999999993</v>
      </c>
      <c r="F81" s="24">
        <f>F71*((1+$I23*$D$14)^(F69+0)-1)</f>
        <v>59983.839999999931</v>
      </c>
      <c r="G81" s="806">
        <f>F71*((1+$I23*$D$14)^(G69-4)-1)</f>
        <v>0</v>
      </c>
      <c r="H81" s="24">
        <f>G71*((1+$I23*$D$14)^(H69-4)-1)</f>
        <v>23622.144000000026</v>
      </c>
      <c r="I81" s="163">
        <f>H71*((1+$I23*$D$14)^(I69-4)-1)</f>
        <v>47716.730879999996</v>
      </c>
    </row>
    <row r="82" spans="2:10">
      <c r="B82" s="124" t="s">
        <v>315</v>
      </c>
      <c r="D82" s="24">
        <f>D74*((1+$I26*$D$14)^(D69+0)-1)</f>
        <v>2900.0000000000027</v>
      </c>
      <c r="E82" s="24">
        <f t="shared" ref="E82:G82" si="6">E74*((1+$I26*$D$14)^(E69+0)-1)</f>
        <v>5857.9999999999991</v>
      </c>
      <c r="F82" s="24">
        <f t="shared" si="6"/>
        <v>8875.1599999999889</v>
      </c>
      <c r="G82" s="24">
        <f t="shared" si="6"/>
        <v>11952.663199999997</v>
      </c>
      <c r="H82" s="806">
        <f>G74*((1+$I26*$D$14)^(H69-5)-1)</f>
        <v>0</v>
      </c>
      <c r="I82" s="163">
        <f>H74*((1+$I26*$D$14)^(I69-5)-1)</f>
        <v>3509.5756800000036</v>
      </c>
    </row>
    <row r="83" spans="2:10">
      <c r="B83" s="124" t="s">
        <v>317</v>
      </c>
      <c r="D83" s="24">
        <f>D76*((1+$I$28*$D$14)^(D69-1)-1)</f>
        <v>0</v>
      </c>
      <c r="E83" s="24">
        <f>E76*((1+$I$28*$D$14)^(E69-1)-1)</f>
        <v>4800.0000000000045</v>
      </c>
      <c r="F83" s="24">
        <f>F76*((1+$I$28*$D$14)^(F69-1)-1)</f>
        <v>9695.9999999999982</v>
      </c>
      <c r="G83" s="24">
        <f t="shared" ref="G83:H83" si="7">G76*((1+$I$28*$D$14)^(G69-1)-1)</f>
        <v>14689.919999999984</v>
      </c>
      <c r="H83" s="24">
        <f t="shared" si="7"/>
        <v>19783.718399999994</v>
      </c>
      <c r="I83" s="807">
        <f>I76*((1+$I$28*$D$14)^(I69-6)-1)</f>
        <v>0</v>
      </c>
    </row>
    <row r="84" spans="2:10">
      <c r="B84" s="124"/>
      <c r="D84" s="30"/>
      <c r="E84" s="30"/>
      <c r="F84" s="30"/>
      <c r="G84" s="30"/>
      <c r="H84" s="30"/>
      <c r="I84" s="959"/>
      <c r="J84" s="43"/>
    </row>
    <row r="85" spans="2:10">
      <c r="B85" s="140" t="s">
        <v>961</v>
      </c>
      <c r="D85" s="24">
        <f t="shared" ref="D85:I85" si="8">SUM(D81:D83)</f>
        <v>22500.000000000022</v>
      </c>
      <c r="E85" s="24">
        <f t="shared" si="8"/>
        <v>50250</v>
      </c>
      <c r="F85" s="24">
        <f t="shared" si="8"/>
        <v>78554.999999999913</v>
      </c>
      <c r="G85" s="24">
        <f t="shared" si="8"/>
        <v>26642.583199999979</v>
      </c>
      <c r="H85" s="24">
        <f t="shared" si="8"/>
        <v>43405.86240000002</v>
      </c>
      <c r="I85" s="163">
        <f t="shared" si="8"/>
        <v>51226.306559999997</v>
      </c>
      <c r="J85" s="43"/>
    </row>
    <row r="86" spans="2:10">
      <c r="B86" s="140"/>
      <c r="D86" s="24"/>
      <c r="E86" s="24"/>
      <c r="F86" s="24"/>
      <c r="G86" s="24"/>
      <c r="H86" s="24"/>
      <c r="I86" s="163"/>
      <c r="J86" s="43"/>
    </row>
    <row r="87" spans="2:10" ht="13">
      <c r="B87" s="1254" t="s">
        <v>1556</v>
      </c>
      <c r="D87" s="24"/>
      <c r="E87" s="24"/>
      <c r="F87" s="24"/>
      <c r="G87" s="24"/>
      <c r="H87" s="24"/>
      <c r="I87" s="163"/>
      <c r="J87" s="43"/>
    </row>
    <row r="88" spans="2:10">
      <c r="B88" s="124" t="s">
        <v>312</v>
      </c>
      <c r="D88" s="8">
        <f>(+D60-$G$23)*$C$23</f>
        <v>31500.000000000011</v>
      </c>
      <c r="E88" s="8">
        <f>(+E60-$G$23)*$C$23</f>
        <v>39445.000000000022</v>
      </c>
      <c r="F88" s="8">
        <f>(+F60-$G$23)*$C$23</f>
        <v>58570.049999999988</v>
      </c>
      <c r="G88" s="808">
        <f>(+G60-$G$60)*$C$23</f>
        <v>0</v>
      </c>
      <c r="H88" s="808">
        <f>(+H60-$G$60)*$C$23</f>
        <v>8979.1423050000667</v>
      </c>
      <c r="I88" s="158">
        <f>(+I60-$G$60)*$C$23</f>
        <v>18333.675495450076</v>
      </c>
      <c r="J88" s="43"/>
    </row>
    <row r="89" spans="2:10">
      <c r="B89" s="124" t="s">
        <v>313</v>
      </c>
      <c r="D89" s="24"/>
      <c r="E89" s="24"/>
      <c r="F89" s="24"/>
      <c r="G89" s="24"/>
      <c r="H89" s="24"/>
      <c r="I89" s="163"/>
      <c r="J89" s="43"/>
    </row>
    <row r="90" spans="2:10">
      <c r="B90" s="124" t="s">
        <v>314</v>
      </c>
      <c r="D90" s="24"/>
      <c r="E90" s="24"/>
      <c r="F90" s="24"/>
      <c r="G90" s="24"/>
      <c r="H90" s="24"/>
      <c r="I90" s="163"/>
      <c r="J90" s="43"/>
    </row>
    <row r="91" spans="2:10">
      <c r="B91" s="124" t="s">
        <v>315</v>
      </c>
      <c r="D91" s="24">
        <f>(+D60-$G$26)*$C$26</f>
        <v>2000.0000000000018</v>
      </c>
      <c r="E91" s="24">
        <f>(+E60-$G$26)*$C$26</f>
        <v>3135.0000000000032</v>
      </c>
      <c r="F91" s="24">
        <f>(+F60-$G$26)*$C$26</f>
        <v>5867.1499999999987</v>
      </c>
      <c r="G91" s="24">
        <f>(+G60-$G$26)*$C$26</f>
        <v>7098.5134999999918</v>
      </c>
      <c r="H91" s="24">
        <f>(H60-$H$60)*$C$26</f>
        <v>0</v>
      </c>
      <c r="I91" s="163">
        <f>(I60-$H$60)*$C$26</f>
        <v>1336.3618843500014</v>
      </c>
      <c r="J91" s="43"/>
    </row>
    <row r="92" spans="2:10">
      <c r="B92" s="124" t="s">
        <v>316</v>
      </c>
      <c r="D92" s="24"/>
      <c r="E92" s="24"/>
      <c r="F92" s="24"/>
      <c r="G92" s="24"/>
      <c r="H92" s="24"/>
      <c r="I92" s="163"/>
      <c r="J92" s="43"/>
    </row>
    <row r="93" spans="2:10">
      <c r="B93" s="124" t="s">
        <v>317</v>
      </c>
      <c r="D93" s="52">
        <f>(+D60-$G$28)*$C$28</f>
        <v>0</v>
      </c>
      <c r="E93" s="52">
        <f>(+E60-$G$28)*$C$28</f>
        <v>1816.0000000000025</v>
      </c>
      <c r="F93" s="52">
        <f>(+F60-$G$28)*$C$28</f>
        <v>6187.4399999999951</v>
      </c>
      <c r="G93" s="52">
        <f>(+G60-$G$28)*$C$28</f>
        <v>8157.6215999999849</v>
      </c>
      <c r="H93" s="52">
        <f>(+H60-$G$28)*$C$28</f>
        <v>10209.996983999999</v>
      </c>
      <c r="I93" s="1340">
        <f>(+I60-$I$60)*$C$28</f>
        <v>0</v>
      </c>
      <c r="J93" s="43"/>
    </row>
    <row r="94" spans="2:10">
      <c r="B94" s="140" t="s">
        <v>958</v>
      </c>
      <c r="D94" s="24">
        <f t="shared" ref="D94:I94" si="9">SUM(D88:D93)</f>
        <v>33500.000000000015</v>
      </c>
      <c r="E94" s="24">
        <f t="shared" si="9"/>
        <v>44396.000000000022</v>
      </c>
      <c r="F94" s="24">
        <f t="shared" si="9"/>
        <v>70624.639999999985</v>
      </c>
      <c r="G94" s="24">
        <f t="shared" si="9"/>
        <v>15256.135099999978</v>
      </c>
      <c r="H94" s="24">
        <f t="shared" si="9"/>
        <v>19189.139289000064</v>
      </c>
      <c r="I94" s="163">
        <f t="shared" si="9"/>
        <v>19670.037379800076</v>
      </c>
      <c r="J94" s="43"/>
    </row>
    <row r="95" spans="2:10">
      <c r="B95" s="124"/>
      <c r="D95" s="24"/>
      <c r="E95" s="24"/>
      <c r="F95" s="24"/>
      <c r="G95" s="24"/>
      <c r="H95" s="24"/>
      <c r="I95" s="163"/>
      <c r="J95" s="43"/>
    </row>
    <row r="96" spans="2:10">
      <c r="B96" s="124"/>
      <c r="D96" s="24"/>
      <c r="E96" s="24"/>
      <c r="F96" s="24"/>
      <c r="G96" s="24"/>
      <c r="H96" s="24"/>
      <c r="I96" s="163"/>
      <c r="J96" s="43"/>
    </row>
    <row r="97" spans="2:10" ht="13">
      <c r="B97" s="168" t="s">
        <v>483</v>
      </c>
      <c r="D97" s="24">
        <f t="shared" ref="D97:I97" si="10">D78+D85+D94</f>
        <v>1421000</v>
      </c>
      <c r="E97" s="24">
        <f t="shared" si="10"/>
        <v>1459646</v>
      </c>
      <c r="F97" s="24">
        <f t="shared" si="10"/>
        <v>1514179.64</v>
      </c>
      <c r="G97" s="24">
        <f t="shared" si="10"/>
        <v>1608005.9183000003</v>
      </c>
      <c r="H97" s="24">
        <f t="shared" si="10"/>
        <v>1659180.9856890002</v>
      </c>
      <c r="I97" s="163">
        <f t="shared" si="10"/>
        <v>1719479.0245158004</v>
      </c>
      <c r="J97" s="43"/>
    </row>
    <row r="98" spans="2:10">
      <c r="B98" s="213" t="s">
        <v>286</v>
      </c>
      <c r="D98" s="30">
        <v>0</v>
      </c>
      <c r="E98" s="30">
        <v>0</v>
      </c>
      <c r="F98" s="30">
        <v>0</v>
      </c>
      <c r="G98" s="958">
        <f>$D$15*G97</f>
        <v>80400.295915000024</v>
      </c>
      <c r="H98" s="30">
        <f>$D$15*H97</f>
        <v>82959.049284450011</v>
      </c>
      <c r="I98" s="959">
        <f>$D$15*I97</f>
        <v>85973.951225790021</v>
      </c>
      <c r="J98" s="43"/>
    </row>
    <row r="99" spans="2:10" ht="13.5" thickBot="1">
      <c r="B99" s="375" t="s">
        <v>485</v>
      </c>
      <c r="C99" s="4"/>
      <c r="D99" s="31">
        <f t="shared" ref="D99:I99" si="11">D97-D98</f>
        <v>1421000</v>
      </c>
      <c r="E99" s="31">
        <f t="shared" si="11"/>
        <v>1459646</v>
      </c>
      <c r="F99" s="31">
        <f t="shared" si="11"/>
        <v>1514179.64</v>
      </c>
      <c r="G99" s="31">
        <f t="shared" si="11"/>
        <v>1527605.6223850003</v>
      </c>
      <c r="H99" s="31">
        <f t="shared" si="11"/>
        <v>1576221.9364045502</v>
      </c>
      <c r="I99" s="207">
        <f t="shared" si="11"/>
        <v>1633505.0732900104</v>
      </c>
      <c r="J99" s="43"/>
    </row>
    <row r="100" spans="2:10">
      <c r="B100" s="124"/>
      <c r="I100" s="126"/>
    </row>
    <row r="101" spans="2:10">
      <c r="B101" s="124"/>
      <c r="D101" s="11"/>
      <c r="E101" s="11"/>
      <c r="F101" s="11"/>
      <c r="G101" s="11"/>
      <c r="H101" s="11"/>
      <c r="I101" s="317"/>
    </row>
    <row r="102" spans="2:10" ht="13" thickBot="1">
      <c r="B102" s="124"/>
      <c r="D102" s="8"/>
      <c r="E102" s="8"/>
      <c r="F102" s="8"/>
      <c r="G102" s="8"/>
      <c r="H102" s="8"/>
      <c r="I102" s="158"/>
      <c r="J102" s="43"/>
    </row>
    <row r="103" spans="2:10" ht="13.5" thickBot="1">
      <c r="B103" s="1547" t="s">
        <v>1379</v>
      </c>
      <c r="C103" s="1538"/>
      <c r="D103" s="1538"/>
      <c r="E103" s="1538"/>
      <c r="F103" s="1538"/>
      <c r="G103" s="1538"/>
      <c r="H103" s="1538"/>
      <c r="I103" s="1539"/>
      <c r="J103" s="43"/>
    </row>
    <row r="104" spans="2:10" ht="13.5" thickBot="1">
      <c r="B104" s="157" t="s">
        <v>262</v>
      </c>
      <c r="C104" s="157"/>
      <c r="D104" s="157">
        <v>1</v>
      </c>
      <c r="E104" s="157">
        <f>D104+1</f>
        <v>2</v>
      </c>
      <c r="F104" s="157">
        <f>E104+1</f>
        <v>3</v>
      </c>
      <c r="G104" s="157">
        <f>F104+1</f>
        <v>4</v>
      </c>
      <c r="H104" s="157">
        <f>G104+1</f>
        <v>5</v>
      </c>
      <c r="I104" s="157">
        <f>H104+1</f>
        <v>6</v>
      </c>
      <c r="J104" s="43"/>
    </row>
    <row r="105" spans="2:10">
      <c r="B105" s="124" t="s">
        <v>332</v>
      </c>
      <c r="D105" s="8">
        <f t="shared" ref="D105:I105" si="12">D78</f>
        <v>1365000</v>
      </c>
      <c r="E105" s="8">
        <f t="shared" si="12"/>
        <v>1365000</v>
      </c>
      <c r="F105" s="8">
        <f t="shared" si="12"/>
        <v>1365000</v>
      </c>
      <c r="G105" s="8">
        <f t="shared" si="12"/>
        <v>1566107.2000000002</v>
      </c>
      <c r="H105" s="8">
        <f t="shared" si="12"/>
        <v>1596585.9840000002</v>
      </c>
      <c r="I105" s="158">
        <f t="shared" si="12"/>
        <v>1648582.6805760004</v>
      </c>
      <c r="J105" s="43"/>
    </row>
    <row r="106" spans="2:10">
      <c r="B106" s="124" t="s">
        <v>962</v>
      </c>
      <c r="D106" s="24">
        <f t="shared" ref="D106:I106" si="13">D85</f>
        <v>22500.000000000022</v>
      </c>
      <c r="E106" s="24">
        <f t="shared" si="13"/>
        <v>50250</v>
      </c>
      <c r="F106" s="24">
        <f t="shared" si="13"/>
        <v>78554.999999999913</v>
      </c>
      <c r="G106" s="24">
        <f t="shared" si="13"/>
        <v>26642.583199999979</v>
      </c>
      <c r="H106" s="24">
        <f t="shared" si="13"/>
        <v>43405.86240000002</v>
      </c>
      <c r="I106" s="163">
        <f t="shared" si="13"/>
        <v>51226.306559999997</v>
      </c>
      <c r="J106" s="43"/>
    </row>
    <row r="107" spans="2:10">
      <c r="B107" s="124" t="s">
        <v>333</v>
      </c>
      <c r="D107" s="14">
        <f t="shared" ref="D107:I107" si="14">D94</f>
        <v>33500.000000000015</v>
      </c>
      <c r="E107" s="14">
        <f t="shared" si="14"/>
        <v>44396.000000000022</v>
      </c>
      <c r="F107" s="14">
        <f t="shared" si="14"/>
        <v>70624.639999999985</v>
      </c>
      <c r="G107" s="14">
        <f t="shared" si="14"/>
        <v>15256.135099999978</v>
      </c>
      <c r="H107" s="14">
        <f t="shared" si="14"/>
        <v>19189.139289000064</v>
      </c>
      <c r="I107" s="853">
        <f t="shared" si="14"/>
        <v>19670.037379800076</v>
      </c>
      <c r="J107" s="43"/>
    </row>
    <row r="108" spans="2:10" ht="13">
      <c r="B108" s="168" t="s">
        <v>955</v>
      </c>
      <c r="D108" s="8">
        <f t="shared" ref="D108:I108" si="15">SUM(D105:D107)</f>
        <v>1421000</v>
      </c>
      <c r="E108" s="8">
        <f t="shared" si="15"/>
        <v>1459646</v>
      </c>
      <c r="F108" s="8">
        <f t="shared" si="15"/>
        <v>1514179.64</v>
      </c>
      <c r="G108" s="8">
        <f t="shared" si="15"/>
        <v>1608005.9183000003</v>
      </c>
      <c r="H108" s="8">
        <f t="shared" si="15"/>
        <v>1659180.9856890002</v>
      </c>
      <c r="I108" s="158">
        <f t="shared" si="15"/>
        <v>1719479.0245158004</v>
      </c>
      <c r="J108" s="43"/>
    </row>
    <row r="109" spans="2:10">
      <c r="B109" s="124" t="s">
        <v>334</v>
      </c>
      <c r="D109" s="52">
        <f t="shared" ref="D109:I109" si="16">D98</f>
        <v>0</v>
      </c>
      <c r="E109" s="52">
        <f t="shared" si="16"/>
        <v>0</v>
      </c>
      <c r="F109" s="52">
        <f t="shared" si="16"/>
        <v>0</v>
      </c>
      <c r="G109" s="52">
        <f t="shared" si="16"/>
        <v>80400.295915000024</v>
      </c>
      <c r="H109" s="52">
        <f t="shared" si="16"/>
        <v>82959.049284450011</v>
      </c>
      <c r="I109" s="398">
        <f t="shared" si="16"/>
        <v>85973.951225790021</v>
      </c>
      <c r="J109" s="43"/>
    </row>
    <row r="110" spans="2:10" ht="13">
      <c r="B110" s="168" t="s">
        <v>485</v>
      </c>
      <c r="D110" s="24">
        <f t="shared" ref="D110:I110" si="17">D108-D109</f>
        <v>1421000</v>
      </c>
      <c r="E110" s="24">
        <f t="shared" si="17"/>
        <v>1459646</v>
      </c>
      <c r="F110" s="24">
        <f t="shared" si="17"/>
        <v>1514179.64</v>
      </c>
      <c r="G110" s="24">
        <f t="shared" si="17"/>
        <v>1527605.6223850003</v>
      </c>
      <c r="H110" s="24">
        <f t="shared" si="17"/>
        <v>1576221.9364045502</v>
      </c>
      <c r="I110" s="163">
        <f t="shared" si="17"/>
        <v>1633505.0732900104</v>
      </c>
      <c r="J110" s="43"/>
    </row>
    <row r="111" spans="2:10">
      <c r="B111" s="124" t="s">
        <v>965</v>
      </c>
      <c r="D111" s="24"/>
      <c r="E111" s="24"/>
      <c r="F111" s="24"/>
      <c r="G111" s="24"/>
      <c r="H111" s="24"/>
      <c r="I111" s="163"/>
      <c r="J111" s="43"/>
    </row>
    <row r="112" spans="2:10">
      <c r="B112" s="124" t="s">
        <v>963</v>
      </c>
      <c r="D112" s="24">
        <f t="shared" ref="D112:I112" si="18">D59</f>
        <v>427200</v>
      </c>
      <c r="E112" s="24">
        <f t="shared" si="18"/>
        <v>438096</v>
      </c>
      <c r="F112" s="24">
        <f t="shared" si="18"/>
        <v>464324.64</v>
      </c>
      <c r="G112" s="24">
        <f t="shared" si="18"/>
        <v>476145.72959999996</v>
      </c>
      <c r="H112" s="24">
        <f t="shared" si="18"/>
        <v>488459.98190399999</v>
      </c>
      <c r="I112" s="163">
        <f t="shared" si="18"/>
        <v>501289.05599376</v>
      </c>
      <c r="J112" s="43"/>
    </row>
    <row r="113" spans="2:9">
      <c r="B113" s="124" t="s">
        <v>964</v>
      </c>
      <c r="D113" s="52">
        <f t="shared" ref="D113:I113" si="19">D63</f>
        <v>71050</v>
      </c>
      <c r="E113" s="52">
        <f t="shared" si="19"/>
        <v>72982.3</v>
      </c>
      <c r="F113" s="52">
        <f t="shared" si="19"/>
        <v>75708.982000000004</v>
      </c>
      <c r="G113" s="52">
        <f t="shared" si="19"/>
        <v>76380.281119250023</v>
      </c>
      <c r="H113" s="52">
        <f t="shared" si="19"/>
        <v>78811.096820227511</v>
      </c>
      <c r="I113" s="398">
        <f t="shared" si="19"/>
        <v>81675.253664500531</v>
      </c>
    </row>
    <row r="114" spans="2:9" ht="13">
      <c r="B114" s="168" t="s">
        <v>335</v>
      </c>
      <c r="D114" s="912">
        <f t="shared" ref="D114:I114" si="20">D110-D112-D113</f>
        <v>922750</v>
      </c>
      <c r="E114" s="912">
        <f t="shared" si="20"/>
        <v>948567.7</v>
      </c>
      <c r="F114" s="912">
        <f t="shared" si="20"/>
        <v>974146.01800000004</v>
      </c>
      <c r="G114" s="912">
        <f t="shared" si="20"/>
        <v>975079.61166575039</v>
      </c>
      <c r="H114" s="912">
        <f t="shared" si="20"/>
        <v>1008950.8576803226</v>
      </c>
      <c r="I114" s="913">
        <f t="shared" si="20"/>
        <v>1050540.7636317499</v>
      </c>
    </row>
    <row r="115" spans="2:9">
      <c r="B115" s="124"/>
      <c r="D115" s="24"/>
      <c r="E115" s="24"/>
      <c r="F115" s="24"/>
      <c r="G115" s="24"/>
      <c r="H115" s="24"/>
      <c r="I115" s="163"/>
    </row>
    <row r="116" spans="2:9">
      <c r="B116" s="124"/>
      <c r="I116" s="126"/>
    </row>
    <row r="117" spans="2:9" ht="13" thickBot="1">
      <c r="B117" s="124" t="s">
        <v>336</v>
      </c>
      <c r="D117" s="8">
        <v>8500000</v>
      </c>
      <c r="I117" s="126"/>
    </row>
    <row r="118" spans="2:9" ht="13.5" thickBot="1">
      <c r="B118" s="124" t="s">
        <v>337</v>
      </c>
      <c r="D118" s="155">
        <f>D114/D117</f>
        <v>0.10855882352941176</v>
      </c>
      <c r="E118" t="s">
        <v>338</v>
      </c>
      <c r="F118" s="1255" t="s">
        <v>1592</v>
      </c>
      <c r="G118" s="805"/>
      <c r="I118" s="126"/>
    </row>
    <row r="119" spans="2:9" ht="13" thickBot="1">
      <c r="B119" s="134"/>
      <c r="C119" s="4"/>
      <c r="D119" s="4"/>
      <c r="E119" s="4"/>
      <c r="F119" s="4"/>
      <c r="G119" s="4"/>
      <c r="H119" s="4"/>
      <c r="I119" s="135"/>
    </row>
    <row r="120" spans="2:9" ht="13.5" thickBot="1">
      <c r="B120" s="171" t="s">
        <v>1310</v>
      </c>
      <c r="E120" s="155">
        <f>((I114/D114)^(1/5))-1</f>
        <v>2.6279776609377858E-2</v>
      </c>
      <c r="F120" s="39" t="s">
        <v>1302</v>
      </c>
      <c r="I120" s="126"/>
    </row>
    <row r="121" spans="2:9" ht="13" thickBot="1">
      <c r="B121" s="134"/>
      <c r="C121" s="4"/>
      <c r="D121" s="4"/>
      <c r="E121" s="4"/>
      <c r="F121" s="4"/>
      <c r="G121" s="4"/>
      <c r="H121" s="4"/>
      <c r="I121" s="135"/>
    </row>
    <row r="122" spans="2:9" ht="13">
      <c r="B122" s="960" t="s">
        <v>1380</v>
      </c>
    </row>
  </sheetData>
  <mergeCells count="13">
    <mergeCell ref="B64:I64"/>
    <mergeCell ref="B2:I2"/>
    <mergeCell ref="B3:I3"/>
    <mergeCell ref="B103:I103"/>
    <mergeCell ref="B5:F5"/>
    <mergeCell ref="B6:F6"/>
    <mergeCell ref="B8:E8"/>
    <mergeCell ref="B68:I68"/>
    <mergeCell ref="B18:I18"/>
    <mergeCell ref="B51:I51"/>
    <mergeCell ref="B53:I53"/>
    <mergeCell ref="B62:I62"/>
    <mergeCell ref="B34:I34"/>
  </mergeCells>
  <phoneticPr fontId="4" type="noConversion"/>
  <pageMargins left="0.75" right="0.75" top="1" bottom="1" header="0.5" footer="0.5"/>
  <pageSetup orientation="portrait" r:id="rId1"/>
  <headerFooter alignWithMargins="0"/>
  <ignoredErrors>
    <ignoredError sqref="G71 E74:F74 H74" formula="1"/>
  </ignoredError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47"/>
  <sheetViews>
    <sheetView workbookViewId="0"/>
  </sheetViews>
  <sheetFormatPr defaultRowHeight="12.5"/>
  <cols>
    <col min="2" max="2" width="20.7265625" customWidth="1"/>
    <col min="3" max="3" width="10.7265625" bestFit="1" customWidth="1"/>
    <col min="4" max="4" width="13.453125" bestFit="1" customWidth="1"/>
    <col min="5" max="5" width="16.1796875" customWidth="1"/>
    <col min="6" max="6" width="10.81640625" customWidth="1"/>
    <col min="7" max="7" width="9.7265625" bestFit="1" customWidth="1"/>
    <col min="8" max="8" width="12" customWidth="1"/>
    <col min="9" max="9" width="11.7265625" customWidth="1"/>
  </cols>
  <sheetData>
    <row r="1" spans="2:10" ht="13" thickBot="1"/>
    <row r="2" spans="2:10" ht="18.5" thickBot="1">
      <c r="B2" s="1525" t="s">
        <v>1599</v>
      </c>
      <c r="C2" s="1557"/>
      <c r="D2" s="1557"/>
      <c r="E2" s="1557"/>
      <c r="F2" s="1557"/>
      <c r="G2" s="1557"/>
      <c r="H2" s="1557"/>
      <c r="I2" s="1558"/>
      <c r="J2" s="39"/>
    </row>
    <row r="3" spans="2:10" ht="16" thickBot="1">
      <c r="B3" s="1528" t="s">
        <v>1512</v>
      </c>
      <c r="C3" s="1540"/>
      <c r="D3" s="1540"/>
      <c r="E3" s="1540"/>
      <c r="F3" s="1540"/>
      <c r="G3" s="1540"/>
      <c r="H3" s="1540"/>
      <c r="I3" s="1541"/>
      <c r="J3" s="39"/>
    </row>
    <row r="4" spans="2:10">
      <c r="B4" s="124"/>
      <c r="I4" s="126"/>
    </row>
    <row r="5" spans="2:10" ht="13">
      <c r="B5" s="220" t="s">
        <v>1097</v>
      </c>
      <c r="C5" s="109"/>
      <c r="D5" s="109"/>
      <c r="E5" s="109"/>
      <c r="F5" s="109"/>
      <c r="G5" s="109"/>
      <c r="H5" s="109"/>
      <c r="I5" s="534"/>
      <c r="J5" s="109"/>
    </row>
    <row r="6" spans="2:10">
      <c r="B6" s="1599"/>
      <c r="C6" s="1600"/>
      <c r="D6" s="1600"/>
      <c r="E6" s="1600"/>
      <c r="F6" s="1600"/>
      <c r="G6" s="1600"/>
      <c r="H6" s="1600"/>
      <c r="I6" s="1601"/>
      <c r="J6" s="39"/>
    </row>
    <row r="7" spans="2:10">
      <c r="B7" s="223"/>
      <c r="C7" s="212"/>
      <c r="D7" s="212"/>
      <c r="E7" s="212"/>
      <c r="F7" s="212"/>
      <c r="G7" s="212"/>
      <c r="H7" s="212"/>
      <c r="I7" s="224"/>
      <c r="J7" s="39"/>
    </row>
    <row r="8" spans="2:10" ht="13" thickBot="1">
      <c r="B8" s="223"/>
      <c r="C8" s="212"/>
      <c r="D8" s="212"/>
      <c r="E8" s="212"/>
      <c r="F8" s="212"/>
      <c r="G8" s="212"/>
      <c r="H8" s="212"/>
      <c r="I8" s="224"/>
      <c r="J8" s="39"/>
    </row>
    <row r="9" spans="2:10" ht="13.5" thickBot="1">
      <c r="B9" s="1531" t="s">
        <v>207</v>
      </c>
      <c r="C9" s="1602"/>
      <c r="D9" s="1593"/>
      <c r="E9" s="39"/>
      <c r="F9" s="39"/>
      <c r="G9" s="39"/>
      <c r="H9" s="39"/>
      <c r="I9" s="146"/>
      <c r="J9" s="39"/>
    </row>
    <row r="10" spans="2:10">
      <c r="B10" s="525" t="s">
        <v>957</v>
      </c>
      <c r="C10" s="760">
        <v>8500000</v>
      </c>
      <c r="D10" s="526"/>
      <c r="E10" s="212"/>
      <c r="F10" s="212"/>
      <c r="G10" s="212"/>
      <c r="H10" s="39"/>
      <c r="I10" s="146"/>
      <c r="J10" s="39"/>
    </row>
    <row r="11" spans="2:10">
      <c r="B11" s="527" t="s">
        <v>374</v>
      </c>
      <c r="C11" s="760">
        <v>9700000</v>
      </c>
      <c r="D11" s="528"/>
      <c r="E11" s="212"/>
      <c r="F11" s="212"/>
      <c r="G11" s="212"/>
      <c r="H11" s="39"/>
      <c r="I11" s="146"/>
      <c r="J11" s="39"/>
    </row>
    <row r="12" spans="2:10" ht="13" thickBot="1">
      <c r="B12" s="529"/>
      <c r="C12" s="530"/>
      <c r="D12" s="531"/>
      <c r="E12" s="39"/>
      <c r="F12" s="39"/>
      <c r="G12" s="39"/>
      <c r="H12" s="39"/>
      <c r="I12" s="146"/>
      <c r="J12" s="39"/>
    </row>
    <row r="13" spans="2:10">
      <c r="B13" s="171"/>
      <c r="C13" s="39"/>
      <c r="D13" s="39"/>
      <c r="E13" s="39"/>
      <c r="F13" s="39"/>
      <c r="G13" s="39"/>
      <c r="H13" s="39"/>
      <c r="I13" s="146"/>
      <c r="J13" s="39"/>
    </row>
    <row r="14" spans="2:10">
      <c r="B14" s="171"/>
      <c r="C14" s="34"/>
      <c r="D14" s="34"/>
      <c r="E14" s="34"/>
      <c r="F14" s="34"/>
      <c r="G14" s="34"/>
      <c r="H14" s="39"/>
      <c r="I14" s="146"/>
      <c r="J14" s="39"/>
    </row>
    <row r="15" spans="2:10" ht="13" thickBot="1">
      <c r="B15" s="171"/>
      <c r="C15" s="34"/>
      <c r="D15" s="34"/>
      <c r="E15" s="34"/>
      <c r="F15" s="34"/>
      <c r="G15" s="34"/>
      <c r="H15" s="39"/>
      <c r="I15" s="146"/>
      <c r="J15" s="39"/>
    </row>
    <row r="16" spans="2:10" ht="13.5" thickBot="1">
      <c r="B16" s="1597" t="s">
        <v>1606</v>
      </c>
      <c r="C16" s="1598"/>
      <c r="D16" s="1598"/>
      <c r="E16" s="1598"/>
      <c r="F16" s="1538"/>
      <c r="G16" s="1538"/>
      <c r="H16" s="1538"/>
      <c r="I16" s="1539"/>
      <c r="J16" s="39"/>
    </row>
    <row r="17" spans="2:11" ht="13.5" thickBot="1">
      <c r="B17" s="157" t="s">
        <v>262</v>
      </c>
      <c r="C17" s="157"/>
      <c r="D17" s="157">
        <v>0</v>
      </c>
      <c r="E17" s="157">
        <v>1</v>
      </c>
      <c r="F17" s="157">
        <f>E17+1</f>
        <v>2</v>
      </c>
      <c r="G17" s="157">
        <f>F17+1</f>
        <v>3</v>
      </c>
      <c r="H17" s="157">
        <f>G17+1</f>
        <v>4</v>
      </c>
      <c r="I17" s="157">
        <f>H17+1</f>
        <v>5</v>
      </c>
      <c r="J17" s="39"/>
      <c r="K17" s="39"/>
    </row>
    <row r="18" spans="2:11">
      <c r="B18" s="276" t="s">
        <v>957</v>
      </c>
      <c r="C18" s="277"/>
      <c r="D18" s="850"/>
      <c r="E18" s="470"/>
      <c r="F18" s="470"/>
      <c r="G18" s="470"/>
      <c r="H18" s="470"/>
      <c r="I18" s="535"/>
      <c r="J18" s="39"/>
      <c r="K18" s="39"/>
    </row>
    <row r="19" spans="2:11" ht="38">
      <c r="B19" s="532" t="s">
        <v>1098</v>
      </c>
      <c r="C19" s="39"/>
      <c r="D19" s="39"/>
      <c r="E19" s="34">
        <f>'Ch11 Lease 14e (Monument 1of3)'!D114</f>
        <v>922750</v>
      </c>
      <c r="F19" s="34">
        <f>'Ch11 Lease 14e (Monument 1of3)'!E114</f>
        <v>948567.7</v>
      </c>
      <c r="G19" s="34">
        <f>'Ch11 Lease 14e (Monument 1of3)'!F114</f>
        <v>974146.01800000004</v>
      </c>
      <c r="H19" s="34">
        <f>'Ch11 Lease 14e (Monument 1of3)'!G114</f>
        <v>975079.61166575039</v>
      </c>
      <c r="I19" s="309">
        <f>'Ch11 Lease 14e (Monument 1of3)'!H114</f>
        <v>1008950.8576803226</v>
      </c>
      <c r="J19" s="87"/>
      <c r="K19" s="39"/>
    </row>
    <row r="20" spans="2:11">
      <c r="B20" s="171" t="s">
        <v>395</v>
      </c>
      <c r="C20" s="39"/>
      <c r="D20" s="51"/>
      <c r="E20" s="51"/>
      <c r="F20" s="51"/>
      <c r="G20" s="51"/>
      <c r="H20" s="51"/>
      <c r="I20" s="398">
        <f>C11</f>
        <v>9700000</v>
      </c>
      <c r="J20" s="39"/>
      <c r="K20" s="39"/>
    </row>
    <row r="21" spans="2:11">
      <c r="B21" s="171" t="s">
        <v>824</v>
      </c>
      <c r="C21" s="39"/>
      <c r="D21" s="299"/>
      <c r="E21" s="34">
        <f>E19</f>
        <v>922750</v>
      </c>
      <c r="F21" s="34">
        <f>F19</f>
        <v>948567.7</v>
      </c>
      <c r="G21" s="34">
        <f>G19</f>
        <v>974146.01800000004</v>
      </c>
      <c r="H21" s="34">
        <f>H19</f>
        <v>975079.61166575039</v>
      </c>
      <c r="I21" s="309">
        <f>I19+I20</f>
        <v>10708950.857680323</v>
      </c>
      <c r="K21" s="39"/>
    </row>
    <row r="22" spans="2:11">
      <c r="B22" s="171"/>
      <c r="C22" s="39"/>
      <c r="D22" s="39"/>
      <c r="E22" s="39"/>
      <c r="F22" s="39"/>
      <c r="G22" s="39"/>
      <c r="H22" s="39"/>
      <c r="I22" s="146"/>
      <c r="K22" s="39"/>
    </row>
    <row r="23" spans="2:11">
      <c r="B23" s="171"/>
      <c r="C23" s="39"/>
      <c r="D23" s="39"/>
      <c r="E23" s="39"/>
      <c r="F23" s="39"/>
      <c r="G23" s="39"/>
      <c r="H23" s="39"/>
      <c r="I23" s="146"/>
      <c r="J23" s="39"/>
    </row>
    <row r="24" spans="2:11">
      <c r="B24" s="124" t="s">
        <v>867</v>
      </c>
      <c r="C24" s="851">
        <v>0.14000000000000001</v>
      </c>
      <c r="I24" s="126"/>
    </row>
    <row r="25" spans="2:11" ht="13" thickBot="1">
      <c r="B25" s="124"/>
      <c r="I25" s="126"/>
    </row>
    <row r="26" spans="2:11" ht="13.5" thickBot="1">
      <c r="B26" s="124" t="s">
        <v>1517</v>
      </c>
      <c r="D26" s="533">
        <f>NPV(C24,E21:I21)</f>
        <v>8336061.5936201774</v>
      </c>
      <c r="I26" s="126"/>
    </row>
    <row r="27" spans="2:11">
      <c r="B27" s="124"/>
      <c r="I27" s="126"/>
    </row>
    <row r="28" spans="2:11" ht="13" thickBot="1">
      <c r="B28" s="134"/>
      <c r="C28" s="4"/>
      <c r="D28" s="4"/>
      <c r="E28" s="4"/>
      <c r="F28" s="4"/>
      <c r="G28" s="4"/>
      <c r="H28" s="4"/>
      <c r="I28" s="135"/>
    </row>
    <row r="29" spans="2:11" ht="13" thickBot="1"/>
    <row r="30" spans="2:11" ht="13.5" thickBot="1">
      <c r="B30" s="1597" t="s">
        <v>1607</v>
      </c>
      <c r="C30" s="1598"/>
      <c r="D30" s="1598"/>
      <c r="E30" s="1598"/>
      <c r="F30" s="1538"/>
      <c r="G30" s="1538"/>
      <c r="H30" s="1538"/>
      <c r="I30" s="1539"/>
    </row>
    <row r="31" spans="2:11" ht="13.5" thickBot="1">
      <c r="B31" s="157" t="s">
        <v>262</v>
      </c>
      <c r="C31" s="157"/>
      <c r="D31" s="157">
        <v>0</v>
      </c>
      <c r="E31" s="157">
        <v>1</v>
      </c>
      <c r="F31" s="157">
        <f>E31+1</f>
        <v>2</v>
      </c>
      <c r="G31" s="157">
        <f>F31+1</f>
        <v>3</v>
      </c>
      <c r="H31" s="157">
        <f>G31+1</f>
        <v>4</v>
      </c>
      <c r="I31" s="157">
        <f>H31+1</f>
        <v>5</v>
      </c>
    </row>
    <row r="32" spans="2:11">
      <c r="B32" s="276" t="s">
        <v>957</v>
      </c>
      <c r="C32" s="277"/>
      <c r="D32" s="850">
        <f>-C10</f>
        <v>-8500000</v>
      </c>
      <c r="E32" s="470"/>
      <c r="F32" s="470"/>
      <c r="G32" s="470"/>
      <c r="H32" s="470"/>
      <c r="I32" s="535"/>
    </row>
    <row r="33" spans="2:9" ht="38">
      <c r="B33" s="532" t="s">
        <v>1098</v>
      </c>
      <c r="C33" s="39"/>
      <c r="D33" s="39"/>
      <c r="E33" s="34">
        <f>'Ch11 Lease 14e (Monument 1of3)'!D114</f>
        <v>922750</v>
      </c>
      <c r="F33" s="34">
        <f>'Ch11 Lease 14e (Monument 1of3)'!E114</f>
        <v>948567.7</v>
      </c>
      <c r="G33" s="34">
        <f>'Ch11 Lease 14e (Monument 1of3)'!F114</f>
        <v>974146.01800000004</v>
      </c>
      <c r="H33" s="34">
        <f>'Ch11 Lease 14e (Monument 1of3)'!G114</f>
        <v>975079.61166575039</v>
      </c>
      <c r="I33" s="309">
        <f>'Ch11 Lease 14e (Monument 1of3)'!H114</f>
        <v>1008950.8576803226</v>
      </c>
    </row>
    <row r="34" spans="2:9">
      <c r="B34" s="171" t="s">
        <v>395</v>
      </c>
      <c r="C34" s="39"/>
      <c r="D34" s="51"/>
      <c r="E34" s="51"/>
      <c r="F34" s="51"/>
      <c r="G34" s="51"/>
      <c r="H34" s="51"/>
      <c r="I34" s="398">
        <f>C11</f>
        <v>9700000</v>
      </c>
    </row>
    <row r="35" spans="2:9">
      <c r="B35" s="171" t="s">
        <v>824</v>
      </c>
      <c r="C35" s="39"/>
      <c r="D35" s="299">
        <f>D32</f>
        <v>-8500000</v>
      </c>
      <c r="E35" s="34">
        <f>E33</f>
        <v>922750</v>
      </c>
      <c r="F35" s="34">
        <f>F33</f>
        <v>948567.7</v>
      </c>
      <c r="G35" s="34">
        <f>G33</f>
        <v>974146.01800000004</v>
      </c>
      <c r="H35" s="34">
        <f>H33</f>
        <v>975079.61166575039</v>
      </c>
      <c r="I35" s="309">
        <f>I33+I34</f>
        <v>10708950.857680323</v>
      </c>
    </row>
    <row r="36" spans="2:9" ht="13" thickBot="1">
      <c r="B36" s="171"/>
      <c r="C36" s="39"/>
      <c r="D36" s="39"/>
      <c r="E36" s="39"/>
      <c r="F36" s="39"/>
      <c r="G36" s="39"/>
      <c r="H36" s="39"/>
      <c r="I36" s="146"/>
    </row>
    <row r="37" spans="2:9" ht="13.5" thickBot="1">
      <c r="B37" s="541" t="s">
        <v>903</v>
      </c>
      <c r="C37" s="39"/>
      <c r="D37" s="155">
        <f>IRR(D35:I35)</f>
        <v>0.13463239354339129</v>
      </c>
      <c r="E37" s="39"/>
      <c r="F37" s="39"/>
      <c r="G37" s="39"/>
      <c r="H37" s="39"/>
      <c r="I37" s="146"/>
    </row>
    <row r="38" spans="2:9">
      <c r="B38" s="171"/>
      <c r="C38" s="39"/>
      <c r="D38" s="39"/>
      <c r="E38" s="39"/>
      <c r="F38" s="39"/>
      <c r="G38" s="39"/>
      <c r="H38" s="39"/>
      <c r="I38" s="146"/>
    </row>
    <row r="39" spans="2:9">
      <c r="B39" s="171"/>
      <c r="C39" s="39"/>
      <c r="D39" s="39"/>
      <c r="E39" s="39"/>
      <c r="F39" s="39"/>
      <c r="G39" s="39"/>
      <c r="H39" s="39"/>
      <c r="I39" s="146"/>
    </row>
    <row r="40" spans="2:9">
      <c r="B40" s="171"/>
      <c r="C40" s="39"/>
      <c r="D40" s="39"/>
      <c r="E40" s="39"/>
      <c r="F40" s="39"/>
      <c r="G40" s="39"/>
      <c r="H40" s="39"/>
      <c r="I40" s="146"/>
    </row>
    <row r="41" spans="2:9">
      <c r="B41" s="1133"/>
      <c r="C41" s="39"/>
      <c r="D41" s="39"/>
      <c r="E41" s="39"/>
      <c r="F41" s="39"/>
      <c r="G41" s="39"/>
      <c r="H41" s="39"/>
      <c r="I41" s="146"/>
    </row>
    <row r="42" spans="2:9" ht="13" thickBot="1">
      <c r="B42" s="124"/>
      <c r="I42" s="126"/>
    </row>
    <row r="43" spans="2:9" ht="13" thickBot="1">
      <c r="B43" s="124" t="s">
        <v>1517</v>
      </c>
      <c r="D43" s="1352">
        <f>D26</f>
        <v>8336061.5936201774</v>
      </c>
      <c r="I43" s="126"/>
    </row>
    <row r="44" spans="2:9" ht="13" thickBot="1">
      <c r="B44" s="124" t="s">
        <v>1608</v>
      </c>
      <c r="D44" s="8">
        <f>-C10</f>
        <v>-8500000</v>
      </c>
      <c r="I44" s="126"/>
    </row>
    <row r="45" spans="2:9" ht="13.5" thickBot="1">
      <c r="B45" s="1133" t="s">
        <v>1609</v>
      </c>
      <c r="D45" s="1306">
        <f>D43+D44</f>
        <v>-163938.40637982264</v>
      </c>
      <c r="I45" s="126"/>
    </row>
    <row r="46" spans="2:9" ht="13">
      <c r="B46" s="1133"/>
      <c r="D46" s="1351"/>
      <c r="I46" s="126"/>
    </row>
    <row r="47" spans="2:9" ht="13" thickBot="1">
      <c r="B47" s="134"/>
      <c r="C47" s="4"/>
      <c r="D47" s="4"/>
      <c r="E47" s="4"/>
      <c r="F47" s="4"/>
      <c r="G47" s="4"/>
      <c r="H47" s="4"/>
      <c r="I47" s="135"/>
    </row>
  </sheetData>
  <mergeCells count="6">
    <mergeCell ref="B30:I30"/>
    <mergeCell ref="B16:I16"/>
    <mergeCell ref="B6:I6"/>
    <mergeCell ref="B2:I2"/>
    <mergeCell ref="B3:I3"/>
    <mergeCell ref="B9:D9"/>
  </mergeCells>
  <phoneticPr fontId="0" type="noConversion"/>
  <pageMargins left="0.75" right="0.75" top="1" bottom="1" header="0.5" footer="0.5"/>
  <pageSetup orientation="portrait" horizontalDpi="1200" verticalDpi="1200" r:id="rId1"/>
  <headerFooter alignWithMargins="0"/>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B1:K155"/>
  <sheetViews>
    <sheetView workbookViewId="0">
      <selection activeCell="C93" sqref="C93"/>
    </sheetView>
  </sheetViews>
  <sheetFormatPr defaultRowHeight="12.5"/>
  <cols>
    <col min="2" max="2" width="28.453125" customWidth="1"/>
    <col min="3" max="3" width="12.81640625" customWidth="1"/>
    <col min="4" max="4" width="11.1796875" customWidth="1"/>
    <col min="5" max="5" width="13.1796875" customWidth="1"/>
    <col min="6" max="6" width="12.453125" customWidth="1"/>
    <col min="7" max="7" width="11.453125" customWidth="1"/>
    <col min="8" max="8" width="12" customWidth="1"/>
  </cols>
  <sheetData>
    <row r="1" spans="2:11" ht="13" thickBot="1"/>
    <row r="2" spans="2:11" ht="18.5" thickBot="1">
      <c r="B2" s="1525" t="s">
        <v>1600</v>
      </c>
      <c r="C2" s="1557"/>
      <c r="D2" s="1557"/>
      <c r="E2" s="1557"/>
      <c r="F2" s="1557"/>
      <c r="G2" s="1557"/>
      <c r="H2" s="1557"/>
      <c r="I2" s="1558"/>
      <c r="J2" s="39"/>
      <c r="K2" s="39"/>
    </row>
    <row r="3" spans="2:11" ht="16" thickBot="1">
      <c r="B3" s="1528" t="s">
        <v>1468</v>
      </c>
      <c r="C3" s="1540"/>
      <c r="D3" s="1540"/>
      <c r="E3" s="1540"/>
      <c r="F3" s="1540"/>
      <c r="G3" s="1540"/>
      <c r="H3" s="1540"/>
      <c r="I3" s="1541"/>
      <c r="J3" s="39"/>
      <c r="K3" s="39"/>
    </row>
    <row r="4" spans="2:11">
      <c r="B4" s="124"/>
      <c r="I4" s="126"/>
      <c r="K4" s="39"/>
    </row>
    <row r="5" spans="2:11" ht="13">
      <c r="B5" s="220" t="s">
        <v>1100</v>
      </c>
      <c r="C5" s="394"/>
      <c r="D5" s="394"/>
      <c r="E5" s="394"/>
      <c r="F5" s="394"/>
      <c r="G5" s="394"/>
      <c r="H5" s="394"/>
      <c r="I5" s="395"/>
      <c r="J5" s="394"/>
      <c r="K5" s="39"/>
    </row>
    <row r="6" spans="2:11">
      <c r="B6" s="550" t="s">
        <v>1003</v>
      </c>
      <c r="C6" s="549"/>
      <c r="D6" s="549"/>
      <c r="E6" s="549"/>
      <c r="F6" s="549"/>
      <c r="G6" s="549"/>
      <c r="H6" s="549"/>
      <c r="I6" s="551"/>
      <c r="J6" s="549"/>
      <c r="K6" s="39"/>
    </row>
    <row r="7" spans="2:11">
      <c r="B7" s="223"/>
      <c r="C7" s="212"/>
      <c r="D7" s="212"/>
      <c r="E7" s="212"/>
      <c r="F7" s="212"/>
      <c r="G7" s="212"/>
      <c r="H7" s="212"/>
      <c r="I7" s="224"/>
      <c r="J7" s="39"/>
      <c r="K7" s="39"/>
    </row>
    <row r="8" spans="2:11" ht="13" thickBot="1">
      <c r="B8" s="223"/>
      <c r="C8" s="212"/>
      <c r="D8" s="212"/>
      <c r="E8" s="212"/>
      <c r="F8" s="212"/>
      <c r="G8" s="212"/>
      <c r="H8" s="212"/>
      <c r="I8" s="224"/>
      <c r="J8" s="39"/>
      <c r="K8" s="39"/>
    </row>
    <row r="9" spans="2:11" ht="13.5" thickBot="1">
      <c r="B9" s="1531" t="s">
        <v>207</v>
      </c>
      <c r="C9" s="1532"/>
      <c r="D9" s="1532"/>
      <c r="E9" s="1532"/>
      <c r="F9" s="1532"/>
      <c r="G9" s="1533"/>
      <c r="H9" s="39"/>
      <c r="I9" s="146"/>
      <c r="J9" s="39"/>
      <c r="K9" s="39"/>
    </row>
    <row r="10" spans="2:11" ht="13.5" thickBot="1">
      <c r="B10" s="276" t="s">
        <v>957</v>
      </c>
      <c r="C10" s="761">
        <v>8500000</v>
      </c>
      <c r="D10" s="278"/>
      <c r="E10" s="243" t="s">
        <v>1324</v>
      </c>
      <c r="F10" s="277"/>
      <c r="G10" s="278"/>
      <c r="H10" s="39"/>
      <c r="I10" s="146"/>
      <c r="J10" s="39"/>
      <c r="K10" s="39"/>
    </row>
    <row r="11" spans="2:11">
      <c r="B11" s="171" t="s">
        <v>1381</v>
      </c>
      <c r="C11" s="961">
        <v>0.85</v>
      </c>
      <c r="D11" s="146"/>
      <c r="E11" s="171" t="s">
        <v>365</v>
      </c>
      <c r="F11" s="39"/>
      <c r="G11" s="248">
        <v>39</v>
      </c>
      <c r="H11" s="39"/>
      <c r="I11" s="146"/>
      <c r="J11" s="39"/>
      <c r="K11" s="39"/>
    </row>
    <row r="12" spans="2:11">
      <c r="B12" s="171" t="s">
        <v>364</v>
      </c>
      <c r="C12" s="962">
        <f>C11*C10</f>
        <v>7225000</v>
      </c>
      <c r="D12" s="146"/>
      <c r="E12" s="171" t="s">
        <v>367</v>
      </c>
      <c r="F12" s="39"/>
      <c r="G12" s="891">
        <v>0.15</v>
      </c>
      <c r="H12" s="39"/>
      <c r="I12" s="146"/>
      <c r="J12" s="39"/>
      <c r="K12" s="39"/>
    </row>
    <row r="13" spans="2:11">
      <c r="B13" s="171" t="s">
        <v>368</v>
      </c>
      <c r="C13" s="424">
        <v>0.7</v>
      </c>
      <c r="D13" s="146"/>
      <c r="E13" s="171" t="s">
        <v>369</v>
      </c>
      <c r="F13" s="39"/>
      <c r="G13" s="891">
        <v>0.25</v>
      </c>
      <c r="H13" s="39"/>
      <c r="I13" s="146"/>
      <c r="J13" s="39"/>
      <c r="K13" s="39"/>
    </row>
    <row r="14" spans="2:11" ht="13">
      <c r="B14" s="171" t="s">
        <v>370</v>
      </c>
      <c r="C14" s="424">
        <v>0.1</v>
      </c>
      <c r="D14" s="146"/>
      <c r="E14" s="171" t="s">
        <v>366</v>
      </c>
      <c r="F14" s="39"/>
      <c r="G14" s="891">
        <v>0.36</v>
      </c>
      <c r="H14" s="48"/>
      <c r="I14" s="146"/>
      <c r="J14" s="39"/>
      <c r="K14" s="39"/>
    </row>
    <row r="15" spans="2:11" ht="13.5" thickBot="1">
      <c r="B15" s="171" t="s">
        <v>371</v>
      </c>
      <c r="C15" s="152">
        <v>20</v>
      </c>
      <c r="D15" s="146" t="s">
        <v>208</v>
      </c>
      <c r="E15" s="124"/>
      <c r="G15" s="126"/>
      <c r="H15" s="48"/>
      <c r="I15" s="146"/>
      <c r="J15" s="39"/>
      <c r="K15" s="39"/>
    </row>
    <row r="16" spans="2:11" ht="13.5" thickBot="1">
      <c r="B16" s="171" t="s">
        <v>372</v>
      </c>
      <c r="C16" s="152">
        <v>12</v>
      </c>
      <c r="D16" s="146"/>
      <c r="E16" s="243" t="s">
        <v>1323</v>
      </c>
      <c r="F16" s="39"/>
      <c r="G16" s="146"/>
      <c r="H16" s="48"/>
      <c r="I16" s="146"/>
      <c r="J16" s="39"/>
      <c r="K16" s="39"/>
    </row>
    <row r="17" spans="2:11">
      <c r="B17" s="171" t="s">
        <v>374</v>
      </c>
      <c r="C17" s="759">
        <v>9700000</v>
      </c>
      <c r="D17" s="146"/>
      <c r="E17" s="171" t="s">
        <v>373</v>
      </c>
      <c r="F17" s="39"/>
      <c r="G17" s="892">
        <v>100000</v>
      </c>
      <c r="H17" s="39"/>
      <c r="I17" s="146"/>
      <c r="J17" s="39"/>
      <c r="K17" s="39"/>
    </row>
    <row r="18" spans="2:11">
      <c r="B18" s="171" t="s">
        <v>376</v>
      </c>
      <c r="C18" s="152">
        <v>5</v>
      </c>
      <c r="D18" s="146" t="s">
        <v>208</v>
      </c>
      <c r="E18" s="171" t="s">
        <v>375</v>
      </c>
      <c r="F18" s="39"/>
      <c r="G18" s="892">
        <v>96000</v>
      </c>
      <c r="H18" s="39"/>
      <c r="I18" s="146"/>
      <c r="J18" s="39"/>
      <c r="K18" s="39"/>
    </row>
    <row r="19" spans="2:11">
      <c r="B19" s="171" t="s">
        <v>377</v>
      </c>
      <c r="C19" s="152">
        <v>0</v>
      </c>
      <c r="D19" s="146" t="s">
        <v>378</v>
      </c>
      <c r="E19" s="171"/>
      <c r="F19" s="39"/>
      <c r="G19" s="146"/>
      <c r="H19" s="39"/>
      <c r="I19" s="146"/>
      <c r="J19" s="39"/>
      <c r="K19" s="39"/>
    </row>
    <row r="20" spans="2:11">
      <c r="B20" s="171" t="s">
        <v>379</v>
      </c>
      <c r="C20" s="865">
        <v>0.18</v>
      </c>
      <c r="D20" s="146"/>
      <c r="E20" s="171"/>
      <c r="F20" s="39"/>
      <c r="G20" s="146"/>
      <c r="H20" s="39"/>
      <c r="I20" s="146"/>
      <c r="J20" s="39"/>
      <c r="K20" s="39"/>
    </row>
    <row r="21" spans="2:11" ht="13" thickBot="1">
      <c r="B21" s="228" t="s">
        <v>380</v>
      </c>
      <c r="C21" s="864">
        <v>0.06</v>
      </c>
      <c r="D21" s="149"/>
      <c r="E21" s="228"/>
      <c r="F21" s="63"/>
      <c r="G21" s="149"/>
      <c r="H21" s="39"/>
      <c r="I21" s="146"/>
      <c r="J21" s="39"/>
      <c r="K21" s="39"/>
    </row>
    <row r="22" spans="2:11" ht="13" thickBot="1">
      <c r="B22" s="171"/>
      <c r="C22" s="39"/>
      <c r="D22" s="39"/>
      <c r="E22" s="39"/>
      <c r="F22" s="39"/>
      <c r="G22" s="39"/>
      <c r="H22" s="39"/>
      <c r="I22" s="146"/>
      <c r="J22" s="39"/>
      <c r="K22" s="39"/>
    </row>
    <row r="23" spans="2:11">
      <c r="B23" s="276" t="s">
        <v>291</v>
      </c>
      <c r="C23" s="470">
        <f>(1-C13)*C10</f>
        <v>2550000.0000000005</v>
      </c>
      <c r="D23" s="470"/>
      <c r="E23" s="535"/>
      <c r="F23" s="39"/>
      <c r="G23" s="39"/>
      <c r="H23" s="39"/>
      <c r="I23" s="146"/>
      <c r="J23" s="39"/>
      <c r="K23" s="39"/>
    </row>
    <row r="24" spans="2:11">
      <c r="B24" s="171" t="s">
        <v>381</v>
      </c>
      <c r="C24" s="34">
        <f>C13*C10</f>
        <v>5950000</v>
      </c>
      <c r="D24" s="34"/>
      <c r="E24" s="309"/>
      <c r="F24" s="39"/>
      <c r="G24" s="39"/>
      <c r="H24" s="39"/>
      <c r="I24" s="146"/>
      <c r="J24" s="39"/>
      <c r="K24" s="39"/>
    </row>
    <row r="25" spans="2:11">
      <c r="B25" s="171" t="s">
        <v>382</v>
      </c>
      <c r="C25" s="34">
        <f>PMT(C14/C16,C15*C16,-C24)*C16</f>
        <v>689025.4545828416</v>
      </c>
      <c r="D25" s="34"/>
      <c r="E25" s="309"/>
      <c r="F25" s="39"/>
      <c r="G25" s="39"/>
      <c r="H25" s="39"/>
      <c r="I25" s="146"/>
      <c r="J25" s="39"/>
      <c r="K25" s="39"/>
    </row>
    <row r="26" spans="2:11" ht="13" thickBot="1">
      <c r="B26" s="228" t="s">
        <v>1305</v>
      </c>
      <c r="C26" s="64">
        <f>PV(C14/C16,(C15-C18)*C16,-(C25/C16))</f>
        <v>5343245.3406107286</v>
      </c>
      <c r="D26" s="536" t="s">
        <v>1304</v>
      </c>
      <c r="E26" s="963">
        <f>C18</f>
        <v>5</v>
      </c>
      <c r="F26" s="39"/>
      <c r="G26" s="39"/>
      <c r="H26" s="39"/>
      <c r="I26" s="146"/>
      <c r="J26" s="39"/>
      <c r="K26" s="39"/>
    </row>
    <row r="27" spans="2:11">
      <c r="B27" s="171"/>
      <c r="C27" s="39"/>
      <c r="D27" s="39"/>
      <c r="E27" s="39"/>
      <c r="F27" s="39"/>
      <c r="G27" s="39"/>
      <c r="H27" s="39"/>
      <c r="I27" s="146"/>
      <c r="J27" s="39"/>
      <c r="K27" s="39"/>
    </row>
    <row r="28" spans="2:11" ht="13" thickBot="1">
      <c r="B28" s="171"/>
      <c r="C28" s="39"/>
      <c r="D28" s="39"/>
      <c r="E28" s="39"/>
      <c r="F28" s="39"/>
      <c r="G28" s="39"/>
      <c r="H28" s="39"/>
      <c r="I28" s="146"/>
      <c r="J28" s="39"/>
      <c r="K28" s="39"/>
    </row>
    <row r="29" spans="2:11" ht="13.5" thickBot="1">
      <c r="B29" s="1547" t="s">
        <v>385</v>
      </c>
      <c r="C29" s="1548"/>
      <c r="D29" s="1548"/>
      <c r="E29" s="1548"/>
      <c r="F29" s="1548"/>
      <c r="G29" s="1549"/>
      <c r="H29" s="39"/>
      <c r="I29" s="146"/>
      <c r="J29" s="39"/>
      <c r="K29" s="39"/>
    </row>
    <row r="30" spans="2:11" ht="13.5" thickBot="1">
      <c r="B30" s="157" t="s">
        <v>386</v>
      </c>
      <c r="C30" s="157">
        <v>1</v>
      </c>
      <c r="D30" s="157">
        <f>(1+C30)</f>
        <v>2</v>
      </c>
      <c r="E30" s="157">
        <f>(1+D30)</f>
        <v>3</v>
      </c>
      <c r="F30" s="157">
        <f>(1+E30)</f>
        <v>4</v>
      </c>
      <c r="G30" s="157">
        <f>(1+F30)</f>
        <v>5</v>
      </c>
      <c r="H30" s="39"/>
      <c r="I30" s="146"/>
      <c r="J30" s="39"/>
      <c r="K30" s="39"/>
    </row>
    <row r="31" spans="2:11">
      <c r="B31" s="171" t="s">
        <v>209</v>
      </c>
      <c r="C31" s="34">
        <f>$C$25</f>
        <v>689025.4545828416</v>
      </c>
      <c r="D31" s="34">
        <f>$C$25</f>
        <v>689025.4545828416</v>
      </c>
      <c r="E31" s="34">
        <f>$C$25</f>
        <v>689025.4545828416</v>
      </c>
      <c r="F31" s="34">
        <f>$C$25</f>
        <v>689025.4545828416</v>
      </c>
      <c r="G31" s="309">
        <f>$C$25</f>
        <v>689025.4545828416</v>
      </c>
      <c r="H31" s="39"/>
      <c r="I31" s="146"/>
      <c r="J31" s="39"/>
      <c r="K31" s="39"/>
    </row>
    <row r="32" spans="2:11">
      <c r="B32" s="171" t="s">
        <v>383</v>
      </c>
      <c r="C32" s="34">
        <f>IF($C$15&gt;C30-$C30+1,(($C25/$C$16)/PMT($C$14/($C$16),($C$15-(C30-$C30+1))*$C$16,-1)),0)</f>
        <v>5851543.0623306828</v>
      </c>
      <c r="D32" s="34">
        <f>IF($C$15&gt;D30-$C30+1,(($C25/$C$16)/PMT($C$14/($C$16),($C$15-(D30-$C30+1))*$C$16,-1)),0)</f>
        <v>5742776.3967071353</v>
      </c>
      <c r="E32" s="34">
        <f>IF($C$15&gt;E30-$C30+1,(($C25/$C$16)/PMT($C$14/($C$16),($C$15-(E30-$C30+1))*$C$16,-1)),0)</f>
        <v>5622620.4398907833</v>
      </c>
      <c r="F32" s="34">
        <f>IF($C$15&gt;F30-$C30+1,(($C25/$C$16)/PMT($C$14/($C$16),($C$15-(F30-$C30+1))*$C$16,-1)),0)</f>
        <v>5489882.5842648484</v>
      </c>
      <c r="G32" s="309">
        <f>IF($C$15&gt;G30-$C30+1,(($C25/$C$16)/PMT($C$14/($C$16),($C$15-(G30-$C30+1))*$C$16,-1)),0)</f>
        <v>5343245.3406107388</v>
      </c>
      <c r="H32" s="39"/>
      <c r="I32" s="146"/>
      <c r="J32" s="39"/>
      <c r="K32" s="39"/>
    </row>
    <row r="33" spans="2:11">
      <c r="B33" s="171" t="s">
        <v>210</v>
      </c>
      <c r="C33" s="34">
        <f>($C$25-($C$24-C32))</f>
        <v>590568.51691352436</v>
      </c>
      <c r="D33" s="34">
        <f>($C$25-(C32-D32))</f>
        <v>580258.78895929409</v>
      </c>
      <c r="E33" s="34">
        <f>($C$25-(D32-E32))</f>
        <v>568869.49776648963</v>
      </c>
      <c r="F33" s="34">
        <f>($C$25-(E32-F32))</f>
        <v>556287.5989569067</v>
      </c>
      <c r="G33" s="309">
        <f>($C$25-(F32-G32))</f>
        <v>542388.21092873206</v>
      </c>
      <c r="H33" s="39"/>
      <c r="I33" s="146"/>
      <c r="J33" s="39"/>
      <c r="K33" s="39"/>
    </row>
    <row r="34" spans="2:11" ht="13" thickBot="1">
      <c r="B34" s="228" t="s">
        <v>387</v>
      </c>
      <c r="C34" s="64">
        <f>C31-C33</f>
        <v>98456.937669317238</v>
      </c>
      <c r="D34" s="64">
        <f>D31-D33</f>
        <v>108766.66562354751</v>
      </c>
      <c r="E34" s="64">
        <f>E31-E33</f>
        <v>120155.95681635197</v>
      </c>
      <c r="F34" s="64">
        <f>F31-F33</f>
        <v>132737.8556259349</v>
      </c>
      <c r="G34" s="379">
        <f>G31-G33</f>
        <v>146637.24365410954</v>
      </c>
      <c r="H34" s="39"/>
      <c r="I34" s="146"/>
      <c r="J34" s="39"/>
      <c r="K34" s="39"/>
    </row>
    <row r="35" spans="2:11">
      <c r="B35" s="171"/>
      <c r="C35" s="34"/>
      <c r="D35" s="34"/>
      <c r="E35" s="34"/>
      <c r="F35" s="34"/>
      <c r="G35" s="34"/>
      <c r="H35" s="39"/>
      <c r="I35" s="146"/>
      <c r="J35" s="39"/>
      <c r="K35" s="39"/>
    </row>
    <row r="36" spans="2:11" ht="13" thickBot="1">
      <c r="B36" s="171"/>
      <c r="C36" s="34"/>
      <c r="D36" s="34"/>
      <c r="E36" s="34"/>
      <c r="F36" s="34"/>
      <c r="G36" s="34"/>
      <c r="H36" s="39"/>
      <c r="I36" s="146"/>
      <c r="J36" s="39"/>
      <c r="K36" s="39"/>
    </row>
    <row r="37" spans="2:11" ht="13.5" thickBot="1">
      <c r="B37" s="1597" t="s">
        <v>1383</v>
      </c>
      <c r="C37" s="1598"/>
      <c r="D37" s="1598"/>
      <c r="E37" s="1598"/>
      <c r="F37" s="1538"/>
      <c r="G37" s="1539"/>
      <c r="H37" s="39"/>
      <c r="I37" s="146"/>
      <c r="J37" s="39"/>
      <c r="K37" s="39"/>
    </row>
    <row r="38" spans="2:11">
      <c r="B38" s="171" t="s">
        <v>388</v>
      </c>
      <c r="C38" s="34"/>
      <c r="D38" s="34"/>
      <c r="E38" s="34"/>
      <c r="F38" s="34"/>
      <c r="G38" s="309"/>
      <c r="H38" s="39"/>
      <c r="I38" s="146"/>
      <c r="J38" s="39"/>
      <c r="K38" s="39"/>
    </row>
    <row r="39" spans="2:11" ht="25.5">
      <c r="B39" s="532" t="s">
        <v>1099</v>
      </c>
      <c r="C39" s="38">
        <f>'Ch11 Lease 14e (Monument 1of3)'!D114</f>
        <v>922750</v>
      </c>
      <c r="D39" s="38">
        <f>'Ch11 Lease 14e (Monument 1of3)'!E114</f>
        <v>948567.7</v>
      </c>
      <c r="E39" s="38">
        <f>'Ch11 Lease 14e (Monument 1of3)'!F114</f>
        <v>974146.01800000004</v>
      </c>
      <c r="F39" s="38">
        <f>'Ch11 Lease 14e (Monument 1of3)'!G114</f>
        <v>975079.61166575039</v>
      </c>
      <c r="G39" s="537">
        <f>'Ch11 Lease 14e (Monument 1of3)'!H114</f>
        <v>1008950.8576803226</v>
      </c>
      <c r="H39" s="39" t="s">
        <v>841</v>
      </c>
      <c r="I39" s="146"/>
      <c r="J39" s="39"/>
      <c r="K39" s="39"/>
    </row>
    <row r="40" spans="2:11">
      <c r="B40" s="171" t="s">
        <v>390</v>
      </c>
      <c r="C40" s="34">
        <f>C33</f>
        <v>590568.51691352436</v>
      </c>
      <c r="D40" s="34">
        <f>D33</f>
        <v>580258.78895929409</v>
      </c>
      <c r="E40" s="34">
        <f>E33</f>
        <v>568869.49776648963</v>
      </c>
      <c r="F40" s="34">
        <f>F33</f>
        <v>556287.5989569067</v>
      </c>
      <c r="G40" s="309">
        <f>G33</f>
        <v>542388.21092873206</v>
      </c>
      <c r="H40" s="39"/>
      <c r="I40" s="146"/>
      <c r="J40" s="39"/>
      <c r="K40" s="39"/>
    </row>
    <row r="41" spans="2:11">
      <c r="B41" s="171" t="s">
        <v>391</v>
      </c>
      <c r="C41" s="52">
        <f>$C$12/$G$11</f>
        <v>185256.41025641025</v>
      </c>
      <c r="D41" s="52">
        <f>$C$12/$G$11</f>
        <v>185256.41025641025</v>
      </c>
      <c r="E41" s="52">
        <f>$C$12/$G$11</f>
        <v>185256.41025641025</v>
      </c>
      <c r="F41" s="52">
        <f>$C$12/$G$11</f>
        <v>185256.41025641025</v>
      </c>
      <c r="G41" s="398">
        <f>$C$12/$G$11</f>
        <v>185256.41025641025</v>
      </c>
      <c r="H41" s="39"/>
      <c r="I41" s="146"/>
      <c r="J41" s="39"/>
      <c r="K41" s="39"/>
    </row>
    <row r="42" spans="2:11">
      <c r="B42" s="171" t="s">
        <v>392</v>
      </c>
      <c r="C42" s="34">
        <f>C39-C40-C41</f>
        <v>146925.07283006539</v>
      </c>
      <c r="D42" s="34">
        <f>D39-D40-D41</f>
        <v>183052.50078429561</v>
      </c>
      <c r="E42" s="34">
        <f>E39-E40-E41</f>
        <v>220020.10997710016</v>
      </c>
      <c r="F42" s="34">
        <f>F39-F40-F41</f>
        <v>233535.60245243344</v>
      </c>
      <c r="G42" s="309">
        <f>G39-G40-G41</f>
        <v>281306.23649518029</v>
      </c>
      <c r="H42" s="39"/>
      <c r="I42" s="146"/>
      <c r="J42" s="39"/>
      <c r="K42" s="39"/>
    </row>
    <row r="43" spans="2:11">
      <c r="B43" s="171"/>
      <c r="C43" s="34"/>
      <c r="D43" s="34"/>
      <c r="E43" s="34"/>
      <c r="F43" s="34"/>
      <c r="G43" s="309"/>
      <c r="H43" s="39"/>
      <c r="I43" s="146"/>
      <c r="J43" s="39"/>
      <c r="K43" s="39"/>
    </row>
    <row r="44" spans="2:11" ht="13.5" thickBot="1">
      <c r="B44" s="168" t="s">
        <v>1303</v>
      </c>
      <c r="C44" s="35">
        <f>C42*$G$14</f>
        <v>52893.026218823536</v>
      </c>
      <c r="D44" s="35">
        <f>D42*$G$14</f>
        <v>65898.900282346411</v>
      </c>
      <c r="E44" s="35">
        <f>E42*$G$14</f>
        <v>79207.23959175605</v>
      </c>
      <c r="F44" s="35">
        <f>F42*$G$14</f>
        <v>84072.816882876039</v>
      </c>
      <c r="G44" s="538">
        <f>G42*$G$14</f>
        <v>101270.2451382649</v>
      </c>
      <c r="H44" s="39"/>
      <c r="I44" s="146"/>
      <c r="J44" s="39"/>
      <c r="K44" s="39"/>
    </row>
    <row r="45" spans="2:11" ht="14" thickTop="1" thickBot="1">
      <c r="B45" s="168"/>
      <c r="C45" s="41"/>
      <c r="D45" s="41"/>
      <c r="E45" s="41"/>
      <c r="F45" s="41"/>
      <c r="G45" s="539"/>
      <c r="H45" s="39"/>
      <c r="I45" s="146"/>
      <c r="J45" s="39"/>
      <c r="K45" s="39"/>
    </row>
    <row r="46" spans="2:11" ht="13.5" thickBot="1">
      <c r="B46" s="1604" t="s">
        <v>1384</v>
      </c>
      <c r="C46" s="1605"/>
      <c r="D46" s="1605"/>
      <c r="E46" s="1605"/>
      <c r="F46" s="1606"/>
      <c r="G46" s="1607"/>
      <c r="H46" s="39"/>
      <c r="I46" s="146"/>
      <c r="J46" s="39"/>
      <c r="K46" s="39"/>
    </row>
    <row r="47" spans="2:11">
      <c r="B47" s="124"/>
      <c r="C47" s="34"/>
      <c r="D47" s="34"/>
      <c r="E47" s="34"/>
      <c r="F47" s="34"/>
      <c r="G47" s="309"/>
      <c r="H47" s="39"/>
      <c r="I47" s="146"/>
      <c r="J47" s="39"/>
      <c r="K47" s="39"/>
    </row>
    <row r="48" spans="2:11" ht="13">
      <c r="B48" s="888" t="s">
        <v>966</v>
      </c>
      <c r="C48" s="34"/>
      <c r="D48" s="34"/>
      <c r="E48" s="34"/>
      <c r="F48" s="34"/>
      <c r="G48" s="309"/>
      <c r="H48" s="39"/>
      <c r="I48" s="146"/>
      <c r="J48" s="39"/>
      <c r="K48" s="39"/>
    </row>
    <row r="49" spans="2:11">
      <c r="B49" s="171" t="s">
        <v>389</v>
      </c>
      <c r="C49" s="299">
        <f>C39</f>
        <v>922750</v>
      </c>
      <c r="D49" s="299">
        <f>D39</f>
        <v>948567.7</v>
      </c>
      <c r="E49" s="299">
        <f>E39</f>
        <v>974146.01800000004</v>
      </c>
      <c r="F49" s="299">
        <f>F39</f>
        <v>975079.61166575039</v>
      </c>
      <c r="G49" s="308">
        <f>G39</f>
        <v>1008950.8576803226</v>
      </c>
      <c r="H49" s="39"/>
      <c r="I49" s="146"/>
      <c r="J49" s="39"/>
      <c r="K49" s="39"/>
    </row>
    <row r="50" spans="2:11">
      <c r="B50" s="171" t="s">
        <v>952</v>
      </c>
      <c r="C50" s="52">
        <f>$C$25</f>
        <v>689025.4545828416</v>
      </c>
      <c r="D50" s="52">
        <f>$C$25</f>
        <v>689025.4545828416</v>
      </c>
      <c r="E50" s="52">
        <f>$C$25</f>
        <v>689025.4545828416</v>
      </c>
      <c r="F50" s="52">
        <f>$C$25</f>
        <v>689025.4545828416</v>
      </c>
      <c r="G50" s="398">
        <f>$C$25</f>
        <v>689025.4545828416</v>
      </c>
      <c r="H50" s="39"/>
      <c r="I50" s="146"/>
      <c r="J50" s="39"/>
      <c r="K50" s="39"/>
    </row>
    <row r="51" spans="2:11" ht="13">
      <c r="B51" s="168" t="s">
        <v>1577</v>
      </c>
      <c r="C51" s="904">
        <f>C49-C31</f>
        <v>233724.5454171584</v>
      </c>
      <c r="D51" s="904">
        <f>D49-D31</f>
        <v>259542.24541715835</v>
      </c>
      <c r="E51" s="904">
        <f>E49-E31</f>
        <v>285120.56341715844</v>
      </c>
      <c r="F51" s="904">
        <f>F49-F31</f>
        <v>286054.15708290879</v>
      </c>
      <c r="G51" s="905">
        <f>G49-G31</f>
        <v>319925.403097481</v>
      </c>
      <c r="H51" s="39"/>
      <c r="I51" s="146"/>
      <c r="J51" s="39"/>
      <c r="K51" s="39"/>
    </row>
    <row r="52" spans="2:11">
      <c r="B52" s="171" t="s">
        <v>393</v>
      </c>
      <c r="C52" s="34">
        <f>C44</f>
        <v>52893.026218823536</v>
      </c>
      <c r="D52" s="34">
        <f>D44</f>
        <v>65898.900282346411</v>
      </c>
      <c r="E52" s="34">
        <f>E44</f>
        <v>79207.23959175605</v>
      </c>
      <c r="F52" s="34">
        <f>F44</f>
        <v>84072.816882876039</v>
      </c>
      <c r="G52" s="309">
        <f>G44</f>
        <v>101270.2451382649</v>
      </c>
      <c r="H52" s="39"/>
      <c r="I52" s="146"/>
      <c r="J52" s="39"/>
      <c r="K52" s="39"/>
    </row>
    <row r="53" spans="2:11" ht="13.5" thickBot="1">
      <c r="B53" s="375" t="s">
        <v>394</v>
      </c>
      <c r="C53" s="456">
        <f>C51-C52</f>
        <v>180831.51919833486</v>
      </c>
      <c r="D53" s="456">
        <f>D51-D52</f>
        <v>193643.34513481194</v>
      </c>
      <c r="E53" s="456">
        <f>E51-E52</f>
        <v>205913.32382540239</v>
      </c>
      <c r="F53" s="456">
        <f>F51-F52</f>
        <v>201981.34020003275</v>
      </c>
      <c r="G53" s="457">
        <f>G51-G52</f>
        <v>218655.1579592161</v>
      </c>
      <c r="H53" s="39"/>
      <c r="I53" s="146"/>
      <c r="J53" s="39"/>
      <c r="K53" s="39"/>
    </row>
    <row r="54" spans="2:11" ht="13.5" thickBot="1">
      <c r="B54" s="1248" t="s">
        <v>1552</v>
      </c>
      <c r="C54" s="1249">
        <f>C49/C50</f>
        <v>1.3392103206965886</v>
      </c>
      <c r="D54" s="1249">
        <f t="shared" ref="D54:G54" si="0">D49/D50</f>
        <v>1.376680199099892</v>
      </c>
      <c r="E54" s="1249">
        <f t="shared" si="0"/>
        <v>1.4138026563761417</v>
      </c>
      <c r="F54" s="1249">
        <f t="shared" si="0"/>
        <v>1.4151576043821128</v>
      </c>
      <c r="G54" s="1250">
        <f t="shared" si="0"/>
        <v>1.4643157969993637</v>
      </c>
      <c r="H54" s="39"/>
      <c r="I54" s="146"/>
      <c r="J54" s="39"/>
      <c r="K54" s="39"/>
    </row>
    <row r="55" spans="2:11" ht="13" thickBot="1">
      <c r="B55" s="171"/>
      <c r="C55" s="39"/>
      <c r="D55" s="39"/>
      <c r="E55" s="39"/>
      <c r="F55" s="39"/>
      <c r="G55" s="39"/>
      <c r="H55" s="39"/>
      <c r="I55" s="146"/>
      <c r="J55" s="39"/>
      <c r="K55" s="39"/>
    </row>
    <row r="56" spans="2:11" ht="13.5" thickBot="1">
      <c r="B56" s="1597" t="s">
        <v>1510</v>
      </c>
      <c r="C56" s="1598"/>
      <c r="D56" s="1603"/>
      <c r="E56" s="39"/>
      <c r="F56" s="39"/>
      <c r="G56" s="39"/>
      <c r="H56" s="39"/>
      <c r="I56" s="146"/>
      <c r="J56" s="39"/>
      <c r="K56" s="39"/>
    </row>
    <row r="57" spans="2:11">
      <c r="B57" s="171" t="s">
        <v>395</v>
      </c>
      <c r="C57" s="39"/>
      <c r="D57" s="309">
        <f>C17</f>
        <v>9700000</v>
      </c>
      <c r="E57" s="39"/>
      <c r="F57" s="39"/>
      <c r="G57" s="39"/>
      <c r="H57" s="39"/>
      <c r="I57" s="146"/>
      <c r="J57" s="39"/>
      <c r="K57" s="39"/>
    </row>
    <row r="58" spans="2:11">
      <c r="B58" s="171" t="s">
        <v>396</v>
      </c>
      <c r="C58" s="39"/>
      <c r="D58" s="309">
        <f>C19*D57</f>
        <v>0</v>
      </c>
      <c r="E58" s="39"/>
      <c r="F58" s="39"/>
      <c r="G58" s="39"/>
      <c r="H58" s="39"/>
      <c r="I58" s="146"/>
      <c r="J58" s="39"/>
      <c r="K58" s="39"/>
    </row>
    <row r="59" spans="2:11">
      <c r="B59" s="171" t="s">
        <v>383</v>
      </c>
      <c r="C59" s="34"/>
      <c r="D59" s="398">
        <f>C26</f>
        <v>5343245.3406107286</v>
      </c>
      <c r="E59" s="39"/>
      <c r="F59" s="39"/>
      <c r="G59" s="39"/>
      <c r="H59" s="34"/>
      <c r="I59" s="146"/>
      <c r="J59" s="39"/>
      <c r="K59" s="39"/>
    </row>
    <row r="60" spans="2:11">
      <c r="B60" s="171" t="s">
        <v>397</v>
      </c>
      <c r="C60" s="34"/>
      <c r="D60" s="309">
        <f>D57-D58-D59</f>
        <v>4356754.6593892714</v>
      </c>
      <c r="E60" s="39"/>
      <c r="F60" s="39"/>
      <c r="G60" s="39"/>
      <c r="H60" s="34"/>
      <c r="I60" s="146"/>
      <c r="J60" s="39"/>
      <c r="K60" s="39"/>
    </row>
    <row r="61" spans="2:11" ht="13" thickBot="1">
      <c r="B61" s="171"/>
      <c r="C61" s="34"/>
      <c r="D61" s="309"/>
      <c r="E61" s="39"/>
      <c r="F61" s="39"/>
      <c r="G61" s="39"/>
      <c r="H61" s="34"/>
      <c r="I61" s="146"/>
      <c r="J61" s="39"/>
      <c r="K61" s="39"/>
    </row>
    <row r="62" spans="2:11" ht="13.5" thickBot="1">
      <c r="B62" s="889" t="s">
        <v>1509</v>
      </c>
      <c r="C62" s="34"/>
      <c r="D62" s="309"/>
      <c r="E62" s="39"/>
      <c r="F62" s="39"/>
      <c r="G62" s="39"/>
      <c r="H62" s="34"/>
      <c r="I62" s="146"/>
      <c r="J62" s="39"/>
      <c r="K62" s="39"/>
    </row>
    <row r="63" spans="2:11">
      <c r="B63" s="171" t="s">
        <v>398</v>
      </c>
      <c r="C63" s="34">
        <f>C10</f>
        <v>8500000</v>
      </c>
      <c r="D63" s="309"/>
      <c r="E63" s="39"/>
      <c r="F63" s="39"/>
      <c r="G63" s="39"/>
      <c r="H63" s="34"/>
      <c r="I63" s="146"/>
      <c r="J63" s="39"/>
      <c r="K63" s="39"/>
    </row>
    <row r="64" spans="2:11">
      <c r="B64" s="171" t="s">
        <v>399</v>
      </c>
      <c r="C64" s="52">
        <f>SUM(C41:G41)</f>
        <v>926282.05128205125</v>
      </c>
      <c r="D64" s="309"/>
      <c r="E64" s="39"/>
      <c r="F64" s="39"/>
      <c r="G64" s="39"/>
      <c r="H64" s="34"/>
      <c r="I64" s="146"/>
      <c r="J64" s="39"/>
      <c r="K64" s="39"/>
    </row>
    <row r="65" spans="2:11" ht="13">
      <c r="B65" s="171" t="s">
        <v>400</v>
      </c>
      <c r="C65" s="34">
        <f>C63-C64</f>
        <v>7573717.948717949</v>
      </c>
      <c r="D65" s="309"/>
      <c r="E65" s="53"/>
      <c r="F65" s="53"/>
      <c r="G65" s="53"/>
      <c r="H65" s="34"/>
      <c r="I65" s="146"/>
      <c r="J65" s="39"/>
      <c r="K65" s="39"/>
    </row>
    <row r="66" spans="2:11">
      <c r="B66" s="171"/>
      <c r="C66" s="34"/>
      <c r="D66" s="309"/>
      <c r="E66" s="34"/>
      <c r="F66" s="34"/>
      <c r="G66" s="39"/>
      <c r="H66" s="34"/>
      <c r="I66" s="146"/>
      <c r="J66" s="39"/>
      <c r="K66" s="39"/>
    </row>
    <row r="67" spans="2:11">
      <c r="B67" s="966" t="s">
        <v>1306</v>
      </c>
      <c r="C67" s="964">
        <f>D57-D58-C65</f>
        <v>2126282.051282051</v>
      </c>
      <c r="D67" s="309"/>
      <c r="E67" s="1288" t="s">
        <v>1578</v>
      </c>
      <c r="F67" s="964"/>
      <c r="G67" s="39"/>
      <c r="H67" s="34"/>
      <c r="I67" s="146"/>
      <c r="J67" s="39"/>
      <c r="K67" s="39"/>
    </row>
    <row r="68" spans="2:11">
      <c r="B68" s="171" t="s">
        <v>369</v>
      </c>
      <c r="C68" s="965">
        <f>C64</f>
        <v>926282.05128205125</v>
      </c>
      <c r="D68" s="309"/>
      <c r="E68" s="1112" t="s">
        <v>1487</v>
      </c>
      <c r="F68" s="72">
        <f>C68</f>
        <v>926282.05128205125</v>
      </c>
      <c r="G68" s="39"/>
      <c r="H68" s="34"/>
      <c r="I68" s="146"/>
      <c r="J68" s="39"/>
      <c r="K68" s="39"/>
    </row>
    <row r="69" spans="2:11">
      <c r="B69" s="225" t="s">
        <v>402</v>
      </c>
      <c r="C69" s="965">
        <f>C67-C68</f>
        <v>1199999.9999999998</v>
      </c>
      <c r="D69" s="309"/>
      <c r="E69" s="1112" t="s">
        <v>1488</v>
      </c>
      <c r="F69" s="965">
        <f>C69</f>
        <v>1199999.9999999998</v>
      </c>
      <c r="G69" s="39"/>
      <c r="H69" s="34"/>
      <c r="I69" s="146"/>
      <c r="J69" s="39"/>
      <c r="K69" s="39"/>
    </row>
    <row r="70" spans="2:11">
      <c r="B70" s="171"/>
      <c r="C70" s="34"/>
      <c r="D70" s="309"/>
      <c r="E70" s="1113" t="s">
        <v>1306</v>
      </c>
      <c r="F70" s="965">
        <f>SUM(F68:F69)</f>
        <v>2126282.051282051</v>
      </c>
      <c r="G70" s="39"/>
      <c r="H70" s="39"/>
      <c r="I70" s="146"/>
      <c r="J70" s="39"/>
      <c r="K70" s="39"/>
    </row>
    <row r="71" spans="2:11">
      <c r="B71" s="171" t="s">
        <v>403</v>
      </c>
      <c r="C71" s="34">
        <f>G12*C69</f>
        <v>179999.99999999997</v>
      </c>
      <c r="D71" s="146"/>
      <c r="E71" s="39"/>
      <c r="F71" s="39"/>
      <c r="G71" s="39"/>
      <c r="H71" s="39"/>
      <c r="I71" s="146"/>
      <c r="J71" s="39"/>
      <c r="K71" s="39"/>
    </row>
    <row r="72" spans="2:11">
      <c r="B72" s="171" t="s">
        <v>404</v>
      </c>
      <c r="C72" s="52">
        <f>G13*C68</f>
        <v>231570.51282051281</v>
      </c>
      <c r="D72" s="146"/>
      <c r="E72" s="39"/>
      <c r="F72" s="39"/>
      <c r="G72" s="39"/>
      <c r="H72" s="34"/>
      <c r="I72" s="146"/>
      <c r="J72" s="39"/>
      <c r="K72" s="39"/>
    </row>
    <row r="73" spans="2:11">
      <c r="B73" s="171" t="s">
        <v>1307</v>
      </c>
      <c r="C73" s="34"/>
      <c r="D73" s="862">
        <f>C71+C72</f>
        <v>411570.51282051275</v>
      </c>
      <c r="E73" s="39"/>
      <c r="F73" s="39"/>
      <c r="G73" s="39"/>
      <c r="H73" s="34"/>
      <c r="I73" s="146"/>
      <c r="J73" s="39"/>
      <c r="K73" s="39"/>
    </row>
    <row r="74" spans="2:11" ht="13.5" thickBot="1">
      <c r="B74" s="375" t="s">
        <v>405</v>
      </c>
      <c r="C74" s="376"/>
      <c r="D74" s="540">
        <f>D60-D73</f>
        <v>3945184.1465687584</v>
      </c>
      <c r="E74" s="39"/>
      <c r="F74" s="39"/>
      <c r="G74" s="39"/>
      <c r="H74" s="34"/>
      <c r="I74" s="146"/>
      <c r="J74" s="39"/>
      <c r="K74" s="39"/>
    </row>
    <row r="75" spans="2:11">
      <c r="B75" s="171"/>
      <c r="C75" s="39"/>
      <c r="D75" s="39"/>
      <c r="E75" s="39"/>
      <c r="F75" s="39"/>
      <c r="G75" s="39"/>
      <c r="H75" s="39"/>
      <c r="I75" s="146"/>
      <c r="J75" s="39"/>
      <c r="K75" s="39"/>
    </row>
    <row r="76" spans="2:11" ht="13" thickBot="1">
      <c r="B76" s="171"/>
      <c r="C76" s="39"/>
      <c r="D76" s="39"/>
      <c r="E76" s="39"/>
      <c r="F76" s="39"/>
      <c r="G76" s="39"/>
      <c r="H76" s="34"/>
      <c r="I76" s="146"/>
      <c r="J76" s="39"/>
      <c r="K76" s="39"/>
    </row>
    <row r="77" spans="2:11" ht="13.5" thickBot="1">
      <c r="B77" s="1597" t="s">
        <v>406</v>
      </c>
      <c r="C77" s="1538"/>
      <c r="D77" s="1538"/>
      <c r="E77" s="1538"/>
      <c r="F77" s="1538"/>
      <c r="G77" s="1538"/>
      <c r="H77" s="1539"/>
      <c r="I77" s="146"/>
      <c r="J77" s="39"/>
      <c r="K77" s="39"/>
    </row>
    <row r="78" spans="2:11" ht="13.5" thickBot="1">
      <c r="B78" s="890"/>
      <c r="C78" s="854"/>
      <c r="D78" s="854"/>
      <c r="E78" s="854"/>
      <c r="F78" s="854"/>
      <c r="G78" s="854"/>
      <c r="H78" s="855"/>
      <c r="I78" s="146"/>
      <c r="J78" s="39"/>
      <c r="K78" s="39"/>
    </row>
    <row r="79" spans="2:11" ht="13.5" thickBot="1">
      <c r="B79" s="264" t="s">
        <v>1315</v>
      </c>
      <c r="C79" s="854"/>
      <c r="D79" s="854"/>
      <c r="E79" s="854"/>
      <c r="F79" s="854"/>
      <c r="G79" s="854"/>
      <c r="H79" s="855"/>
      <c r="I79" s="146"/>
      <c r="J79" s="39"/>
      <c r="K79" s="39"/>
    </row>
    <row r="80" spans="2:11" ht="13.5" thickBot="1">
      <c r="B80" s="157" t="s">
        <v>262</v>
      </c>
      <c r="C80" s="157">
        <v>0</v>
      </c>
      <c r="D80" s="157">
        <v>1</v>
      </c>
      <c r="E80" s="157">
        <v>2</v>
      </c>
      <c r="F80" s="157">
        <v>3</v>
      </c>
      <c r="G80" s="157">
        <v>4</v>
      </c>
      <c r="H80" s="157">
        <v>5</v>
      </c>
      <c r="I80" s="146"/>
      <c r="J80" s="39"/>
      <c r="K80" s="39"/>
    </row>
    <row r="81" spans="2:11">
      <c r="B81" s="859" t="s">
        <v>1311</v>
      </c>
      <c r="D81" s="856">
        <f>C39</f>
        <v>922750</v>
      </c>
      <c r="E81" s="856">
        <f>D39</f>
        <v>948567.7</v>
      </c>
      <c r="F81" s="856">
        <f>E39</f>
        <v>974146.01800000004</v>
      </c>
      <c r="G81" s="856">
        <f>F39</f>
        <v>975079.61166575039</v>
      </c>
      <c r="H81" s="860">
        <f>G39</f>
        <v>1008950.8576803226</v>
      </c>
      <c r="I81" s="146"/>
      <c r="J81" s="39"/>
      <c r="K81" s="39"/>
    </row>
    <row r="82" spans="2:11">
      <c r="B82" s="859" t="s">
        <v>1312</v>
      </c>
      <c r="C82" s="858">
        <f>-$C$10</f>
        <v>-8500000</v>
      </c>
      <c r="D82" s="857"/>
      <c r="E82" s="857"/>
      <c r="F82" s="857"/>
      <c r="G82" s="857"/>
      <c r="H82" s="861">
        <f>D57-D58</f>
        <v>9700000</v>
      </c>
      <c r="I82" s="146"/>
      <c r="J82" s="39"/>
      <c r="K82" s="39"/>
    </row>
    <row r="83" spans="2:11">
      <c r="B83" s="859" t="s">
        <v>1313</v>
      </c>
      <c r="C83" s="856">
        <f t="shared" ref="C83:H83" si="1">SUM(C81:C82)</f>
        <v>-8500000</v>
      </c>
      <c r="D83" s="856">
        <f t="shared" si="1"/>
        <v>922750</v>
      </c>
      <c r="E83" s="856">
        <f t="shared" si="1"/>
        <v>948567.7</v>
      </c>
      <c r="F83" s="856">
        <f t="shared" si="1"/>
        <v>974146.01800000004</v>
      </c>
      <c r="G83" s="856">
        <f t="shared" si="1"/>
        <v>975079.61166575039</v>
      </c>
      <c r="H83" s="860">
        <f t="shared" si="1"/>
        <v>10708950.857680323</v>
      </c>
      <c r="I83" s="146"/>
      <c r="J83" s="39"/>
      <c r="K83" s="39"/>
    </row>
    <row r="84" spans="2:11" ht="13">
      <c r="B84" s="859" t="s">
        <v>1314</v>
      </c>
      <c r="C84" s="863">
        <f>IRR(C83:H83)</f>
        <v>0.13463239354339129</v>
      </c>
      <c r="D84" s="854"/>
      <c r="E84" s="854"/>
      <c r="F84" s="854"/>
      <c r="G84" s="854"/>
      <c r="H84" s="855"/>
      <c r="I84" s="146"/>
      <c r="J84" s="39"/>
      <c r="K84" s="39"/>
    </row>
    <row r="85" spans="2:11" ht="13">
      <c r="B85" s="859"/>
      <c r="C85" s="56"/>
      <c r="D85" s="854"/>
      <c r="E85" s="854"/>
      <c r="F85" s="854"/>
      <c r="G85" s="854"/>
      <c r="H85" s="855"/>
      <c r="I85" s="146"/>
      <c r="J85" s="39"/>
      <c r="K85" s="39"/>
    </row>
    <row r="86" spans="2:11" ht="13.5" thickBot="1">
      <c r="B86" s="859"/>
      <c r="C86" s="56"/>
      <c r="D86" s="854"/>
      <c r="E86" s="854"/>
      <c r="F86" s="854"/>
      <c r="G86" s="854"/>
      <c r="H86" s="855"/>
      <c r="I86" s="146"/>
      <c r="J86" s="39"/>
      <c r="K86" s="39"/>
    </row>
    <row r="87" spans="2:11" ht="13.5" thickBot="1">
      <c r="B87" s="889" t="s">
        <v>1328</v>
      </c>
      <c r="C87" s="34"/>
      <c r="D87" s="34"/>
      <c r="E87" s="34"/>
      <c r="F87" s="34"/>
      <c r="G87" s="39"/>
      <c r="H87" s="146"/>
      <c r="I87" s="146"/>
      <c r="J87" s="39"/>
      <c r="K87" s="39"/>
    </row>
    <row r="88" spans="2:11" ht="13.5" thickBot="1">
      <c r="B88" s="157" t="s">
        <v>262</v>
      </c>
      <c r="C88" s="157">
        <v>0</v>
      </c>
      <c r="D88" s="157">
        <v>1</v>
      </c>
      <c r="E88" s="157">
        <v>2</v>
      </c>
      <c r="F88" s="157">
        <v>3</v>
      </c>
      <c r="G88" s="157">
        <v>4</v>
      </c>
      <c r="H88" s="157">
        <v>5</v>
      </c>
      <c r="I88" s="146"/>
      <c r="J88" s="39"/>
      <c r="K88" s="39"/>
    </row>
    <row r="89" spans="2:11" ht="13">
      <c r="B89" s="900" t="s">
        <v>408</v>
      </c>
      <c r="C89" s="122"/>
      <c r="D89" s="122"/>
      <c r="E89" s="122"/>
      <c r="F89" s="122"/>
      <c r="G89" s="122"/>
      <c r="H89" s="123"/>
      <c r="I89" s="146"/>
      <c r="J89" s="39"/>
      <c r="K89" s="39"/>
    </row>
    <row r="90" spans="2:11">
      <c r="B90" s="1111" t="s">
        <v>1486</v>
      </c>
      <c r="D90" s="299">
        <f>C51</f>
        <v>233724.5454171584</v>
      </c>
      <c r="E90" s="299">
        <f>D51</f>
        <v>259542.24541715835</v>
      </c>
      <c r="F90" s="299">
        <f>E51</f>
        <v>285120.56341715844</v>
      </c>
      <c r="G90" s="299">
        <f>F51</f>
        <v>286054.15708290879</v>
      </c>
      <c r="H90" s="308">
        <f>G51</f>
        <v>319925.403097481</v>
      </c>
      <c r="I90" s="146"/>
      <c r="J90" s="39"/>
      <c r="K90" s="39"/>
    </row>
    <row r="91" spans="2:11">
      <c r="B91" s="859" t="s">
        <v>1312</v>
      </c>
      <c r="C91" s="858">
        <f>-$C$23</f>
        <v>-2550000.0000000005</v>
      </c>
      <c r="D91" s="14"/>
      <c r="E91" s="14"/>
      <c r="F91" s="14"/>
      <c r="G91" s="14"/>
      <c r="H91" s="901">
        <f>D60</f>
        <v>4356754.6593892714</v>
      </c>
      <c r="I91" s="146"/>
      <c r="J91" s="39"/>
      <c r="K91" s="39"/>
    </row>
    <row r="92" spans="2:11">
      <c r="B92" s="859" t="s">
        <v>1327</v>
      </c>
      <c r="C92" s="856">
        <f t="shared" ref="C92:H92" si="2">SUM(C90:C91)</f>
        <v>-2550000.0000000005</v>
      </c>
      <c r="D92" s="856">
        <f t="shared" si="2"/>
        <v>233724.5454171584</v>
      </c>
      <c r="E92" s="856">
        <f t="shared" si="2"/>
        <v>259542.24541715835</v>
      </c>
      <c r="F92" s="856">
        <f t="shared" si="2"/>
        <v>285120.56341715844</v>
      </c>
      <c r="G92" s="856">
        <f t="shared" si="2"/>
        <v>286054.15708290879</v>
      </c>
      <c r="H92" s="860">
        <f t="shared" si="2"/>
        <v>4676680.0624867529</v>
      </c>
      <c r="I92" s="146"/>
      <c r="J92" s="39"/>
      <c r="K92" s="39"/>
    </row>
    <row r="93" spans="2:11" ht="13">
      <c r="B93" s="541" t="s">
        <v>1318</v>
      </c>
      <c r="C93" s="863">
        <f>IRR(C92:H92)</f>
        <v>0.20081016222596659</v>
      </c>
      <c r="D93" s="299"/>
      <c r="E93" s="299"/>
      <c r="F93" s="299"/>
      <c r="G93" s="299"/>
      <c r="H93" s="308"/>
      <c r="I93" s="146"/>
      <c r="J93" s="39"/>
      <c r="K93" s="39"/>
    </row>
    <row r="94" spans="2:11" ht="13" thickBot="1">
      <c r="B94" s="145"/>
      <c r="C94" s="299"/>
      <c r="D94" s="299"/>
      <c r="E94" s="299"/>
      <c r="F94" s="299"/>
      <c r="G94" s="299"/>
      <c r="H94" s="308"/>
      <c r="I94" s="146"/>
      <c r="J94" s="39"/>
      <c r="K94" s="39"/>
    </row>
    <row r="95" spans="2:11" ht="13.5" thickBot="1">
      <c r="B95" s="889" t="s">
        <v>1508</v>
      </c>
      <c r="C95" s="299"/>
      <c r="D95" s="299"/>
      <c r="E95" s="299"/>
      <c r="F95" s="299"/>
      <c r="G95" s="299"/>
      <c r="H95" s="308"/>
      <c r="I95" s="146"/>
      <c r="J95" s="39"/>
      <c r="K95" s="39"/>
    </row>
    <row r="96" spans="2:11" ht="13.5" thickBot="1">
      <c r="B96" s="157" t="s">
        <v>262</v>
      </c>
      <c r="C96" s="157">
        <v>0</v>
      </c>
      <c r="D96" s="157">
        <v>1</v>
      </c>
      <c r="E96" s="157">
        <v>2</v>
      </c>
      <c r="F96" s="157">
        <v>3</v>
      </c>
      <c r="G96" s="157">
        <v>4</v>
      </c>
      <c r="H96" s="157">
        <v>5</v>
      </c>
      <c r="I96" s="146"/>
      <c r="J96" s="39"/>
      <c r="K96" s="39"/>
    </row>
    <row r="97" spans="2:11" ht="13">
      <c r="B97" s="541" t="s">
        <v>409</v>
      </c>
      <c r="H97" s="126"/>
      <c r="I97" s="146"/>
      <c r="J97" s="39"/>
      <c r="K97" s="39"/>
    </row>
    <row r="98" spans="2:11">
      <c r="B98" s="1111" t="s">
        <v>1486</v>
      </c>
      <c r="C98" s="231"/>
      <c r="D98" s="299">
        <f>C53</f>
        <v>180831.51919833486</v>
      </c>
      <c r="E98" s="299">
        <f>D53</f>
        <v>193643.34513481194</v>
      </c>
      <c r="F98" s="299">
        <f>E53</f>
        <v>205913.32382540239</v>
      </c>
      <c r="G98" s="299">
        <f>F53</f>
        <v>201981.34020003275</v>
      </c>
      <c r="H98" s="308">
        <f>G53</f>
        <v>218655.1579592161</v>
      </c>
      <c r="I98" s="146"/>
      <c r="J98" s="39"/>
      <c r="K98" s="39"/>
    </row>
    <row r="99" spans="2:11">
      <c r="B99" s="859" t="s">
        <v>1312</v>
      </c>
      <c r="C99" s="858">
        <f>-$C$23</f>
        <v>-2550000.0000000005</v>
      </c>
      <c r="D99" s="51"/>
      <c r="E99" s="51"/>
      <c r="F99" s="51"/>
      <c r="G99" s="51"/>
      <c r="H99" s="398">
        <f>D74</f>
        <v>3945184.1465687584</v>
      </c>
      <c r="I99" s="146"/>
      <c r="J99" s="39"/>
      <c r="K99" s="39"/>
    </row>
    <row r="100" spans="2:11">
      <c r="B100" s="859" t="s">
        <v>1326</v>
      </c>
      <c r="C100" s="856">
        <f t="shared" ref="C100:H100" si="3">SUM(C98:C99)</f>
        <v>-2550000.0000000005</v>
      </c>
      <c r="D100" s="856">
        <f t="shared" si="3"/>
        <v>180831.51919833486</v>
      </c>
      <c r="E100" s="856">
        <f t="shared" si="3"/>
        <v>193643.34513481194</v>
      </c>
      <c r="F100" s="856">
        <f t="shared" si="3"/>
        <v>205913.32382540239</v>
      </c>
      <c r="G100" s="856">
        <f t="shared" si="3"/>
        <v>201981.34020003275</v>
      </c>
      <c r="H100" s="860">
        <f t="shared" si="3"/>
        <v>4163839.3045279747</v>
      </c>
      <c r="I100" s="146"/>
      <c r="J100" s="39"/>
      <c r="K100" s="39"/>
    </row>
    <row r="101" spans="2:11" ht="13">
      <c r="B101" s="124"/>
      <c r="D101" s="28"/>
      <c r="E101" s="28"/>
      <c r="F101" s="28"/>
      <c r="G101" s="28"/>
      <c r="H101" s="146"/>
      <c r="I101" s="146"/>
      <c r="J101" s="39"/>
      <c r="K101" s="39"/>
    </row>
    <row r="102" spans="2:11" ht="13">
      <c r="B102" s="541" t="s">
        <v>1319</v>
      </c>
      <c r="C102" s="863">
        <f>IRR(C100:H100)</f>
        <v>0.15750126071550952</v>
      </c>
      <c r="D102" s="28"/>
      <c r="E102" s="28"/>
      <c r="F102" s="28"/>
      <c r="G102" s="28"/>
      <c r="H102" s="146"/>
      <c r="I102" s="146"/>
      <c r="J102" s="39"/>
      <c r="K102" s="39"/>
    </row>
    <row r="103" spans="2:11" ht="13">
      <c r="B103" s="145"/>
      <c r="C103" s="28"/>
      <c r="D103" s="28"/>
      <c r="E103" s="28"/>
      <c r="F103" s="28"/>
      <c r="G103" s="28"/>
      <c r="H103" s="146"/>
      <c r="I103" s="146"/>
      <c r="J103" s="39"/>
      <c r="K103" s="39"/>
    </row>
    <row r="104" spans="2:11" ht="13.5" thickBot="1">
      <c r="B104" s="375" t="s">
        <v>414</v>
      </c>
      <c r="C104" s="392">
        <f>(C93-C102)/C93</f>
        <v>0.21567086560949372</v>
      </c>
      <c r="D104" s="852">
        <f>1-(C102/C93)</f>
        <v>0.21567086560949378</v>
      </c>
      <c r="E104" s="542" t="s">
        <v>1308</v>
      </c>
      <c r="F104" s="542"/>
      <c r="G104" s="542"/>
      <c r="H104" s="149"/>
      <c r="I104" s="146"/>
      <c r="J104" s="39"/>
      <c r="K104" s="39"/>
    </row>
    <row r="105" spans="2:11" ht="13.5" thickBot="1">
      <c r="B105" s="168"/>
      <c r="C105" s="56"/>
      <c r="D105" s="895"/>
      <c r="E105" s="28"/>
      <c r="F105" s="28"/>
      <c r="G105" s="28"/>
      <c r="H105" s="39"/>
      <c r="I105" s="146"/>
      <c r="J105" s="39"/>
      <c r="K105" s="39"/>
    </row>
    <row r="106" spans="2:11" ht="13.5" thickBot="1">
      <c r="B106" s="1608" t="s">
        <v>1321</v>
      </c>
      <c r="C106" s="1609"/>
      <c r="D106" s="1611"/>
      <c r="E106" s="28"/>
      <c r="F106" s="28"/>
      <c r="G106" s="28"/>
      <c r="H106" s="39"/>
      <c r="I106" s="146"/>
      <c r="J106" s="39"/>
      <c r="K106" s="39"/>
    </row>
    <row r="107" spans="2:11" ht="13">
      <c r="B107" s="171" t="s">
        <v>415</v>
      </c>
      <c r="C107" s="39"/>
      <c r="D107" s="312">
        <f>C10/G17</f>
        <v>85</v>
      </c>
      <c r="E107" s="28"/>
      <c r="F107" s="28"/>
      <c r="G107" s="28"/>
      <c r="H107" s="39"/>
      <c r="I107" s="146"/>
      <c r="J107" s="39"/>
      <c r="K107" s="39"/>
    </row>
    <row r="108" spans="2:11" ht="13">
      <c r="B108" s="171" t="s">
        <v>416</v>
      </c>
      <c r="C108" s="39"/>
      <c r="D108" s="312">
        <f>C10/G18</f>
        <v>88.541666666666671</v>
      </c>
      <c r="E108" s="28"/>
      <c r="F108" s="28"/>
      <c r="G108" s="28"/>
      <c r="H108" s="39"/>
      <c r="I108" s="146"/>
      <c r="J108" s="39"/>
      <c r="K108" s="39"/>
    </row>
    <row r="109" spans="2:11" ht="13">
      <c r="B109" s="171" t="s">
        <v>417</v>
      </c>
      <c r="C109" s="39"/>
      <c r="D109" s="548">
        <f>C39/C10</f>
        <v>0.10855882352941176</v>
      </c>
      <c r="E109" s="28"/>
      <c r="F109" s="28"/>
      <c r="G109" s="28"/>
      <c r="H109" s="39"/>
      <c r="I109" s="146"/>
      <c r="J109" s="39"/>
      <c r="K109" s="39"/>
    </row>
    <row r="110" spans="2:11" ht="13">
      <c r="B110" s="171" t="s">
        <v>1382</v>
      </c>
      <c r="C110" s="39"/>
      <c r="D110" s="1147">
        <f>C84</f>
        <v>0.13463239354339129</v>
      </c>
      <c r="E110" s="28"/>
      <c r="F110" s="28"/>
      <c r="G110" s="28"/>
      <c r="H110" s="39"/>
      <c r="I110" s="146"/>
      <c r="J110" s="39"/>
      <c r="K110" s="39"/>
    </row>
    <row r="111" spans="2:11" ht="13">
      <c r="B111" s="171" t="s">
        <v>1325</v>
      </c>
      <c r="C111" s="893">
        <f>$C$21</f>
        <v>0.06</v>
      </c>
      <c r="D111" s="1147">
        <f>MIRR($C$83:$H$83,$C$21,$C$21)</f>
        <v>0.12226213030090083</v>
      </c>
      <c r="E111" s="28"/>
      <c r="F111" s="28"/>
      <c r="G111" s="28"/>
      <c r="H111" s="39"/>
      <c r="I111" s="146"/>
      <c r="J111" s="39"/>
      <c r="K111" s="39"/>
    </row>
    <row r="112" spans="2:11" ht="15.5">
      <c r="B112" s="145" t="s">
        <v>1329</v>
      </c>
      <c r="C112" s="894">
        <f>'Ch11 Unlev 14e Monument 2of3'!C24</f>
        <v>0.14000000000000001</v>
      </c>
      <c r="D112" s="543">
        <f>NPV(C112,D81:H81)</f>
        <v>3298185.5493299686</v>
      </c>
      <c r="E112" s="28"/>
      <c r="F112" s="28"/>
      <c r="G112" s="28"/>
      <c r="H112" s="39"/>
      <c r="I112" s="146"/>
      <c r="J112" s="39"/>
      <c r="K112" s="39"/>
    </row>
    <row r="113" spans="2:11" ht="15.5">
      <c r="B113" s="145" t="s">
        <v>1330</v>
      </c>
      <c r="C113" s="894">
        <f>'Ch11 Unlev 14e Monument 2of3'!C24</f>
        <v>0.14000000000000001</v>
      </c>
      <c r="D113" s="544">
        <f>PV(C113,C18,0,-H82)</f>
        <v>5037876.0442902083</v>
      </c>
      <c r="E113" s="28"/>
      <c r="F113" s="28"/>
      <c r="G113" s="28"/>
      <c r="H113" s="39"/>
      <c r="I113" s="146"/>
      <c r="J113" s="39"/>
      <c r="K113" s="39"/>
    </row>
    <row r="114" spans="2:11" ht="13">
      <c r="B114" s="1177" t="s">
        <v>342</v>
      </c>
      <c r="C114" s="1178"/>
      <c r="D114" s="1179">
        <f>D112+D113</f>
        <v>8336061.5936201774</v>
      </c>
      <c r="E114" s="28"/>
      <c r="F114" s="28"/>
      <c r="G114" s="28"/>
      <c r="H114" s="39"/>
      <c r="I114" s="146"/>
      <c r="J114" s="39"/>
      <c r="K114" s="39"/>
    </row>
    <row r="115" spans="2:11" ht="13">
      <c r="B115" s="145" t="s">
        <v>412</v>
      </c>
      <c r="C115" s="37"/>
      <c r="D115" s="544">
        <f>C82</f>
        <v>-8500000</v>
      </c>
      <c r="E115" s="28"/>
      <c r="F115" s="28"/>
      <c r="G115" s="28"/>
      <c r="H115" s="39"/>
      <c r="I115" s="146"/>
      <c r="J115" s="39"/>
      <c r="K115" s="39"/>
    </row>
    <row r="116" spans="2:11" ht="13.5" thickBot="1">
      <c r="B116" s="546" t="s">
        <v>1331</v>
      </c>
      <c r="C116" s="401"/>
      <c r="D116" s="547">
        <f>D114+D115</f>
        <v>-163938.40637982264</v>
      </c>
      <c r="E116" s="28"/>
      <c r="F116" s="28" t="s">
        <v>1511</v>
      </c>
      <c r="G116" s="28"/>
      <c r="H116" s="39"/>
      <c r="I116" s="146"/>
      <c r="J116" s="39"/>
      <c r="K116" s="39"/>
    </row>
    <row r="117" spans="2:11" ht="13.5" thickBot="1">
      <c r="B117" s="171"/>
      <c r="C117" s="893"/>
      <c r="D117" s="309"/>
      <c r="E117" s="28"/>
      <c r="F117" s="28"/>
      <c r="G117" s="28"/>
      <c r="H117" s="39"/>
      <c r="I117" s="146"/>
      <c r="J117" s="39"/>
      <c r="K117" s="39"/>
    </row>
    <row r="118" spans="2:11" ht="13.5" thickBot="1">
      <c r="B118" s="1612" t="s">
        <v>1335</v>
      </c>
      <c r="C118" s="1613"/>
      <c r="D118" s="1610"/>
      <c r="E118" s="28"/>
      <c r="F118" s="28"/>
      <c r="G118" s="28"/>
      <c r="H118" s="39"/>
      <c r="I118" s="146"/>
      <c r="J118" s="39"/>
      <c r="K118" s="39"/>
    </row>
    <row r="119" spans="2:11" ht="13">
      <c r="B119" s="276" t="s">
        <v>951</v>
      </c>
      <c r="C119" s="277"/>
      <c r="D119" s="1142">
        <f>C39/C50</f>
        <v>1.3392103206965886</v>
      </c>
      <c r="E119" s="28"/>
      <c r="F119" s="28"/>
      <c r="G119" s="28"/>
      <c r="H119" s="39"/>
      <c r="I119" s="146"/>
      <c r="J119" s="39"/>
      <c r="K119" s="39"/>
    </row>
    <row r="120" spans="2:11" ht="13">
      <c r="B120" s="171" t="s">
        <v>903</v>
      </c>
      <c r="C120" s="39"/>
      <c r="D120" s="1147">
        <f>C93</f>
        <v>0.20081016222596659</v>
      </c>
      <c r="E120" s="28"/>
      <c r="F120" s="28"/>
      <c r="G120" s="28"/>
      <c r="H120" s="39"/>
      <c r="I120" s="146"/>
      <c r="J120" s="39"/>
      <c r="K120" s="39"/>
    </row>
    <row r="121" spans="2:11" ht="13">
      <c r="B121" s="171" t="s">
        <v>1325</v>
      </c>
      <c r="C121" s="893">
        <f>$C$21</f>
        <v>0.06</v>
      </c>
      <c r="D121" s="1147">
        <f>MIRR($C$92:$H$92,$C$21,$C$21)</f>
        <v>0.18284503199101576</v>
      </c>
      <c r="E121" s="28"/>
      <c r="F121" s="28"/>
      <c r="G121" s="28"/>
      <c r="H121" s="39"/>
      <c r="I121" s="146"/>
      <c r="J121" s="39"/>
      <c r="K121" s="39"/>
    </row>
    <row r="122" spans="2:11" ht="15.5">
      <c r="B122" s="145" t="s">
        <v>1332</v>
      </c>
      <c r="C122" s="894">
        <f>$C$20</f>
        <v>0.18</v>
      </c>
      <c r="D122" s="543">
        <f>NPV(C122,D90:H90)</f>
        <v>845389.91962844611</v>
      </c>
      <c r="E122" s="28"/>
      <c r="F122" s="28"/>
      <c r="G122" s="28"/>
      <c r="H122" s="39"/>
      <c r="I122" s="146"/>
      <c r="J122" s="39"/>
      <c r="K122" s="39"/>
    </row>
    <row r="123" spans="2:11" ht="15.5">
      <c r="B123" s="145" t="s">
        <v>1333</v>
      </c>
      <c r="C123" s="894">
        <f>$C$20</f>
        <v>0.18</v>
      </c>
      <c r="D123" s="544">
        <f>PV(C123,C18,0,-H91)</f>
        <v>1904377.6144740435</v>
      </c>
      <c r="E123" s="28"/>
      <c r="F123" s="28"/>
      <c r="G123" s="28"/>
      <c r="H123" s="39"/>
      <c r="I123" s="146"/>
      <c r="J123" s="39"/>
      <c r="K123" s="39"/>
    </row>
    <row r="124" spans="2:11" ht="13">
      <c r="B124" s="145" t="s">
        <v>342</v>
      </c>
      <c r="C124" s="37"/>
      <c r="D124" s="545">
        <f>D122+D123</f>
        <v>2749767.5341024897</v>
      </c>
      <c r="E124" s="28"/>
      <c r="F124" s="28"/>
      <c r="G124" s="28"/>
      <c r="H124" s="39"/>
      <c r="I124" s="146"/>
      <c r="J124" s="39"/>
      <c r="K124" s="39"/>
    </row>
    <row r="125" spans="2:11" ht="13">
      <c r="B125" s="145" t="s">
        <v>412</v>
      </c>
      <c r="C125" s="37"/>
      <c r="D125" s="544">
        <f>C91</f>
        <v>-2550000.0000000005</v>
      </c>
      <c r="E125" s="28"/>
      <c r="F125" s="28"/>
      <c r="G125" s="28"/>
      <c r="H125" s="39"/>
      <c r="I125" s="146"/>
      <c r="J125" s="39"/>
      <c r="K125" s="39"/>
    </row>
    <row r="126" spans="2:11" ht="13">
      <c r="B126" s="541" t="s">
        <v>1456</v>
      </c>
      <c r="C126" s="44"/>
      <c r="D126" s="1143">
        <f>D124+D125</f>
        <v>199767.53410248924</v>
      </c>
      <c r="E126" s="28"/>
      <c r="F126" s="28"/>
      <c r="G126" s="28"/>
      <c r="H126" s="39"/>
      <c r="I126" s="146"/>
      <c r="J126" s="39"/>
      <c r="K126" s="39"/>
    </row>
    <row r="127" spans="2:11" ht="13">
      <c r="B127" s="541"/>
      <c r="C127" s="44"/>
      <c r="D127" s="1143"/>
      <c r="E127" s="28"/>
      <c r="F127" s="28"/>
      <c r="G127" s="28"/>
      <c r="H127" s="39"/>
      <c r="I127" s="146"/>
      <c r="J127" s="39"/>
      <c r="K127" s="39"/>
    </row>
    <row r="128" spans="2:11" ht="13">
      <c r="B128" s="1146" t="s">
        <v>1529</v>
      </c>
      <c r="C128" s="44"/>
      <c r="D128" s="1143"/>
      <c r="E128" s="28"/>
      <c r="F128" s="28"/>
      <c r="G128" s="28"/>
      <c r="H128" s="39"/>
      <c r="I128" s="146"/>
      <c r="J128" s="39"/>
      <c r="K128" s="39"/>
    </row>
    <row r="129" spans="2:11" ht="13">
      <c r="B129" s="1140" t="s">
        <v>1513</v>
      </c>
      <c r="C129" s="44"/>
      <c r="D129" s="1144">
        <f>D124</f>
        <v>2749767.5341024897</v>
      </c>
      <c r="E129" s="28"/>
      <c r="F129" s="28"/>
      <c r="G129" s="28"/>
      <c r="H129" s="39"/>
      <c r="I129" s="146"/>
      <c r="J129" s="39"/>
      <c r="K129" s="39"/>
    </row>
    <row r="130" spans="2:11" ht="13">
      <c r="B130" s="1140" t="s">
        <v>1514</v>
      </c>
      <c r="C130" s="1141"/>
      <c r="D130" s="1145">
        <f>C24</f>
        <v>5950000</v>
      </c>
      <c r="E130" s="28"/>
      <c r="F130" s="28"/>
      <c r="G130" s="28"/>
      <c r="H130" s="39"/>
      <c r="I130" s="146"/>
      <c r="J130" s="39"/>
      <c r="K130" s="39"/>
    </row>
    <row r="131" spans="2:11" ht="13.5" thickBot="1">
      <c r="B131" s="1180" t="s">
        <v>1515</v>
      </c>
      <c r="C131" s="1181"/>
      <c r="D131" s="1182">
        <f>SUM(D129:D130)</f>
        <v>8699767.5341024902</v>
      </c>
      <c r="E131" s="28"/>
      <c r="F131" s="28"/>
      <c r="G131" s="28"/>
      <c r="H131" s="39"/>
      <c r="I131" s="146"/>
      <c r="J131" s="39"/>
      <c r="K131" s="39"/>
    </row>
    <row r="132" spans="2:11" ht="13.5" thickBot="1">
      <c r="B132" s="145"/>
      <c r="C132" s="28"/>
      <c r="D132" s="28"/>
      <c r="E132" s="39"/>
      <c r="F132" s="39"/>
      <c r="G132" s="39"/>
      <c r="H132" s="39"/>
      <c r="I132" s="146"/>
      <c r="J132" s="39"/>
      <c r="K132" s="39"/>
    </row>
    <row r="133" spans="2:11" ht="13.5" thickBot="1">
      <c r="B133" s="1608" t="s">
        <v>1334</v>
      </c>
      <c r="C133" s="1609"/>
      <c r="D133" s="1610"/>
      <c r="E133" s="898"/>
      <c r="F133" s="39"/>
      <c r="G133" s="39"/>
      <c r="H133" s="39"/>
      <c r="I133" s="146"/>
      <c r="J133" s="39"/>
      <c r="K133" s="39"/>
    </row>
    <row r="134" spans="2:11" ht="13">
      <c r="B134" s="276" t="s">
        <v>903</v>
      </c>
      <c r="C134" s="277"/>
      <c r="D134" s="1148">
        <f>C102</f>
        <v>0.15750126071550952</v>
      </c>
      <c r="E134" s="898"/>
      <c r="F134" s="39"/>
      <c r="G134" s="39"/>
      <c r="H134" s="39"/>
      <c r="I134" s="146"/>
      <c r="J134" s="39"/>
      <c r="K134" s="39"/>
    </row>
    <row r="135" spans="2:11" ht="13">
      <c r="B135" s="171" t="s">
        <v>1325</v>
      </c>
      <c r="C135" s="893">
        <f>$C$21</f>
        <v>0.06</v>
      </c>
      <c r="D135" s="1148">
        <f>MIRR($C$100:$H$100,$C$21,$C$21)</f>
        <v>0.14726370880305861</v>
      </c>
      <c r="E135" s="898"/>
      <c r="F135" s="39"/>
      <c r="G135" s="39"/>
      <c r="H135" s="39"/>
      <c r="I135" s="146"/>
      <c r="J135" s="39"/>
      <c r="K135" s="39"/>
    </row>
    <row r="136" spans="2:11" ht="15.5">
      <c r="B136" s="145" t="s">
        <v>410</v>
      </c>
      <c r="C136" s="896">
        <v>0.16</v>
      </c>
      <c r="D136" s="543">
        <f>NPV(C136,D98:H98)</f>
        <v>647374.80459301244</v>
      </c>
      <c r="E136" s="899"/>
      <c r="F136" s="37"/>
      <c r="G136" s="37"/>
      <c r="H136" s="39"/>
      <c r="I136" s="146"/>
      <c r="J136" s="39"/>
      <c r="K136" s="39"/>
    </row>
    <row r="137" spans="2:11" ht="15.5">
      <c r="B137" s="145" t="s">
        <v>411</v>
      </c>
      <c r="C137" s="896">
        <v>0.16</v>
      </c>
      <c r="D137" s="544">
        <f>PV(C137,C18,,-H99)</f>
        <v>1878353.5203871583</v>
      </c>
      <c r="E137" s="899"/>
      <c r="F137" s="37"/>
      <c r="G137" s="37"/>
      <c r="H137" s="39"/>
      <c r="I137" s="146"/>
      <c r="J137" s="39"/>
      <c r="K137" s="39"/>
    </row>
    <row r="138" spans="2:11" ht="13">
      <c r="B138" s="145" t="s">
        <v>342</v>
      </c>
      <c r="C138" s="37"/>
      <c r="D138" s="545">
        <f>D136+D137</f>
        <v>2525728.3249801705</v>
      </c>
      <c r="E138" s="899"/>
      <c r="G138" s="54"/>
      <c r="H138" s="39"/>
      <c r="I138" s="146"/>
      <c r="J138" s="39"/>
      <c r="K138" s="39"/>
    </row>
    <row r="139" spans="2:11">
      <c r="B139" s="145" t="s">
        <v>412</v>
      </c>
      <c r="C139" s="37"/>
      <c r="D139" s="544">
        <f>-C23</f>
        <v>-2550000.0000000005</v>
      </c>
      <c r="E139" s="54"/>
      <c r="F139" s="54"/>
      <c r="G139" s="54"/>
      <c r="H139" s="39"/>
      <c r="I139" s="146"/>
      <c r="J139" s="39"/>
      <c r="K139" s="39"/>
    </row>
    <row r="140" spans="2:11" ht="13.5" thickBot="1">
      <c r="B140" s="541" t="s">
        <v>413</v>
      </c>
      <c r="C140" s="44"/>
      <c r="D140" s="897">
        <f>D138+D139</f>
        <v>-24271.67501983</v>
      </c>
      <c r="E140" s="54"/>
      <c r="F140" s="54"/>
      <c r="G140" s="54"/>
      <c r="H140" s="39"/>
      <c r="I140" s="146"/>
      <c r="J140" s="39"/>
      <c r="K140" s="39"/>
    </row>
    <row r="141" spans="2:11" ht="13.5" thickBot="1">
      <c r="B141" s="228" t="s">
        <v>418</v>
      </c>
      <c r="C141" s="63"/>
      <c r="D141" s="155">
        <f>C102/(1-G14)</f>
        <v>0.24609571986798362</v>
      </c>
      <c r="E141" s="63"/>
      <c r="F141" s="63"/>
      <c r="G141" s="63"/>
      <c r="H141" s="542"/>
      <c r="I141" s="149"/>
      <c r="J141" s="39"/>
      <c r="K141" s="39"/>
    </row>
    <row r="142" spans="2:11" ht="13">
      <c r="B142" s="39"/>
      <c r="C142" s="39"/>
      <c r="D142" s="39"/>
      <c r="E142" s="39"/>
      <c r="F142" s="39"/>
      <c r="G142" s="39"/>
      <c r="H142" s="28"/>
      <c r="I142" s="39"/>
      <c r="J142" s="39"/>
      <c r="K142" s="39"/>
    </row>
    <row r="143" spans="2:11">
      <c r="B143" s="110"/>
      <c r="C143" s="39"/>
      <c r="D143" s="34"/>
      <c r="E143" s="34"/>
      <c r="F143" s="34"/>
      <c r="G143" s="34"/>
      <c r="H143" s="39"/>
      <c r="I143" s="39"/>
      <c r="J143" s="39"/>
      <c r="K143" s="39"/>
    </row>
    <row r="144" spans="2:11">
      <c r="B144" s="39"/>
      <c r="C144" s="39"/>
      <c r="D144" s="39"/>
      <c r="E144" s="39"/>
      <c r="F144" s="39"/>
      <c r="G144" s="39"/>
      <c r="H144" s="37"/>
      <c r="I144" s="39"/>
      <c r="J144" s="39"/>
      <c r="K144" s="39"/>
    </row>
    <row r="145" spans="2:11">
      <c r="B145" s="39"/>
      <c r="C145" s="39"/>
      <c r="D145" s="39"/>
      <c r="E145" s="39"/>
      <c r="F145" s="39"/>
      <c r="G145" s="39"/>
      <c r="H145" s="37"/>
      <c r="I145" s="39"/>
      <c r="J145" s="39"/>
      <c r="K145" s="39"/>
    </row>
    <row r="146" spans="2:11">
      <c r="B146" s="1176" t="s">
        <v>1528</v>
      </c>
      <c r="C146" s="39"/>
      <c r="D146" s="39"/>
      <c r="E146" s="39"/>
      <c r="F146" s="39"/>
      <c r="G146" s="39"/>
      <c r="H146" s="37"/>
      <c r="I146" s="39"/>
      <c r="J146" s="39"/>
      <c r="K146" s="39"/>
    </row>
    <row r="147" spans="2:11">
      <c r="B147" s="39"/>
      <c r="C147" s="39"/>
      <c r="D147" s="39"/>
      <c r="E147" s="39"/>
      <c r="F147" s="39"/>
      <c r="G147" s="39"/>
      <c r="H147" s="37"/>
      <c r="I147" s="39"/>
      <c r="J147" s="39"/>
      <c r="K147" s="39"/>
    </row>
    <row r="148" spans="2:11">
      <c r="B148" s="39"/>
      <c r="C148" s="39"/>
      <c r="D148" s="39"/>
      <c r="E148" s="39"/>
      <c r="F148" s="39"/>
      <c r="G148" s="39"/>
      <c r="H148" s="37"/>
      <c r="I148" s="39"/>
      <c r="J148" s="39"/>
      <c r="K148" s="39"/>
    </row>
    <row r="149" spans="2:11">
      <c r="B149" s="39"/>
      <c r="C149" s="39"/>
      <c r="D149" s="39"/>
      <c r="E149" s="39"/>
      <c r="F149" s="39"/>
      <c r="G149" s="39"/>
      <c r="H149" s="37"/>
      <c r="I149" s="39"/>
      <c r="J149" s="39"/>
      <c r="K149" s="39"/>
    </row>
    <row r="150" spans="2:11">
      <c r="B150" s="39"/>
      <c r="C150" s="39"/>
      <c r="D150" s="39"/>
      <c r="E150" s="39"/>
      <c r="F150" s="39"/>
      <c r="G150" s="39"/>
      <c r="H150" s="37"/>
      <c r="I150" s="39"/>
      <c r="J150" s="39"/>
      <c r="K150" s="39"/>
    </row>
    <row r="151" spans="2:11">
      <c r="B151" s="39"/>
      <c r="C151" s="39"/>
      <c r="D151" s="39"/>
      <c r="E151" s="39"/>
      <c r="F151" s="39"/>
      <c r="G151" s="39"/>
      <c r="H151" s="34"/>
      <c r="I151" s="39"/>
      <c r="J151" s="39"/>
      <c r="K151" s="39"/>
    </row>
    <row r="152" spans="2:11">
      <c r="B152" s="39"/>
      <c r="C152" s="39"/>
      <c r="D152" s="39"/>
      <c r="E152" s="39"/>
      <c r="F152" s="39"/>
      <c r="G152" s="39"/>
      <c r="H152" s="39"/>
      <c r="I152" s="39"/>
      <c r="J152" s="39"/>
      <c r="K152" s="39"/>
    </row>
    <row r="153" spans="2:11">
      <c r="B153" s="39"/>
      <c r="C153" s="39"/>
      <c r="D153" s="39"/>
      <c r="E153" s="39"/>
      <c r="F153" s="39"/>
      <c r="G153" s="39"/>
      <c r="H153" s="39"/>
      <c r="I153" s="39"/>
      <c r="J153" s="39"/>
      <c r="K153" s="39"/>
    </row>
    <row r="154" spans="2:11">
      <c r="B154" s="39"/>
      <c r="C154" s="39"/>
      <c r="D154" s="39"/>
      <c r="E154" s="39"/>
      <c r="F154" s="39"/>
      <c r="G154" s="39"/>
      <c r="H154" s="39"/>
      <c r="I154" s="39"/>
      <c r="J154" s="39"/>
      <c r="K154" s="39"/>
    </row>
    <row r="155" spans="2:11">
      <c r="B155" s="39"/>
      <c r="C155" s="39"/>
      <c r="D155" s="39"/>
      <c r="E155" s="39"/>
      <c r="F155" s="39"/>
      <c r="G155" s="39"/>
      <c r="H155" s="39"/>
      <c r="I155" s="39"/>
      <c r="J155" s="39"/>
      <c r="K155" s="39"/>
    </row>
  </sheetData>
  <mergeCells count="11">
    <mergeCell ref="B56:D56"/>
    <mergeCell ref="B77:H77"/>
    <mergeCell ref="B46:G46"/>
    <mergeCell ref="B133:D133"/>
    <mergeCell ref="B106:D106"/>
    <mergeCell ref="B118:D118"/>
    <mergeCell ref="B2:I2"/>
    <mergeCell ref="B3:I3"/>
    <mergeCell ref="B9:G9"/>
    <mergeCell ref="B29:G29"/>
    <mergeCell ref="B37:G37"/>
  </mergeCells>
  <phoneticPr fontId="4" type="noConversion"/>
  <pageMargins left="0.75" right="0.75" top="1" bottom="1" header="0.5" footer="0.5"/>
  <pageSetup orientation="portrait" r:id="rId1"/>
  <headerFooter alignWithMargins="0"/>
  <ignoredErrors>
    <ignoredError sqref="D139" formula="1"/>
  </ignoredErrors>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EBB901"/>
  </sheetPr>
  <dimension ref="B1:J152"/>
  <sheetViews>
    <sheetView topLeftCell="A106" zoomScaleNormal="100" workbookViewId="0"/>
  </sheetViews>
  <sheetFormatPr defaultRowHeight="12.5"/>
  <cols>
    <col min="2" max="2" width="29.81640625" customWidth="1"/>
    <col min="3" max="3" width="12.453125" customWidth="1"/>
    <col min="4" max="5" width="15.453125" customWidth="1"/>
    <col min="6" max="6" width="12.1796875" customWidth="1"/>
    <col min="7" max="7" width="15.81640625" customWidth="1"/>
    <col min="8" max="8" width="12.26953125" customWidth="1"/>
    <col min="9" max="9" width="16.7265625" customWidth="1"/>
    <col min="10" max="10" width="11.54296875" customWidth="1"/>
  </cols>
  <sheetData>
    <row r="1" spans="2:9" ht="13" thickBot="1"/>
    <row r="2" spans="2:9" ht="18.5" thickBot="1">
      <c r="B2" s="1525" t="s">
        <v>1731</v>
      </c>
      <c r="C2" s="1557"/>
      <c r="D2" s="1557"/>
      <c r="E2" s="1557"/>
      <c r="F2" s="1557"/>
      <c r="G2" s="1557"/>
      <c r="H2" s="1557"/>
      <c r="I2" s="1558"/>
    </row>
    <row r="3" spans="2:9" ht="16" thickBot="1">
      <c r="B3" s="1528" t="s">
        <v>1095</v>
      </c>
      <c r="C3" s="1540"/>
      <c r="D3" s="1540"/>
      <c r="E3" s="1540"/>
      <c r="F3" s="1540"/>
      <c r="G3" s="1540"/>
      <c r="H3" s="1540"/>
      <c r="I3" s="1541"/>
    </row>
    <row r="4" spans="2:9">
      <c r="B4" s="124"/>
      <c r="C4" s="37"/>
      <c r="D4" s="37"/>
      <c r="E4" s="37"/>
      <c r="F4" s="37"/>
      <c r="G4" s="37"/>
      <c r="H4" s="37"/>
      <c r="I4" s="524"/>
    </row>
    <row r="5" spans="2:9" ht="13">
      <c r="B5" s="1589" t="s">
        <v>1096</v>
      </c>
      <c r="C5" s="1590"/>
      <c r="D5" s="1590"/>
      <c r="E5" s="1590"/>
      <c r="F5" s="1590"/>
      <c r="G5" s="811" t="s">
        <v>1253</v>
      </c>
      <c r="H5" s="37"/>
      <c r="I5" s="524"/>
    </row>
    <row r="6" spans="2:9">
      <c r="B6" s="1591"/>
      <c r="C6" s="1590"/>
      <c r="D6" s="1590"/>
      <c r="E6" s="1590"/>
      <c r="F6" s="1590"/>
      <c r="G6" s="212"/>
      <c r="H6" s="212"/>
      <c r="I6" s="224"/>
    </row>
    <row r="7" spans="2:9" ht="13" thickBot="1">
      <c r="B7" s="223"/>
      <c r="C7" s="212"/>
      <c r="D7" s="212"/>
      <c r="E7" s="212"/>
      <c r="F7" s="212"/>
      <c r="G7" s="212"/>
      <c r="H7" s="212"/>
      <c r="I7" s="224"/>
    </row>
    <row r="8" spans="2:9" ht="13.5" thickBot="1">
      <c r="B8" s="1531" t="s">
        <v>1094</v>
      </c>
      <c r="C8" s="1592"/>
      <c r="D8" s="1592"/>
      <c r="E8" s="1593"/>
      <c r="G8" s="1" t="s">
        <v>1309</v>
      </c>
      <c r="I8" s="126"/>
    </row>
    <row r="9" spans="2:9">
      <c r="B9" s="1133" t="s">
        <v>267</v>
      </c>
      <c r="C9" s="39"/>
      <c r="D9" s="516">
        <v>8500000</v>
      </c>
      <c r="E9" s="146"/>
      <c r="F9" s="275"/>
      <c r="I9" s="126"/>
    </row>
    <row r="10" spans="2:9">
      <c r="B10" s="171" t="s">
        <v>296</v>
      </c>
      <c r="C10" s="39"/>
      <c r="D10" s="362">
        <v>100000</v>
      </c>
      <c r="E10" s="146" t="s">
        <v>297</v>
      </c>
      <c r="F10" s="275"/>
      <c r="I10" s="126"/>
    </row>
    <row r="11" spans="2:9">
      <c r="B11" s="171" t="s">
        <v>298</v>
      </c>
      <c r="C11" s="39"/>
      <c r="D11" s="362">
        <v>96000</v>
      </c>
      <c r="E11" s="146" t="s">
        <v>297</v>
      </c>
      <c r="F11" s="275"/>
      <c r="I11" s="126"/>
    </row>
    <row r="12" spans="2:9">
      <c r="B12" s="1133" t="s">
        <v>1605</v>
      </c>
      <c r="C12" s="39"/>
      <c r="D12" s="151"/>
      <c r="E12" s="146"/>
      <c r="F12" s="275"/>
      <c r="I12" s="126"/>
    </row>
    <row r="13" spans="2:9">
      <c r="B13" s="171" t="s">
        <v>300</v>
      </c>
      <c r="C13" s="39"/>
      <c r="D13" s="151">
        <v>0.05</v>
      </c>
      <c r="E13" s="1308" t="s">
        <v>1591</v>
      </c>
      <c r="F13" s="275"/>
      <c r="I13" s="126"/>
    </row>
    <row r="14" spans="2:9">
      <c r="B14" s="171" t="s">
        <v>302</v>
      </c>
      <c r="C14" s="39"/>
      <c r="D14" s="151">
        <v>0.04</v>
      </c>
      <c r="E14" s="1308" t="s">
        <v>1633</v>
      </c>
      <c r="F14" s="275"/>
      <c r="I14" s="126"/>
    </row>
    <row r="15" spans="2:9" ht="13" thickBot="1">
      <c r="B15" s="228" t="s">
        <v>303</v>
      </c>
      <c r="C15" s="63"/>
      <c r="D15" s="201">
        <v>0.05</v>
      </c>
      <c r="E15" s="149" t="s">
        <v>258</v>
      </c>
      <c r="F15" s="1251"/>
      <c r="G15" s="4"/>
      <c r="H15" s="4"/>
      <c r="I15" s="135"/>
    </row>
    <row r="17" spans="2:10" ht="13" thickBot="1"/>
    <row r="18" spans="2:10" ht="13.5" thickBot="1">
      <c r="B18" s="1594" t="s">
        <v>304</v>
      </c>
      <c r="C18" s="1595"/>
      <c r="D18" s="1595"/>
      <c r="E18" s="1595"/>
      <c r="F18" s="1595"/>
      <c r="G18" s="1595"/>
      <c r="H18" s="1595"/>
      <c r="I18" s="1596"/>
    </row>
    <row r="19" spans="2:10" ht="14">
      <c r="B19" s="517"/>
      <c r="C19" s="517"/>
      <c r="D19" s="520" t="s">
        <v>1467</v>
      </c>
      <c r="E19" s="520"/>
      <c r="F19" s="520"/>
      <c r="G19" s="517"/>
      <c r="H19" s="517"/>
      <c r="I19" s="517"/>
    </row>
    <row r="20" spans="2:10" ht="14">
      <c r="B20" s="518" t="s">
        <v>305</v>
      </c>
      <c r="C20" s="518" t="s">
        <v>306</v>
      </c>
      <c r="D20" s="521" t="s">
        <v>307</v>
      </c>
      <c r="E20" s="521" t="s">
        <v>1467</v>
      </c>
      <c r="F20" s="521" t="s">
        <v>308</v>
      </c>
      <c r="G20" s="521" t="s">
        <v>309</v>
      </c>
      <c r="H20" s="518"/>
      <c r="I20" s="518" t="s">
        <v>310</v>
      </c>
    </row>
    <row r="21" spans="2:10" ht="14.5" thickBot="1">
      <c r="B21" s="519" t="s">
        <v>1719</v>
      </c>
      <c r="C21" s="519"/>
      <c r="D21" s="522" t="s">
        <v>295</v>
      </c>
      <c r="E21" s="522" t="s">
        <v>307</v>
      </c>
      <c r="F21" s="522" t="s">
        <v>311</v>
      </c>
      <c r="G21" s="522" t="s">
        <v>295</v>
      </c>
      <c r="H21" s="519"/>
      <c r="I21" s="519" t="s">
        <v>1618</v>
      </c>
    </row>
    <row r="22" spans="2:10">
      <c r="B22" s="124"/>
      <c r="I22" s="126"/>
    </row>
    <row r="23" spans="2:10">
      <c r="B23" s="124" t="s">
        <v>312</v>
      </c>
      <c r="C23" s="362">
        <v>70000</v>
      </c>
      <c r="D23" s="11">
        <v>14</v>
      </c>
      <c r="E23" s="8">
        <f t="shared" ref="E23:E28" si="0">C23*D23</f>
        <v>980000</v>
      </c>
      <c r="F23">
        <v>3</v>
      </c>
      <c r="G23" s="11">
        <v>4</v>
      </c>
      <c r="H23" s="11"/>
      <c r="I23" s="1297">
        <v>0</v>
      </c>
      <c r="J23" s="11"/>
    </row>
    <row r="24" spans="2:10">
      <c r="B24" s="124" t="s">
        <v>313</v>
      </c>
      <c r="C24" s="362">
        <v>0</v>
      </c>
      <c r="D24" s="11">
        <v>14</v>
      </c>
      <c r="E24" s="24"/>
      <c r="G24" s="161"/>
      <c r="H24" s="43"/>
      <c r="I24" s="1297"/>
      <c r="J24" s="43"/>
    </row>
    <row r="25" spans="2:10">
      <c r="B25" s="124" t="s">
        <v>314</v>
      </c>
      <c r="C25" s="362">
        <v>0</v>
      </c>
      <c r="D25" s="11">
        <v>14</v>
      </c>
      <c r="E25" s="24"/>
      <c r="G25" s="161"/>
      <c r="H25" s="43"/>
      <c r="I25" s="1297"/>
      <c r="J25" s="43"/>
    </row>
    <row r="26" spans="2:10">
      <c r="B26" s="124" t="s">
        <v>315</v>
      </c>
      <c r="C26" s="362">
        <v>10000</v>
      </c>
      <c r="D26" s="11">
        <v>14.5</v>
      </c>
      <c r="E26" s="24">
        <f t="shared" si="0"/>
        <v>145000</v>
      </c>
      <c r="F26">
        <v>4</v>
      </c>
      <c r="G26" s="161">
        <v>4.25</v>
      </c>
      <c r="I26" s="1297">
        <v>0</v>
      </c>
    </row>
    <row r="27" spans="2:10">
      <c r="B27" s="124" t="s">
        <v>316</v>
      </c>
      <c r="C27" s="362">
        <v>0</v>
      </c>
      <c r="D27" s="11">
        <v>15</v>
      </c>
      <c r="E27" s="24"/>
      <c r="G27" s="161"/>
      <c r="I27" s="1297"/>
    </row>
    <row r="28" spans="2:10">
      <c r="B28" s="124" t="s">
        <v>317</v>
      </c>
      <c r="C28" s="362">
        <v>16000</v>
      </c>
      <c r="D28" s="11">
        <v>15</v>
      </c>
      <c r="E28" s="24">
        <f t="shared" si="0"/>
        <v>240000</v>
      </c>
      <c r="F28">
        <v>5</v>
      </c>
      <c r="G28" s="161">
        <v>4.45</v>
      </c>
      <c r="I28" s="1297">
        <v>0</v>
      </c>
    </row>
    <row r="29" spans="2:10">
      <c r="B29" s="124"/>
      <c r="C29" s="30"/>
      <c r="D29" s="11"/>
      <c r="E29" s="30"/>
      <c r="I29" s="126"/>
    </row>
    <row r="30" spans="2:10">
      <c r="B30" s="124" t="s">
        <v>292</v>
      </c>
      <c r="C30" s="24">
        <f>SUM(C23:C28)</f>
        <v>96000</v>
      </c>
      <c r="D30" s="11"/>
      <c r="E30" s="24">
        <f>SUM(E23:E28)</f>
        <v>1365000</v>
      </c>
      <c r="H30" s="43"/>
      <c r="I30" s="287"/>
      <c r="J30" s="43"/>
    </row>
    <row r="31" spans="2:10">
      <c r="B31" s="124"/>
      <c r="I31" s="126"/>
    </row>
    <row r="32" spans="2:10" ht="13.5" thickBot="1">
      <c r="B32" s="134"/>
      <c r="C32" s="4"/>
      <c r="D32" s="4"/>
      <c r="E32" s="523" t="s">
        <v>318</v>
      </c>
      <c r="F32" s="4"/>
      <c r="G32" s="4"/>
      <c r="H32" s="4"/>
      <c r="I32" s="135"/>
    </row>
    <row r="33" spans="2:9" ht="13.5" thickBot="1">
      <c r="B33" s="1594" t="s">
        <v>1616</v>
      </c>
      <c r="C33" s="1595"/>
      <c r="D33" s="1595"/>
      <c r="E33" s="1595"/>
      <c r="F33" s="1595"/>
      <c r="G33" s="1595"/>
      <c r="H33" s="1595"/>
      <c r="I33" s="1596"/>
    </row>
    <row r="34" spans="2:9" ht="13.5" thickBot="1">
      <c r="B34" s="157" t="s">
        <v>262</v>
      </c>
      <c r="C34" s="157"/>
      <c r="D34" s="157">
        <v>1</v>
      </c>
      <c r="E34" s="157">
        <f>1+D34</f>
        <v>2</v>
      </c>
      <c r="F34" s="157">
        <f>1+E34</f>
        <v>3</v>
      </c>
      <c r="G34" s="157">
        <f>1+F34</f>
        <v>4</v>
      </c>
      <c r="H34" s="157">
        <f>1+G34</f>
        <v>5</v>
      </c>
      <c r="I34" s="157">
        <f>1+H34</f>
        <v>6</v>
      </c>
    </row>
    <row r="35" spans="2:9">
      <c r="B35" s="1118" t="s">
        <v>1617</v>
      </c>
      <c r="C35" s="122"/>
      <c r="D35" s="1309">
        <v>15</v>
      </c>
      <c r="E35" s="1309">
        <v>15.5</v>
      </c>
      <c r="F35" s="1309">
        <v>16</v>
      </c>
      <c r="G35" s="1309">
        <v>16.75</v>
      </c>
      <c r="H35" s="1309">
        <v>17.5</v>
      </c>
      <c r="I35" s="1310">
        <v>18</v>
      </c>
    </row>
    <row r="36" spans="2:9" ht="13" thickBot="1">
      <c r="B36" s="134"/>
      <c r="C36" s="4"/>
      <c r="D36" s="4"/>
      <c r="E36" s="4"/>
      <c r="F36" s="4"/>
      <c r="G36" s="4"/>
      <c r="H36" s="4"/>
      <c r="I36" s="135"/>
    </row>
    <row r="37" spans="2:9" ht="13.5" thickBot="1">
      <c r="B37" s="1547" t="s">
        <v>1554</v>
      </c>
      <c r="C37" s="1548"/>
      <c r="D37" s="1548"/>
      <c r="E37" s="1548"/>
      <c r="F37" s="1548"/>
      <c r="G37" s="1548"/>
      <c r="H37" s="1548"/>
      <c r="I37" s="1549"/>
    </row>
    <row r="38" spans="2:9" ht="14.5" thickBot="1">
      <c r="B38" s="124"/>
      <c r="D38" s="1252" t="s">
        <v>319</v>
      </c>
      <c r="E38" s="1253" t="s">
        <v>295</v>
      </c>
      <c r="I38" s="126"/>
    </row>
    <row r="39" spans="2:9" ht="13">
      <c r="B39" s="888" t="s">
        <v>1506</v>
      </c>
      <c r="I39" s="126"/>
    </row>
    <row r="40" spans="2:9">
      <c r="B40" s="124" t="s">
        <v>320</v>
      </c>
      <c r="D40" s="8">
        <v>148800</v>
      </c>
      <c r="E40" s="208">
        <f>D40/96000</f>
        <v>1.55</v>
      </c>
      <c r="F40" s="6" t="s">
        <v>322</v>
      </c>
      <c r="G40" s="1337">
        <v>0.02</v>
      </c>
      <c r="H40" t="s">
        <v>323</v>
      </c>
      <c r="I40" s="126"/>
    </row>
    <row r="41" spans="2:9">
      <c r="B41" s="124" t="s">
        <v>276</v>
      </c>
      <c r="D41" s="24">
        <v>14400</v>
      </c>
      <c r="E41" s="208">
        <f>D41/96000</f>
        <v>0.15</v>
      </c>
      <c r="F41" s="6" t="s">
        <v>322</v>
      </c>
      <c r="G41" s="23">
        <v>0.04</v>
      </c>
      <c r="H41" t="s">
        <v>323</v>
      </c>
      <c r="I41" s="126"/>
    </row>
    <row r="42" spans="2:9">
      <c r="B42" s="124" t="s">
        <v>274</v>
      </c>
      <c r="D42" s="24">
        <v>120000</v>
      </c>
      <c r="E42" s="208">
        <f>D42/96000</f>
        <v>1.25</v>
      </c>
      <c r="F42" s="6" t="s">
        <v>322</v>
      </c>
      <c r="G42" s="23">
        <v>0.05</v>
      </c>
      <c r="H42" t="s">
        <v>323</v>
      </c>
      <c r="I42" s="126"/>
    </row>
    <row r="43" spans="2:9">
      <c r="B43" s="124" t="s">
        <v>324</v>
      </c>
      <c r="D43" s="24">
        <v>76800</v>
      </c>
      <c r="E43" s="208">
        <f>D43/96000</f>
        <v>0.8</v>
      </c>
      <c r="F43" s="6" t="s">
        <v>322</v>
      </c>
      <c r="G43" s="23">
        <v>0.03</v>
      </c>
      <c r="H43" t="s">
        <v>323</v>
      </c>
      <c r="I43" s="126"/>
    </row>
    <row r="44" spans="2:9">
      <c r="B44" s="124" t="s">
        <v>325</v>
      </c>
      <c r="D44" s="955">
        <v>67200</v>
      </c>
      <c r="E44" s="208">
        <f>D44/96000</f>
        <v>0.7</v>
      </c>
      <c r="F44" s="6" t="s">
        <v>322</v>
      </c>
      <c r="G44" s="23">
        <v>0.03</v>
      </c>
      <c r="H44" t="s">
        <v>323</v>
      </c>
      <c r="I44" s="126"/>
    </row>
    <row r="45" spans="2:9">
      <c r="B45" s="124"/>
      <c r="D45" s="17"/>
      <c r="I45" s="126"/>
    </row>
    <row r="46" spans="2:9">
      <c r="B46" s="124" t="s">
        <v>326</v>
      </c>
      <c r="D46" s="24">
        <f>SUM(D40:D44)</f>
        <v>427200</v>
      </c>
      <c r="E46" s="809">
        <f>SUM(E40:E44)</f>
        <v>4.45</v>
      </c>
      <c r="F46" t="s">
        <v>327</v>
      </c>
      <c r="I46" s="126"/>
    </row>
    <row r="47" spans="2:9">
      <c r="B47" s="124"/>
      <c r="D47" s="24"/>
      <c r="E47" s="208"/>
      <c r="I47" s="126"/>
    </row>
    <row r="48" spans="2:9" ht="13">
      <c r="B48" s="1298" t="s">
        <v>1720</v>
      </c>
      <c r="C48" s="1299"/>
      <c r="D48" s="1299"/>
      <c r="E48" s="1299"/>
      <c r="F48" s="1299"/>
      <c r="G48" s="1299"/>
      <c r="I48" s="126"/>
    </row>
    <row r="49" spans="2:10">
      <c r="B49" s="1300" t="s">
        <v>1550</v>
      </c>
      <c r="C49" s="1299"/>
      <c r="D49" s="1301">
        <f>F49*E30</f>
        <v>68250</v>
      </c>
      <c r="E49" s="1302">
        <f>D49/C30</f>
        <v>0.7109375</v>
      </c>
      <c r="F49" s="1283">
        <f>D13</f>
        <v>0.05</v>
      </c>
      <c r="G49" s="1303" t="s">
        <v>1588</v>
      </c>
      <c r="I49" s="126"/>
    </row>
    <row r="50" spans="2:10">
      <c r="B50" s="1300" t="s">
        <v>1722</v>
      </c>
      <c r="D50" s="17"/>
      <c r="E50" s="17"/>
      <c r="I50" s="126"/>
    </row>
    <row r="51" spans="2:10">
      <c r="B51" s="124" t="s">
        <v>292</v>
      </c>
      <c r="D51" s="8">
        <f>D46+D49</f>
        <v>495450</v>
      </c>
      <c r="E51" s="11">
        <f>E46+E49</f>
        <v>5.1609375000000002</v>
      </c>
      <c r="F51" s="23"/>
      <c r="I51" s="126"/>
    </row>
    <row r="52" spans="2:10" ht="13.5" thickBot="1">
      <c r="B52" s="1247" t="s">
        <v>1721</v>
      </c>
      <c r="C52" s="4"/>
      <c r="D52" s="4"/>
      <c r="E52" s="4"/>
      <c r="F52" s="4"/>
      <c r="G52" s="4"/>
      <c r="H52" s="4"/>
      <c r="I52" s="135"/>
    </row>
    <row r="53" spans="2:10" ht="13.5" thickBot="1">
      <c r="B53" s="374"/>
      <c r="I53" s="126"/>
    </row>
    <row r="54" spans="2:10" ht="13.5" thickBot="1">
      <c r="B54" s="1547" t="s">
        <v>1553</v>
      </c>
      <c r="C54" s="1538"/>
      <c r="D54" s="1538"/>
      <c r="E54" s="1538"/>
      <c r="F54" s="1538"/>
      <c r="G54" s="1538"/>
      <c r="H54" s="1538"/>
      <c r="I54" s="1539"/>
    </row>
    <row r="55" spans="2:10" ht="13.5" thickBot="1">
      <c r="B55" s="157" t="s">
        <v>262</v>
      </c>
      <c r="C55" s="157"/>
      <c r="D55" s="157">
        <v>1</v>
      </c>
      <c r="E55" s="157">
        <f>1+D55</f>
        <v>2</v>
      </c>
      <c r="F55" s="157">
        <f>1+E55</f>
        <v>3</v>
      </c>
      <c r="G55" s="157">
        <f>1+F55</f>
        <v>4</v>
      </c>
      <c r="H55" s="157">
        <f>1+G55</f>
        <v>5</v>
      </c>
      <c r="I55" s="157">
        <f>1+H55</f>
        <v>6</v>
      </c>
    </row>
    <row r="56" spans="2:10" ht="13.5" thickBot="1">
      <c r="B56" s="1586" t="s">
        <v>959</v>
      </c>
      <c r="C56" s="1587"/>
      <c r="D56" s="1587"/>
      <c r="E56" s="1587"/>
      <c r="F56" s="1587"/>
      <c r="G56" s="1587"/>
      <c r="H56" s="1587"/>
      <c r="I56" s="1588"/>
      <c r="J56" s="43"/>
    </row>
    <row r="57" spans="2:10">
      <c r="B57" s="124" t="s">
        <v>320</v>
      </c>
      <c r="D57" s="24">
        <f>D40</f>
        <v>148800</v>
      </c>
      <c r="E57" s="24">
        <f>D57*(1+$G$40)</f>
        <v>151776</v>
      </c>
      <c r="F57" s="24">
        <f t="shared" ref="F57:I57" si="1">E57*(1+$G$40)</f>
        <v>154811.51999999999</v>
      </c>
      <c r="G57" s="24">
        <f t="shared" si="1"/>
        <v>157907.75039999999</v>
      </c>
      <c r="H57" s="24">
        <f t="shared" si="1"/>
        <v>161065.90540799999</v>
      </c>
      <c r="I57" s="24">
        <f t="shared" si="1"/>
        <v>164287.22351615998</v>
      </c>
    </row>
    <row r="58" spans="2:10">
      <c r="B58" s="124" t="s">
        <v>276</v>
      </c>
      <c r="D58" s="24">
        <f>D41</f>
        <v>14400</v>
      </c>
      <c r="E58" s="24">
        <f>D58*(1+$G$41)</f>
        <v>14976</v>
      </c>
      <c r="F58" s="24">
        <f>E58*(1+$G$41)</f>
        <v>15575.04</v>
      </c>
      <c r="G58" s="24">
        <f>F58*(1+$G$41)</f>
        <v>16198.041600000002</v>
      </c>
      <c r="H58" s="24">
        <f>G58*(1+$G$41)</f>
        <v>16845.963264000002</v>
      </c>
      <c r="I58" s="163">
        <f>H58*(1+$G$41)</f>
        <v>17519.801794560004</v>
      </c>
      <c r="J58" s="43"/>
    </row>
    <row r="59" spans="2:10">
      <c r="B59" s="124" t="s">
        <v>274</v>
      </c>
      <c r="D59" s="24">
        <f>D42</f>
        <v>120000</v>
      </c>
      <c r="E59" s="24">
        <f>D59*(1+$G$42)</f>
        <v>126000</v>
      </c>
      <c r="F59" s="24">
        <f>E59*(1+$G$42)</f>
        <v>132300</v>
      </c>
      <c r="G59" s="24">
        <f>F59*(1+$G$42)</f>
        <v>138915</v>
      </c>
      <c r="H59" s="24">
        <f>G59*(1+$G$42)</f>
        <v>145860.75</v>
      </c>
      <c r="I59" s="163">
        <f>H59*(1+$G$42)</f>
        <v>153153.78750000001</v>
      </c>
      <c r="J59" s="43"/>
    </row>
    <row r="60" spans="2:10">
      <c r="B60" s="124" t="s">
        <v>324</v>
      </c>
      <c r="D60" s="24">
        <f>D43</f>
        <v>76800</v>
      </c>
      <c r="E60" s="24">
        <f>D60*(1+$G$43)</f>
        <v>79104</v>
      </c>
      <c r="F60" s="24">
        <f>E60*(1+$G$43)</f>
        <v>81477.119999999995</v>
      </c>
      <c r="G60" s="24">
        <f>F60*(1+$G$43)</f>
        <v>83921.433600000004</v>
      </c>
      <c r="H60" s="24">
        <f>G60*(1+$G$43)</f>
        <v>86439.076608000003</v>
      </c>
      <c r="I60" s="163">
        <f>H60*(1+$G$43)</f>
        <v>89032.248906239998</v>
      </c>
      <c r="J60" s="43"/>
    </row>
    <row r="61" spans="2:10">
      <c r="B61" s="124" t="s">
        <v>325</v>
      </c>
      <c r="D61" s="52">
        <f>D44</f>
        <v>67200</v>
      </c>
      <c r="E61" s="52">
        <f>D61*(1+$G$44)</f>
        <v>69216</v>
      </c>
      <c r="F61" s="52">
        <f>E61*(1+$G$44)</f>
        <v>71292.479999999996</v>
      </c>
      <c r="G61" s="52">
        <f>F61*(1+$G$44)</f>
        <v>73431.254399999991</v>
      </c>
      <c r="H61" s="52">
        <f>G61*(1+$G$44)</f>
        <v>75634.192031999992</v>
      </c>
      <c r="I61" s="398">
        <f>H61*(1+$G$44)</f>
        <v>77903.21779296</v>
      </c>
      <c r="J61" s="43"/>
    </row>
    <row r="62" spans="2:10">
      <c r="B62" s="124" t="s">
        <v>330</v>
      </c>
      <c r="D62" s="24">
        <f t="shared" ref="D62:I62" si="2">SUM(D57:D61)</f>
        <v>427200</v>
      </c>
      <c r="E62" s="24">
        <f t="shared" si="2"/>
        <v>441072</v>
      </c>
      <c r="F62" s="24">
        <f t="shared" si="2"/>
        <v>455456.16</v>
      </c>
      <c r="G62" s="24">
        <f t="shared" si="2"/>
        <v>470373.48</v>
      </c>
      <c r="H62" s="24">
        <f t="shared" si="2"/>
        <v>485845.88731199998</v>
      </c>
      <c r="I62" s="163">
        <f t="shared" si="2"/>
        <v>501896.27950991999</v>
      </c>
    </row>
    <row r="63" spans="2:10">
      <c r="B63" s="124" t="s">
        <v>331</v>
      </c>
      <c r="D63" s="809">
        <f t="shared" ref="D63:I63" si="3">D62/$C$30</f>
        <v>4.45</v>
      </c>
      <c r="E63" s="809">
        <f t="shared" si="3"/>
        <v>4.5945</v>
      </c>
      <c r="F63" s="809">
        <f t="shared" si="3"/>
        <v>4.7443349999999995</v>
      </c>
      <c r="G63" s="809">
        <f t="shared" si="3"/>
        <v>4.8997237499999997</v>
      </c>
      <c r="H63" s="809">
        <f t="shared" si="3"/>
        <v>5.0608946594999997</v>
      </c>
      <c r="I63" s="810">
        <f t="shared" si="3"/>
        <v>5.2280862448949996</v>
      </c>
    </row>
    <row r="64" spans="2:10" ht="13" thickBot="1">
      <c r="B64" s="124"/>
      <c r="D64" s="24"/>
      <c r="E64" s="24"/>
      <c r="F64" s="24"/>
      <c r="G64" s="24"/>
      <c r="H64" s="24"/>
      <c r="I64" s="163"/>
    </row>
    <row r="65" spans="2:10" ht="13.5" thickBot="1">
      <c r="B65" s="1586" t="s">
        <v>953</v>
      </c>
      <c r="C65" s="1587"/>
      <c r="D65" s="1587"/>
      <c r="E65" s="1587"/>
      <c r="F65" s="1587"/>
      <c r="G65" s="1587"/>
      <c r="H65" s="1587"/>
      <c r="I65" s="1588"/>
    </row>
    <row r="66" spans="2:10" ht="13" thickBot="1">
      <c r="B66" s="124" t="s">
        <v>328</v>
      </c>
      <c r="D66" s="24">
        <f>$F$49*D100</f>
        <v>69925</v>
      </c>
      <c r="E66" s="24">
        <f t="shared" ref="E66:I66" si="4">$F$49*E100</f>
        <v>70618.600000000006</v>
      </c>
      <c r="F66" s="24">
        <f t="shared" si="4"/>
        <v>71337.808000000005</v>
      </c>
      <c r="G66" s="24">
        <f t="shared" si="4"/>
        <v>78559.640874999997</v>
      </c>
      <c r="H66" s="24">
        <f t="shared" si="4"/>
        <v>80427.813910850004</v>
      </c>
      <c r="I66" s="24">
        <f t="shared" si="4"/>
        <v>83007.864524830016</v>
      </c>
    </row>
    <row r="67" spans="2:10" ht="13.5" thickBot="1">
      <c r="B67" s="1586" t="s">
        <v>954</v>
      </c>
      <c r="C67" s="1587"/>
      <c r="D67" s="1587"/>
      <c r="E67" s="1587"/>
      <c r="F67" s="1587"/>
      <c r="G67" s="1587"/>
      <c r="H67" s="1587"/>
      <c r="I67" s="1588"/>
    </row>
    <row r="68" spans="2:10" ht="13" thickBot="1">
      <c r="B68" s="134" t="s">
        <v>278</v>
      </c>
      <c r="C68" s="4"/>
      <c r="D68" s="31">
        <f t="shared" ref="D68:I68" si="5">D66+D62</f>
        <v>497125</v>
      </c>
      <c r="E68" s="31">
        <f t="shared" si="5"/>
        <v>511690.6</v>
      </c>
      <c r="F68" s="31">
        <f t="shared" si="5"/>
        <v>526793.96799999999</v>
      </c>
      <c r="G68" s="31">
        <f t="shared" si="5"/>
        <v>548933.12087500002</v>
      </c>
      <c r="H68" s="31">
        <f t="shared" si="5"/>
        <v>566273.70122285001</v>
      </c>
      <c r="I68" s="207">
        <f t="shared" si="5"/>
        <v>584904.14403475006</v>
      </c>
      <c r="J68" s="43"/>
    </row>
    <row r="69" spans="2:10">
      <c r="I69" s="126"/>
    </row>
    <row r="70" spans="2:10" ht="13" thickBot="1">
      <c r="I70" s="126"/>
    </row>
    <row r="71" spans="2:10" ht="13.5" thickBot="1">
      <c r="B71" s="1547" t="s">
        <v>1555</v>
      </c>
      <c r="C71" s="1538"/>
      <c r="D71" s="1538"/>
      <c r="E71" s="1538"/>
      <c r="F71" s="1538"/>
      <c r="G71" s="1538"/>
      <c r="H71" s="1538"/>
      <c r="I71" s="1539"/>
    </row>
    <row r="72" spans="2:10" ht="13.5" thickBot="1">
      <c r="B72" s="197" t="s">
        <v>262</v>
      </c>
      <c r="C72" s="157"/>
      <c r="D72" s="157">
        <v>1</v>
      </c>
      <c r="E72" s="157">
        <f>1+D72</f>
        <v>2</v>
      </c>
      <c r="F72" s="157">
        <f>1+E72</f>
        <v>3</v>
      </c>
      <c r="G72" s="157">
        <f>1+F72</f>
        <v>4</v>
      </c>
      <c r="H72" s="157">
        <f>1+G72</f>
        <v>5</v>
      </c>
      <c r="I72" s="157">
        <f>1+H72</f>
        <v>6</v>
      </c>
    </row>
    <row r="73" spans="2:10" ht="13">
      <c r="B73" s="1254" t="s">
        <v>1316</v>
      </c>
      <c r="I73" s="126"/>
    </row>
    <row r="74" spans="2:10">
      <c r="B74" s="124" t="s">
        <v>312</v>
      </c>
      <c r="D74" s="24">
        <f>$E$23</f>
        <v>980000</v>
      </c>
      <c r="E74" s="24">
        <f>D74</f>
        <v>980000</v>
      </c>
      <c r="F74" s="24">
        <f>E74</f>
        <v>980000</v>
      </c>
      <c r="G74" s="806">
        <f>G35*C23</f>
        <v>1172500</v>
      </c>
      <c r="H74" s="24">
        <f>G74</f>
        <v>1172500</v>
      </c>
      <c r="I74" s="163">
        <f>H74</f>
        <v>1172500</v>
      </c>
      <c r="J74" s="43"/>
    </row>
    <row r="75" spans="2:10">
      <c r="B75" s="124" t="s">
        <v>313</v>
      </c>
      <c r="D75" s="24"/>
      <c r="E75" s="24"/>
      <c r="F75" s="24"/>
      <c r="G75" s="24"/>
      <c r="H75" s="24"/>
      <c r="I75" s="163"/>
      <c r="J75" s="43"/>
    </row>
    <row r="76" spans="2:10">
      <c r="B76" s="124" t="s">
        <v>314</v>
      </c>
      <c r="D76" s="24"/>
      <c r="E76" s="24"/>
      <c r="F76" s="24"/>
      <c r="G76" s="24"/>
      <c r="H76" s="24"/>
      <c r="I76" s="163"/>
      <c r="J76" s="43"/>
    </row>
    <row r="77" spans="2:10">
      <c r="B77" s="124" t="s">
        <v>315</v>
      </c>
      <c r="D77" s="24">
        <f>$E$26</f>
        <v>145000</v>
      </c>
      <c r="E77" s="24">
        <f>D77</f>
        <v>145000</v>
      </c>
      <c r="F77" s="24">
        <f>E77</f>
        <v>145000</v>
      </c>
      <c r="G77" s="24">
        <f>F77</f>
        <v>145000</v>
      </c>
      <c r="H77" s="806">
        <f>H35*C26</f>
        <v>175000</v>
      </c>
      <c r="I77" s="163">
        <f>H77</f>
        <v>175000</v>
      </c>
    </row>
    <row r="78" spans="2:10">
      <c r="B78" s="124" t="s">
        <v>316</v>
      </c>
      <c r="D78" s="24"/>
      <c r="E78" s="24"/>
      <c r="F78" s="24"/>
      <c r="G78" s="24"/>
      <c r="H78" s="24"/>
      <c r="I78" s="163"/>
    </row>
    <row r="79" spans="2:10">
      <c r="B79" s="124" t="s">
        <v>317</v>
      </c>
      <c r="D79" s="24">
        <f>$E$28</f>
        <v>240000</v>
      </c>
      <c r="E79" s="24">
        <f>D79</f>
        <v>240000</v>
      </c>
      <c r="F79" s="24">
        <f>E79</f>
        <v>240000</v>
      </c>
      <c r="G79" s="24">
        <f>F79</f>
        <v>240000</v>
      </c>
      <c r="H79" s="24">
        <f>G79</f>
        <v>240000</v>
      </c>
      <c r="I79" s="807">
        <f>I35*C28</f>
        <v>288000</v>
      </c>
    </row>
    <row r="80" spans="2:10">
      <c r="B80" s="124"/>
      <c r="D80" s="30"/>
      <c r="E80" s="30"/>
      <c r="F80" s="30"/>
      <c r="G80" s="30"/>
      <c r="H80" s="30"/>
      <c r="I80" s="959"/>
      <c r="J80" s="43"/>
    </row>
    <row r="81" spans="2:10">
      <c r="B81" s="140" t="s">
        <v>960</v>
      </c>
      <c r="D81" s="24">
        <f t="shared" ref="D81:I81" si="6">SUM(D74:D79)</f>
        <v>1365000</v>
      </c>
      <c r="E81" s="24">
        <f t="shared" si="6"/>
        <v>1365000</v>
      </c>
      <c r="F81" s="24">
        <f t="shared" si="6"/>
        <v>1365000</v>
      </c>
      <c r="G81" s="24">
        <f t="shared" si="6"/>
        <v>1557500</v>
      </c>
      <c r="H81" s="24">
        <f t="shared" si="6"/>
        <v>1587500</v>
      </c>
      <c r="I81" s="163">
        <f t="shared" si="6"/>
        <v>1635500</v>
      </c>
      <c r="J81" s="43"/>
    </row>
    <row r="82" spans="2:10">
      <c r="B82" s="140"/>
      <c r="D82" s="24"/>
      <c r="E82" s="24"/>
      <c r="F82" s="24"/>
      <c r="G82" s="24"/>
      <c r="H82" s="24"/>
      <c r="I82" s="163"/>
      <c r="J82" s="43"/>
    </row>
    <row r="83" spans="2:10" ht="13">
      <c r="B83" s="1254" t="s">
        <v>1614</v>
      </c>
      <c r="D83" s="24"/>
      <c r="E83" s="24"/>
      <c r="F83" s="24"/>
      <c r="G83" s="24"/>
      <c r="H83" s="24"/>
      <c r="I83" s="163"/>
    </row>
    <row r="84" spans="2:10">
      <c r="B84" s="124" t="s">
        <v>312</v>
      </c>
      <c r="D84" s="24">
        <f>D74*((1+$I23*$D$14)^(D72+0)-1)</f>
        <v>0</v>
      </c>
      <c r="E84" s="24">
        <f>E74*((1+$I23*$D$14)^(E72+0)-1)</f>
        <v>0</v>
      </c>
      <c r="F84" s="24">
        <f>F74*((1+$I23*$D$14)^(F72+0)-1)</f>
        <v>0</v>
      </c>
      <c r="G84" s="24">
        <v>0</v>
      </c>
      <c r="H84" s="24">
        <f>G74*((1+$I23*$D$14)^(H72-4)-1)</f>
        <v>0</v>
      </c>
      <c r="I84" s="163">
        <f>H74*((1+$I23*$D$14)^(I72-4)-1)</f>
        <v>0</v>
      </c>
    </row>
    <row r="85" spans="2:10">
      <c r="B85" s="124" t="s">
        <v>315</v>
      </c>
      <c r="D85" s="24">
        <f>D77*((1+$I26*$D$14)^(D72+0)-1)</f>
        <v>0</v>
      </c>
      <c r="E85" s="24">
        <f>E77*((1+$I26*$D$14)^(E72+0)-1)</f>
        <v>0</v>
      </c>
      <c r="F85" s="24">
        <f>F77*((1+$I26*$D$14)^(F72+0)-1)</f>
        <v>0</v>
      </c>
      <c r="G85" s="24">
        <f>G77*((1+$I26*$D$14)^(G72+0)-1)</f>
        <v>0</v>
      </c>
      <c r="H85" s="24">
        <v>0</v>
      </c>
      <c r="I85" s="163">
        <f>H77*((1+$I26*$D$14)^(I72-5)-1)</f>
        <v>0</v>
      </c>
    </row>
    <row r="86" spans="2:10">
      <c r="B86" s="124" t="s">
        <v>317</v>
      </c>
      <c r="D86" s="24">
        <f>D79*((1+$I$28*$D$14)^(D72-1)-1)</f>
        <v>0</v>
      </c>
      <c r="E86" s="24">
        <f>E79*((1+$I$28*$D$14)^(E72-1)-1)</f>
        <v>0</v>
      </c>
      <c r="F86" s="24">
        <f>F79*((1+$I$28*$D$14)^(F72-1)-1)</f>
        <v>0</v>
      </c>
      <c r="G86" s="24">
        <f t="shared" ref="G86:H86" si="7">G79*((1+$I$28*$D$14)^(G72-1)-1)</f>
        <v>0</v>
      </c>
      <c r="H86" s="24">
        <f t="shared" si="7"/>
        <v>0</v>
      </c>
      <c r="I86" s="163">
        <v>0</v>
      </c>
    </row>
    <row r="87" spans="2:10">
      <c r="B87" s="124"/>
      <c r="D87" s="30"/>
      <c r="E87" s="30"/>
      <c r="F87" s="30"/>
      <c r="G87" s="30"/>
      <c r="H87" s="30"/>
      <c r="I87" s="959"/>
      <c r="J87" s="43"/>
    </row>
    <row r="88" spans="2:10">
      <c r="B88" s="140" t="s">
        <v>961</v>
      </c>
      <c r="D88" s="24">
        <f t="shared" ref="D88:I88" si="8">SUM(D84:D86)</f>
        <v>0</v>
      </c>
      <c r="E88" s="24">
        <f t="shared" si="8"/>
        <v>0</v>
      </c>
      <c r="F88" s="24">
        <f t="shared" si="8"/>
        <v>0</v>
      </c>
      <c r="G88" s="24">
        <f t="shared" si="8"/>
        <v>0</v>
      </c>
      <c r="H88" s="24">
        <f t="shared" si="8"/>
        <v>0</v>
      </c>
      <c r="I88" s="163">
        <f t="shared" si="8"/>
        <v>0</v>
      </c>
      <c r="J88" s="43"/>
    </row>
    <row r="89" spans="2:10">
      <c r="B89" s="140"/>
      <c r="D89" s="24"/>
      <c r="E89" s="24"/>
      <c r="F89" s="24"/>
      <c r="G89" s="24"/>
      <c r="H89" s="24"/>
      <c r="I89" s="163"/>
      <c r="J89" s="43"/>
    </row>
    <row r="90" spans="2:10" ht="13">
      <c r="B90" s="1254" t="s">
        <v>1556</v>
      </c>
      <c r="D90" s="24"/>
      <c r="E90" s="24"/>
      <c r="F90" s="24"/>
      <c r="G90" s="24"/>
      <c r="H90" s="24"/>
      <c r="I90" s="163"/>
      <c r="J90" s="43"/>
    </row>
    <row r="91" spans="2:10">
      <c r="B91" s="124" t="s">
        <v>312</v>
      </c>
      <c r="D91" s="8">
        <f>(+D63-$G$23)*$C$23</f>
        <v>31500.000000000011</v>
      </c>
      <c r="E91" s="8">
        <f>(+E63-$G$23)*$C$23</f>
        <v>41615</v>
      </c>
      <c r="F91" s="8">
        <f>(+F63-$G$23)*$C$23</f>
        <v>52103.449999999968</v>
      </c>
      <c r="G91" s="808">
        <f>(+G63-$G$63)*$C$23</f>
        <v>0</v>
      </c>
      <c r="H91" s="8">
        <f>(+H63-$G$63)*$C$23</f>
        <v>11281.963665000001</v>
      </c>
      <c r="I91" s="158">
        <f>(+I63-$G$63)*$C$23</f>
        <v>22985.374642649993</v>
      </c>
      <c r="J91" s="43"/>
    </row>
    <row r="92" spans="2:10">
      <c r="B92" s="124" t="s">
        <v>313</v>
      </c>
      <c r="D92" s="24">
        <f>(+D63-$G$24)*$C$24</f>
        <v>0</v>
      </c>
      <c r="E92" s="24">
        <f>(+E63-$G$24)*$C$24</f>
        <v>0</v>
      </c>
      <c r="F92" s="24">
        <f>(+F63-$G$24)*$C$24</f>
        <v>0</v>
      </c>
      <c r="G92" s="24">
        <f>(G63-$G$63)*$C$24</f>
        <v>0</v>
      </c>
      <c r="H92" s="24">
        <f>(H63-$G$63)*$C$24</f>
        <v>0</v>
      </c>
      <c r="I92" s="163">
        <f>(I63-$G$63)*$C$24</f>
        <v>0</v>
      </c>
      <c r="J92" s="43"/>
    </row>
    <row r="93" spans="2:10">
      <c r="B93" s="124" t="s">
        <v>314</v>
      </c>
      <c r="D93" s="24">
        <f>(+D63-$G$25)*$C$25</f>
        <v>0</v>
      </c>
      <c r="E93" s="24">
        <f>(+E63-$G$25)*$C$25</f>
        <v>0</v>
      </c>
      <c r="F93" s="24">
        <f>(+F63-$G$25)*$C$25</f>
        <v>0</v>
      </c>
      <c r="G93" s="24">
        <f>(G63-$G$63)*$C$25</f>
        <v>0</v>
      </c>
      <c r="H93" s="24">
        <f>(H63-$G$63)*$C$25</f>
        <v>0</v>
      </c>
      <c r="I93" s="163">
        <f>(I63-$G$63)*$C$25</f>
        <v>0</v>
      </c>
      <c r="J93" s="43"/>
    </row>
    <row r="94" spans="2:10">
      <c r="B94" s="124" t="s">
        <v>315</v>
      </c>
      <c r="D94" s="24">
        <f>(+D63-$G$26)*$C$26</f>
        <v>2000.0000000000018</v>
      </c>
      <c r="E94" s="24">
        <f>(+E63-$G$26)*$C$26</f>
        <v>3445.0000000000005</v>
      </c>
      <c r="F94" s="24">
        <f>(+F63-$G$26)*$C$26</f>
        <v>4943.3499999999949</v>
      </c>
      <c r="G94" s="24">
        <f>(+G63-$G$26)*$C$26</f>
        <v>6497.2374999999975</v>
      </c>
      <c r="H94" s="806">
        <f>(H63-$H$63)*$C$26</f>
        <v>0</v>
      </c>
      <c r="I94" s="163">
        <f>(I63-$H$63)*$C$26</f>
        <v>1671.915853949999</v>
      </c>
      <c r="J94" s="43"/>
    </row>
    <row r="95" spans="2:10">
      <c r="B95" s="124" t="s">
        <v>316</v>
      </c>
      <c r="D95" s="24">
        <f>(+D63-$G$27)*$C$27</f>
        <v>0</v>
      </c>
      <c r="E95" s="24">
        <f>(+E63-$G$27)*$C$27</f>
        <v>0</v>
      </c>
      <c r="F95" s="24">
        <f>(+F63-$G$27)*$C$27</f>
        <v>0</v>
      </c>
      <c r="G95" s="24">
        <f>(+G63-$G$27)*$C$27</f>
        <v>0</v>
      </c>
      <c r="H95" s="24">
        <f>(+H63-$G$27)*$C$27</f>
        <v>0</v>
      </c>
      <c r="I95" s="163">
        <v>0</v>
      </c>
      <c r="J95" s="43"/>
    </row>
    <row r="96" spans="2:10">
      <c r="B96" s="124" t="s">
        <v>317</v>
      </c>
      <c r="D96" s="52">
        <f>(+D63-$G$28)*$C$28</f>
        <v>0</v>
      </c>
      <c r="E96" s="52">
        <f>(+E63-$G$28)*$C$28</f>
        <v>2311.9999999999977</v>
      </c>
      <c r="F96" s="52">
        <f>(+F63-$G$28)*$C$28</f>
        <v>4709.3599999999897</v>
      </c>
      <c r="G96" s="52">
        <f>(+G63-$G$28)*$C$28</f>
        <v>7195.5799999999927</v>
      </c>
      <c r="H96" s="52">
        <f>(+H63-$G$28)*$C$28</f>
        <v>9774.3145519999925</v>
      </c>
      <c r="I96" s="1340">
        <v>0</v>
      </c>
      <c r="J96" s="43"/>
    </row>
    <row r="97" spans="2:10">
      <c r="B97" s="140" t="s">
        <v>958</v>
      </c>
      <c r="D97" s="24">
        <f t="shared" ref="D97:I97" si="9">SUM(D91:D96)</f>
        <v>33500.000000000015</v>
      </c>
      <c r="E97" s="24">
        <f t="shared" si="9"/>
        <v>47372</v>
      </c>
      <c r="F97" s="24">
        <f t="shared" si="9"/>
        <v>61756.159999999945</v>
      </c>
      <c r="G97" s="24">
        <f t="shared" si="9"/>
        <v>13692.81749999999</v>
      </c>
      <c r="H97" s="24">
        <f t="shared" si="9"/>
        <v>21056.278216999992</v>
      </c>
      <c r="I97" s="163">
        <f t="shared" si="9"/>
        <v>24657.290496599991</v>
      </c>
      <c r="J97" s="43"/>
    </row>
    <row r="98" spans="2:10">
      <c r="B98" s="124"/>
      <c r="D98" s="24"/>
      <c r="E98" s="24"/>
      <c r="F98" s="24"/>
      <c r="G98" s="24"/>
      <c r="H98" s="24"/>
      <c r="I98" s="163"/>
      <c r="J98" s="43"/>
    </row>
    <row r="99" spans="2:10">
      <c r="B99" s="124"/>
      <c r="D99" s="24"/>
      <c r="E99" s="24"/>
      <c r="F99" s="24"/>
      <c r="G99" s="24"/>
      <c r="H99" s="24"/>
      <c r="I99" s="163"/>
      <c r="J99" s="43"/>
    </row>
    <row r="100" spans="2:10" ht="13">
      <c r="B100" s="168" t="s">
        <v>483</v>
      </c>
      <c r="D100" s="24">
        <f t="shared" ref="D100:I100" si="10">D81+D88+D97</f>
        <v>1398500</v>
      </c>
      <c r="E100" s="24">
        <f t="shared" si="10"/>
        <v>1412372</v>
      </c>
      <c r="F100" s="24">
        <f t="shared" si="10"/>
        <v>1426756.16</v>
      </c>
      <c r="G100" s="24">
        <f t="shared" si="10"/>
        <v>1571192.8174999999</v>
      </c>
      <c r="H100" s="24">
        <f t="shared" si="10"/>
        <v>1608556.278217</v>
      </c>
      <c r="I100" s="163">
        <f t="shared" si="10"/>
        <v>1660157.2904966001</v>
      </c>
      <c r="J100" s="43"/>
    </row>
    <row r="101" spans="2:10">
      <c r="B101" s="213" t="s">
        <v>286</v>
      </c>
      <c r="D101" s="30">
        <v>0</v>
      </c>
      <c r="E101" s="30">
        <v>0</v>
      </c>
      <c r="F101" s="30">
        <v>0</v>
      </c>
      <c r="G101" s="958">
        <f>$D$15*G100</f>
        <v>78559.640874999997</v>
      </c>
      <c r="H101" s="30">
        <f>$D$15*H100</f>
        <v>80427.813910850004</v>
      </c>
      <c r="I101" s="959">
        <f>$D$15*I100</f>
        <v>83007.864524830016</v>
      </c>
      <c r="J101" s="43"/>
    </row>
    <row r="102" spans="2:10" ht="13.5" thickBot="1">
      <c r="B102" s="375" t="s">
        <v>485</v>
      </c>
      <c r="C102" s="4"/>
      <c r="D102" s="31">
        <f t="shared" ref="D102:I102" si="11">D100-D101</f>
        <v>1398500</v>
      </c>
      <c r="E102" s="31">
        <f t="shared" si="11"/>
        <v>1412372</v>
      </c>
      <c r="F102" s="31">
        <f t="shared" si="11"/>
        <v>1426756.16</v>
      </c>
      <c r="G102" s="31">
        <f t="shared" si="11"/>
        <v>1492633.1766249998</v>
      </c>
      <c r="H102" s="31">
        <f t="shared" si="11"/>
        <v>1528128.4643061499</v>
      </c>
      <c r="I102" s="207">
        <f t="shared" si="11"/>
        <v>1577149.4259717702</v>
      </c>
      <c r="J102" s="43"/>
    </row>
    <row r="103" spans="2:10">
      <c r="B103" s="124"/>
      <c r="I103" s="126"/>
    </row>
    <row r="104" spans="2:10">
      <c r="B104" s="124"/>
      <c r="D104" s="11"/>
      <c r="E104" s="11"/>
      <c r="F104" s="11"/>
      <c r="G104" s="11"/>
      <c r="H104" s="11"/>
      <c r="I104" s="317"/>
    </row>
    <row r="105" spans="2:10" ht="13" thickBot="1">
      <c r="B105" s="124"/>
      <c r="D105" s="8"/>
      <c r="E105" s="8"/>
      <c r="F105" s="8"/>
      <c r="G105" s="8"/>
      <c r="H105" s="8"/>
      <c r="I105" s="158"/>
      <c r="J105" s="43"/>
    </row>
    <row r="106" spans="2:10" ht="13.5" thickBot="1">
      <c r="B106" s="1547" t="s">
        <v>1379</v>
      </c>
      <c r="C106" s="1538"/>
      <c r="D106" s="1538"/>
      <c r="E106" s="1538"/>
      <c r="F106" s="1538"/>
      <c r="G106" s="1538"/>
      <c r="H106" s="1538"/>
      <c r="I106" s="1539"/>
      <c r="J106" s="43"/>
    </row>
    <row r="107" spans="2:10" ht="13.5" thickBot="1">
      <c r="B107" s="157" t="s">
        <v>262</v>
      </c>
      <c r="C107" s="157"/>
      <c r="D107" s="157">
        <v>1</v>
      </c>
      <c r="E107" s="157">
        <f>D107+1</f>
        <v>2</v>
      </c>
      <c r="F107" s="157">
        <f>E107+1</f>
        <v>3</v>
      </c>
      <c r="G107" s="157">
        <f>F107+1</f>
        <v>4</v>
      </c>
      <c r="H107" s="157">
        <f>G107+1</f>
        <v>5</v>
      </c>
      <c r="I107" s="157">
        <f>H107+1</f>
        <v>6</v>
      </c>
      <c r="J107" s="43"/>
    </row>
    <row r="108" spans="2:10">
      <c r="B108" s="124" t="s">
        <v>332</v>
      </c>
      <c r="D108" s="8">
        <f t="shared" ref="D108:I108" si="12">D81</f>
        <v>1365000</v>
      </c>
      <c r="E108" s="8">
        <f t="shared" si="12"/>
        <v>1365000</v>
      </c>
      <c r="F108" s="8">
        <f t="shared" si="12"/>
        <v>1365000</v>
      </c>
      <c r="G108" s="8">
        <f t="shared" si="12"/>
        <v>1557500</v>
      </c>
      <c r="H108" s="8">
        <f t="shared" si="12"/>
        <v>1587500</v>
      </c>
      <c r="I108" s="158">
        <f t="shared" si="12"/>
        <v>1635500</v>
      </c>
      <c r="J108" s="43"/>
    </row>
    <row r="109" spans="2:10">
      <c r="B109" s="124" t="s">
        <v>962</v>
      </c>
      <c r="D109" s="24">
        <f t="shared" ref="D109:I109" si="13">D88</f>
        <v>0</v>
      </c>
      <c r="E109" s="24">
        <f t="shared" si="13"/>
        <v>0</v>
      </c>
      <c r="F109" s="24">
        <f t="shared" si="13"/>
        <v>0</v>
      </c>
      <c r="G109" s="24">
        <f t="shared" si="13"/>
        <v>0</v>
      </c>
      <c r="H109" s="24">
        <f t="shared" si="13"/>
        <v>0</v>
      </c>
      <c r="I109" s="163">
        <f t="shared" si="13"/>
        <v>0</v>
      </c>
      <c r="J109" s="43"/>
    </row>
    <row r="110" spans="2:10">
      <c r="B110" s="124" t="s">
        <v>333</v>
      </c>
      <c r="D110" s="14">
        <f t="shared" ref="D110:I110" si="14">D97</f>
        <v>33500.000000000015</v>
      </c>
      <c r="E110" s="14">
        <f t="shared" si="14"/>
        <v>47372</v>
      </c>
      <c r="F110" s="14">
        <f t="shared" si="14"/>
        <v>61756.159999999945</v>
      </c>
      <c r="G110" s="14">
        <f t="shared" si="14"/>
        <v>13692.81749999999</v>
      </c>
      <c r="H110" s="14">
        <f t="shared" si="14"/>
        <v>21056.278216999992</v>
      </c>
      <c r="I110" s="853">
        <f t="shared" si="14"/>
        <v>24657.290496599991</v>
      </c>
      <c r="J110" s="43"/>
    </row>
    <row r="111" spans="2:10" ht="13">
      <c r="B111" s="168" t="s">
        <v>955</v>
      </c>
      <c r="D111" s="8">
        <f t="shared" ref="D111:I111" si="15">SUM(D108:D110)</f>
        <v>1398500</v>
      </c>
      <c r="E111" s="8">
        <f t="shared" si="15"/>
        <v>1412372</v>
      </c>
      <c r="F111" s="8">
        <f t="shared" si="15"/>
        <v>1426756.16</v>
      </c>
      <c r="G111" s="8">
        <f t="shared" si="15"/>
        <v>1571192.8174999999</v>
      </c>
      <c r="H111" s="8">
        <f t="shared" si="15"/>
        <v>1608556.278217</v>
      </c>
      <c r="I111" s="158">
        <f t="shared" si="15"/>
        <v>1660157.2904966001</v>
      </c>
      <c r="J111" s="43"/>
    </row>
    <row r="112" spans="2:10">
      <c r="B112" s="124" t="s">
        <v>334</v>
      </c>
      <c r="D112" s="52">
        <f t="shared" ref="D112:I112" si="16">D101</f>
        <v>0</v>
      </c>
      <c r="E112" s="52">
        <f t="shared" si="16"/>
        <v>0</v>
      </c>
      <c r="F112" s="52">
        <f t="shared" si="16"/>
        <v>0</v>
      </c>
      <c r="G112" s="52">
        <f t="shared" si="16"/>
        <v>78559.640874999997</v>
      </c>
      <c r="H112" s="52">
        <f t="shared" si="16"/>
        <v>80427.813910850004</v>
      </c>
      <c r="I112" s="398">
        <f t="shared" si="16"/>
        <v>83007.864524830016</v>
      </c>
      <c r="J112" s="43"/>
    </row>
    <row r="113" spans="2:10" ht="13">
      <c r="B113" s="168" t="s">
        <v>485</v>
      </c>
      <c r="D113" s="24">
        <f t="shared" ref="D113:I113" si="17">D111-D112</f>
        <v>1398500</v>
      </c>
      <c r="E113" s="24">
        <f t="shared" si="17"/>
        <v>1412372</v>
      </c>
      <c r="F113" s="24">
        <f t="shared" si="17"/>
        <v>1426756.16</v>
      </c>
      <c r="G113" s="24">
        <f t="shared" si="17"/>
        <v>1492633.1766249998</v>
      </c>
      <c r="H113" s="24">
        <f t="shared" si="17"/>
        <v>1528128.4643061499</v>
      </c>
      <c r="I113" s="163">
        <f t="shared" si="17"/>
        <v>1577149.4259717702</v>
      </c>
      <c r="J113" s="43"/>
    </row>
    <row r="114" spans="2:10">
      <c r="B114" s="124" t="s">
        <v>965</v>
      </c>
      <c r="D114" s="24"/>
      <c r="E114" s="24"/>
      <c r="F114" s="24"/>
      <c r="G114" s="24"/>
      <c r="H114" s="24"/>
      <c r="I114" s="163"/>
      <c r="J114" s="43"/>
    </row>
    <row r="115" spans="2:10">
      <c r="B115" s="124" t="s">
        <v>963</v>
      </c>
      <c r="D115" s="24">
        <f t="shared" ref="D115:I115" si="18">D62</f>
        <v>427200</v>
      </c>
      <c r="E115" s="24">
        <f t="shared" si="18"/>
        <v>441072</v>
      </c>
      <c r="F115" s="24">
        <f t="shared" si="18"/>
        <v>455456.16</v>
      </c>
      <c r="G115" s="24">
        <f t="shared" si="18"/>
        <v>470373.48</v>
      </c>
      <c r="H115" s="24">
        <f t="shared" si="18"/>
        <v>485845.88731199998</v>
      </c>
      <c r="I115" s="163">
        <f t="shared" si="18"/>
        <v>501896.27950991999</v>
      </c>
      <c r="J115" s="43"/>
    </row>
    <row r="116" spans="2:10">
      <c r="B116" s="124" t="s">
        <v>964</v>
      </c>
      <c r="D116" s="52">
        <f t="shared" ref="D116:I116" si="19">D66</f>
        <v>69925</v>
      </c>
      <c r="E116" s="52">
        <f t="shared" si="19"/>
        <v>70618.600000000006</v>
      </c>
      <c r="F116" s="52">
        <f t="shared" si="19"/>
        <v>71337.808000000005</v>
      </c>
      <c r="G116" s="52">
        <f t="shared" si="19"/>
        <v>78559.640874999997</v>
      </c>
      <c r="H116" s="52">
        <f t="shared" si="19"/>
        <v>80427.813910850004</v>
      </c>
      <c r="I116" s="398">
        <f t="shared" si="19"/>
        <v>83007.864524830016</v>
      </c>
    </row>
    <row r="117" spans="2:10" ht="13.5" thickBot="1">
      <c r="B117" s="168" t="s">
        <v>335</v>
      </c>
      <c r="D117" s="1368">
        <f t="shared" ref="D117:I117" si="20">D113-D115-D116</f>
        <v>901375</v>
      </c>
      <c r="E117" s="1368">
        <f t="shared" si="20"/>
        <v>900681.4</v>
      </c>
      <c r="F117" s="1368">
        <f t="shared" si="20"/>
        <v>899962.19200000004</v>
      </c>
      <c r="G117" s="1368">
        <f t="shared" si="20"/>
        <v>943700.05574999982</v>
      </c>
      <c r="H117" s="1368">
        <f t="shared" si="20"/>
        <v>961854.76308329997</v>
      </c>
      <c r="I117" s="1369">
        <f t="shared" si="20"/>
        <v>992245.28193702025</v>
      </c>
    </row>
    <row r="118" spans="2:10" ht="13" thickTop="1">
      <c r="B118" s="124"/>
      <c r="D118" s="24"/>
      <c r="E118" s="24"/>
      <c r="F118" s="24"/>
      <c r="G118" s="24"/>
      <c r="H118" s="24"/>
      <c r="I118" s="163"/>
    </row>
    <row r="119" spans="2:10">
      <c r="B119" s="124"/>
      <c r="I119" s="126"/>
    </row>
    <row r="120" spans="2:10" ht="13" thickBot="1">
      <c r="B120" s="124" t="s">
        <v>336</v>
      </c>
      <c r="D120" s="8">
        <f>D9</f>
        <v>8500000</v>
      </c>
      <c r="I120" s="126"/>
    </row>
    <row r="121" spans="2:10" ht="13.5" thickBot="1">
      <c r="B121" s="1133" t="s">
        <v>1632</v>
      </c>
      <c r="D121" s="155">
        <f>D117/D120</f>
        <v>0.10604411764705883</v>
      </c>
      <c r="E121" t="s">
        <v>338</v>
      </c>
      <c r="F121" s="28"/>
      <c r="I121" s="126"/>
    </row>
    <row r="122" spans="2:10" ht="13" thickBot="1">
      <c r="B122" s="134"/>
      <c r="C122" s="4"/>
      <c r="D122" s="4"/>
      <c r="E122" s="4"/>
      <c r="F122" s="4"/>
      <c r="G122" s="4"/>
      <c r="H122" s="4"/>
      <c r="I122" s="135"/>
    </row>
    <row r="123" spans="2:10" ht="13.5" thickBot="1">
      <c r="B123" s="171" t="s">
        <v>1310</v>
      </c>
      <c r="E123" s="155">
        <f>((I117/D117)^(1/5))-1</f>
        <v>1.9395487509964227E-2</v>
      </c>
      <c r="F123" s="39" t="s">
        <v>1302</v>
      </c>
      <c r="I123" s="126"/>
    </row>
    <row r="124" spans="2:10" ht="13" thickBot="1">
      <c r="B124" s="134"/>
      <c r="C124" s="4"/>
      <c r="D124" s="4"/>
      <c r="E124" s="4"/>
      <c r="F124" s="4"/>
      <c r="G124" s="4"/>
      <c r="H124" s="4"/>
      <c r="I124" s="135"/>
    </row>
    <row r="127" spans="2:10" ht="13.5" thickBot="1">
      <c r="B127" s="960"/>
    </row>
    <row r="128" spans="2:10" ht="16" thickBot="1">
      <c r="B128" s="1614" t="s">
        <v>1512</v>
      </c>
      <c r="C128" s="1615"/>
      <c r="D128" s="1615"/>
      <c r="E128" s="1615"/>
      <c r="F128" s="1615"/>
      <c r="G128" s="1615"/>
      <c r="H128" s="1616"/>
      <c r="I128" s="1307"/>
    </row>
    <row r="129" spans="2:9" ht="13">
      <c r="B129" s="1390" t="s">
        <v>1589</v>
      </c>
      <c r="C129" s="1312"/>
      <c r="D129" s="1312"/>
      <c r="E129" s="1312"/>
      <c r="F129" s="1313"/>
      <c r="G129" s="1313"/>
      <c r="H129" s="1314"/>
      <c r="I129" s="854"/>
    </row>
    <row r="130" spans="2:9" ht="13">
      <c r="B130" s="1111" t="s">
        <v>268</v>
      </c>
      <c r="C130" s="1311">
        <f>ROUND(D121,3)</f>
        <v>0.106</v>
      </c>
      <c r="D130" s="1391" t="s">
        <v>1631</v>
      </c>
      <c r="E130" s="1304"/>
      <c r="F130" s="854"/>
      <c r="G130" s="854"/>
      <c r="H130" s="855"/>
      <c r="I130" s="854"/>
    </row>
    <row r="131" spans="2:9" ht="13">
      <c r="B131" s="1111" t="s">
        <v>1649</v>
      </c>
      <c r="C131" s="1311">
        <v>0.14000000000000001</v>
      </c>
      <c r="D131" s="1391" t="s">
        <v>1634</v>
      </c>
      <c r="E131" s="1304"/>
      <c r="F131" s="854"/>
      <c r="G131" s="854"/>
      <c r="H131" s="855"/>
      <c r="I131" s="854"/>
    </row>
    <row r="132" spans="2:9" ht="13.5" thickBot="1">
      <c r="B132" s="1315"/>
      <c r="C132" s="1316"/>
      <c r="D132" s="1317"/>
      <c r="E132" s="1317"/>
      <c r="F132" s="1318"/>
      <c r="G132" s="1318"/>
      <c r="H132" s="1319"/>
      <c r="I132" s="854"/>
    </row>
    <row r="133" spans="2:9" ht="13.5" thickBot="1">
      <c r="B133" s="157" t="s">
        <v>262</v>
      </c>
      <c r="C133" s="157">
        <v>0</v>
      </c>
      <c r="D133" s="157">
        <v>1</v>
      </c>
      <c r="E133" s="157">
        <f>D133+1</f>
        <v>2</v>
      </c>
      <c r="F133" s="157">
        <f>E133+1</f>
        <v>3</v>
      </c>
      <c r="G133" s="157">
        <f>F133+1</f>
        <v>4</v>
      </c>
      <c r="H133" s="157">
        <f>G133+1</f>
        <v>5</v>
      </c>
    </row>
    <row r="134" spans="2:9">
      <c r="B134" s="276" t="s">
        <v>957</v>
      </c>
      <c r="C134" s="1408">
        <f>-D120</f>
        <v>-8500000</v>
      </c>
      <c r="D134" s="470"/>
      <c r="E134" s="470"/>
      <c r="F134" s="470"/>
      <c r="G134" s="470"/>
      <c r="H134" s="535"/>
    </row>
    <row r="135" spans="2:9">
      <c r="B135" s="1392" t="s">
        <v>389</v>
      </c>
      <c r="C135" s="39"/>
      <c r="D135" s="34">
        <f>D117</f>
        <v>901375</v>
      </c>
      <c r="E135" s="34">
        <f t="shared" ref="E135:H135" si="21">E117</f>
        <v>900681.4</v>
      </c>
      <c r="F135" s="34">
        <f t="shared" si="21"/>
        <v>899962.19200000004</v>
      </c>
      <c r="G135" s="34">
        <f t="shared" si="21"/>
        <v>943700.05574999982</v>
      </c>
      <c r="H135" s="309">
        <f t="shared" si="21"/>
        <v>961854.76308329997</v>
      </c>
    </row>
    <row r="136" spans="2:9">
      <c r="B136" s="171" t="s">
        <v>395</v>
      </c>
      <c r="C136" s="51"/>
      <c r="D136" s="51"/>
      <c r="E136" s="51"/>
      <c r="F136" s="51"/>
      <c r="G136" s="51"/>
      <c r="H136" s="398">
        <f>I117/C130</f>
        <v>9360804.5465756636</v>
      </c>
    </row>
    <row r="137" spans="2:9">
      <c r="B137" s="171" t="s">
        <v>824</v>
      </c>
      <c r="C137" s="299">
        <f>SUM(C134:C136)</f>
        <v>-8500000</v>
      </c>
      <c r="D137" s="299">
        <f t="shared" ref="D137:H137" si="22">SUM(D134:D136)</f>
        <v>901375</v>
      </c>
      <c r="E137" s="299">
        <f t="shared" si="22"/>
        <v>900681.4</v>
      </c>
      <c r="F137" s="299">
        <f t="shared" si="22"/>
        <v>899962.19200000004</v>
      </c>
      <c r="G137" s="299">
        <f t="shared" si="22"/>
        <v>943700.05574999982</v>
      </c>
      <c r="H137" s="308">
        <f t="shared" si="22"/>
        <v>10322659.309658963</v>
      </c>
    </row>
    <row r="138" spans="2:9">
      <c r="B138" s="171"/>
      <c r="C138" s="39"/>
      <c r="D138" s="39"/>
      <c r="E138" s="39"/>
      <c r="F138" s="39"/>
      <c r="G138" s="39"/>
      <c r="H138" s="146"/>
    </row>
    <row r="139" spans="2:9" ht="13" thickBot="1">
      <c r="B139" s="171"/>
      <c r="C139" s="39"/>
      <c r="D139" s="39"/>
      <c r="E139" s="39"/>
      <c r="F139" s="39"/>
      <c r="G139" s="39"/>
      <c r="H139" s="146"/>
    </row>
    <row r="140" spans="2:9" ht="13.5" thickBot="1">
      <c r="B140" s="145" t="s">
        <v>903</v>
      </c>
      <c r="C140" s="155">
        <f>IRR(C137:H137)</f>
        <v>0.12380020708732098</v>
      </c>
      <c r="D140" s="39"/>
      <c r="E140" s="39"/>
      <c r="F140" s="39"/>
      <c r="G140" s="39"/>
      <c r="H140" s="146"/>
    </row>
    <row r="141" spans="2:9">
      <c r="B141" s="171"/>
      <c r="C141" s="39"/>
      <c r="D141" s="39"/>
      <c r="E141" s="39"/>
      <c r="F141" s="39"/>
      <c r="G141" s="39"/>
      <c r="H141" s="146"/>
    </row>
    <row r="142" spans="2:9">
      <c r="B142" s="124"/>
      <c r="H142" s="126"/>
    </row>
    <row r="143" spans="2:9" ht="13" thickBot="1">
      <c r="B143" s="124"/>
      <c r="H143" s="126"/>
    </row>
    <row r="144" spans="2:9" ht="13.5" thickBot="1">
      <c r="B144" s="1133" t="s">
        <v>1590</v>
      </c>
      <c r="C144" s="1305">
        <f>NPV(C131,D137:H137)</f>
        <v>8011185.7296790136</v>
      </c>
      <c r="H144" s="126"/>
    </row>
    <row r="145" spans="2:8" ht="13" thickBot="1">
      <c r="B145" s="124"/>
      <c r="C145" s="91"/>
      <c r="H145" s="126"/>
    </row>
    <row r="146" spans="2:8" ht="13.5" thickBot="1">
      <c r="B146" s="1133" t="s">
        <v>1516</v>
      </c>
      <c r="C146" s="1306">
        <f>C144+C134</f>
        <v>-488814.2703209864</v>
      </c>
      <c r="H146" s="126"/>
    </row>
    <row r="147" spans="2:8" ht="13.5" thickBot="1">
      <c r="B147" s="1133"/>
      <c r="C147" s="1149"/>
      <c r="H147" s="126"/>
    </row>
    <row r="148" spans="2:8" ht="13.5" thickBot="1">
      <c r="B148" s="1133" t="s">
        <v>1518</v>
      </c>
      <c r="C148" s="1306">
        <f>NPV(C131,D137:H137)+C137</f>
        <v>-488814.2703209864</v>
      </c>
      <c r="H148" s="126"/>
    </row>
    <row r="149" spans="2:8" ht="13" thickBot="1">
      <c r="B149" s="134"/>
      <c r="C149" s="4"/>
      <c r="D149" s="4"/>
      <c r="E149" s="4"/>
      <c r="F149" s="4"/>
      <c r="G149" s="4"/>
      <c r="H149" s="135"/>
    </row>
    <row r="152" spans="2:8">
      <c r="B152" t="s">
        <v>1601</v>
      </c>
      <c r="C152" s="1339">
        <f>MIRR(C137:H137,0.14,0.14)</f>
        <v>0.12657582171981119</v>
      </c>
    </row>
  </sheetData>
  <mergeCells count="15">
    <mergeCell ref="B106:I106"/>
    <mergeCell ref="B33:I33"/>
    <mergeCell ref="B128:H128"/>
    <mergeCell ref="B37:I37"/>
    <mergeCell ref="B54:I54"/>
    <mergeCell ref="B56:I56"/>
    <mergeCell ref="B65:I65"/>
    <mergeCell ref="B67:I67"/>
    <mergeCell ref="B71:I71"/>
    <mergeCell ref="B18:I18"/>
    <mergeCell ref="B2:I2"/>
    <mergeCell ref="B3:I3"/>
    <mergeCell ref="B5:F5"/>
    <mergeCell ref="B6:F6"/>
    <mergeCell ref="B8:E8"/>
  </mergeCells>
  <pageMargins left="0.75" right="0.75" top="1" bottom="1" header="0.5" footer="0.5"/>
  <pageSetup orientation="portrait" r:id="rId1"/>
  <headerFooter alignWithMargins="0"/>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B22FA-5C5A-46C1-A0E5-54847B7022C4}">
  <sheetPr>
    <tabColor rgb="FFEBB901"/>
  </sheetPr>
  <dimension ref="B1:J152"/>
  <sheetViews>
    <sheetView topLeftCell="A103" zoomScaleNormal="100" workbookViewId="0"/>
  </sheetViews>
  <sheetFormatPr defaultRowHeight="12.5"/>
  <cols>
    <col min="2" max="2" width="29.81640625" customWidth="1"/>
    <col min="3" max="3" width="12.453125" customWidth="1"/>
    <col min="4" max="5" width="15.453125" customWidth="1"/>
    <col min="6" max="6" width="12.1796875" customWidth="1"/>
    <col min="7" max="7" width="15.81640625" customWidth="1"/>
    <col min="8" max="8" width="12.26953125" customWidth="1"/>
    <col min="9" max="9" width="16.7265625" customWidth="1"/>
    <col min="10" max="10" width="11.54296875" customWidth="1"/>
  </cols>
  <sheetData>
    <row r="1" spans="2:9" ht="13" thickBot="1"/>
    <row r="2" spans="2:9" ht="18.5" thickBot="1">
      <c r="B2" s="1525" t="s">
        <v>1732</v>
      </c>
      <c r="C2" s="1557"/>
      <c r="D2" s="1557"/>
      <c r="E2" s="1557"/>
      <c r="F2" s="1557"/>
      <c r="G2" s="1557"/>
      <c r="H2" s="1557"/>
      <c r="I2" s="1558"/>
    </row>
    <row r="3" spans="2:9" ht="16" thickBot="1">
      <c r="B3" s="1528" t="s">
        <v>1095</v>
      </c>
      <c r="C3" s="1540"/>
      <c r="D3" s="1540"/>
      <c r="E3" s="1540"/>
      <c r="F3" s="1540"/>
      <c r="G3" s="1540"/>
      <c r="H3" s="1540"/>
      <c r="I3" s="1541"/>
    </row>
    <row r="4" spans="2:9">
      <c r="B4" s="124"/>
      <c r="C4" s="37"/>
      <c r="D4" s="37"/>
      <c r="E4" s="37"/>
      <c r="F4" s="37"/>
      <c r="G4" s="37"/>
      <c r="H4" s="37"/>
      <c r="I4" s="524"/>
    </row>
    <row r="5" spans="2:9" ht="13">
      <c r="B5" s="1589" t="s">
        <v>1096</v>
      </c>
      <c r="C5" s="1590"/>
      <c r="D5" s="1590"/>
      <c r="E5" s="1590"/>
      <c r="F5" s="1590"/>
      <c r="G5" s="811" t="s">
        <v>1253</v>
      </c>
      <c r="H5" s="37"/>
      <c r="I5" s="524"/>
    </row>
    <row r="6" spans="2:9">
      <c r="B6" s="1591"/>
      <c r="C6" s="1590"/>
      <c r="D6" s="1590"/>
      <c r="E6" s="1590"/>
      <c r="F6" s="1590"/>
      <c r="G6" s="212"/>
      <c r="H6" s="212"/>
      <c r="I6" s="224"/>
    </row>
    <row r="7" spans="2:9" ht="13" thickBot="1">
      <c r="B7" s="223"/>
      <c r="C7" s="212"/>
      <c r="D7" s="212"/>
      <c r="E7" s="212"/>
      <c r="F7" s="212"/>
      <c r="G7" s="212"/>
      <c r="H7" s="212"/>
      <c r="I7" s="224"/>
    </row>
    <row r="8" spans="2:9" ht="13.5" thickBot="1">
      <c r="B8" s="1531" t="s">
        <v>1094</v>
      </c>
      <c r="C8" s="1592"/>
      <c r="D8" s="1592"/>
      <c r="E8" s="1593"/>
      <c r="G8" s="1" t="s">
        <v>1309</v>
      </c>
      <c r="I8" s="126"/>
    </row>
    <row r="9" spans="2:9">
      <c r="B9" s="1133" t="s">
        <v>267</v>
      </c>
      <c r="C9" s="39"/>
      <c r="D9" s="516">
        <v>12000000</v>
      </c>
      <c r="E9" s="146"/>
      <c r="F9" s="275"/>
      <c r="I9" s="126"/>
    </row>
    <row r="10" spans="2:9">
      <c r="B10" s="171" t="s">
        <v>296</v>
      </c>
      <c r="C10" s="39"/>
      <c r="D10" s="362">
        <v>100000</v>
      </c>
      <c r="E10" s="146" t="s">
        <v>297</v>
      </c>
      <c r="F10" s="275"/>
      <c r="I10" s="126"/>
    </row>
    <row r="11" spans="2:9">
      <c r="B11" s="171" t="s">
        <v>298</v>
      </c>
      <c r="C11" s="39"/>
      <c r="D11" s="362">
        <v>96000</v>
      </c>
      <c r="E11" s="146" t="s">
        <v>297</v>
      </c>
      <c r="F11" s="275"/>
      <c r="I11" s="126"/>
    </row>
    <row r="12" spans="2:9">
      <c r="B12" s="1133" t="s">
        <v>1605</v>
      </c>
      <c r="C12" s="39"/>
      <c r="D12" s="151"/>
      <c r="E12" s="146"/>
      <c r="F12" s="275"/>
      <c r="I12" s="126"/>
    </row>
    <row r="13" spans="2:9">
      <c r="B13" s="171" t="s">
        <v>300</v>
      </c>
      <c r="C13" s="39"/>
      <c r="D13" s="151">
        <v>0.05</v>
      </c>
      <c r="E13" s="1308" t="s">
        <v>1591</v>
      </c>
      <c r="F13" s="275"/>
      <c r="I13" s="126"/>
    </row>
    <row r="14" spans="2:9">
      <c r="B14" s="171" t="s">
        <v>302</v>
      </c>
      <c r="C14" s="39"/>
      <c r="D14" s="151">
        <v>0.04</v>
      </c>
      <c r="E14" s="1308" t="s">
        <v>1633</v>
      </c>
      <c r="F14" s="275"/>
      <c r="I14" s="126"/>
    </row>
    <row r="15" spans="2:9" ht="13" thickBot="1">
      <c r="B15" s="228" t="s">
        <v>303</v>
      </c>
      <c r="C15" s="63"/>
      <c r="D15" s="201">
        <v>0.05</v>
      </c>
      <c r="E15" s="149" t="s">
        <v>258</v>
      </c>
      <c r="F15" s="1251"/>
      <c r="G15" s="4"/>
      <c r="H15" s="4"/>
      <c r="I15" s="135"/>
    </row>
    <row r="17" spans="2:10" ht="13" thickBot="1"/>
    <row r="18" spans="2:10" ht="13.5" thickBot="1">
      <c r="B18" s="1594" t="s">
        <v>304</v>
      </c>
      <c r="C18" s="1595"/>
      <c r="D18" s="1595"/>
      <c r="E18" s="1595"/>
      <c r="F18" s="1595"/>
      <c r="G18" s="1595"/>
      <c r="H18" s="1595"/>
      <c r="I18" s="1596"/>
    </row>
    <row r="19" spans="2:10" ht="14">
      <c r="B19" s="517"/>
      <c r="C19" s="517"/>
      <c r="D19" s="520" t="s">
        <v>1467</v>
      </c>
      <c r="E19" s="520"/>
      <c r="F19" s="520"/>
      <c r="G19" s="517"/>
      <c r="H19" s="517"/>
      <c r="I19" s="517"/>
    </row>
    <row r="20" spans="2:10" ht="14">
      <c r="B20" s="518" t="s">
        <v>305</v>
      </c>
      <c r="C20" s="518" t="s">
        <v>306</v>
      </c>
      <c r="D20" s="521" t="s">
        <v>307</v>
      </c>
      <c r="E20" s="521" t="s">
        <v>1467</v>
      </c>
      <c r="F20" s="521" t="s">
        <v>308</v>
      </c>
      <c r="G20" s="521" t="s">
        <v>309</v>
      </c>
      <c r="H20" s="518"/>
      <c r="I20" s="518" t="s">
        <v>310</v>
      </c>
    </row>
    <row r="21" spans="2:10" ht="14.5" thickBot="1">
      <c r="B21" s="519" t="s">
        <v>1719</v>
      </c>
      <c r="C21" s="519"/>
      <c r="D21" s="522" t="s">
        <v>295</v>
      </c>
      <c r="E21" s="522" t="s">
        <v>307</v>
      </c>
      <c r="F21" s="522" t="s">
        <v>311</v>
      </c>
      <c r="G21" s="522" t="s">
        <v>295</v>
      </c>
      <c r="H21" s="519"/>
      <c r="I21" s="519" t="s">
        <v>1618</v>
      </c>
    </row>
    <row r="22" spans="2:10">
      <c r="B22" s="124"/>
      <c r="I22" s="126"/>
    </row>
    <row r="23" spans="2:10">
      <c r="B23" s="124" t="s">
        <v>312</v>
      </c>
      <c r="C23" s="362">
        <v>70000</v>
      </c>
      <c r="D23" s="11">
        <v>14</v>
      </c>
      <c r="E23" s="8">
        <f t="shared" ref="E23:E28" si="0">C23*D23</f>
        <v>980000</v>
      </c>
      <c r="F23">
        <v>3</v>
      </c>
      <c r="G23" s="11">
        <v>4</v>
      </c>
      <c r="H23" s="11"/>
      <c r="I23" s="1297">
        <v>0</v>
      </c>
      <c r="J23" s="11"/>
    </row>
    <row r="24" spans="2:10">
      <c r="B24" s="124" t="s">
        <v>313</v>
      </c>
      <c r="C24" s="362">
        <v>0</v>
      </c>
      <c r="D24" s="11">
        <v>14</v>
      </c>
      <c r="E24" s="24"/>
      <c r="G24" s="161"/>
      <c r="H24" s="43"/>
      <c r="I24" s="1297"/>
      <c r="J24" s="43"/>
    </row>
    <row r="25" spans="2:10">
      <c r="B25" s="124" t="s">
        <v>314</v>
      </c>
      <c r="C25" s="362">
        <v>0</v>
      </c>
      <c r="D25" s="11">
        <v>14</v>
      </c>
      <c r="E25" s="24"/>
      <c r="G25" s="161"/>
      <c r="H25" s="43"/>
      <c r="I25" s="1297"/>
      <c r="J25" s="43"/>
    </row>
    <row r="26" spans="2:10">
      <c r="B26" s="124" t="s">
        <v>315</v>
      </c>
      <c r="C26" s="362">
        <v>10000</v>
      </c>
      <c r="D26" s="11">
        <v>14.5</v>
      </c>
      <c r="E26" s="24">
        <f t="shared" si="0"/>
        <v>145000</v>
      </c>
      <c r="F26">
        <v>4</v>
      </c>
      <c r="G26" s="161">
        <v>4.25</v>
      </c>
      <c r="I26" s="1297">
        <v>0</v>
      </c>
    </row>
    <row r="27" spans="2:10">
      <c r="B27" s="124" t="s">
        <v>316</v>
      </c>
      <c r="C27" s="362">
        <v>0</v>
      </c>
      <c r="D27" s="11">
        <v>15</v>
      </c>
      <c r="E27" s="24"/>
      <c r="G27" s="161"/>
      <c r="I27" s="1297"/>
    </row>
    <row r="28" spans="2:10">
      <c r="B28" s="124" t="s">
        <v>317</v>
      </c>
      <c r="C28" s="362">
        <v>16000</v>
      </c>
      <c r="D28" s="11">
        <v>15</v>
      </c>
      <c r="E28" s="24">
        <f t="shared" si="0"/>
        <v>240000</v>
      </c>
      <c r="F28">
        <v>5</v>
      </c>
      <c r="G28" s="161">
        <v>4.45</v>
      </c>
      <c r="I28" s="1297">
        <v>0</v>
      </c>
    </row>
    <row r="29" spans="2:10">
      <c r="B29" s="124"/>
      <c r="C29" s="30"/>
      <c r="D29" s="11"/>
      <c r="E29" s="30"/>
      <c r="I29" s="126"/>
    </row>
    <row r="30" spans="2:10">
      <c r="B30" s="124" t="s">
        <v>292</v>
      </c>
      <c r="C30" s="24">
        <f>SUM(C23:C28)</f>
        <v>96000</v>
      </c>
      <c r="D30" s="11"/>
      <c r="E30" s="24">
        <f>SUM(E23:E28)</f>
        <v>1365000</v>
      </c>
      <c r="H30" s="43"/>
      <c r="I30" s="287"/>
      <c r="J30" s="43"/>
    </row>
    <row r="31" spans="2:10">
      <c r="B31" s="124"/>
      <c r="I31" s="126"/>
    </row>
    <row r="32" spans="2:10" ht="13.5" thickBot="1">
      <c r="B32" s="134"/>
      <c r="C32" s="4"/>
      <c r="D32" s="4"/>
      <c r="E32" s="523" t="s">
        <v>318</v>
      </c>
      <c r="F32" s="4"/>
      <c r="G32" s="4"/>
      <c r="H32" s="4"/>
      <c r="I32" s="135"/>
    </row>
    <row r="33" spans="2:9" ht="13.5" thickBot="1">
      <c r="B33" s="1594" t="s">
        <v>1616</v>
      </c>
      <c r="C33" s="1595"/>
      <c r="D33" s="1595"/>
      <c r="E33" s="1595"/>
      <c r="F33" s="1595"/>
      <c r="G33" s="1595"/>
      <c r="H33" s="1595"/>
      <c r="I33" s="1596"/>
    </row>
    <row r="34" spans="2:9" ht="13.5" thickBot="1">
      <c r="B34" s="157" t="s">
        <v>262</v>
      </c>
      <c r="C34" s="157"/>
      <c r="D34" s="157">
        <v>1</v>
      </c>
      <c r="E34" s="157">
        <f>1+D34</f>
        <v>2</v>
      </c>
      <c r="F34" s="157">
        <f>1+E34</f>
        <v>3</v>
      </c>
      <c r="G34" s="157">
        <f>1+F34</f>
        <v>4</v>
      </c>
      <c r="H34" s="157">
        <f>1+G34</f>
        <v>5</v>
      </c>
      <c r="I34" s="157">
        <f>1+H34</f>
        <v>6</v>
      </c>
    </row>
    <row r="35" spans="2:9">
      <c r="B35" s="1118" t="s">
        <v>1617</v>
      </c>
      <c r="C35" s="122"/>
      <c r="D35" s="1309">
        <v>15</v>
      </c>
      <c r="E35" s="1309">
        <v>15.5</v>
      </c>
      <c r="F35" s="1309">
        <v>16</v>
      </c>
      <c r="G35" s="1309">
        <v>16.75</v>
      </c>
      <c r="H35" s="1309">
        <v>17.5</v>
      </c>
      <c r="I35" s="1310">
        <v>18</v>
      </c>
    </row>
    <row r="36" spans="2:9" ht="13" thickBot="1">
      <c r="B36" s="134"/>
      <c r="C36" s="4"/>
      <c r="D36" s="4"/>
      <c r="E36" s="4"/>
      <c r="F36" s="4"/>
      <c r="G36" s="4"/>
      <c r="H36" s="4"/>
      <c r="I36" s="135"/>
    </row>
    <row r="37" spans="2:9" ht="13.5" thickBot="1">
      <c r="B37" s="1547" t="s">
        <v>1554</v>
      </c>
      <c r="C37" s="1548"/>
      <c r="D37" s="1548"/>
      <c r="E37" s="1548"/>
      <c r="F37" s="1548"/>
      <c r="G37" s="1548"/>
      <c r="H37" s="1548"/>
      <c r="I37" s="1549"/>
    </row>
    <row r="38" spans="2:9" ht="14.5" thickBot="1">
      <c r="B38" s="124"/>
      <c r="D38" s="1252" t="s">
        <v>319</v>
      </c>
      <c r="E38" s="1253" t="s">
        <v>295</v>
      </c>
      <c r="I38" s="126"/>
    </row>
    <row r="39" spans="2:9" ht="13">
      <c r="B39" s="888" t="s">
        <v>1506</v>
      </c>
      <c r="I39" s="126"/>
    </row>
    <row r="40" spans="2:9">
      <c r="B40" s="124" t="s">
        <v>320</v>
      </c>
      <c r="D40" s="8">
        <v>148800</v>
      </c>
      <c r="E40" s="208">
        <f>D40/96000</f>
        <v>1.55</v>
      </c>
      <c r="F40" s="6" t="s">
        <v>322</v>
      </c>
      <c r="G40" s="1337">
        <v>0.02</v>
      </c>
      <c r="H40" t="s">
        <v>323</v>
      </c>
      <c r="I40" s="126"/>
    </row>
    <row r="41" spans="2:9">
      <c r="B41" s="124" t="s">
        <v>276</v>
      </c>
      <c r="D41" s="24">
        <v>14400</v>
      </c>
      <c r="E41" s="208">
        <f>D41/96000</f>
        <v>0.15</v>
      </c>
      <c r="F41" s="6" t="s">
        <v>322</v>
      </c>
      <c r="G41" s="23">
        <v>0.04</v>
      </c>
      <c r="H41" t="s">
        <v>323</v>
      </c>
      <c r="I41" s="126"/>
    </row>
    <row r="42" spans="2:9">
      <c r="B42" s="124" t="s">
        <v>274</v>
      </c>
      <c r="D42" s="24">
        <v>120000</v>
      </c>
      <c r="E42" s="208">
        <f>D42/96000</f>
        <v>1.25</v>
      </c>
      <c r="F42" s="6" t="s">
        <v>322</v>
      </c>
      <c r="G42" s="23">
        <v>0.05</v>
      </c>
      <c r="H42" t="s">
        <v>323</v>
      </c>
      <c r="I42" s="126"/>
    </row>
    <row r="43" spans="2:9">
      <c r="B43" s="124" t="s">
        <v>324</v>
      </c>
      <c r="D43" s="24">
        <v>76800</v>
      </c>
      <c r="E43" s="208">
        <f>D43/96000</f>
        <v>0.8</v>
      </c>
      <c r="F43" s="6" t="s">
        <v>322</v>
      </c>
      <c r="G43" s="23">
        <v>0.03</v>
      </c>
      <c r="H43" t="s">
        <v>323</v>
      </c>
      <c r="I43" s="126"/>
    </row>
    <row r="44" spans="2:9">
      <c r="B44" s="124" t="s">
        <v>325</v>
      </c>
      <c r="D44" s="955">
        <v>67200</v>
      </c>
      <c r="E44" s="208">
        <f>D44/96000</f>
        <v>0.7</v>
      </c>
      <c r="F44" s="6" t="s">
        <v>322</v>
      </c>
      <c r="G44" s="23">
        <v>0.03</v>
      </c>
      <c r="H44" t="s">
        <v>323</v>
      </c>
      <c r="I44" s="126"/>
    </row>
    <row r="45" spans="2:9">
      <c r="B45" s="124"/>
      <c r="D45" s="17"/>
      <c r="I45" s="126"/>
    </row>
    <row r="46" spans="2:9">
      <c r="B46" s="124" t="s">
        <v>326</v>
      </c>
      <c r="D46" s="24">
        <f>SUM(D40:D44)</f>
        <v>427200</v>
      </c>
      <c r="E46" s="809">
        <f>SUM(E40:E44)</f>
        <v>4.45</v>
      </c>
      <c r="F46" t="s">
        <v>327</v>
      </c>
      <c r="I46" s="126"/>
    </row>
    <row r="47" spans="2:9">
      <c r="B47" s="124"/>
      <c r="D47" s="24"/>
      <c r="E47" s="208"/>
      <c r="I47" s="126"/>
    </row>
    <row r="48" spans="2:9" ht="13">
      <c r="B48" s="1298" t="s">
        <v>1720</v>
      </c>
      <c r="C48" s="1299"/>
      <c r="D48" s="1299"/>
      <c r="E48" s="1299"/>
      <c r="F48" s="1299"/>
      <c r="G48" s="1299"/>
      <c r="I48" s="126"/>
    </row>
    <row r="49" spans="2:10">
      <c r="B49" s="1300" t="s">
        <v>1550</v>
      </c>
      <c r="C49" s="1299"/>
      <c r="D49" s="1301">
        <f>F49*E30</f>
        <v>68250</v>
      </c>
      <c r="E49" s="1302">
        <f>D49/C30</f>
        <v>0.7109375</v>
      </c>
      <c r="F49" s="1283">
        <f>D13</f>
        <v>0.05</v>
      </c>
      <c r="G49" s="1303" t="s">
        <v>1588</v>
      </c>
      <c r="I49" s="126"/>
    </row>
    <row r="50" spans="2:10">
      <c r="B50" s="1300" t="s">
        <v>1722</v>
      </c>
      <c r="D50" s="17"/>
      <c r="E50" s="17"/>
      <c r="I50" s="126"/>
    </row>
    <row r="51" spans="2:10">
      <c r="B51" s="124" t="s">
        <v>292</v>
      </c>
      <c r="D51" s="8">
        <f>D46+D49</f>
        <v>495450</v>
      </c>
      <c r="E51" s="11">
        <f>E46+E49</f>
        <v>5.1609375000000002</v>
      </c>
      <c r="F51" s="23"/>
      <c r="I51" s="126"/>
    </row>
    <row r="52" spans="2:10" ht="13.5" thickBot="1">
      <c r="B52" s="1247" t="s">
        <v>1721</v>
      </c>
      <c r="C52" s="4"/>
      <c r="D52" s="4"/>
      <c r="E52" s="4"/>
      <c r="F52" s="4"/>
      <c r="G52" s="4"/>
      <c r="H52" s="4"/>
      <c r="I52" s="135"/>
    </row>
    <row r="53" spans="2:10" ht="13.5" thickBot="1">
      <c r="B53" s="374"/>
      <c r="I53" s="126"/>
    </row>
    <row r="54" spans="2:10" ht="13.5" thickBot="1">
      <c r="B54" s="1547" t="s">
        <v>1553</v>
      </c>
      <c r="C54" s="1538"/>
      <c r="D54" s="1538"/>
      <c r="E54" s="1538"/>
      <c r="F54" s="1538"/>
      <c r="G54" s="1538"/>
      <c r="H54" s="1538"/>
      <c r="I54" s="1539"/>
    </row>
    <row r="55" spans="2:10" ht="13.5" thickBot="1">
      <c r="B55" s="157" t="s">
        <v>262</v>
      </c>
      <c r="C55" s="157"/>
      <c r="D55" s="157">
        <v>1</v>
      </c>
      <c r="E55" s="157">
        <f>1+D55</f>
        <v>2</v>
      </c>
      <c r="F55" s="157">
        <f>1+E55</f>
        <v>3</v>
      </c>
      <c r="G55" s="157">
        <f>1+F55</f>
        <v>4</v>
      </c>
      <c r="H55" s="157">
        <f>1+G55</f>
        <v>5</v>
      </c>
      <c r="I55" s="157">
        <f>1+H55</f>
        <v>6</v>
      </c>
    </row>
    <row r="56" spans="2:10" ht="13.5" thickBot="1">
      <c r="B56" s="1586" t="s">
        <v>959</v>
      </c>
      <c r="C56" s="1587"/>
      <c r="D56" s="1587"/>
      <c r="E56" s="1587"/>
      <c r="F56" s="1587"/>
      <c r="G56" s="1587"/>
      <c r="H56" s="1587"/>
      <c r="I56" s="1588"/>
      <c r="J56" s="43"/>
    </row>
    <row r="57" spans="2:10">
      <c r="B57" s="124" t="s">
        <v>320</v>
      </c>
      <c r="D57" s="24">
        <f>D40</f>
        <v>148800</v>
      </c>
      <c r="E57" s="24">
        <f>D57*(1+$G$40)</f>
        <v>151776</v>
      </c>
      <c r="F57" s="24">
        <f t="shared" ref="F57:I57" si="1">E57*(1+$G$40)</f>
        <v>154811.51999999999</v>
      </c>
      <c r="G57" s="24">
        <f t="shared" si="1"/>
        <v>157907.75039999999</v>
      </c>
      <c r="H57" s="24">
        <f t="shared" si="1"/>
        <v>161065.90540799999</v>
      </c>
      <c r="I57" s="24">
        <f t="shared" si="1"/>
        <v>164287.22351615998</v>
      </c>
    </row>
    <row r="58" spans="2:10">
      <c r="B58" s="124" t="s">
        <v>276</v>
      </c>
      <c r="D58" s="24">
        <f>D41</f>
        <v>14400</v>
      </c>
      <c r="E58" s="24">
        <f>D58*(1+$G$41)</f>
        <v>14976</v>
      </c>
      <c r="F58" s="24">
        <f>E58*(1+$G$41)</f>
        <v>15575.04</v>
      </c>
      <c r="G58" s="24">
        <f>F58*(1+$G$41)</f>
        <v>16198.041600000002</v>
      </c>
      <c r="H58" s="24">
        <f>G58*(1+$G$41)</f>
        <v>16845.963264000002</v>
      </c>
      <c r="I58" s="163">
        <f>H58*(1+$G$41)</f>
        <v>17519.801794560004</v>
      </c>
      <c r="J58" s="43"/>
    </row>
    <row r="59" spans="2:10">
      <c r="B59" s="124" t="s">
        <v>274</v>
      </c>
      <c r="D59" s="24">
        <f>D42</f>
        <v>120000</v>
      </c>
      <c r="E59" s="24">
        <f>D59*(1+$G$42)</f>
        <v>126000</v>
      </c>
      <c r="F59" s="24">
        <f>E59*(1+$G$42)</f>
        <v>132300</v>
      </c>
      <c r="G59" s="24">
        <f>F59*(1+$G$42)</f>
        <v>138915</v>
      </c>
      <c r="H59" s="24">
        <f>G59*(1+$G$42)</f>
        <v>145860.75</v>
      </c>
      <c r="I59" s="163">
        <f>H59*(1+$G$42)</f>
        <v>153153.78750000001</v>
      </c>
      <c r="J59" s="43"/>
    </row>
    <row r="60" spans="2:10">
      <c r="B60" s="124" t="s">
        <v>324</v>
      </c>
      <c r="D60" s="24">
        <f>D43</f>
        <v>76800</v>
      </c>
      <c r="E60" s="24">
        <f>D60*(1+$G$43)</f>
        <v>79104</v>
      </c>
      <c r="F60" s="24">
        <f>E60*(1+$G$43)</f>
        <v>81477.119999999995</v>
      </c>
      <c r="G60" s="24">
        <f>F60*(1+$G$43)</f>
        <v>83921.433600000004</v>
      </c>
      <c r="H60" s="24">
        <f>G60*(1+$G$43)</f>
        <v>86439.076608000003</v>
      </c>
      <c r="I60" s="163">
        <f>H60*(1+$G$43)</f>
        <v>89032.248906239998</v>
      </c>
      <c r="J60" s="43"/>
    </row>
    <row r="61" spans="2:10">
      <c r="B61" s="124" t="s">
        <v>325</v>
      </c>
      <c r="D61" s="52">
        <f>D44</f>
        <v>67200</v>
      </c>
      <c r="E61" s="52">
        <f>D61*(1+$G$44)</f>
        <v>69216</v>
      </c>
      <c r="F61" s="52">
        <f>E61*(1+$G$44)</f>
        <v>71292.479999999996</v>
      </c>
      <c r="G61" s="52">
        <f>F61*(1+$G$44)</f>
        <v>73431.254399999991</v>
      </c>
      <c r="H61" s="52">
        <f>G61*(1+$G$44)</f>
        <v>75634.192031999992</v>
      </c>
      <c r="I61" s="398">
        <f>H61*(1+$G$44)</f>
        <v>77903.21779296</v>
      </c>
      <c r="J61" s="43"/>
    </row>
    <row r="62" spans="2:10">
      <c r="B62" s="124" t="s">
        <v>330</v>
      </c>
      <c r="D62" s="24">
        <f t="shared" ref="D62:I62" si="2">SUM(D57:D61)</f>
        <v>427200</v>
      </c>
      <c r="E62" s="24">
        <f t="shared" si="2"/>
        <v>441072</v>
      </c>
      <c r="F62" s="24">
        <f t="shared" si="2"/>
        <v>455456.16</v>
      </c>
      <c r="G62" s="24">
        <f t="shared" si="2"/>
        <v>470373.48</v>
      </c>
      <c r="H62" s="24">
        <f t="shared" si="2"/>
        <v>485845.88731199998</v>
      </c>
      <c r="I62" s="163">
        <f t="shared" si="2"/>
        <v>501896.27950991999</v>
      </c>
    </row>
    <row r="63" spans="2:10">
      <c r="B63" s="124" t="s">
        <v>331</v>
      </c>
      <c r="D63" s="809">
        <f t="shared" ref="D63:I63" si="3">D62/$C$30</f>
        <v>4.45</v>
      </c>
      <c r="E63" s="809">
        <f t="shared" si="3"/>
        <v>4.5945</v>
      </c>
      <c r="F63" s="809">
        <f t="shared" si="3"/>
        <v>4.7443349999999995</v>
      </c>
      <c r="G63" s="809">
        <f t="shared" si="3"/>
        <v>4.8997237499999997</v>
      </c>
      <c r="H63" s="809">
        <f t="shared" si="3"/>
        <v>5.0608946594999997</v>
      </c>
      <c r="I63" s="810">
        <f t="shared" si="3"/>
        <v>5.2280862448949996</v>
      </c>
    </row>
    <row r="64" spans="2:10" ht="13" thickBot="1">
      <c r="B64" s="124"/>
      <c r="D64" s="24"/>
      <c r="E64" s="24"/>
      <c r="F64" s="24"/>
      <c r="G64" s="24"/>
      <c r="H64" s="24"/>
      <c r="I64" s="163"/>
    </row>
    <row r="65" spans="2:10" ht="13.5" thickBot="1">
      <c r="B65" s="1586" t="s">
        <v>953</v>
      </c>
      <c r="C65" s="1587"/>
      <c r="D65" s="1587"/>
      <c r="E65" s="1587"/>
      <c r="F65" s="1587"/>
      <c r="G65" s="1587"/>
      <c r="H65" s="1587"/>
      <c r="I65" s="1588"/>
    </row>
    <row r="66" spans="2:10" ht="13" thickBot="1">
      <c r="B66" s="124" t="s">
        <v>328</v>
      </c>
      <c r="D66" s="24">
        <f>$F$49*D100</f>
        <v>69925</v>
      </c>
      <c r="E66" s="24">
        <f t="shared" ref="E66:I66" si="4">$F$49*E100</f>
        <v>70618.600000000006</v>
      </c>
      <c r="F66" s="24">
        <f t="shared" si="4"/>
        <v>71337.808000000005</v>
      </c>
      <c r="G66" s="24">
        <f t="shared" si="4"/>
        <v>78559.640874999997</v>
      </c>
      <c r="H66" s="24">
        <f t="shared" si="4"/>
        <v>80427.813910850004</v>
      </c>
      <c r="I66" s="24">
        <f t="shared" si="4"/>
        <v>83007.864524830016</v>
      </c>
    </row>
    <row r="67" spans="2:10" ht="13.5" thickBot="1">
      <c r="B67" s="1586" t="s">
        <v>954</v>
      </c>
      <c r="C67" s="1587"/>
      <c r="D67" s="1587"/>
      <c r="E67" s="1587"/>
      <c r="F67" s="1587"/>
      <c r="G67" s="1587"/>
      <c r="H67" s="1587"/>
      <c r="I67" s="1588"/>
    </row>
    <row r="68" spans="2:10" ht="13" thickBot="1">
      <c r="B68" s="134" t="s">
        <v>278</v>
      </c>
      <c r="C68" s="4"/>
      <c r="D68" s="31">
        <f t="shared" ref="D68:I68" si="5">D66+D62</f>
        <v>497125</v>
      </c>
      <c r="E68" s="31">
        <f t="shared" si="5"/>
        <v>511690.6</v>
      </c>
      <c r="F68" s="31">
        <f t="shared" si="5"/>
        <v>526793.96799999999</v>
      </c>
      <c r="G68" s="31">
        <f t="shared" si="5"/>
        <v>548933.12087500002</v>
      </c>
      <c r="H68" s="31">
        <f t="shared" si="5"/>
        <v>566273.70122285001</v>
      </c>
      <c r="I68" s="207">
        <f t="shared" si="5"/>
        <v>584904.14403475006</v>
      </c>
      <c r="J68" s="43"/>
    </row>
    <row r="69" spans="2:10">
      <c r="I69" s="126"/>
    </row>
    <row r="70" spans="2:10" ht="13" thickBot="1">
      <c r="I70" s="126"/>
    </row>
    <row r="71" spans="2:10" ht="13.5" thickBot="1">
      <c r="B71" s="1547" t="s">
        <v>1555</v>
      </c>
      <c r="C71" s="1538"/>
      <c r="D71" s="1538"/>
      <c r="E71" s="1538"/>
      <c r="F71" s="1538"/>
      <c r="G71" s="1538"/>
      <c r="H71" s="1538"/>
      <c r="I71" s="1539"/>
    </row>
    <row r="72" spans="2:10" ht="13.5" thickBot="1">
      <c r="B72" s="197" t="s">
        <v>262</v>
      </c>
      <c r="C72" s="157"/>
      <c r="D72" s="157">
        <v>1</v>
      </c>
      <c r="E72" s="157">
        <f>1+D72</f>
        <v>2</v>
      </c>
      <c r="F72" s="157">
        <f>1+E72</f>
        <v>3</v>
      </c>
      <c r="G72" s="157">
        <f>1+F72</f>
        <v>4</v>
      </c>
      <c r="H72" s="157">
        <f>1+G72</f>
        <v>5</v>
      </c>
      <c r="I72" s="157">
        <f>1+H72</f>
        <v>6</v>
      </c>
    </row>
    <row r="73" spans="2:10" ht="13">
      <c r="B73" s="1254" t="s">
        <v>1316</v>
      </c>
      <c r="I73" s="126"/>
    </row>
    <row r="74" spans="2:10">
      <c r="B74" s="124" t="s">
        <v>312</v>
      </c>
      <c r="D74" s="24">
        <f>$E$23</f>
        <v>980000</v>
      </c>
      <c r="E74" s="24">
        <f>D74</f>
        <v>980000</v>
      </c>
      <c r="F74" s="24">
        <f>E74</f>
        <v>980000</v>
      </c>
      <c r="G74" s="806">
        <f>G35*C23</f>
        <v>1172500</v>
      </c>
      <c r="H74" s="24">
        <f>G74</f>
        <v>1172500</v>
      </c>
      <c r="I74" s="163">
        <f>H74</f>
        <v>1172500</v>
      </c>
      <c r="J74" s="43"/>
    </row>
    <row r="75" spans="2:10">
      <c r="B75" s="124" t="s">
        <v>313</v>
      </c>
      <c r="D75" s="24"/>
      <c r="E75" s="24"/>
      <c r="F75" s="24"/>
      <c r="G75" s="24"/>
      <c r="H75" s="24"/>
      <c r="I75" s="163"/>
      <c r="J75" s="43"/>
    </row>
    <row r="76" spans="2:10">
      <c r="B76" s="124" t="s">
        <v>314</v>
      </c>
      <c r="D76" s="24"/>
      <c r="E76" s="24"/>
      <c r="F76" s="24"/>
      <c r="G76" s="24"/>
      <c r="H76" s="24"/>
      <c r="I76" s="163"/>
      <c r="J76" s="43"/>
    </row>
    <row r="77" spans="2:10">
      <c r="B77" s="124" t="s">
        <v>315</v>
      </c>
      <c r="D77" s="24">
        <f>$E$26</f>
        <v>145000</v>
      </c>
      <c r="E77" s="24">
        <f>D77</f>
        <v>145000</v>
      </c>
      <c r="F77" s="24">
        <f>E77</f>
        <v>145000</v>
      </c>
      <c r="G77" s="24">
        <f>F77</f>
        <v>145000</v>
      </c>
      <c r="H77" s="806">
        <f>H35*C26</f>
        <v>175000</v>
      </c>
      <c r="I77" s="163">
        <f>H77</f>
        <v>175000</v>
      </c>
    </row>
    <row r="78" spans="2:10">
      <c r="B78" s="124" t="s">
        <v>316</v>
      </c>
      <c r="D78" s="24"/>
      <c r="E78" s="24"/>
      <c r="F78" s="24"/>
      <c r="G78" s="24"/>
      <c r="H78" s="24"/>
      <c r="I78" s="163"/>
    </row>
    <row r="79" spans="2:10">
      <c r="B79" s="124" t="s">
        <v>317</v>
      </c>
      <c r="D79" s="24">
        <f>$E$28</f>
        <v>240000</v>
      </c>
      <c r="E79" s="24">
        <f>D79</f>
        <v>240000</v>
      </c>
      <c r="F79" s="24">
        <f>E79</f>
        <v>240000</v>
      </c>
      <c r="G79" s="24">
        <f>F79</f>
        <v>240000</v>
      </c>
      <c r="H79" s="24">
        <f>G79</f>
        <v>240000</v>
      </c>
      <c r="I79" s="807">
        <f>I35*C28</f>
        <v>288000</v>
      </c>
    </row>
    <row r="80" spans="2:10">
      <c r="B80" s="124"/>
      <c r="D80" s="30"/>
      <c r="E80" s="30"/>
      <c r="F80" s="30"/>
      <c r="G80" s="30"/>
      <c r="H80" s="30"/>
      <c r="I80" s="959"/>
      <c r="J80" s="43"/>
    </row>
    <row r="81" spans="2:10">
      <c r="B81" s="140" t="s">
        <v>960</v>
      </c>
      <c r="D81" s="24">
        <f t="shared" ref="D81:I81" si="6">SUM(D74:D79)</f>
        <v>1365000</v>
      </c>
      <c r="E81" s="24">
        <f t="shared" si="6"/>
        <v>1365000</v>
      </c>
      <c r="F81" s="24">
        <f t="shared" si="6"/>
        <v>1365000</v>
      </c>
      <c r="G81" s="24">
        <f t="shared" si="6"/>
        <v>1557500</v>
      </c>
      <c r="H81" s="24">
        <f t="shared" si="6"/>
        <v>1587500</v>
      </c>
      <c r="I81" s="163">
        <f t="shared" si="6"/>
        <v>1635500</v>
      </c>
      <c r="J81" s="43"/>
    </row>
    <row r="82" spans="2:10">
      <c r="B82" s="140"/>
      <c r="D82" s="24"/>
      <c r="E82" s="24"/>
      <c r="F82" s="24"/>
      <c r="G82" s="24"/>
      <c r="H82" s="24"/>
      <c r="I82" s="163"/>
      <c r="J82" s="43"/>
    </row>
    <row r="83" spans="2:10" ht="13">
      <c r="B83" s="1254" t="s">
        <v>1614</v>
      </c>
      <c r="D83" s="24"/>
      <c r="E83" s="24"/>
      <c r="F83" s="24"/>
      <c r="G83" s="24"/>
      <c r="H83" s="24"/>
      <c r="I83" s="163"/>
    </row>
    <row r="84" spans="2:10">
      <c r="B84" s="124" t="s">
        <v>312</v>
      </c>
      <c r="D84" s="24">
        <f>D74*((1+$I23*$D$14)^(D72+0)-1)</f>
        <v>0</v>
      </c>
      <c r="E84" s="24">
        <f>E74*((1+$I23*$D$14)^(E72+0)-1)</f>
        <v>0</v>
      </c>
      <c r="F84" s="24">
        <f>F74*((1+$I23*$D$14)^(F72+0)-1)</f>
        <v>0</v>
      </c>
      <c r="G84" s="24">
        <v>0</v>
      </c>
      <c r="H84" s="24">
        <f>G74*((1+$I23*$D$14)^(H72-4)-1)</f>
        <v>0</v>
      </c>
      <c r="I84" s="163">
        <f>H74*((1+$I23*$D$14)^(I72-4)-1)</f>
        <v>0</v>
      </c>
    </row>
    <row r="85" spans="2:10">
      <c r="B85" s="124" t="s">
        <v>315</v>
      </c>
      <c r="D85" s="24">
        <f>D77*((1+$I26*$D$14)^(D72+0)-1)</f>
        <v>0</v>
      </c>
      <c r="E85" s="24">
        <f>E77*((1+$I26*$D$14)^(E72+0)-1)</f>
        <v>0</v>
      </c>
      <c r="F85" s="24">
        <f>F77*((1+$I26*$D$14)^(F72+0)-1)</f>
        <v>0</v>
      </c>
      <c r="G85" s="24">
        <f>G77*((1+$I26*$D$14)^(G72+0)-1)</f>
        <v>0</v>
      </c>
      <c r="H85" s="24">
        <v>0</v>
      </c>
      <c r="I85" s="163">
        <f>H77*((1+$I26*$D$14)^(I72-5)-1)</f>
        <v>0</v>
      </c>
    </row>
    <row r="86" spans="2:10">
      <c r="B86" s="124" t="s">
        <v>317</v>
      </c>
      <c r="D86" s="24">
        <f>D79*((1+$I$28*$D$14)^(D72-1)-1)</f>
        <v>0</v>
      </c>
      <c r="E86" s="24">
        <f>E79*((1+$I$28*$D$14)^(E72-1)-1)</f>
        <v>0</v>
      </c>
      <c r="F86" s="24">
        <f>F79*((1+$I$28*$D$14)^(F72-1)-1)</f>
        <v>0</v>
      </c>
      <c r="G86" s="24">
        <f t="shared" ref="G86:H86" si="7">G79*((1+$I$28*$D$14)^(G72-1)-1)</f>
        <v>0</v>
      </c>
      <c r="H86" s="24">
        <f t="shared" si="7"/>
        <v>0</v>
      </c>
      <c r="I86" s="163">
        <v>0</v>
      </c>
    </row>
    <row r="87" spans="2:10">
      <c r="B87" s="124"/>
      <c r="D87" s="30"/>
      <c r="E87" s="30"/>
      <c r="F87" s="30"/>
      <c r="G87" s="30"/>
      <c r="H87" s="30"/>
      <c r="I87" s="959"/>
      <c r="J87" s="43"/>
    </row>
    <row r="88" spans="2:10">
      <c r="B88" s="140" t="s">
        <v>961</v>
      </c>
      <c r="D88" s="24">
        <f t="shared" ref="D88:I88" si="8">SUM(D84:D86)</f>
        <v>0</v>
      </c>
      <c r="E88" s="24">
        <f t="shared" si="8"/>
        <v>0</v>
      </c>
      <c r="F88" s="24">
        <f t="shared" si="8"/>
        <v>0</v>
      </c>
      <c r="G88" s="24">
        <f t="shared" si="8"/>
        <v>0</v>
      </c>
      <c r="H88" s="24">
        <f t="shared" si="8"/>
        <v>0</v>
      </c>
      <c r="I88" s="163">
        <f t="shared" si="8"/>
        <v>0</v>
      </c>
      <c r="J88" s="43"/>
    </row>
    <row r="89" spans="2:10">
      <c r="B89" s="140"/>
      <c r="D89" s="24"/>
      <c r="E89" s="24"/>
      <c r="F89" s="24"/>
      <c r="G89" s="24"/>
      <c r="H89" s="24"/>
      <c r="I89" s="163"/>
      <c r="J89" s="43"/>
    </row>
    <row r="90" spans="2:10" ht="13">
      <c r="B90" s="1254" t="s">
        <v>1556</v>
      </c>
      <c r="D90" s="24"/>
      <c r="E90" s="24"/>
      <c r="F90" s="24"/>
      <c r="G90" s="24"/>
      <c r="H90" s="24"/>
      <c r="I90" s="163"/>
      <c r="J90" s="43"/>
    </row>
    <row r="91" spans="2:10">
      <c r="B91" s="124" t="s">
        <v>312</v>
      </c>
      <c r="D91" s="8">
        <f>(+D63-$G$23)*$C$23</f>
        <v>31500.000000000011</v>
      </c>
      <c r="E91" s="8">
        <f>(+E63-$G$23)*$C$23</f>
        <v>41615</v>
      </c>
      <c r="F91" s="8">
        <f>(+F63-$G$23)*$C$23</f>
        <v>52103.449999999968</v>
      </c>
      <c r="G91" s="808">
        <f>(+G63-$G$63)*$C$23</f>
        <v>0</v>
      </c>
      <c r="H91" s="8">
        <f>(+H63-$G$63)*$C$23</f>
        <v>11281.963665000001</v>
      </c>
      <c r="I91" s="158">
        <f>(+I63-$G$63)*$C$23</f>
        <v>22985.374642649993</v>
      </c>
      <c r="J91" s="43"/>
    </row>
    <row r="92" spans="2:10">
      <c r="B92" s="124" t="s">
        <v>313</v>
      </c>
      <c r="D92" s="24">
        <f>(+D63-$G$24)*$C$24</f>
        <v>0</v>
      </c>
      <c r="E92" s="24">
        <f>(+E63-$G$24)*$C$24</f>
        <v>0</v>
      </c>
      <c r="F92" s="24">
        <f>(+F63-$G$24)*$C$24</f>
        <v>0</v>
      </c>
      <c r="G92" s="24">
        <f>(G63-$G$63)*$C$24</f>
        <v>0</v>
      </c>
      <c r="H92" s="24">
        <f>(H63-$G$63)*$C$24</f>
        <v>0</v>
      </c>
      <c r="I92" s="163">
        <f>(I63-$G$63)*$C$24</f>
        <v>0</v>
      </c>
      <c r="J92" s="43"/>
    </row>
    <row r="93" spans="2:10">
      <c r="B93" s="124" t="s">
        <v>314</v>
      </c>
      <c r="D93" s="24">
        <f>(+D63-$G$25)*$C$25</f>
        <v>0</v>
      </c>
      <c r="E93" s="24">
        <f>(+E63-$G$25)*$C$25</f>
        <v>0</v>
      </c>
      <c r="F93" s="24">
        <f>(+F63-$G$25)*$C$25</f>
        <v>0</v>
      </c>
      <c r="G93" s="24">
        <f>(G63-$G$63)*$C$25</f>
        <v>0</v>
      </c>
      <c r="H93" s="24">
        <f>(H63-$G$63)*$C$25</f>
        <v>0</v>
      </c>
      <c r="I93" s="163">
        <f>(I63-$G$63)*$C$25</f>
        <v>0</v>
      </c>
      <c r="J93" s="43"/>
    </row>
    <row r="94" spans="2:10">
      <c r="B94" s="124" t="s">
        <v>315</v>
      </c>
      <c r="D94" s="24">
        <f>(+D63-$G$26)*$C$26</f>
        <v>2000.0000000000018</v>
      </c>
      <c r="E94" s="24">
        <f>(+E63-$G$26)*$C$26</f>
        <v>3445.0000000000005</v>
      </c>
      <c r="F94" s="24">
        <f>(+F63-$G$26)*$C$26</f>
        <v>4943.3499999999949</v>
      </c>
      <c r="G94" s="24">
        <f>(+G63-$G$26)*$C$26</f>
        <v>6497.2374999999975</v>
      </c>
      <c r="H94" s="806">
        <f>(H63-$H$63)*$C$26</f>
        <v>0</v>
      </c>
      <c r="I94" s="163">
        <f>(I63-$H$63)*$C$26</f>
        <v>1671.915853949999</v>
      </c>
      <c r="J94" s="43"/>
    </row>
    <row r="95" spans="2:10">
      <c r="B95" s="124" t="s">
        <v>316</v>
      </c>
      <c r="D95" s="24">
        <f>(+D63-$G$27)*$C$27</f>
        <v>0</v>
      </c>
      <c r="E95" s="24">
        <f>(+E63-$G$27)*$C$27</f>
        <v>0</v>
      </c>
      <c r="F95" s="24">
        <f>(+F63-$G$27)*$C$27</f>
        <v>0</v>
      </c>
      <c r="G95" s="24">
        <f>(+G63-$G$27)*$C$27</f>
        <v>0</v>
      </c>
      <c r="H95" s="24">
        <f>(+H63-$G$27)*$C$27</f>
        <v>0</v>
      </c>
      <c r="I95" s="163">
        <v>0</v>
      </c>
      <c r="J95" s="43"/>
    </row>
    <row r="96" spans="2:10">
      <c r="B96" s="124" t="s">
        <v>317</v>
      </c>
      <c r="D96" s="52">
        <f>(+D63-$G$28)*$C$28</f>
        <v>0</v>
      </c>
      <c r="E96" s="52">
        <f>(+E63-$G$28)*$C$28</f>
        <v>2311.9999999999977</v>
      </c>
      <c r="F96" s="52">
        <f>(+F63-$G$28)*$C$28</f>
        <v>4709.3599999999897</v>
      </c>
      <c r="G96" s="52">
        <f>(+G63-$G$28)*$C$28</f>
        <v>7195.5799999999927</v>
      </c>
      <c r="H96" s="52">
        <f>(+H63-$G$28)*$C$28</f>
        <v>9774.3145519999925</v>
      </c>
      <c r="I96" s="1340">
        <v>0</v>
      </c>
      <c r="J96" s="43"/>
    </row>
    <row r="97" spans="2:10">
      <c r="B97" s="140" t="s">
        <v>958</v>
      </c>
      <c r="D97" s="24">
        <f t="shared" ref="D97:I97" si="9">SUM(D91:D96)</f>
        <v>33500.000000000015</v>
      </c>
      <c r="E97" s="24">
        <f t="shared" si="9"/>
        <v>47372</v>
      </c>
      <c r="F97" s="24">
        <f t="shared" si="9"/>
        <v>61756.159999999945</v>
      </c>
      <c r="G97" s="24">
        <f t="shared" si="9"/>
        <v>13692.81749999999</v>
      </c>
      <c r="H97" s="24">
        <f t="shared" si="9"/>
        <v>21056.278216999992</v>
      </c>
      <c r="I97" s="163">
        <f t="shared" si="9"/>
        <v>24657.290496599991</v>
      </c>
      <c r="J97" s="43"/>
    </row>
    <row r="98" spans="2:10">
      <c r="B98" s="124"/>
      <c r="D98" s="24"/>
      <c r="E98" s="24"/>
      <c r="F98" s="24"/>
      <c r="G98" s="24"/>
      <c r="H98" s="24"/>
      <c r="I98" s="163"/>
      <c r="J98" s="43"/>
    </row>
    <row r="99" spans="2:10">
      <c r="B99" s="124"/>
      <c r="D99" s="24"/>
      <c r="E99" s="24"/>
      <c r="F99" s="24"/>
      <c r="G99" s="24"/>
      <c r="H99" s="24"/>
      <c r="I99" s="163"/>
      <c r="J99" s="43"/>
    </row>
    <row r="100" spans="2:10" ht="13">
      <c r="B100" s="168" t="s">
        <v>483</v>
      </c>
      <c r="D100" s="24">
        <f t="shared" ref="D100:I100" si="10">D81+D88+D97</f>
        <v>1398500</v>
      </c>
      <c r="E100" s="24">
        <f t="shared" si="10"/>
        <v>1412372</v>
      </c>
      <c r="F100" s="24">
        <f t="shared" si="10"/>
        <v>1426756.16</v>
      </c>
      <c r="G100" s="24">
        <f t="shared" si="10"/>
        <v>1571192.8174999999</v>
      </c>
      <c r="H100" s="24">
        <f t="shared" si="10"/>
        <v>1608556.278217</v>
      </c>
      <c r="I100" s="163">
        <f t="shared" si="10"/>
        <v>1660157.2904966001</v>
      </c>
      <c r="J100" s="43"/>
    </row>
    <row r="101" spans="2:10">
      <c r="B101" s="213" t="s">
        <v>286</v>
      </c>
      <c r="D101" s="30">
        <v>0</v>
      </c>
      <c r="E101" s="30">
        <v>0</v>
      </c>
      <c r="F101" s="30">
        <v>0</v>
      </c>
      <c r="G101" s="958">
        <f>$D$15*G100</f>
        <v>78559.640874999997</v>
      </c>
      <c r="H101" s="30">
        <f>$D$15*H100</f>
        <v>80427.813910850004</v>
      </c>
      <c r="I101" s="959">
        <f>$D$15*I100</f>
        <v>83007.864524830016</v>
      </c>
      <c r="J101" s="43"/>
    </row>
    <row r="102" spans="2:10" ht="13.5" thickBot="1">
      <c r="B102" s="375" t="s">
        <v>485</v>
      </c>
      <c r="C102" s="4"/>
      <c r="D102" s="31">
        <f t="shared" ref="D102:I102" si="11">D100-D101</f>
        <v>1398500</v>
      </c>
      <c r="E102" s="31">
        <f t="shared" si="11"/>
        <v>1412372</v>
      </c>
      <c r="F102" s="31">
        <f t="shared" si="11"/>
        <v>1426756.16</v>
      </c>
      <c r="G102" s="31">
        <f t="shared" si="11"/>
        <v>1492633.1766249998</v>
      </c>
      <c r="H102" s="31">
        <f t="shared" si="11"/>
        <v>1528128.4643061499</v>
      </c>
      <c r="I102" s="207">
        <f t="shared" si="11"/>
        <v>1577149.4259717702</v>
      </c>
      <c r="J102" s="43"/>
    </row>
    <row r="103" spans="2:10">
      <c r="B103" s="124"/>
      <c r="I103" s="126"/>
    </row>
    <row r="104" spans="2:10">
      <c r="B104" s="124"/>
      <c r="D104" s="11"/>
      <c r="E104" s="11"/>
      <c r="F104" s="11"/>
      <c r="G104" s="11"/>
      <c r="H104" s="11"/>
      <c r="I104" s="317"/>
    </row>
    <row r="105" spans="2:10" ht="13" thickBot="1">
      <c r="B105" s="124"/>
      <c r="D105" s="8"/>
      <c r="E105" s="8"/>
      <c r="F105" s="8"/>
      <c r="G105" s="8"/>
      <c r="H105" s="8"/>
      <c r="I105" s="158"/>
      <c r="J105" s="43"/>
    </row>
    <row r="106" spans="2:10" ht="13.5" thickBot="1">
      <c r="B106" s="1547" t="s">
        <v>1379</v>
      </c>
      <c r="C106" s="1538"/>
      <c r="D106" s="1538"/>
      <c r="E106" s="1538"/>
      <c r="F106" s="1538"/>
      <c r="G106" s="1538"/>
      <c r="H106" s="1538"/>
      <c r="I106" s="1539"/>
      <c r="J106" s="43"/>
    </row>
    <row r="107" spans="2:10" ht="13.5" thickBot="1">
      <c r="B107" s="157" t="s">
        <v>262</v>
      </c>
      <c r="C107" s="157"/>
      <c r="D107" s="157">
        <v>1</v>
      </c>
      <c r="E107" s="157">
        <f>D107+1</f>
        <v>2</v>
      </c>
      <c r="F107" s="157">
        <f>E107+1</f>
        <v>3</v>
      </c>
      <c r="G107" s="157">
        <f>F107+1</f>
        <v>4</v>
      </c>
      <c r="H107" s="157">
        <f>G107+1</f>
        <v>5</v>
      </c>
      <c r="I107" s="157">
        <f>H107+1</f>
        <v>6</v>
      </c>
      <c r="J107" s="43"/>
    </row>
    <row r="108" spans="2:10">
      <c r="B108" s="124" t="s">
        <v>332</v>
      </c>
      <c r="D108" s="8">
        <f t="shared" ref="D108:I108" si="12">D81</f>
        <v>1365000</v>
      </c>
      <c r="E108" s="8">
        <f t="shared" si="12"/>
        <v>1365000</v>
      </c>
      <c r="F108" s="8">
        <f t="shared" si="12"/>
        <v>1365000</v>
      </c>
      <c r="G108" s="8">
        <f t="shared" si="12"/>
        <v>1557500</v>
      </c>
      <c r="H108" s="8">
        <f t="shared" si="12"/>
        <v>1587500</v>
      </c>
      <c r="I108" s="158">
        <f t="shared" si="12"/>
        <v>1635500</v>
      </c>
      <c r="J108" s="43"/>
    </row>
    <row r="109" spans="2:10">
      <c r="B109" s="124" t="s">
        <v>962</v>
      </c>
      <c r="D109" s="24">
        <f t="shared" ref="D109:I109" si="13">D88</f>
        <v>0</v>
      </c>
      <c r="E109" s="24">
        <f t="shared" si="13"/>
        <v>0</v>
      </c>
      <c r="F109" s="24">
        <f t="shared" si="13"/>
        <v>0</v>
      </c>
      <c r="G109" s="24">
        <f t="shared" si="13"/>
        <v>0</v>
      </c>
      <c r="H109" s="24">
        <f t="shared" si="13"/>
        <v>0</v>
      </c>
      <c r="I109" s="163">
        <f t="shared" si="13"/>
        <v>0</v>
      </c>
      <c r="J109" s="43"/>
    </row>
    <row r="110" spans="2:10">
      <c r="B110" s="124" t="s">
        <v>333</v>
      </c>
      <c r="D110" s="14">
        <f t="shared" ref="D110:I110" si="14">D97</f>
        <v>33500.000000000015</v>
      </c>
      <c r="E110" s="14">
        <f t="shared" si="14"/>
        <v>47372</v>
      </c>
      <c r="F110" s="14">
        <f t="shared" si="14"/>
        <v>61756.159999999945</v>
      </c>
      <c r="G110" s="14">
        <f t="shared" si="14"/>
        <v>13692.81749999999</v>
      </c>
      <c r="H110" s="14">
        <f t="shared" si="14"/>
        <v>21056.278216999992</v>
      </c>
      <c r="I110" s="853">
        <f t="shared" si="14"/>
        <v>24657.290496599991</v>
      </c>
      <c r="J110" s="43"/>
    </row>
    <row r="111" spans="2:10" ht="13">
      <c r="B111" s="168" t="s">
        <v>955</v>
      </c>
      <c r="D111" s="8">
        <f t="shared" ref="D111:I111" si="15">SUM(D108:D110)</f>
        <v>1398500</v>
      </c>
      <c r="E111" s="8">
        <f t="shared" si="15"/>
        <v>1412372</v>
      </c>
      <c r="F111" s="8">
        <f t="shared" si="15"/>
        <v>1426756.16</v>
      </c>
      <c r="G111" s="8">
        <f t="shared" si="15"/>
        <v>1571192.8174999999</v>
      </c>
      <c r="H111" s="8">
        <f t="shared" si="15"/>
        <v>1608556.278217</v>
      </c>
      <c r="I111" s="158">
        <f t="shared" si="15"/>
        <v>1660157.2904966001</v>
      </c>
      <c r="J111" s="43"/>
    </row>
    <row r="112" spans="2:10">
      <c r="B112" s="124" t="s">
        <v>334</v>
      </c>
      <c r="D112" s="52">
        <f t="shared" ref="D112:I112" si="16">D101</f>
        <v>0</v>
      </c>
      <c r="E112" s="52">
        <f t="shared" si="16"/>
        <v>0</v>
      </c>
      <c r="F112" s="52">
        <f t="shared" si="16"/>
        <v>0</v>
      </c>
      <c r="G112" s="52">
        <f t="shared" si="16"/>
        <v>78559.640874999997</v>
      </c>
      <c r="H112" s="52">
        <f t="shared" si="16"/>
        <v>80427.813910850004</v>
      </c>
      <c r="I112" s="398">
        <f t="shared" si="16"/>
        <v>83007.864524830016</v>
      </c>
      <c r="J112" s="43"/>
    </row>
    <row r="113" spans="2:10" ht="13">
      <c r="B113" s="168" t="s">
        <v>485</v>
      </c>
      <c r="D113" s="24">
        <f t="shared" ref="D113:I113" si="17">D111-D112</f>
        <v>1398500</v>
      </c>
      <c r="E113" s="24">
        <f t="shared" si="17"/>
        <v>1412372</v>
      </c>
      <c r="F113" s="24">
        <f t="shared" si="17"/>
        <v>1426756.16</v>
      </c>
      <c r="G113" s="24">
        <f t="shared" si="17"/>
        <v>1492633.1766249998</v>
      </c>
      <c r="H113" s="24">
        <f t="shared" si="17"/>
        <v>1528128.4643061499</v>
      </c>
      <c r="I113" s="163">
        <f t="shared" si="17"/>
        <v>1577149.4259717702</v>
      </c>
      <c r="J113" s="43"/>
    </row>
    <row r="114" spans="2:10">
      <c r="B114" s="124" t="s">
        <v>965</v>
      </c>
      <c r="D114" s="24"/>
      <c r="E114" s="24"/>
      <c r="F114" s="24"/>
      <c r="G114" s="24"/>
      <c r="H114" s="24"/>
      <c r="I114" s="163"/>
      <c r="J114" s="43"/>
    </row>
    <row r="115" spans="2:10">
      <c r="B115" s="124" t="s">
        <v>963</v>
      </c>
      <c r="D115" s="24">
        <f t="shared" ref="D115:I115" si="18">D62</f>
        <v>427200</v>
      </c>
      <c r="E115" s="24">
        <f t="shared" si="18"/>
        <v>441072</v>
      </c>
      <c r="F115" s="24">
        <f t="shared" si="18"/>
        <v>455456.16</v>
      </c>
      <c r="G115" s="24">
        <f t="shared" si="18"/>
        <v>470373.48</v>
      </c>
      <c r="H115" s="24">
        <f t="shared" si="18"/>
        <v>485845.88731199998</v>
      </c>
      <c r="I115" s="163">
        <f t="shared" si="18"/>
        <v>501896.27950991999</v>
      </c>
      <c r="J115" s="43"/>
    </row>
    <row r="116" spans="2:10">
      <c r="B116" s="124" t="s">
        <v>964</v>
      </c>
      <c r="D116" s="52">
        <f t="shared" ref="D116:I116" si="19">D66</f>
        <v>69925</v>
      </c>
      <c r="E116" s="52">
        <f t="shared" si="19"/>
        <v>70618.600000000006</v>
      </c>
      <c r="F116" s="52">
        <f t="shared" si="19"/>
        <v>71337.808000000005</v>
      </c>
      <c r="G116" s="52">
        <f t="shared" si="19"/>
        <v>78559.640874999997</v>
      </c>
      <c r="H116" s="52">
        <f t="shared" si="19"/>
        <v>80427.813910850004</v>
      </c>
      <c r="I116" s="398">
        <f t="shared" si="19"/>
        <v>83007.864524830016</v>
      </c>
    </row>
    <row r="117" spans="2:10" ht="13.5" thickBot="1">
      <c r="B117" s="168" t="s">
        <v>335</v>
      </c>
      <c r="D117" s="1368">
        <f t="shared" ref="D117:I117" si="20">D113-D115-D116</f>
        <v>901375</v>
      </c>
      <c r="E117" s="1368">
        <f t="shared" si="20"/>
        <v>900681.4</v>
      </c>
      <c r="F117" s="1368">
        <f t="shared" si="20"/>
        <v>899962.19200000004</v>
      </c>
      <c r="G117" s="1368">
        <f t="shared" si="20"/>
        <v>943700.05574999982</v>
      </c>
      <c r="H117" s="1368">
        <f t="shared" si="20"/>
        <v>961854.76308329997</v>
      </c>
      <c r="I117" s="1369">
        <f t="shared" si="20"/>
        <v>992245.28193702025</v>
      </c>
    </row>
    <row r="118" spans="2:10" ht="13" thickTop="1">
      <c r="B118" s="124"/>
      <c r="D118" s="24"/>
      <c r="E118" s="24"/>
      <c r="F118" s="24"/>
      <c r="G118" s="24"/>
      <c r="H118" s="24"/>
      <c r="I118" s="163"/>
    </row>
    <row r="119" spans="2:10">
      <c r="B119" s="124"/>
      <c r="I119" s="126"/>
    </row>
    <row r="120" spans="2:10" ht="13" thickBot="1">
      <c r="B120" s="124" t="s">
        <v>336</v>
      </c>
      <c r="D120" s="8">
        <f>D9</f>
        <v>12000000</v>
      </c>
      <c r="I120" s="126"/>
    </row>
    <row r="121" spans="2:10" ht="13.5" thickBot="1">
      <c r="B121" s="1133" t="s">
        <v>1632</v>
      </c>
      <c r="D121" s="155">
        <f>D117/D120</f>
        <v>7.5114583333333332E-2</v>
      </c>
      <c r="E121" t="s">
        <v>338</v>
      </c>
      <c r="F121" s="28"/>
      <c r="I121" s="126"/>
    </row>
    <row r="122" spans="2:10" ht="13" thickBot="1">
      <c r="B122" s="134"/>
      <c r="C122" s="4"/>
      <c r="D122" s="4"/>
      <c r="E122" s="4"/>
      <c r="F122" s="4"/>
      <c r="G122" s="4"/>
      <c r="H122" s="4"/>
      <c r="I122" s="135"/>
    </row>
    <row r="123" spans="2:10" ht="13.5" thickBot="1">
      <c r="B123" s="171" t="s">
        <v>1310</v>
      </c>
      <c r="E123" s="155">
        <f>((I117/D117)^(1/5))-1</f>
        <v>1.9395487509964227E-2</v>
      </c>
      <c r="F123" s="39" t="s">
        <v>1302</v>
      </c>
      <c r="I123" s="126"/>
    </row>
    <row r="124" spans="2:10" ht="13" thickBot="1">
      <c r="B124" s="134"/>
      <c r="C124" s="4"/>
      <c r="D124" s="4"/>
      <c r="E124" s="4"/>
      <c r="F124" s="4"/>
      <c r="G124" s="4"/>
      <c r="H124" s="4"/>
      <c r="I124" s="135"/>
    </row>
    <row r="127" spans="2:10" ht="13.5" thickBot="1">
      <c r="B127" s="960"/>
    </row>
    <row r="128" spans="2:10" ht="16" thickBot="1">
      <c r="B128" s="1614" t="s">
        <v>1512</v>
      </c>
      <c r="C128" s="1615"/>
      <c r="D128" s="1615"/>
      <c r="E128" s="1615"/>
      <c r="F128" s="1615"/>
      <c r="G128" s="1615"/>
      <c r="H128" s="1616"/>
      <c r="I128" s="1307"/>
    </row>
    <row r="129" spans="2:9" ht="13">
      <c r="B129" s="1390" t="s">
        <v>1589</v>
      </c>
      <c r="C129" s="1312"/>
      <c r="D129" s="1312"/>
      <c r="E129" s="1312"/>
      <c r="F129" s="1313"/>
      <c r="G129" s="1313"/>
      <c r="H129" s="1314"/>
      <c r="I129" s="854"/>
    </row>
    <row r="130" spans="2:9" ht="13">
      <c r="B130" s="1111" t="s">
        <v>268</v>
      </c>
      <c r="C130" s="1311">
        <f>ROUND(D121,3)+0.0025</f>
        <v>7.7499999999999999E-2</v>
      </c>
      <c r="D130" s="1391" t="s">
        <v>1733</v>
      </c>
      <c r="E130" s="1304"/>
      <c r="F130" s="854"/>
      <c r="G130" s="854"/>
      <c r="H130" s="855"/>
      <c r="I130" s="854"/>
    </row>
    <row r="131" spans="2:9" ht="13">
      <c r="B131" s="1111" t="s">
        <v>1649</v>
      </c>
      <c r="C131" s="1311">
        <v>0.08</v>
      </c>
      <c r="D131" s="1391" t="s">
        <v>1634</v>
      </c>
      <c r="E131" s="1304"/>
      <c r="F131" s="854"/>
      <c r="G131" s="854"/>
      <c r="H131" s="855"/>
      <c r="I131" s="854"/>
    </row>
    <row r="132" spans="2:9" ht="13.5" thickBot="1">
      <c r="B132" s="1315"/>
      <c r="C132" s="1316"/>
      <c r="D132" s="1317"/>
      <c r="E132" s="1317"/>
      <c r="F132" s="1318"/>
      <c r="G132" s="1318"/>
      <c r="H132" s="1319"/>
      <c r="I132" s="854"/>
    </row>
    <row r="133" spans="2:9" ht="13.5" thickBot="1">
      <c r="B133" s="157" t="s">
        <v>262</v>
      </c>
      <c r="C133" s="157">
        <v>0</v>
      </c>
      <c r="D133" s="157">
        <v>1</v>
      </c>
      <c r="E133" s="157">
        <f>D133+1</f>
        <v>2</v>
      </c>
      <c r="F133" s="157">
        <f>E133+1</f>
        <v>3</v>
      </c>
      <c r="G133" s="157">
        <f>F133+1</f>
        <v>4</v>
      </c>
      <c r="H133" s="157">
        <f>G133+1</f>
        <v>5</v>
      </c>
    </row>
    <row r="134" spans="2:9">
      <c r="B134" s="276" t="s">
        <v>957</v>
      </c>
      <c r="C134" s="1408">
        <f>-D120</f>
        <v>-12000000</v>
      </c>
      <c r="D134" s="470"/>
      <c r="E134" s="470"/>
      <c r="F134" s="470"/>
      <c r="G134" s="470"/>
      <c r="H134" s="535"/>
    </row>
    <row r="135" spans="2:9">
      <c r="B135" s="1392" t="s">
        <v>389</v>
      </c>
      <c r="C135" s="39"/>
      <c r="D135" s="34">
        <f>D117</f>
        <v>901375</v>
      </c>
      <c r="E135" s="34">
        <f t="shared" ref="E135:H135" si="21">E117</f>
        <v>900681.4</v>
      </c>
      <c r="F135" s="34">
        <f t="shared" si="21"/>
        <v>899962.19200000004</v>
      </c>
      <c r="G135" s="34">
        <f t="shared" si="21"/>
        <v>943700.05574999982</v>
      </c>
      <c r="H135" s="309">
        <f t="shared" si="21"/>
        <v>961854.76308329997</v>
      </c>
    </row>
    <row r="136" spans="2:9">
      <c r="B136" s="171" t="s">
        <v>395</v>
      </c>
      <c r="C136" s="51"/>
      <c r="D136" s="51"/>
      <c r="E136" s="51"/>
      <c r="F136" s="51"/>
      <c r="G136" s="51"/>
      <c r="H136" s="398">
        <f>I117/C130</f>
        <v>12803164.928219616</v>
      </c>
    </row>
    <row r="137" spans="2:9">
      <c r="B137" s="171" t="s">
        <v>824</v>
      </c>
      <c r="C137" s="299">
        <f>SUM(C134:C136)</f>
        <v>-12000000</v>
      </c>
      <c r="D137" s="299">
        <f t="shared" ref="D137:H137" si="22">SUM(D134:D136)</f>
        <v>901375</v>
      </c>
      <c r="E137" s="299">
        <f t="shared" si="22"/>
        <v>900681.4</v>
      </c>
      <c r="F137" s="299">
        <f t="shared" si="22"/>
        <v>899962.19200000004</v>
      </c>
      <c r="G137" s="299">
        <f t="shared" si="22"/>
        <v>943700.05574999982</v>
      </c>
      <c r="H137" s="308">
        <f t="shared" si="22"/>
        <v>13765019.691302916</v>
      </c>
    </row>
    <row r="138" spans="2:9">
      <c r="B138" s="171"/>
      <c r="C138" s="39"/>
      <c r="D138" s="39"/>
      <c r="E138" s="39"/>
      <c r="F138" s="39"/>
      <c r="G138" s="39"/>
      <c r="H138" s="146"/>
    </row>
    <row r="139" spans="2:9" ht="13" thickBot="1">
      <c r="B139" s="171"/>
      <c r="C139" s="39"/>
      <c r="D139" s="39"/>
      <c r="E139" s="39"/>
      <c r="F139" s="39"/>
      <c r="G139" s="39"/>
      <c r="H139" s="146"/>
    </row>
    <row r="140" spans="2:9" ht="13.5" thickBot="1">
      <c r="B140" s="145" t="s">
        <v>903</v>
      </c>
      <c r="C140" s="155">
        <f>IRR(C137:H137)</f>
        <v>8.7801143113616975E-2</v>
      </c>
      <c r="D140" s="39"/>
      <c r="E140" s="39"/>
      <c r="F140" s="39"/>
      <c r="G140" s="39"/>
      <c r="H140" s="146"/>
    </row>
    <row r="141" spans="2:9">
      <c r="B141" s="171"/>
      <c r="C141" s="39"/>
      <c r="D141" s="39"/>
      <c r="E141" s="39"/>
      <c r="F141" s="39"/>
      <c r="G141" s="39"/>
      <c r="H141" s="146"/>
    </row>
    <row r="142" spans="2:9">
      <c r="B142" s="124"/>
      <c r="H142" s="126"/>
    </row>
    <row r="143" spans="2:9" ht="13" thickBot="1">
      <c r="B143" s="124"/>
      <c r="H143" s="126"/>
    </row>
    <row r="144" spans="2:9" ht="13.5" thickBot="1">
      <c r="B144" s="1133" t="s">
        <v>1590</v>
      </c>
      <c r="C144" s="1305">
        <f>NPV(C131,D137:H137)</f>
        <v>12383103.435935453</v>
      </c>
      <c r="H144" s="126"/>
    </row>
    <row r="145" spans="2:8" ht="13" thickBot="1">
      <c r="B145" s="124"/>
      <c r="C145" s="91"/>
      <c r="H145" s="126"/>
    </row>
    <row r="146" spans="2:8" ht="13.5" thickBot="1">
      <c r="B146" s="1133" t="s">
        <v>1516</v>
      </c>
      <c r="C146" s="1306">
        <f>C144+C134</f>
        <v>383103.43593545258</v>
      </c>
      <c r="H146" s="126"/>
    </row>
    <row r="147" spans="2:8" ht="13.5" thickBot="1">
      <c r="B147" s="1133"/>
      <c r="C147" s="1149"/>
      <c r="H147" s="126"/>
    </row>
    <row r="148" spans="2:8" ht="13.5" thickBot="1">
      <c r="B148" s="1133" t="s">
        <v>1518</v>
      </c>
      <c r="C148" s="1306">
        <f>NPV(C131,D137:H137)+C137</f>
        <v>383103.43593545258</v>
      </c>
      <c r="H148" s="126"/>
    </row>
    <row r="149" spans="2:8" ht="13" thickBot="1">
      <c r="B149" s="134"/>
      <c r="C149" s="4"/>
      <c r="D149" s="4"/>
      <c r="E149" s="4"/>
      <c r="F149" s="4"/>
      <c r="G149" s="4"/>
      <c r="H149" s="135"/>
    </row>
    <row r="152" spans="2:8">
      <c r="B152" t="s">
        <v>1601</v>
      </c>
      <c r="C152" s="1339">
        <f>MIRR(C137:H137,0.14,0.14)</f>
        <v>9.4725682468849604E-2</v>
      </c>
    </row>
  </sheetData>
  <mergeCells count="15">
    <mergeCell ref="B71:I71"/>
    <mergeCell ref="B106:I106"/>
    <mergeCell ref="B128:H128"/>
    <mergeCell ref="B33:I33"/>
    <mergeCell ref="B37:I37"/>
    <mergeCell ref="B54:I54"/>
    <mergeCell ref="B56:I56"/>
    <mergeCell ref="B65:I65"/>
    <mergeCell ref="B67:I67"/>
    <mergeCell ref="B18:I18"/>
    <mergeCell ref="B2:I2"/>
    <mergeCell ref="B3:I3"/>
    <mergeCell ref="B5:F5"/>
    <mergeCell ref="B6:F6"/>
    <mergeCell ref="B8:E8"/>
  </mergeCells>
  <pageMargins left="0.75" right="0.75" top="1" bottom="1" header="0.5" footer="0.5"/>
  <pageSetup orientation="portrait" r:id="rId1"/>
  <headerFooter alignWithMargins="0"/>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J178"/>
  <sheetViews>
    <sheetView workbookViewId="0">
      <selection activeCell="M44" sqref="M44"/>
    </sheetView>
  </sheetViews>
  <sheetFormatPr defaultRowHeight="12.5"/>
  <cols>
    <col min="2" max="2" width="31" customWidth="1"/>
    <col min="3" max="3" width="11.26953125" bestFit="1" customWidth="1"/>
    <col min="4" max="4" width="12.453125" bestFit="1" customWidth="1"/>
    <col min="5" max="5" width="18.7265625" customWidth="1"/>
    <col min="6" max="6" width="10.26953125" bestFit="1" customWidth="1"/>
    <col min="8" max="8" width="10.54296875" customWidth="1"/>
  </cols>
  <sheetData>
    <row r="1" spans="2:8" ht="13" thickBot="1"/>
    <row r="2" spans="2:8" ht="18.5" thickBot="1">
      <c r="B2" s="1618" t="s">
        <v>1128</v>
      </c>
      <c r="C2" s="1526"/>
      <c r="D2" s="1526"/>
      <c r="E2" s="1526"/>
      <c r="F2" s="1526"/>
      <c r="G2" s="1526"/>
      <c r="H2" s="1527"/>
    </row>
    <row r="3" spans="2:8" ht="16" thickBot="1">
      <c r="B3" s="1619" t="s">
        <v>1225</v>
      </c>
      <c r="C3" s="1529"/>
      <c r="D3" s="1529"/>
      <c r="E3" s="1529"/>
      <c r="F3" s="1529"/>
      <c r="G3" s="1529"/>
      <c r="H3" s="1530"/>
    </row>
    <row r="4" spans="2:8" ht="15.5">
      <c r="B4" s="569"/>
      <c r="C4" s="570"/>
      <c r="D4" s="570"/>
      <c r="E4" s="571"/>
      <c r="F4" s="570"/>
      <c r="G4" s="570"/>
      <c r="H4" s="572"/>
    </row>
    <row r="5" spans="2:8">
      <c r="B5" s="1620" t="s">
        <v>1101</v>
      </c>
      <c r="C5" s="1621"/>
      <c r="D5" s="1621"/>
      <c r="E5" s="1621"/>
      <c r="F5" s="1621"/>
      <c r="G5" s="1621"/>
      <c r="H5" s="1622"/>
    </row>
    <row r="6" spans="2:8">
      <c r="B6" s="1623" t="s">
        <v>419</v>
      </c>
      <c r="C6" s="1624"/>
      <c r="D6" s="1624"/>
      <c r="E6" s="1624"/>
      <c r="F6" s="1624"/>
      <c r="G6" s="1624"/>
      <c r="H6" s="1625"/>
    </row>
    <row r="7" spans="2:8">
      <c r="B7" s="1599"/>
      <c r="C7" s="1600"/>
      <c r="D7" s="1600"/>
      <c r="E7" s="1600"/>
      <c r="F7" s="1600"/>
      <c r="G7" s="1600"/>
      <c r="H7" s="1601"/>
    </row>
    <row r="8" spans="2:8">
      <c r="B8" s="223"/>
      <c r="C8" s="212"/>
      <c r="D8" s="212"/>
      <c r="E8" s="212"/>
      <c r="F8" s="212"/>
      <c r="G8" s="212"/>
      <c r="H8" s="224"/>
    </row>
    <row r="9" spans="2:8" ht="13.5" thickBot="1">
      <c r="B9" s="573"/>
      <c r="C9" s="1"/>
      <c r="D9" s="1"/>
      <c r="E9" s="39"/>
      <c r="F9" s="39"/>
      <c r="G9" s="39"/>
      <c r="H9" s="146"/>
    </row>
    <row r="10" spans="2:8" ht="13.5" thickBot="1">
      <c r="B10" s="1583" t="s">
        <v>207</v>
      </c>
      <c r="C10" s="1532"/>
      <c r="D10" s="1532"/>
      <c r="E10" s="1532"/>
      <c r="F10" s="1532"/>
      <c r="G10" s="1533"/>
      <c r="H10" s="146"/>
    </row>
    <row r="11" spans="2:8" ht="13.5" thickBot="1">
      <c r="B11" s="124" t="s">
        <v>48</v>
      </c>
      <c r="C11" s="812">
        <v>100000</v>
      </c>
      <c r="E11" s="243" t="s">
        <v>363</v>
      </c>
      <c r="F11" s="122"/>
      <c r="G11" s="123"/>
      <c r="H11" s="146"/>
    </row>
    <row r="12" spans="2:8">
      <c r="B12" s="124" t="s">
        <v>420</v>
      </c>
      <c r="C12" s="812">
        <v>12000</v>
      </c>
      <c r="E12" s="124" t="s">
        <v>364</v>
      </c>
      <c r="F12" s="812">
        <v>85000</v>
      </c>
      <c r="G12" s="126"/>
      <c r="H12" s="146"/>
    </row>
    <row r="13" spans="2:8">
      <c r="B13" s="124" t="s">
        <v>421</v>
      </c>
      <c r="C13" s="128">
        <v>0</v>
      </c>
      <c r="E13" s="124" t="s">
        <v>422</v>
      </c>
      <c r="F13" s="128">
        <v>31.5</v>
      </c>
      <c r="G13" s="126" t="s">
        <v>208</v>
      </c>
      <c r="H13" s="146"/>
    </row>
    <row r="14" spans="2:8">
      <c r="B14" s="124" t="s">
        <v>368</v>
      </c>
      <c r="C14" s="813">
        <v>0.8</v>
      </c>
      <c r="E14" s="124" t="s">
        <v>423</v>
      </c>
      <c r="F14" s="813">
        <v>0.28000000000000003</v>
      </c>
      <c r="G14" s="126"/>
      <c r="H14" s="146"/>
    </row>
    <row r="15" spans="2:8">
      <c r="B15" s="124" t="s">
        <v>424</v>
      </c>
      <c r="C15" s="813">
        <v>0.1</v>
      </c>
      <c r="E15" s="124"/>
      <c r="G15" s="126"/>
      <c r="H15" s="146"/>
    </row>
    <row r="16" spans="2:8">
      <c r="B16" s="124" t="s">
        <v>425</v>
      </c>
      <c r="C16" s="128">
        <v>0</v>
      </c>
      <c r="E16" s="124"/>
      <c r="G16" s="126"/>
      <c r="H16" s="146"/>
    </row>
    <row r="17" spans="2:8">
      <c r="B17" s="124" t="s">
        <v>426</v>
      </c>
      <c r="C17" s="128">
        <v>999</v>
      </c>
      <c r="D17" t="s">
        <v>208</v>
      </c>
      <c r="E17" s="124"/>
      <c r="G17" s="126"/>
      <c r="H17" s="146"/>
    </row>
    <row r="18" spans="2:8">
      <c r="B18" s="124" t="s">
        <v>427</v>
      </c>
      <c r="C18" s="128">
        <v>5</v>
      </c>
      <c r="D18" t="s">
        <v>208</v>
      </c>
      <c r="E18" s="124"/>
      <c r="G18" s="126"/>
      <c r="H18" s="146"/>
    </row>
    <row r="19" spans="2:8">
      <c r="B19" s="124" t="s">
        <v>372</v>
      </c>
      <c r="C19" s="128">
        <v>12</v>
      </c>
      <c r="E19" s="124"/>
      <c r="G19" s="126"/>
      <c r="H19" s="146"/>
    </row>
    <row r="20" spans="2:8">
      <c r="B20" s="124" t="s">
        <v>428</v>
      </c>
      <c r="C20" s="128">
        <v>0</v>
      </c>
      <c r="D20" t="s">
        <v>429</v>
      </c>
      <c r="E20" s="124"/>
      <c r="G20" s="126"/>
      <c r="H20" s="146"/>
    </row>
    <row r="21" spans="2:8">
      <c r="B21" s="124" t="s">
        <v>430</v>
      </c>
      <c r="C21" s="128">
        <v>0</v>
      </c>
      <c r="E21" s="124"/>
      <c r="G21" s="126"/>
      <c r="H21" s="146"/>
    </row>
    <row r="22" spans="2:8">
      <c r="B22" s="124" t="s">
        <v>428</v>
      </c>
      <c r="C22" s="128">
        <v>0</v>
      </c>
      <c r="D22" t="s">
        <v>431</v>
      </c>
      <c r="E22" s="124"/>
      <c r="G22" s="126"/>
      <c r="H22" s="146"/>
    </row>
    <row r="23" spans="2:8">
      <c r="B23" s="124" t="s">
        <v>432</v>
      </c>
      <c r="C23" s="128">
        <v>0</v>
      </c>
      <c r="E23" s="124"/>
      <c r="G23" s="126"/>
      <c r="H23" s="146"/>
    </row>
    <row r="24" spans="2:8">
      <c r="B24" s="124" t="s">
        <v>433</v>
      </c>
      <c r="C24" s="128">
        <v>0</v>
      </c>
      <c r="E24" s="124"/>
      <c r="G24" s="126"/>
      <c r="H24" s="146"/>
    </row>
    <row r="25" spans="2:8">
      <c r="B25" s="124" t="s">
        <v>434</v>
      </c>
      <c r="C25" s="128">
        <v>0</v>
      </c>
      <c r="E25" s="124"/>
      <c r="G25" s="126"/>
      <c r="H25" s="146"/>
    </row>
    <row r="26" spans="2:8">
      <c r="B26" s="124" t="s">
        <v>376</v>
      </c>
      <c r="C26" s="128">
        <v>5</v>
      </c>
      <c r="D26" t="s">
        <v>208</v>
      </c>
      <c r="E26" s="124"/>
      <c r="G26" s="126"/>
      <c r="H26" s="146"/>
    </row>
    <row r="27" spans="2:8" ht="13" thickBot="1">
      <c r="B27" s="134" t="s">
        <v>377</v>
      </c>
      <c r="C27" s="286">
        <v>0</v>
      </c>
      <c r="D27" s="4" t="s">
        <v>378</v>
      </c>
      <c r="E27" s="134"/>
      <c r="F27" s="4"/>
      <c r="G27" s="135"/>
      <c r="H27" s="146"/>
    </row>
    <row r="28" spans="2:8" ht="13.5" thickBot="1">
      <c r="B28" s="573"/>
      <c r="C28" s="56"/>
      <c r="D28" s="39"/>
      <c r="E28" s="39"/>
      <c r="F28" s="39"/>
      <c r="G28" s="39"/>
      <c r="H28" s="146"/>
    </row>
    <row r="29" spans="2:8">
      <c r="B29" s="552" t="s">
        <v>291</v>
      </c>
      <c r="C29" s="553">
        <f>IF(C23&gt;0,(1-C14)*F12,(1-C14)*C11)</f>
        <v>19999.999999999996</v>
      </c>
      <c r="D29" s="470"/>
      <c r="E29" s="535"/>
      <c r="F29" s="39"/>
      <c r="G29" s="39"/>
      <c r="H29" s="146"/>
    </row>
    <row r="30" spans="2:8">
      <c r="B30" s="369" t="s">
        <v>381</v>
      </c>
      <c r="C30" s="57">
        <f>IF(C23&gt;0,F12*C14,C14*C11)</f>
        <v>80000</v>
      </c>
      <c r="D30" s="34"/>
      <c r="E30" s="309"/>
      <c r="F30" s="39"/>
      <c r="G30" s="39"/>
      <c r="H30" s="146"/>
    </row>
    <row r="31" spans="2:8">
      <c r="B31" s="369" t="s">
        <v>382</v>
      </c>
      <c r="C31" s="57">
        <f>PMT(C15/C19,C17*C19,-C30)*C19</f>
        <v>8000</v>
      </c>
      <c r="D31" s="34"/>
      <c r="E31" s="309"/>
      <c r="F31" s="39"/>
      <c r="G31" s="39"/>
      <c r="H31" s="146"/>
    </row>
    <row r="32" spans="2:8">
      <c r="B32" s="369"/>
      <c r="C32" s="57"/>
      <c r="D32" s="34"/>
      <c r="E32" s="309"/>
      <c r="F32" s="39"/>
      <c r="G32" s="39"/>
      <c r="H32" s="146"/>
    </row>
    <row r="33" spans="2:8" ht="13" thickBot="1">
      <c r="B33" s="371" t="s">
        <v>383</v>
      </c>
      <c r="C33" s="372">
        <f>IF(C15&lt;C16,(FV(C16/C19,C26*C19,C31/C19,-C30)),PV(C15/C19,(C17-C26)*C19,-(C31/C19)))</f>
        <v>80000</v>
      </c>
      <c r="D33" s="554" t="s">
        <v>384</v>
      </c>
      <c r="E33" s="149">
        <f>C26</f>
        <v>5</v>
      </c>
      <c r="F33" s="39"/>
      <c r="G33" s="39"/>
      <c r="H33" s="146"/>
    </row>
    <row r="34" spans="2:8" ht="13" thickBot="1">
      <c r="B34" s="384"/>
      <c r="C34" s="39"/>
      <c r="D34" s="39"/>
      <c r="E34" s="39"/>
      <c r="F34" s="39"/>
      <c r="G34" s="39"/>
      <c r="H34" s="146"/>
    </row>
    <row r="35" spans="2:8" ht="13.5" thickBot="1">
      <c r="B35" s="1617" t="s">
        <v>385</v>
      </c>
      <c r="C35" s="1538"/>
      <c r="D35" s="1538"/>
      <c r="E35" s="1538"/>
      <c r="F35" s="1538"/>
      <c r="G35" s="1539"/>
      <c r="H35" s="146"/>
    </row>
    <row r="36" spans="2:8" ht="13">
      <c r="B36" s="555" t="s">
        <v>386</v>
      </c>
      <c r="C36" s="29">
        <v>1</v>
      </c>
      <c r="D36" s="29">
        <f>(1+C36)</f>
        <v>2</v>
      </c>
      <c r="E36" s="29">
        <f>(1+D36)</f>
        <v>3</v>
      </c>
      <c r="F36" s="29">
        <f>(1+E36)</f>
        <v>4</v>
      </c>
      <c r="G36" s="405">
        <f>(1+F36)</f>
        <v>5</v>
      </c>
      <c r="H36" s="146"/>
    </row>
    <row r="37" spans="2:8">
      <c r="B37" s="369" t="s">
        <v>209</v>
      </c>
      <c r="C37" s="57">
        <f>$C$31</f>
        <v>8000</v>
      </c>
      <c r="D37" s="57">
        <f>$C$31</f>
        <v>8000</v>
      </c>
      <c r="E37" s="57">
        <f>$C$31</f>
        <v>8000</v>
      </c>
      <c r="F37" s="57">
        <f>$C$31</f>
        <v>8000</v>
      </c>
      <c r="G37" s="370">
        <f>$C$31</f>
        <v>8000</v>
      </c>
      <c r="H37" s="309"/>
    </row>
    <row r="38" spans="2:8">
      <c r="B38" s="369" t="s">
        <v>383</v>
      </c>
      <c r="C38" s="57">
        <f>IF($C$15&lt;$C$16,FV($C$16/$C$19,C36*$C$19,$C$31/$C$19,-$C$30),IF($C$17&gt;C36-$C36+1,(($C31/$C$19)/PMT($C$15/($C$19),($C$17-(C36-$C36+1))*$C$19,-1)),0))</f>
        <v>80000</v>
      </c>
      <c r="D38" s="57">
        <f>IF($C$15&lt;$C$16,FV($C$16/$C$19,D36*$C$19,$C$31/$C$19,-$C$30),IF($C$17&gt;D36-$C36+1,(($C31/$C$19)/PMT($C$15/($C$19),($C$17-(D36-$C36+1))*$C$19,-1)),0))</f>
        <v>80000</v>
      </c>
      <c r="E38" s="57">
        <f>IF($C$15&lt;$C$16,FV($C$16/$C$19,E36*$C$19,$C$31/$C$19,-$C$30),IF($C$17&gt;E36-$C36+1,(($C31/$C$19)/PMT($C$15/($C$19),($C$17-(E36-$C36+1))*$C$19,-1)),0))</f>
        <v>80000</v>
      </c>
      <c r="F38" s="57">
        <f>IF($C$15&lt;$C$16,FV($C$16/$C$19,F36*$C$19,$C$31/$C$19,-$C$30),IF($C$17&gt;F36-$C36+1,(($C31/$C$19)/PMT($C$15/($C$19),($C$17-(F36-$C36+1))*$C$19,-1)),0))</f>
        <v>80000</v>
      </c>
      <c r="G38" s="370">
        <f>IF($C$15&lt;$C$16,FV($C$16/$C$19,G36*$C$19,$C$31/$C$19,-$C$30),IF($C$17&gt;G36-$C36+1,(($C31/$C$19)/PMT($C$15/($C$19),($C$17-(G36-$C36+1))*$C$19,-1)),0))</f>
        <v>80000</v>
      </c>
      <c r="H38" s="309"/>
    </row>
    <row r="39" spans="2:8">
      <c r="B39" s="369" t="s">
        <v>210</v>
      </c>
      <c r="C39" s="57">
        <f>($C$31-(C30-C38))</f>
        <v>8000</v>
      </c>
      <c r="D39" s="57">
        <f>($C$31-(C38-D38))</f>
        <v>8000</v>
      </c>
      <c r="E39" s="57">
        <f>($C$31-(D38-E38))</f>
        <v>8000</v>
      </c>
      <c r="F39" s="57">
        <f>($C$31-(E38-F38))</f>
        <v>8000</v>
      </c>
      <c r="G39" s="370">
        <f>($C$31-(F38-G38))</f>
        <v>8000</v>
      </c>
      <c r="H39" s="309"/>
    </row>
    <row r="40" spans="2:8" ht="13" thickBot="1">
      <c r="B40" s="371" t="s">
        <v>387</v>
      </c>
      <c r="C40" s="64">
        <f>C37-C39</f>
        <v>0</v>
      </c>
      <c r="D40" s="64">
        <f>D37-D39</f>
        <v>0</v>
      </c>
      <c r="E40" s="64">
        <f>E37-E39</f>
        <v>0</v>
      </c>
      <c r="F40" s="64">
        <f>F37-F39</f>
        <v>0</v>
      </c>
      <c r="G40" s="379">
        <f>G37-G39</f>
        <v>0</v>
      </c>
      <c r="H40" s="309"/>
    </row>
    <row r="41" spans="2:8" ht="13" thickBot="1">
      <c r="B41" s="171"/>
      <c r="C41" s="57"/>
      <c r="D41" s="57"/>
      <c r="E41" s="57"/>
      <c r="F41" s="57"/>
      <c r="G41" s="57"/>
      <c r="H41" s="309"/>
    </row>
    <row r="42" spans="2:8" ht="13.5" thickBot="1">
      <c r="B42" s="1617" t="s">
        <v>436</v>
      </c>
      <c r="C42" s="1538"/>
      <c r="D42" s="1538"/>
      <c r="E42" s="1538"/>
      <c r="F42" s="1538"/>
      <c r="G42" s="1539"/>
      <c r="H42" s="309"/>
    </row>
    <row r="43" spans="2:8" ht="13.5" thickBot="1">
      <c r="B43" s="157" t="s">
        <v>262</v>
      </c>
      <c r="C43" s="157">
        <v>1</v>
      </c>
      <c r="D43" s="157">
        <v>2</v>
      </c>
      <c r="E43" s="157">
        <v>3</v>
      </c>
      <c r="F43" s="157">
        <v>4</v>
      </c>
      <c r="G43" s="157">
        <v>5</v>
      </c>
      <c r="H43" s="309"/>
    </row>
    <row r="44" spans="2:8">
      <c r="B44" s="369" t="s">
        <v>335</v>
      </c>
      <c r="C44" s="57">
        <f>C12</f>
        <v>12000</v>
      </c>
      <c r="D44" s="57">
        <f>C44*(1+$C$13)</f>
        <v>12000</v>
      </c>
      <c r="E44" s="57">
        <f>D44*(1+$C$13)</f>
        <v>12000</v>
      </c>
      <c r="F44" s="57">
        <f>E44*(1+$C$13)</f>
        <v>12000</v>
      </c>
      <c r="G44" s="370">
        <f>F44*(1+$C$13)</f>
        <v>12000</v>
      </c>
      <c r="H44" s="309"/>
    </row>
    <row r="45" spans="2:8">
      <c r="B45" s="369" t="s">
        <v>437</v>
      </c>
      <c r="C45" s="57">
        <f>$C$37</f>
        <v>8000</v>
      </c>
      <c r="D45" s="57">
        <f>$C$37</f>
        <v>8000</v>
      </c>
      <c r="E45" s="57">
        <f>$C$37</f>
        <v>8000</v>
      </c>
      <c r="F45" s="57">
        <f>$C$37</f>
        <v>8000</v>
      </c>
      <c r="G45" s="370">
        <f>$C$37</f>
        <v>8000</v>
      </c>
      <c r="H45" s="309"/>
    </row>
    <row r="46" spans="2:8">
      <c r="B46" s="369" t="s">
        <v>438</v>
      </c>
      <c r="C46" s="57">
        <f>$C$23</f>
        <v>0</v>
      </c>
      <c r="D46" s="57">
        <f>$C$23</f>
        <v>0</v>
      </c>
      <c r="E46" s="57">
        <f>$C$23</f>
        <v>0</v>
      </c>
      <c r="F46" s="57">
        <f>$C$23</f>
        <v>0</v>
      </c>
      <c r="G46" s="370">
        <f>$C$23</f>
        <v>0</v>
      </c>
      <c r="H46" s="309"/>
    </row>
    <row r="47" spans="2:8">
      <c r="B47" s="369" t="s">
        <v>439</v>
      </c>
      <c r="C47" s="57">
        <f>C44-C45-C46</f>
        <v>4000</v>
      </c>
      <c r="D47" s="57">
        <f>D44-D45-D46</f>
        <v>4000</v>
      </c>
      <c r="E47" s="57">
        <f>E44-E45-E46</f>
        <v>4000</v>
      </c>
      <c r="F47" s="57">
        <f>F44-F45-F46</f>
        <v>4000</v>
      </c>
      <c r="G47" s="370">
        <f>G44-G45-G46</f>
        <v>4000</v>
      </c>
      <c r="H47" s="309"/>
    </row>
    <row r="48" spans="2:8">
      <c r="B48" s="369" t="s">
        <v>428</v>
      </c>
      <c r="C48" s="57">
        <f>IF(C44-$C$21&gt;0,$C$20*(C44-$C$21),0)</f>
        <v>0</v>
      </c>
      <c r="D48" s="57">
        <f>IF(D44-$C$21&gt;0,$C$20*(D44-$C$21),0)</f>
        <v>0</v>
      </c>
      <c r="E48" s="57">
        <f>IF(E44-$C$21&gt;0,$C$20*(E44-$C$21),0)</f>
        <v>0</v>
      </c>
      <c r="F48" s="57">
        <f>IF(F44-$C$21&gt;0,$C$20*(F44-$C$21),0)</f>
        <v>0</v>
      </c>
      <c r="G48" s="370">
        <f>IF(G44-$C$21&gt;0,$C$20*(G44-$C$21),0)</f>
        <v>0</v>
      </c>
      <c r="H48" s="146"/>
    </row>
    <row r="49" spans="2:8" ht="13.5" thickBot="1">
      <c r="B49" s="444" t="s">
        <v>408</v>
      </c>
      <c r="C49" s="59">
        <f>C47-C48</f>
        <v>4000</v>
      </c>
      <c r="D49" s="59">
        <f>D47-D48</f>
        <v>4000</v>
      </c>
      <c r="E49" s="59">
        <f>E47-E48</f>
        <v>4000</v>
      </c>
      <c r="F49" s="59">
        <f>F47-F48</f>
        <v>4000</v>
      </c>
      <c r="G49" s="556">
        <f>G47-G48</f>
        <v>4000</v>
      </c>
      <c r="H49" s="146"/>
    </row>
    <row r="50" spans="2:8" ht="13" thickTop="1">
      <c r="B50" s="384"/>
      <c r="C50" s="57"/>
      <c r="D50" s="57"/>
      <c r="E50" s="57"/>
      <c r="F50" s="57"/>
      <c r="G50" s="370"/>
      <c r="H50" s="146"/>
    </row>
    <row r="51" spans="2:8">
      <c r="B51" s="369" t="s">
        <v>335</v>
      </c>
      <c r="C51" s="57">
        <f>C44</f>
        <v>12000</v>
      </c>
      <c r="D51" s="57">
        <f>D44</f>
        <v>12000</v>
      </c>
      <c r="E51" s="57">
        <f>E44</f>
        <v>12000</v>
      </c>
      <c r="F51" s="57">
        <f>F44</f>
        <v>12000</v>
      </c>
      <c r="G51" s="370">
        <f>G44</f>
        <v>12000</v>
      </c>
      <c r="H51" s="309"/>
    </row>
    <row r="52" spans="2:8">
      <c r="B52" s="369" t="s">
        <v>390</v>
      </c>
      <c r="C52" s="57">
        <f>C39</f>
        <v>8000</v>
      </c>
      <c r="D52" s="57">
        <f>D39</f>
        <v>8000</v>
      </c>
      <c r="E52" s="57">
        <f>E39</f>
        <v>8000</v>
      </c>
      <c r="F52" s="57">
        <f>F39</f>
        <v>8000</v>
      </c>
      <c r="G52" s="370">
        <f>G39</f>
        <v>8000</v>
      </c>
      <c r="H52" s="309"/>
    </row>
    <row r="53" spans="2:8">
      <c r="B53" s="369" t="s">
        <v>391</v>
      </c>
      <c r="C53" s="57">
        <f>$F$12/$F$13</f>
        <v>2698.4126984126983</v>
      </c>
      <c r="D53" s="57">
        <f>$F$12/$F$13</f>
        <v>2698.4126984126983</v>
      </c>
      <c r="E53" s="57">
        <f>$F$12/$F$13</f>
        <v>2698.4126984126983</v>
      </c>
      <c r="F53" s="57">
        <f>$F$12/$F$13</f>
        <v>2698.4126984126983</v>
      </c>
      <c r="G53" s="370">
        <f>$F$12/$F$13</f>
        <v>2698.4126984126983</v>
      </c>
      <c r="H53" s="309"/>
    </row>
    <row r="54" spans="2:8">
      <c r="B54" s="369" t="s">
        <v>440</v>
      </c>
      <c r="C54" s="57">
        <f>C48</f>
        <v>0</v>
      </c>
      <c r="D54" s="57">
        <f>D48</f>
        <v>0</v>
      </c>
      <c r="E54" s="57">
        <f>E48</f>
        <v>0</v>
      </c>
      <c r="F54" s="57">
        <f>F48</f>
        <v>0</v>
      </c>
      <c r="G54" s="370">
        <f>G48</f>
        <v>0</v>
      </c>
      <c r="H54" s="146"/>
    </row>
    <row r="55" spans="2:8">
      <c r="B55" s="369" t="s">
        <v>438</v>
      </c>
      <c r="C55" s="57">
        <f>$C$23</f>
        <v>0</v>
      </c>
      <c r="D55" s="57">
        <f>$C$23</f>
        <v>0</v>
      </c>
      <c r="E55" s="57">
        <f>$C$23</f>
        <v>0</v>
      </c>
      <c r="F55" s="57">
        <f>$C$23</f>
        <v>0</v>
      </c>
      <c r="G55" s="370">
        <f>$C$23</f>
        <v>0</v>
      </c>
      <c r="H55" s="146"/>
    </row>
    <row r="56" spans="2:8">
      <c r="B56" s="369" t="s">
        <v>441</v>
      </c>
      <c r="C56" s="57">
        <f>C51-C52-C53-C54-C55</f>
        <v>1301.5873015873017</v>
      </c>
      <c r="D56" s="57">
        <f>D51-D52-D53-D54-D55</f>
        <v>1301.5873015873017</v>
      </c>
      <c r="E56" s="57">
        <f>E51-E52-E53-E54-E55</f>
        <v>1301.5873015873017</v>
      </c>
      <c r="F56" s="57">
        <f>F51-F52-F53-F54-F55</f>
        <v>1301.5873015873017</v>
      </c>
      <c r="G56" s="370">
        <f>G51-G52-G53-G54-G55</f>
        <v>1301.5873015873017</v>
      </c>
      <c r="H56" s="309"/>
    </row>
    <row r="57" spans="2:8">
      <c r="B57" s="369" t="s">
        <v>442</v>
      </c>
      <c r="C57" s="57">
        <f>C56*$F$14</f>
        <v>364.44444444444451</v>
      </c>
      <c r="D57" s="57">
        <f>D56*$F$14</f>
        <v>364.44444444444451</v>
      </c>
      <c r="E57" s="57">
        <f>E56*$F$14</f>
        <v>364.44444444444451</v>
      </c>
      <c r="F57" s="57">
        <f>F56*$F$14</f>
        <v>364.44444444444451</v>
      </c>
      <c r="G57" s="370">
        <f>G56*$F$14</f>
        <v>364.44444444444451</v>
      </c>
      <c r="H57" s="309"/>
    </row>
    <row r="58" spans="2:8" ht="13.5" thickBot="1">
      <c r="B58" s="557" t="s">
        <v>409</v>
      </c>
      <c r="C58" s="558">
        <f>C49-C57</f>
        <v>3635.5555555555557</v>
      </c>
      <c r="D58" s="558">
        <f>D49-D57</f>
        <v>3635.5555555555557</v>
      </c>
      <c r="E58" s="558">
        <f>E49-E57</f>
        <v>3635.5555555555557</v>
      </c>
      <c r="F58" s="558">
        <f>F49-F57</f>
        <v>3635.5555555555557</v>
      </c>
      <c r="G58" s="559">
        <f>G49-G57</f>
        <v>3635.5555555555557</v>
      </c>
      <c r="H58" s="309"/>
    </row>
    <row r="59" spans="2:8" ht="13">
      <c r="B59" s="444"/>
      <c r="C59" s="60"/>
      <c r="D59" s="60"/>
      <c r="E59" s="60"/>
      <c r="F59" s="60"/>
      <c r="G59" s="60"/>
      <c r="H59" s="309"/>
    </row>
    <row r="60" spans="2:8" ht="13" thickBot="1">
      <c r="B60" s="574"/>
      <c r="C60" s="61"/>
      <c r="D60" s="61"/>
      <c r="E60" s="61"/>
      <c r="H60" s="146"/>
    </row>
    <row r="61" spans="2:8" ht="13.5" thickBot="1">
      <c r="B61" s="1617" t="s">
        <v>443</v>
      </c>
      <c r="C61" s="1542"/>
      <c r="D61" s="1542"/>
      <c r="E61" s="1543"/>
      <c r="H61" s="146"/>
    </row>
    <row r="62" spans="2:8">
      <c r="B62" s="369" t="s">
        <v>446</v>
      </c>
      <c r="C62" s="57"/>
      <c r="D62" s="57"/>
      <c r="E62" s="370">
        <f>IF(C23&gt;0,(1-C25)*(F12*(1+C24)^C26),(1-C25)*(C11*(1+C24)^C26))</f>
        <v>100000</v>
      </c>
      <c r="H62" s="146"/>
    </row>
    <row r="63" spans="2:8">
      <c r="B63" s="369" t="s">
        <v>396</v>
      </c>
      <c r="C63" s="57"/>
      <c r="D63" s="57"/>
      <c r="E63" s="370">
        <f>C27*E62</f>
        <v>0</v>
      </c>
      <c r="F63" s="57"/>
      <c r="G63" s="57"/>
      <c r="H63" s="146"/>
    </row>
    <row r="64" spans="2:8">
      <c r="B64" s="369" t="s">
        <v>383</v>
      </c>
      <c r="C64" s="57"/>
      <c r="D64" s="57"/>
      <c r="E64" s="560">
        <f>IF(C25&gt;0,0,G38)</f>
        <v>80000</v>
      </c>
      <c r="F64" s="57"/>
      <c r="G64" s="57"/>
      <c r="H64" s="146"/>
    </row>
    <row r="65" spans="2:8">
      <c r="B65" s="369" t="s">
        <v>439</v>
      </c>
      <c r="C65" s="57"/>
      <c r="D65" s="57"/>
      <c r="E65" s="370">
        <f>E62-E63-E64</f>
        <v>20000</v>
      </c>
      <c r="F65" s="57"/>
      <c r="G65" s="57"/>
      <c r="H65" s="146"/>
    </row>
    <row r="66" spans="2:8">
      <c r="B66" s="369" t="s">
        <v>445</v>
      </c>
      <c r="C66" s="57"/>
      <c r="D66" s="57"/>
      <c r="E66" s="560">
        <f>IF((E62-E63-C11)&gt;0,(E62-E63-C11)*C22,0)</f>
        <v>0</v>
      </c>
      <c r="F66" s="57"/>
      <c r="G66" s="57"/>
      <c r="H66" s="146"/>
    </row>
    <row r="67" spans="2:8">
      <c r="B67" s="369" t="s">
        <v>397</v>
      </c>
      <c r="C67" s="57"/>
      <c r="D67" s="57"/>
      <c r="E67" s="370">
        <f>E65-E66</f>
        <v>20000</v>
      </c>
      <c r="F67" s="57"/>
      <c r="G67" s="57"/>
      <c r="H67" s="146"/>
    </row>
    <row r="68" spans="2:8">
      <c r="B68" s="384"/>
      <c r="C68" s="57"/>
      <c r="D68" s="57"/>
      <c r="E68" s="370"/>
      <c r="F68" s="57"/>
      <c r="G68" s="57"/>
      <c r="H68" s="146"/>
    </row>
    <row r="69" spans="2:8">
      <c r="B69" s="369" t="s">
        <v>446</v>
      </c>
      <c r="C69" s="57"/>
      <c r="D69" s="57">
        <f>IF(C23&gt;0,F12*(1+C24)^C26,C11*(1+C24)^C26)</f>
        <v>100000</v>
      </c>
      <c r="E69" s="370"/>
      <c r="F69" s="57"/>
      <c r="G69" s="57"/>
      <c r="H69" s="146"/>
    </row>
    <row r="70" spans="2:8">
      <c r="B70" s="369" t="s">
        <v>447</v>
      </c>
      <c r="C70" s="57"/>
      <c r="D70" s="57">
        <f>E63</f>
        <v>0</v>
      </c>
      <c r="E70" s="370"/>
      <c r="F70" s="57"/>
      <c r="G70" s="57"/>
      <c r="H70" s="146"/>
    </row>
    <row r="71" spans="2:8">
      <c r="B71" s="369" t="s">
        <v>448</v>
      </c>
      <c r="C71" s="57"/>
      <c r="D71" s="57">
        <f>E66</f>
        <v>0</v>
      </c>
      <c r="E71" s="370"/>
      <c r="F71" s="57"/>
      <c r="G71" s="57"/>
      <c r="H71" s="146"/>
    </row>
    <row r="72" spans="2:8">
      <c r="B72" s="384"/>
      <c r="C72" s="57"/>
      <c r="D72" s="57"/>
      <c r="E72" s="370"/>
      <c r="F72" s="57"/>
      <c r="G72" s="57"/>
      <c r="H72" s="146"/>
    </row>
    <row r="73" spans="2:8">
      <c r="B73" s="369" t="s">
        <v>398</v>
      </c>
      <c r="C73" s="57">
        <f>IF(C23&gt;0,F12,C11)</f>
        <v>100000</v>
      </c>
      <c r="D73" s="57"/>
      <c r="E73" s="370"/>
      <c r="F73" s="57"/>
      <c r="G73" s="57"/>
      <c r="H73" s="146"/>
    </row>
    <row r="74" spans="2:8">
      <c r="B74" s="369" t="s">
        <v>399</v>
      </c>
      <c r="C74" s="61">
        <f>C26*C53</f>
        <v>13492.063492063491</v>
      </c>
      <c r="D74" s="57"/>
      <c r="E74" s="370"/>
      <c r="F74" s="57"/>
      <c r="G74" s="57"/>
      <c r="H74" s="146"/>
    </row>
    <row r="75" spans="2:8">
      <c r="B75" s="369" t="s">
        <v>400</v>
      </c>
      <c r="C75" s="57"/>
      <c r="D75" s="61">
        <f>C73-C74</f>
        <v>86507.936507936509</v>
      </c>
      <c r="E75" s="370"/>
      <c r="F75" s="57"/>
      <c r="G75" s="57"/>
      <c r="H75" s="146"/>
    </row>
    <row r="76" spans="2:8">
      <c r="B76" s="384"/>
      <c r="C76" s="57"/>
      <c r="D76" s="57"/>
      <c r="E76" s="370"/>
      <c r="F76" s="57"/>
      <c r="G76" s="57"/>
      <c r="H76" s="146"/>
    </row>
    <row r="77" spans="2:8">
      <c r="B77" s="369" t="s">
        <v>401</v>
      </c>
      <c r="C77" s="57"/>
      <c r="D77" s="57">
        <f>D69-D70-D71-D75</f>
        <v>13492.063492063491</v>
      </c>
      <c r="E77" s="370"/>
      <c r="F77" s="57"/>
      <c r="G77" s="57"/>
      <c r="H77" s="146"/>
    </row>
    <row r="78" spans="2:8">
      <c r="B78" s="369" t="s">
        <v>449</v>
      </c>
      <c r="C78" s="57"/>
      <c r="D78" s="57"/>
      <c r="E78" s="560">
        <f>F14*D77</f>
        <v>3777.7777777777778</v>
      </c>
      <c r="F78" s="57"/>
      <c r="G78" s="57"/>
      <c r="H78" s="146"/>
    </row>
    <row r="79" spans="2:8">
      <c r="B79" s="384"/>
      <c r="C79" s="57"/>
      <c r="D79" s="57"/>
      <c r="E79" s="370"/>
      <c r="H79" s="126"/>
    </row>
    <row r="80" spans="2:8" ht="13.5" thickBot="1">
      <c r="B80" s="557" t="s">
        <v>405</v>
      </c>
      <c r="C80" s="561"/>
      <c r="D80" s="561"/>
      <c r="E80" s="562">
        <f>E67-E78</f>
        <v>16222.222222222223</v>
      </c>
      <c r="H80" s="126"/>
    </row>
    <row r="81" spans="2:8" ht="13" thickBot="1">
      <c r="B81" s="384"/>
      <c r="C81" s="34"/>
      <c r="D81" s="34"/>
      <c r="E81" s="39"/>
      <c r="H81" s="126"/>
    </row>
    <row r="82" spans="2:8" ht="13.5" thickBot="1">
      <c r="B82" s="1617" t="s">
        <v>450</v>
      </c>
      <c r="C82" s="1538"/>
      <c r="D82" s="1538"/>
      <c r="E82" s="1538"/>
      <c r="F82" s="1538"/>
      <c r="G82" s="1538"/>
      <c r="H82" s="1539"/>
    </row>
    <row r="83" spans="2:8" ht="13.5" thickBot="1">
      <c r="B83" s="157" t="s">
        <v>262</v>
      </c>
      <c r="C83" s="157">
        <v>0</v>
      </c>
      <c r="D83" s="157">
        <v>1</v>
      </c>
      <c r="E83" s="157">
        <v>2</v>
      </c>
      <c r="F83" s="157">
        <v>3</v>
      </c>
      <c r="G83" s="157">
        <v>4</v>
      </c>
      <c r="H83" s="157">
        <v>5</v>
      </c>
    </row>
    <row r="84" spans="2:8" ht="13" thickBot="1">
      <c r="B84" s="369" t="s">
        <v>451</v>
      </c>
      <c r="C84" s="34">
        <f>-C29</f>
        <v>-19999.999999999996</v>
      </c>
      <c r="D84" s="57">
        <f>C49</f>
        <v>4000</v>
      </c>
      <c r="E84" s="57">
        <f>D49</f>
        <v>4000</v>
      </c>
      <c r="F84" s="57">
        <f>E49</f>
        <v>4000</v>
      </c>
      <c r="G84" s="57">
        <f>F49</f>
        <v>4000</v>
      </c>
      <c r="H84" s="370">
        <f>G49+E67</f>
        <v>24000</v>
      </c>
    </row>
    <row r="85" spans="2:8" ht="13.5" thickBot="1">
      <c r="B85" s="563" t="s">
        <v>407</v>
      </c>
      <c r="C85" s="155">
        <f>IRR(C84:H84,0.1)</f>
        <v>0.20000000000000018</v>
      </c>
      <c r="D85" s="34"/>
      <c r="E85" s="34"/>
      <c r="F85" s="34"/>
      <c r="G85" s="39"/>
      <c r="H85" s="146"/>
    </row>
    <row r="86" spans="2:8" ht="13" thickBot="1">
      <c r="B86" s="384"/>
      <c r="C86" s="39"/>
      <c r="D86" s="39"/>
      <c r="E86" s="39"/>
      <c r="F86" s="39"/>
      <c r="G86" s="39"/>
      <c r="H86" s="146"/>
    </row>
    <row r="87" spans="2:8" ht="13.5" thickBot="1">
      <c r="B87" s="157" t="s">
        <v>262</v>
      </c>
      <c r="C87" s="157">
        <v>0</v>
      </c>
      <c r="D87" s="157">
        <v>1</v>
      </c>
      <c r="E87" s="157">
        <v>2</v>
      </c>
      <c r="F87" s="157">
        <v>3</v>
      </c>
      <c r="G87" s="157">
        <v>4</v>
      </c>
      <c r="H87" s="157">
        <v>5</v>
      </c>
    </row>
    <row r="88" spans="2:8" ht="13" thickBot="1">
      <c r="B88" s="369" t="s">
        <v>452</v>
      </c>
      <c r="C88" s="34">
        <f>-C29</f>
        <v>-19999.999999999996</v>
      </c>
      <c r="D88" s="57">
        <f>C58</f>
        <v>3635.5555555555557</v>
      </c>
      <c r="E88" s="57">
        <f>D58</f>
        <v>3635.5555555555557</v>
      </c>
      <c r="F88" s="57">
        <f>E58</f>
        <v>3635.5555555555557</v>
      </c>
      <c r="G88" s="57">
        <f>F58</f>
        <v>3635.5555555555557</v>
      </c>
      <c r="H88" s="370">
        <f>G58+E80</f>
        <v>19857.777777777777</v>
      </c>
    </row>
    <row r="89" spans="2:8" ht="13.5" thickBot="1">
      <c r="B89" s="563" t="s">
        <v>453</v>
      </c>
      <c r="C89" s="155">
        <f>IRR(C88:H88,0.1)</f>
        <v>0.15398262852210176</v>
      </c>
      <c r="D89" s="34"/>
      <c r="E89" s="34"/>
      <c r="F89" s="34"/>
      <c r="G89" s="34"/>
      <c r="H89" s="309"/>
    </row>
    <row r="90" spans="2:8" ht="13.5" thickBot="1">
      <c r="B90" s="444" t="s">
        <v>414</v>
      </c>
      <c r="C90" s="155">
        <f>(C85-C89)/C85</f>
        <v>0.23008685738949189</v>
      </c>
      <c r="D90" s="39"/>
      <c r="E90" s="39"/>
      <c r="F90" s="39"/>
      <c r="G90" s="39"/>
      <c r="H90" s="146"/>
    </row>
    <row r="91" spans="2:8" ht="13.5" thickBot="1">
      <c r="B91" s="557"/>
      <c r="C91" s="392"/>
      <c r="D91" s="63"/>
      <c r="E91" s="63"/>
      <c r="F91" s="63"/>
      <c r="G91" s="63"/>
      <c r="H91" s="149"/>
    </row>
    <row r="92" spans="2:8" ht="13.5" thickBot="1">
      <c r="B92" s="573"/>
      <c r="C92" s="1"/>
      <c r="D92" s="39"/>
      <c r="E92" s="39"/>
      <c r="F92" s="39"/>
      <c r="G92" s="39"/>
      <c r="H92" s="146"/>
    </row>
    <row r="93" spans="2:8" ht="13.5" thickBot="1">
      <c r="B93" s="1617" t="s">
        <v>1254</v>
      </c>
      <c r="C93" s="1538"/>
      <c r="D93" s="1538"/>
      <c r="E93" s="1538"/>
      <c r="F93" s="1538"/>
      <c r="G93" s="1538"/>
      <c r="H93" s="1539"/>
    </row>
    <row r="94" spans="2:8" ht="13.5" thickBot="1">
      <c r="B94" s="157" t="s">
        <v>262</v>
      </c>
      <c r="C94" s="157">
        <v>0</v>
      </c>
      <c r="D94" s="157">
        <v>1</v>
      </c>
      <c r="E94" s="157">
        <v>2</v>
      </c>
      <c r="F94" s="157">
        <v>3</v>
      </c>
      <c r="G94" s="157">
        <v>4</v>
      </c>
      <c r="H94" s="157">
        <v>5</v>
      </c>
    </row>
    <row r="95" spans="2:8" ht="13" thickBot="1">
      <c r="B95" s="369" t="s">
        <v>335</v>
      </c>
      <c r="C95" s="34">
        <f>-C11</f>
        <v>-100000</v>
      </c>
      <c r="D95" s="57">
        <f>C44</f>
        <v>12000</v>
      </c>
      <c r="E95" s="57">
        <f>D44</f>
        <v>12000</v>
      </c>
      <c r="F95" s="57">
        <f>E44</f>
        <v>12000</v>
      </c>
      <c r="G95" s="57">
        <f>F44</f>
        <v>12000</v>
      </c>
      <c r="H95" s="370">
        <f>G44+E62-E63</f>
        <v>112000</v>
      </c>
    </row>
    <row r="96" spans="2:8" ht="13.5" thickBot="1">
      <c r="B96" s="563" t="s">
        <v>455</v>
      </c>
      <c r="C96" s="155">
        <f>IRR(C95:H95,0.1)</f>
        <v>0.11999999999999988</v>
      </c>
      <c r="D96" s="39"/>
      <c r="E96" s="39"/>
      <c r="F96" s="39"/>
      <c r="G96" s="39"/>
      <c r="H96" s="146"/>
    </row>
    <row r="97" spans="2:10" ht="13" thickBot="1">
      <c r="B97" s="384"/>
      <c r="C97" s="39"/>
      <c r="D97" s="39"/>
      <c r="E97" s="39"/>
      <c r="F97" s="39"/>
      <c r="G97" s="39"/>
      <c r="H97" s="146"/>
      <c r="J97" t="s">
        <v>1255</v>
      </c>
    </row>
    <row r="98" spans="2:10" ht="13.5" thickBot="1">
      <c r="B98" s="157" t="s">
        <v>262</v>
      </c>
      <c r="C98" s="157">
        <v>0</v>
      </c>
      <c r="D98" s="157">
        <v>1</v>
      </c>
      <c r="E98" s="157">
        <v>2</v>
      </c>
      <c r="F98" s="157">
        <v>3</v>
      </c>
      <c r="G98" s="157">
        <v>4</v>
      </c>
      <c r="H98" s="157">
        <v>5</v>
      </c>
    </row>
    <row r="99" spans="2:10" ht="13" thickBot="1">
      <c r="B99" s="369" t="s">
        <v>456</v>
      </c>
      <c r="C99" s="34">
        <f>-C11</f>
        <v>-100000</v>
      </c>
      <c r="D99" s="57">
        <f>C44-((C44-C53)*$F$14)</f>
        <v>9395.5555555555547</v>
      </c>
      <c r="E99" s="57">
        <f>D44-((D44-D53)*$F$14)</f>
        <v>9395.5555555555547</v>
      </c>
      <c r="F99" s="57">
        <f>E44-((E44-E53)*$F$14)</f>
        <v>9395.5555555555547</v>
      </c>
      <c r="G99" s="57">
        <f>F44-((F44-F53)*$F$14)</f>
        <v>9395.5555555555547</v>
      </c>
      <c r="H99" s="370">
        <f>G44-((G44-G53)*$F$14)+(E62-E63-E78)</f>
        <v>105617.77777777778</v>
      </c>
    </row>
    <row r="100" spans="2:10" ht="13.5" thickBot="1">
      <c r="B100" s="563" t="s">
        <v>457</v>
      </c>
      <c r="C100" s="155">
        <f>IRR(C99:H99,0.1)</f>
        <v>8.7613078450820447E-2</v>
      </c>
      <c r="D100" s="39"/>
      <c r="E100" s="39"/>
      <c r="F100" s="39"/>
      <c r="G100" s="39"/>
      <c r="H100" s="146"/>
    </row>
    <row r="101" spans="2:10" ht="13.5" thickBot="1">
      <c r="B101" s="565"/>
      <c r="C101" s="566"/>
      <c r="D101" s="63"/>
      <c r="E101" s="63"/>
      <c r="F101" s="63"/>
      <c r="G101" s="63"/>
      <c r="H101" s="149"/>
    </row>
    <row r="102" spans="2:10" ht="13" thickBot="1">
      <c r="B102" s="171"/>
      <c r="C102" s="39"/>
      <c r="D102" s="34"/>
      <c r="E102" s="34"/>
      <c r="F102" s="34"/>
      <c r="G102" s="34"/>
      <c r="H102" s="309"/>
    </row>
    <row r="103" spans="2:10" ht="13.5" thickBot="1">
      <c r="B103" s="1617" t="s">
        <v>53</v>
      </c>
      <c r="C103" s="1538"/>
      <c r="D103" s="1538"/>
      <c r="E103" s="1538"/>
      <c r="F103" s="1538"/>
      <c r="G103" s="1538"/>
      <c r="H103" s="1539"/>
    </row>
    <row r="104" spans="2:10" ht="13.5" thickBot="1">
      <c r="B104" s="157" t="s">
        <v>262</v>
      </c>
      <c r="C104" s="157">
        <v>0</v>
      </c>
      <c r="D104" s="157">
        <v>1</v>
      </c>
      <c r="E104" s="157">
        <v>2</v>
      </c>
      <c r="F104" s="157">
        <v>3</v>
      </c>
      <c r="G104" s="157">
        <v>4</v>
      </c>
      <c r="H104" s="157">
        <v>5</v>
      </c>
    </row>
    <row r="105" spans="2:10">
      <c r="B105" s="171" t="s">
        <v>458</v>
      </c>
      <c r="D105" s="231">
        <f>+C45</f>
        <v>8000</v>
      </c>
      <c r="E105" s="231">
        <f>+D45</f>
        <v>8000</v>
      </c>
      <c r="F105" s="231">
        <f>+E45</f>
        <v>8000</v>
      </c>
      <c r="G105" s="231">
        <f>+F45</f>
        <v>8000</v>
      </c>
      <c r="H105" s="256">
        <f>+G45</f>
        <v>8000</v>
      </c>
    </row>
    <row r="106" spans="2:10">
      <c r="B106" s="171" t="s">
        <v>459</v>
      </c>
      <c r="C106" s="39"/>
      <c r="D106" s="78"/>
      <c r="E106" s="78"/>
      <c r="F106" s="78"/>
      <c r="G106" s="78"/>
      <c r="H106" s="257">
        <f>+E64</f>
        <v>80000</v>
      </c>
    </row>
    <row r="107" spans="2:10">
      <c r="B107" s="171" t="s">
        <v>448</v>
      </c>
      <c r="C107" s="39"/>
      <c r="D107" s="78">
        <f>+C54</f>
        <v>0</v>
      </c>
      <c r="E107" s="78">
        <f>+D54</f>
        <v>0</v>
      </c>
      <c r="F107" s="78">
        <f>+E54</f>
        <v>0</v>
      </c>
      <c r="G107" s="78">
        <f>+F54</f>
        <v>0</v>
      </c>
      <c r="H107" s="257">
        <f>+G54+E66</f>
        <v>0</v>
      </c>
    </row>
    <row r="108" spans="2:10">
      <c r="B108" s="171" t="s">
        <v>460</v>
      </c>
      <c r="C108" s="39">
        <f>-C30</f>
        <v>-80000</v>
      </c>
      <c r="D108" s="78"/>
      <c r="E108" s="78"/>
      <c r="F108" s="78"/>
      <c r="G108" s="78"/>
      <c r="H108" s="257"/>
    </row>
    <row r="109" spans="2:10" ht="13" thickBot="1">
      <c r="B109" s="171" t="s">
        <v>461</v>
      </c>
      <c r="C109" s="39">
        <f t="shared" ref="C109:H109" si="0">+C105+C106+C107+C108</f>
        <v>-80000</v>
      </c>
      <c r="D109" s="78">
        <f t="shared" si="0"/>
        <v>8000</v>
      </c>
      <c r="E109" s="78">
        <f t="shared" si="0"/>
        <v>8000</v>
      </c>
      <c r="F109" s="78">
        <f t="shared" si="0"/>
        <v>8000</v>
      </c>
      <c r="G109" s="78">
        <f t="shared" si="0"/>
        <v>8000</v>
      </c>
      <c r="H109" s="257">
        <f t="shared" si="0"/>
        <v>88000</v>
      </c>
    </row>
    <row r="110" spans="2:10" ht="13.5" thickBot="1">
      <c r="B110" s="567" t="s">
        <v>462</v>
      </c>
      <c r="C110" s="155">
        <f>C178</f>
        <v>9.999999999999698E-2</v>
      </c>
      <c r="D110" s="260"/>
      <c r="E110" s="260"/>
      <c r="F110" s="260"/>
      <c r="G110" s="260"/>
      <c r="H110" s="261"/>
    </row>
    <row r="111" spans="2:10">
      <c r="B111" s="171"/>
      <c r="C111" s="39"/>
      <c r="D111" s="39"/>
      <c r="E111" s="39"/>
      <c r="F111" s="39"/>
      <c r="G111" s="39"/>
      <c r="H111" s="146"/>
    </row>
    <row r="112" spans="2:10" ht="13" thickBot="1">
      <c r="B112" s="171"/>
      <c r="C112" s="39"/>
      <c r="D112" s="39"/>
      <c r="E112" s="39"/>
      <c r="F112" s="39"/>
      <c r="G112" s="39"/>
      <c r="H112" s="146"/>
    </row>
    <row r="113" spans="2:8" ht="13.5" thickBot="1">
      <c r="B113" s="1531" t="s">
        <v>54</v>
      </c>
      <c r="C113" s="1533"/>
      <c r="D113" s="22"/>
      <c r="E113" s="22"/>
      <c r="F113" s="22"/>
      <c r="G113" s="22"/>
      <c r="H113" s="575"/>
    </row>
    <row r="114" spans="2:8" ht="13" thickBot="1">
      <c r="B114" s="124"/>
      <c r="C114" s="126"/>
      <c r="H114" s="126"/>
    </row>
    <row r="115" spans="2:8" ht="13.5" thickBot="1">
      <c r="B115" s="157" t="s">
        <v>216</v>
      </c>
      <c r="C115" s="157" t="s">
        <v>824</v>
      </c>
      <c r="D115" s="6"/>
      <c r="E115" s="6"/>
      <c r="F115" s="6"/>
      <c r="G115" s="6"/>
      <c r="H115" s="575"/>
    </row>
    <row r="116" spans="2:8">
      <c r="B116" s="124">
        <v>0</v>
      </c>
      <c r="C116" s="568">
        <f>C108</f>
        <v>-80000</v>
      </c>
      <c r="H116" s="126"/>
    </row>
    <row r="117" spans="2:8">
      <c r="B117" s="124">
        <v>1</v>
      </c>
      <c r="C117" s="271">
        <f t="shared" ref="C117:C128" si="1">($D$109+$D$107)/12</f>
        <v>666.66666666666663</v>
      </c>
      <c r="E117" s="160"/>
      <c r="F117" s="160"/>
      <c r="G117" s="160"/>
      <c r="H117" s="568"/>
    </row>
    <row r="118" spans="2:8">
      <c r="B118" s="124">
        <v>2</v>
      </c>
      <c r="C118" s="271">
        <f t="shared" si="1"/>
        <v>666.66666666666663</v>
      </c>
      <c r="D118" s="79"/>
      <c r="E118" s="160"/>
      <c r="F118" s="160"/>
      <c r="G118" s="160"/>
      <c r="H118" s="568"/>
    </row>
    <row r="119" spans="2:8">
      <c r="B119" s="124">
        <v>3</v>
      </c>
      <c r="C119" s="271">
        <f t="shared" si="1"/>
        <v>666.66666666666663</v>
      </c>
      <c r="D119" s="79"/>
      <c r="E119" s="160"/>
      <c r="F119" s="160"/>
      <c r="G119" s="160"/>
      <c r="H119" s="568"/>
    </row>
    <row r="120" spans="2:8">
      <c r="B120" s="124">
        <v>4</v>
      </c>
      <c r="C120" s="271">
        <f t="shared" si="1"/>
        <v>666.66666666666663</v>
      </c>
      <c r="D120" s="79"/>
      <c r="E120" s="160"/>
      <c r="F120" s="160"/>
      <c r="G120" s="160"/>
      <c r="H120" s="568"/>
    </row>
    <row r="121" spans="2:8">
      <c r="B121" s="124">
        <v>5</v>
      </c>
      <c r="C121" s="271">
        <f t="shared" si="1"/>
        <v>666.66666666666663</v>
      </c>
      <c r="D121" s="79"/>
      <c r="E121" s="160"/>
      <c r="F121" s="160"/>
      <c r="G121" s="160"/>
      <c r="H121" s="568"/>
    </row>
    <row r="122" spans="2:8">
      <c r="B122" s="124">
        <v>6</v>
      </c>
      <c r="C122" s="271">
        <f t="shared" si="1"/>
        <v>666.66666666666663</v>
      </c>
      <c r="D122" s="79"/>
      <c r="E122" s="160"/>
      <c r="F122" s="160"/>
      <c r="G122" s="160"/>
      <c r="H122" s="568"/>
    </row>
    <row r="123" spans="2:8">
      <c r="B123" s="124">
        <v>7</v>
      </c>
      <c r="C123" s="271">
        <f t="shared" si="1"/>
        <v>666.66666666666663</v>
      </c>
      <c r="D123" s="79"/>
      <c r="E123" s="160"/>
      <c r="F123" s="160"/>
      <c r="G123" s="160"/>
      <c r="H123" s="568"/>
    </row>
    <row r="124" spans="2:8">
      <c r="B124" s="124">
        <v>8</v>
      </c>
      <c r="C124" s="271">
        <f t="shared" si="1"/>
        <v>666.66666666666663</v>
      </c>
      <c r="D124" s="79"/>
      <c r="E124" s="160"/>
      <c r="F124" s="160"/>
      <c r="G124" s="160"/>
      <c r="H124" s="568"/>
    </row>
    <row r="125" spans="2:8">
      <c r="B125" s="124">
        <v>9</v>
      </c>
      <c r="C125" s="271">
        <f t="shared" si="1"/>
        <v>666.66666666666663</v>
      </c>
      <c r="D125" s="79"/>
      <c r="E125" s="160"/>
      <c r="F125" s="160"/>
      <c r="G125" s="160"/>
      <c r="H125" s="568"/>
    </row>
    <row r="126" spans="2:8">
      <c r="B126" s="124">
        <v>10</v>
      </c>
      <c r="C126" s="271">
        <f t="shared" si="1"/>
        <v>666.66666666666663</v>
      </c>
      <c r="D126" s="79"/>
      <c r="E126" s="160"/>
      <c r="F126" s="160"/>
      <c r="G126" s="160"/>
      <c r="H126" s="568"/>
    </row>
    <row r="127" spans="2:8">
      <c r="B127" s="124">
        <v>11</v>
      </c>
      <c r="C127" s="271">
        <f t="shared" si="1"/>
        <v>666.66666666666663</v>
      </c>
      <c r="D127" s="79"/>
      <c r="E127" s="160"/>
      <c r="F127" s="160"/>
      <c r="G127" s="160"/>
      <c r="H127" s="568"/>
    </row>
    <row r="128" spans="2:8">
      <c r="B128" s="124">
        <v>12</v>
      </c>
      <c r="C128" s="271">
        <f t="shared" si="1"/>
        <v>666.66666666666663</v>
      </c>
      <c r="D128" s="79"/>
      <c r="E128" s="160"/>
      <c r="F128" s="160"/>
      <c r="G128" s="160"/>
      <c r="H128" s="568"/>
    </row>
    <row r="129" spans="2:8">
      <c r="B129" s="124">
        <v>13</v>
      </c>
      <c r="C129" s="271">
        <f t="shared" ref="C129:C140" si="2">($D$109+$E$107)/12</f>
        <v>666.66666666666663</v>
      </c>
      <c r="D129" s="79"/>
      <c r="E129" s="160"/>
      <c r="F129" s="160"/>
      <c r="G129" s="160"/>
      <c r="H129" s="568"/>
    </row>
    <row r="130" spans="2:8">
      <c r="B130" s="124">
        <v>14</v>
      </c>
      <c r="C130" s="271">
        <f t="shared" si="2"/>
        <v>666.66666666666663</v>
      </c>
      <c r="D130" s="79"/>
      <c r="E130" s="160"/>
      <c r="F130" s="160"/>
      <c r="G130" s="160"/>
      <c r="H130" s="568"/>
    </row>
    <row r="131" spans="2:8">
      <c r="B131" s="124">
        <v>15</v>
      </c>
      <c r="C131" s="271">
        <f t="shared" si="2"/>
        <v>666.66666666666663</v>
      </c>
      <c r="D131" s="79"/>
      <c r="E131" s="160"/>
      <c r="F131" s="160"/>
      <c r="G131" s="160"/>
      <c r="H131" s="568"/>
    </row>
    <row r="132" spans="2:8">
      <c r="B132" s="124">
        <v>16</v>
      </c>
      <c r="C132" s="271">
        <f t="shared" si="2"/>
        <v>666.66666666666663</v>
      </c>
      <c r="D132" s="79"/>
      <c r="E132" s="160"/>
      <c r="F132" s="160"/>
      <c r="G132" s="160"/>
      <c r="H132" s="568"/>
    </row>
    <row r="133" spans="2:8">
      <c r="B133" s="124">
        <v>17</v>
      </c>
      <c r="C133" s="271">
        <f t="shared" si="2"/>
        <v>666.66666666666663</v>
      </c>
      <c r="D133" s="79"/>
      <c r="E133" s="160"/>
      <c r="F133" s="160"/>
      <c r="G133" s="160"/>
      <c r="H133" s="568"/>
    </row>
    <row r="134" spans="2:8">
      <c r="B134" s="124">
        <v>18</v>
      </c>
      <c r="C134" s="271">
        <f t="shared" si="2"/>
        <v>666.66666666666663</v>
      </c>
      <c r="D134" s="79"/>
      <c r="E134" s="160"/>
      <c r="F134" s="160"/>
      <c r="G134" s="160"/>
      <c r="H134" s="568"/>
    </row>
    <row r="135" spans="2:8">
      <c r="B135" s="124">
        <v>19</v>
      </c>
      <c r="C135" s="271">
        <f t="shared" si="2"/>
        <v>666.66666666666663</v>
      </c>
      <c r="D135" s="79"/>
      <c r="E135" s="160"/>
      <c r="F135" s="160"/>
      <c r="G135" s="160"/>
      <c r="H135" s="568"/>
    </row>
    <row r="136" spans="2:8">
      <c r="B136" s="124">
        <v>20</v>
      </c>
      <c r="C136" s="271">
        <f t="shared" si="2"/>
        <v>666.66666666666663</v>
      </c>
      <c r="D136" s="79"/>
      <c r="E136" s="160"/>
      <c r="F136" s="160"/>
      <c r="G136" s="160"/>
      <c r="H136" s="568"/>
    </row>
    <row r="137" spans="2:8">
      <c r="B137" s="124">
        <v>21</v>
      </c>
      <c r="C137" s="271">
        <f t="shared" si="2"/>
        <v>666.66666666666663</v>
      </c>
      <c r="D137" s="79"/>
      <c r="E137" s="160"/>
      <c r="F137" s="160"/>
      <c r="G137" s="160"/>
      <c r="H137" s="568"/>
    </row>
    <row r="138" spans="2:8">
      <c r="B138" s="124">
        <v>22</v>
      </c>
      <c r="C138" s="271">
        <f t="shared" si="2"/>
        <v>666.66666666666663</v>
      </c>
      <c r="D138" s="79"/>
      <c r="E138" s="160"/>
      <c r="F138" s="160"/>
      <c r="G138" s="160"/>
      <c r="H138" s="568"/>
    </row>
    <row r="139" spans="2:8">
      <c r="B139" s="124">
        <v>23</v>
      </c>
      <c r="C139" s="271">
        <f t="shared" si="2"/>
        <v>666.66666666666663</v>
      </c>
      <c r="D139" s="79"/>
      <c r="E139" s="160"/>
      <c r="F139" s="160"/>
      <c r="G139" s="160"/>
      <c r="H139" s="568"/>
    </row>
    <row r="140" spans="2:8">
      <c r="B140" s="124">
        <v>24</v>
      </c>
      <c r="C140" s="271">
        <f t="shared" si="2"/>
        <v>666.66666666666663</v>
      </c>
      <c r="D140" s="79"/>
      <c r="E140" s="160"/>
      <c r="F140" s="160"/>
      <c r="G140" s="160"/>
      <c r="H140" s="568"/>
    </row>
    <row r="141" spans="2:8">
      <c r="B141" s="124">
        <v>25</v>
      </c>
      <c r="C141" s="271">
        <f t="shared" ref="C141:C152" si="3">($D$109+$F$107)/12</f>
        <v>666.66666666666663</v>
      </c>
      <c r="D141" s="79"/>
      <c r="E141" s="160"/>
      <c r="F141" s="160"/>
      <c r="G141" s="160"/>
      <c r="H141" s="568"/>
    </row>
    <row r="142" spans="2:8">
      <c r="B142" s="124">
        <v>26</v>
      </c>
      <c r="C142" s="271">
        <f t="shared" si="3"/>
        <v>666.66666666666663</v>
      </c>
      <c r="D142" s="79"/>
      <c r="E142" s="160"/>
      <c r="F142" s="160"/>
      <c r="G142" s="160"/>
      <c r="H142" s="568"/>
    </row>
    <row r="143" spans="2:8">
      <c r="B143" s="124">
        <v>27</v>
      </c>
      <c r="C143" s="271">
        <f t="shared" si="3"/>
        <v>666.66666666666663</v>
      </c>
      <c r="D143" s="79"/>
      <c r="E143" s="160"/>
      <c r="F143" s="160"/>
      <c r="G143" s="160"/>
      <c r="H143" s="568"/>
    </row>
    <row r="144" spans="2:8">
      <c r="B144" s="124">
        <v>28</v>
      </c>
      <c r="C144" s="271">
        <f t="shared" si="3"/>
        <v>666.66666666666663</v>
      </c>
      <c r="D144" s="79"/>
      <c r="E144" s="160"/>
      <c r="F144" s="160"/>
      <c r="G144" s="160"/>
      <c r="H144" s="568"/>
    </row>
    <row r="145" spans="2:8">
      <c r="B145" s="124">
        <v>29</v>
      </c>
      <c r="C145" s="271">
        <f t="shared" si="3"/>
        <v>666.66666666666663</v>
      </c>
      <c r="D145" s="79"/>
      <c r="E145" s="160"/>
      <c r="F145" s="160"/>
      <c r="G145" s="160"/>
      <c r="H145" s="568"/>
    </row>
    <row r="146" spans="2:8">
      <c r="B146" s="124">
        <v>30</v>
      </c>
      <c r="C146" s="271">
        <f t="shared" si="3"/>
        <v>666.66666666666663</v>
      </c>
      <c r="D146" s="79"/>
      <c r="E146" s="160"/>
      <c r="F146" s="160"/>
      <c r="G146" s="160"/>
      <c r="H146" s="568"/>
    </row>
    <row r="147" spans="2:8">
      <c r="B147" s="124">
        <v>31</v>
      </c>
      <c r="C147" s="271">
        <f t="shared" si="3"/>
        <v>666.66666666666663</v>
      </c>
      <c r="D147" s="79"/>
      <c r="E147" s="160"/>
      <c r="F147" s="160"/>
      <c r="G147" s="160"/>
      <c r="H147" s="568"/>
    </row>
    <row r="148" spans="2:8">
      <c r="B148" s="124">
        <v>32</v>
      </c>
      <c r="C148" s="271">
        <f t="shared" si="3"/>
        <v>666.66666666666663</v>
      </c>
      <c r="D148" s="79"/>
      <c r="E148" s="160"/>
      <c r="F148" s="160"/>
      <c r="G148" s="160"/>
      <c r="H148" s="568"/>
    </row>
    <row r="149" spans="2:8">
      <c r="B149" s="124">
        <v>33</v>
      </c>
      <c r="C149" s="271">
        <f t="shared" si="3"/>
        <v>666.66666666666663</v>
      </c>
      <c r="D149" s="79"/>
      <c r="E149" s="160"/>
      <c r="F149" s="160"/>
      <c r="G149" s="160"/>
      <c r="H149" s="568"/>
    </row>
    <row r="150" spans="2:8">
      <c r="B150" s="124">
        <v>34</v>
      </c>
      <c r="C150" s="271">
        <f t="shared" si="3"/>
        <v>666.66666666666663</v>
      </c>
      <c r="D150" s="79"/>
      <c r="E150" s="160"/>
      <c r="F150" s="160"/>
      <c r="G150" s="160"/>
      <c r="H150" s="568"/>
    </row>
    <row r="151" spans="2:8">
      <c r="B151" s="124">
        <v>35</v>
      </c>
      <c r="C151" s="271">
        <f t="shared" si="3"/>
        <v>666.66666666666663</v>
      </c>
      <c r="D151" s="79"/>
      <c r="E151" s="160"/>
      <c r="F151" s="160"/>
      <c r="G151" s="160"/>
      <c r="H151" s="568"/>
    </row>
    <row r="152" spans="2:8">
      <c r="B152" s="124">
        <v>36</v>
      </c>
      <c r="C152" s="271">
        <f t="shared" si="3"/>
        <v>666.66666666666663</v>
      </c>
      <c r="D152" s="79"/>
      <c r="E152" s="160"/>
      <c r="F152" s="160"/>
      <c r="G152" s="160"/>
      <c r="H152" s="568"/>
    </row>
    <row r="153" spans="2:8">
      <c r="B153" s="124">
        <v>37</v>
      </c>
      <c r="C153" s="271">
        <f t="shared" ref="C153:C164" si="4">($D$109+$G$107)/12</f>
        <v>666.66666666666663</v>
      </c>
      <c r="D153" s="79"/>
      <c r="E153" s="160"/>
      <c r="F153" s="160"/>
      <c r="G153" s="160"/>
      <c r="H153" s="568"/>
    </row>
    <row r="154" spans="2:8">
      <c r="B154" s="124">
        <v>38</v>
      </c>
      <c r="C154" s="271">
        <f t="shared" si="4"/>
        <v>666.66666666666663</v>
      </c>
      <c r="D154" s="79"/>
      <c r="E154" s="160"/>
      <c r="F154" s="160"/>
      <c r="G154" s="160"/>
      <c r="H154" s="568"/>
    </row>
    <row r="155" spans="2:8">
      <c r="B155" s="124">
        <v>39</v>
      </c>
      <c r="C155" s="271">
        <f t="shared" si="4"/>
        <v>666.66666666666663</v>
      </c>
      <c r="D155" s="79"/>
      <c r="E155" s="160"/>
      <c r="F155" s="160"/>
      <c r="G155" s="160"/>
      <c r="H155" s="568"/>
    </row>
    <row r="156" spans="2:8">
      <c r="B156" s="124">
        <v>40</v>
      </c>
      <c r="C156" s="271">
        <f t="shared" si="4"/>
        <v>666.66666666666663</v>
      </c>
      <c r="D156" s="79"/>
      <c r="E156" s="160"/>
      <c r="F156" s="160"/>
      <c r="G156" s="160"/>
      <c r="H156" s="568"/>
    </row>
    <row r="157" spans="2:8">
      <c r="B157" s="124">
        <v>41</v>
      </c>
      <c r="C157" s="271">
        <f t="shared" si="4"/>
        <v>666.66666666666663</v>
      </c>
      <c r="D157" s="79"/>
      <c r="E157" s="160"/>
      <c r="F157" s="160"/>
      <c r="G157" s="160"/>
      <c r="H157" s="568"/>
    </row>
    <row r="158" spans="2:8">
      <c r="B158" s="124">
        <v>42</v>
      </c>
      <c r="C158" s="271">
        <f t="shared" si="4"/>
        <v>666.66666666666663</v>
      </c>
      <c r="D158" s="79"/>
      <c r="E158" s="160"/>
      <c r="F158" s="160"/>
      <c r="G158" s="160"/>
      <c r="H158" s="568"/>
    </row>
    <row r="159" spans="2:8">
      <c r="B159" s="124">
        <v>43</v>
      </c>
      <c r="C159" s="271">
        <f t="shared" si="4"/>
        <v>666.66666666666663</v>
      </c>
      <c r="D159" s="79"/>
      <c r="E159" s="160"/>
      <c r="F159" s="160"/>
      <c r="G159" s="160"/>
      <c r="H159" s="568"/>
    </row>
    <row r="160" spans="2:8">
      <c r="B160" s="124">
        <v>44</v>
      </c>
      <c r="C160" s="271">
        <f t="shared" si="4"/>
        <v>666.66666666666663</v>
      </c>
      <c r="D160" s="79"/>
      <c r="E160" s="160"/>
      <c r="F160" s="160"/>
      <c r="G160" s="160"/>
      <c r="H160" s="568"/>
    </row>
    <row r="161" spans="2:8">
      <c r="B161" s="124">
        <v>45</v>
      </c>
      <c r="C161" s="271">
        <f t="shared" si="4"/>
        <v>666.66666666666663</v>
      </c>
      <c r="D161" s="79"/>
      <c r="E161" s="160"/>
      <c r="F161" s="160"/>
      <c r="G161" s="160"/>
      <c r="H161" s="568"/>
    </row>
    <row r="162" spans="2:8">
      <c r="B162" s="124">
        <v>46</v>
      </c>
      <c r="C162" s="271">
        <f t="shared" si="4"/>
        <v>666.66666666666663</v>
      </c>
      <c r="D162" s="79"/>
      <c r="E162" s="160"/>
      <c r="F162" s="160"/>
      <c r="G162" s="160"/>
      <c r="H162" s="568"/>
    </row>
    <row r="163" spans="2:8">
      <c r="B163" s="124">
        <v>47</v>
      </c>
      <c r="C163" s="271">
        <f t="shared" si="4"/>
        <v>666.66666666666663</v>
      </c>
      <c r="D163" s="79"/>
      <c r="E163" s="160"/>
      <c r="F163" s="160"/>
      <c r="G163" s="160"/>
      <c r="H163" s="568"/>
    </row>
    <row r="164" spans="2:8">
      <c r="B164" s="124">
        <v>48</v>
      </c>
      <c r="C164" s="271">
        <f t="shared" si="4"/>
        <v>666.66666666666663</v>
      </c>
      <c r="D164" s="79"/>
      <c r="E164" s="160"/>
      <c r="F164" s="160"/>
      <c r="G164" s="160"/>
      <c r="H164" s="568"/>
    </row>
    <row r="165" spans="2:8">
      <c r="B165" s="124">
        <v>49</v>
      </c>
      <c r="C165" s="271">
        <f t="shared" ref="C165:C175" si="5">($D$109+$G$54)/12</f>
        <v>666.66666666666663</v>
      </c>
      <c r="D165" s="79"/>
      <c r="E165" s="160"/>
      <c r="F165" s="160"/>
      <c r="G165" s="160"/>
      <c r="H165" s="568"/>
    </row>
    <row r="166" spans="2:8">
      <c r="B166" s="124">
        <v>50</v>
      </c>
      <c r="C166" s="271">
        <f t="shared" si="5"/>
        <v>666.66666666666663</v>
      </c>
      <c r="D166" s="79"/>
      <c r="E166" s="160"/>
      <c r="F166" s="160"/>
      <c r="G166" s="160"/>
      <c r="H166" s="568"/>
    </row>
    <row r="167" spans="2:8">
      <c r="B167" s="124">
        <v>51</v>
      </c>
      <c r="C167" s="271">
        <f t="shared" si="5"/>
        <v>666.66666666666663</v>
      </c>
      <c r="D167" s="79"/>
      <c r="E167" s="160"/>
      <c r="F167" s="160"/>
      <c r="G167" s="160"/>
      <c r="H167" s="568"/>
    </row>
    <row r="168" spans="2:8">
      <c r="B168" s="124">
        <v>52</v>
      </c>
      <c r="C168" s="271">
        <f t="shared" si="5"/>
        <v>666.66666666666663</v>
      </c>
      <c r="D168" s="79"/>
      <c r="E168" s="160"/>
      <c r="F168" s="160"/>
      <c r="G168" s="160"/>
      <c r="H168" s="568"/>
    </row>
    <row r="169" spans="2:8">
      <c r="B169" s="124">
        <v>53</v>
      </c>
      <c r="C169" s="271">
        <f t="shared" si="5"/>
        <v>666.66666666666663</v>
      </c>
      <c r="D169" s="79"/>
      <c r="E169" s="160"/>
      <c r="F169" s="160"/>
      <c r="G169" s="160"/>
      <c r="H169" s="568"/>
    </row>
    <row r="170" spans="2:8">
      <c r="B170" s="124">
        <v>54</v>
      </c>
      <c r="C170" s="271">
        <f t="shared" si="5"/>
        <v>666.66666666666663</v>
      </c>
      <c r="D170" s="79"/>
      <c r="E170" s="160"/>
      <c r="F170" s="160"/>
      <c r="G170" s="160"/>
      <c r="H170" s="568"/>
    </row>
    <row r="171" spans="2:8">
      <c r="B171" s="124">
        <v>55</v>
      </c>
      <c r="C171" s="271">
        <f t="shared" si="5"/>
        <v>666.66666666666663</v>
      </c>
      <c r="D171" s="79"/>
      <c r="E171" s="160"/>
      <c r="F171" s="160"/>
      <c r="G171" s="160"/>
      <c r="H171" s="568"/>
    </row>
    <row r="172" spans="2:8">
      <c r="B172" s="124">
        <v>56</v>
      </c>
      <c r="C172" s="271">
        <f t="shared" si="5"/>
        <v>666.66666666666663</v>
      </c>
      <c r="D172" s="79"/>
      <c r="E172" s="160"/>
      <c r="F172" s="160"/>
      <c r="G172" s="160"/>
      <c r="H172" s="568"/>
    </row>
    <row r="173" spans="2:8">
      <c r="B173" s="124">
        <v>57</v>
      </c>
      <c r="C173" s="271">
        <f t="shared" si="5"/>
        <v>666.66666666666663</v>
      </c>
      <c r="D173" s="79"/>
      <c r="E173" s="160"/>
      <c r="F173" s="160"/>
      <c r="G173" s="160"/>
      <c r="H173" s="568"/>
    </row>
    <row r="174" spans="2:8">
      <c r="B174" s="124">
        <v>58</v>
      </c>
      <c r="C174" s="271">
        <f t="shared" si="5"/>
        <v>666.66666666666663</v>
      </c>
      <c r="D174" s="79"/>
      <c r="E174" s="160"/>
      <c r="F174" s="160"/>
      <c r="G174" s="160"/>
      <c r="H174" s="568"/>
    </row>
    <row r="175" spans="2:8">
      <c r="B175" s="124">
        <v>59</v>
      </c>
      <c r="C175" s="271">
        <f t="shared" si="5"/>
        <v>666.66666666666663</v>
      </c>
      <c r="D175" s="79"/>
      <c r="E175" s="160"/>
      <c r="F175" s="160"/>
      <c r="G175" s="160"/>
      <c r="H175" s="568"/>
    </row>
    <row r="176" spans="2:8">
      <c r="B176" s="124">
        <v>60</v>
      </c>
      <c r="C176" s="271">
        <f>($D$109+$G$54)/12+E66+H106</f>
        <v>80666.666666666672</v>
      </c>
      <c r="D176" s="79"/>
      <c r="E176" s="160"/>
      <c r="F176" s="160"/>
      <c r="G176" s="160"/>
      <c r="H176" s="568"/>
    </row>
    <row r="177" spans="2:8" ht="13" thickBot="1">
      <c r="B177" s="124"/>
      <c r="C177" s="126"/>
      <c r="H177" s="126"/>
    </row>
    <row r="178" spans="2:8" ht="13.5" thickBot="1">
      <c r="B178" s="155" t="s">
        <v>903</v>
      </c>
      <c r="C178" s="155">
        <f>IRR(C116:C176,0.1/12)*12</f>
        <v>9.999999999999698E-2</v>
      </c>
      <c r="D178" s="4"/>
      <c r="E178" s="4"/>
      <c r="F178" s="4"/>
      <c r="G178" s="4"/>
      <c r="H178" s="135"/>
    </row>
  </sheetData>
  <mergeCells count="13">
    <mergeCell ref="B2:H2"/>
    <mergeCell ref="B3:H3"/>
    <mergeCell ref="B7:H7"/>
    <mergeCell ref="B5:H5"/>
    <mergeCell ref="B6:H6"/>
    <mergeCell ref="B10:G10"/>
    <mergeCell ref="B93:H93"/>
    <mergeCell ref="B103:H103"/>
    <mergeCell ref="B113:C113"/>
    <mergeCell ref="B61:E61"/>
    <mergeCell ref="B35:G35"/>
    <mergeCell ref="B42:G42"/>
    <mergeCell ref="B82:H82"/>
  </mergeCells>
  <phoneticPr fontId="0" type="noConversion"/>
  <pageMargins left="0.75" right="0.75" top="1" bottom="1" header="0.5" footer="0.5"/>
  <headerFooter alignWithMargins="0"/>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EBB901"/>
  </sheetPr>
  <dimension ref="B1:H180"/>
  <sheetViews>
    <sheetView workbookViewId="0">
      <selection activeCell="B2" sqref="B2:H2"/>
    </sheetView>
  </sheetViews>
  <sheetFormatPr defaultRowHeight="12.5"/>
  <cols>
    <col min="2" max="2" width="31" customWidth="1"/>
    <col min="3" max="3" width="11.81640625" bestFit="1" customWidth="1"/>
    <col min="4" max="4" width="12.453125" bestFit="1" customWidth="1"/>
    <col min="5" max="5" width="18.7265625" customWidth="1"/>
    <col min="6" max="6" width="11.1796875" customWidth="1"/>
    <col min="7" max="7" width="11.7265625" customWidth="1"/>
    <col min="8" max="8" width="11.453125" customWidth="1"/>
  </cols>
  <sheetData>
    <row r="1" spans="2:8" ht="13" thickBot="1"/>
    <row r="2" spans="2:8" ht="18.5" thickBot="1">
      <c r="B2" s="1618" t="s">
        <v>1724</v>
      </c>
      <c r="C2" s="1526"/>
      <c r="D2" s="1526"/>
      <c r="E2" s="1526"/>
      <c r="F2" s="1526"/>
      <c r="G2" s="1526"/>
      <c r="H2" s="1527"/>
    </row>
    <row r="3" spans="2:8" ht="16" thickBot="1">
      <c r="B3" s="1619" t="s">
        <v>1226</v>
      </c>
      <c r="C3" s="1529"/>
      <c r="D3" s="1529"/>
      <c r="E3" s="1529"/>
      <c r="F3" s="1529"/>
      <c r="G3" s="1529"/>
      <c r="H3" s="1530"/>
    </row>
    <row r="4" spans="2:8" ht="15.5">
      <c r="B4" s="569"/>
      <c r="C4" s="570"/>
      <c r="D4" s="570"/>
      <c r="E4" s="571"/>
      <c r="F4" s="570"/>
      <c r="G4" s="570"/>
      <c r="H4" s="572"/>
    </row>
    <row r="5" spans="2:8">
      <c r="B5" s="1620" t="s">
        <v>1101</v>
      </c>
      <c r="C5" s="1621"/>
      <c r="D5" s="1621"/>
      <c r="E5" s="1621"/>
      <c r="F5" s="1621"/>
      <c r="G5" s="1621"/>
      <c r="H5" s="1622"/>
    </row>
    <row r="6" spans="2:8">
      <c r="B6" s="1623" t="s">
        <v>419</v>
      </c>
      <c r="C6" s="1624"/>
      <c r="D6" s="1624"/>
      <c r="E6" s="1624"/>
      <c r="F6" s="1624"/>
      <c r="G6" s="1624"/>
      <c r="H6" s="1625"/>
    </row>
    <row r="7" spans="2:8">
      <c r="B7" s="1599"/>
      <c r="C7" s="1600"/>
      <c r="D7" s="1600"/>
      <c r="E7" s="1600"/>
      <c r="F7" s="1600"/>
      <c r="G7" s="1600"/>
      <c r="H7" s="1601"/>
    </row>
    <row r="8" spans="2:8">
      <c r="B8" s="223"/>
      <c r="C8" s="212"/>
      <c r="D8" s="212"/>
      <c r="E8" s="212"/>
      <c r="F8" s="212"/>
      <c r="G8" s="212"/>
      <c r="H8" s="224"/>
    </row>
    <row r="9" spans="2:8" ht="13.5" thickBot="1">
      <c r="B9" s="573"/>
      <c r="C9" s="1"/>
      <c r="D9" s="1"/>
      <c r="E9" s="39"/>
      <c r="F9" s="39"/>
      <c r="G9" s="39"/>
      <c r="H9" s="146"/>
    </row>
    <row r="10" spans="2:8" ht="13.5" thickBot="1">
      <c r="B10" s="1583" t="s">
        <v>207</v>
      </c>
      <c r="C10" s="1532"/>
      <c r="D10" s="1532"/>
      <c r="E10" s="1532"/>
      <c r="F10" s="1532"/>
      <c r="G10" s="1533"/>
      <c r="H10" s="146"/>
    </row>
    <row r="11" spans="2:8" ht="13.5" thickBot="1">
      <c r="B11" s="124" t="s">
        <v>48</v>
      </c>
      <c r="C11" s="762">
        <v>1000000</v>
      </c>
      <c r="E11" s="243" t="s">
        <v>363</v>
      </c>
      <c r="F11" s="122"/>
      <c r="G11" s="123"/>
      <c r="H11" s="146"/>
    </row>
    <row r="12" spans="2:8">
      <c r="B12" s="124" t="s">
        <v>420</v>
      </c>
      <c r="C12" s="812">
        <v>100000</v>
      </c>
      <c r="E12" s="124" t="s">
        <v>364</v>
      </c>
      <c r="F12" s="812">
        <f>0.9*C11</f>
        <v>900000</v>
      </c>
      <c r="G12" s="126"/>
      <c r="H12" s="146"/>
    </row>
    <row r="13" spans="2:8">
      <c r="B13" s="124" t="s">
        <v>421</v>
      </c>
      <c r="C13" s="813">
        <v>0.03</v>
      </c>
      <c r="E13" s="124" t="s">
        <v>422</v>
      </c>
      <c r="F13" s="128">
        <v>27.5</v>
      </c>
      <c r="G13" s="126" t="s">
        <v>208</v>
      </c>
      <c r="H13" s="146"/>
    </row>
    <row r="14" spans="2:8">
      <c r="B14" s="124" t="s">
        <v>368</v>
      </c>
      <c r="C14" s="813">
        <v>0.7</v>
      </c>
      <c r="E14" s="124" t="s">
        <v>423</v>
      </c>
      <c r="F14" s="128">
        <v>0.28000000000000003</v>
      </c>
      <c r="G14" s="126"/>
      <c r="H14" s="146"/>
    </row>
    <row r="15" spans="2:8">
      <c r="B15" s="124" t="s">
        <v>424</v>
      </c>
      <c r="C15" s="1114">
        <v>0.08</v>
      </c>
      <c r="E15" s="124"/>
      <c r="G15" s="126"/>
      <c r="H15" s="146"/>
    </row>
    <row r="16" spans="2:8">
      <c r="B16" s="124" t="s">
        <v>425</v>
      </c>
      <c r="C16" s="128">
        <v>0</v>
      </c>
      <c r="E16" s="124"/>
      <c r="G16" s="126"/>
      <c r="H16" s="146"/>
    </row>
    <row r="17" spans="2:8">
      <c r="B17" s="124" t="s">
        <v>426</v>
      </c>
      <c r="C17" s="128">
        <v>15</v>
      </c>
      <c r="D17" t="s">
        <v>208</v>
      </c>
      <c r="E17" s="124"/>
      <c r="G17" s="126"/>
      <c r="H17" s="146"/>
    </row>
    <row r="18" spans="2:8">
      <c r="B18" s="124" t="s">
        <v>427</v>
      </c>
      <c r="C18" s="128">
        <v>15</v>
      </c>
      <c r="D18" t="s">
        <v>208</v>
      </c>
      <c r="E18" s="124"/>
      <c r="G18" s="126"/>
      <c r="H18" s="146"/>
    </row>
    <row r="19" spans="2:8" ht="13" thickBot="1">
      <c r="B19" s="124" t="s">
        <v>372</v>
      </c>
      <c r="C19" s="128">
        <v>12</v>
      </c>
      <c r="E19" s="124"/>
      <c r="G19" s="126"/>
      <c r="H19" s="146"/>
    </row>
    <row r="20" spans="2:8">
      <c r="B20" s="230" t="s">
        <v>428</v>
      </c>
      <c r="C20" s="1338">
        <v>0.5</v>
      </c>
      <c r="D20" t="s">
        <v>429</v>
      </c>
      <c r="E20" s="124"/>
      <c r="G20" s="126"/>
      <c r="H20" s="146"/>
    </row>
    <row r="21" spans="2:8" ht="13" thickBot="1">
      <c r="B21" s="124" t="s">
        <v>1385</v>
      </c>
      <c r="C21" s="1362">
        <v>100000</v>
      </c>
      <c r="E21" s="124"/>
      <c r="G21" s="126"/>
      <c r="H21" s="146"/>
    </row>
    <row r="22" spans="2:8" ht="13" thickBot="1">
      <c r="B22" s="884" t="s">
        <v>428</v>
      </c>
      <c r="C22" s="1363">
        <v>0.45</v>
      </c>
      <c r="D22" t="s">
        <v>431</v>
      </c>
      <c r="E22" s="124"/>
      <c r="G22" s="126"/>
      <c r="H22" s="146"/>
    </row>
    <row r="23" spans="2:8">
      <c r="B23" s="124" t="s">
        <v>432</v>
      </c>
      <c r="C23" s="128">
        <v>0</v>
      </c>
      <c r="E23" s="124"/>
      <c r="G23" s="126"/>
      <c r="H23" s="146"/>
    </row>
    <row r="24" spans="2:8">
      <c r="B24" s="124" t="s">
        <v>433</v>
      </c>
      <c r="C24" s="813">
        <f>0.03</f>
        <v>0.03</v>
      </c>
      <c r="E24" s="124"/>
      <c r="G24" s="126"/>
      <c r="H24" s="146"/>
    </row>
    <row r="25" spans="2:8">
      <c r="B25" s="124" t="s">
        <v>434</v>
      </c>
      <c r="C25" s="128">
        <v>0</v>
      </c>
      <c r="E25" s="124"/>
      <c r="G25" s="126"/>
      <c r="H25" s="146"/>
    </row>
    <row r="26" spans="2:8">
      <c r="B26" s="124" t="s">
        <v>376</v>
      </c>
      <c r="C26" s="128">
        <v>5</v>
      </c>
      <c r="D26" t="s">
        <v>208</v>
      </c>
      <c r="E26" s="124"/>
      <c r="G26" s="126"/>
      <c r="H26" s="146"/>
    </row>
    <row r="27" spans="2:8" ht="13" thickBot="1">
      <c r="B27" s="134" t="s">
        <v>377</v>
      </c>
      <c r="C27" s="286">
        <v>0</v>
      </c>
      <c r="D27" s="4" t="s">
        <v>378</v>
      </c>
      <c r="E27" s="134"/>
      <c r="F27" s="4"/>
      <c r="G27" s="135"/>
      <c r="H27" s="146"/>
    </row>
    <row r="28" spans="2:8" ht="13.5" thickBot="1">
      <c r="B28" s="573"/>
      <c r="C28" s="56"/>
      <c r="D28" s="39"/>
      <c r="E28" s="39"/>
      <c r="F28" s="39"/>
      <c r="G28" s="39"/>
      <c r="H28" s="146"/>
    </row>
    <row r="29" spans="2:8">
      <c r="B29" s="552" t="s">
        <v>291</v>
      </c>
      <c r="C29" s="553">
        <f>IF(C23&gt;0,(1-C14)*F12,(1-C14)*C11)</f>
        <v>300000.00000000006</v>
      </c>
      <c r="D29" s="470"/>
      <c r="E29" s="535"/>
      <c r="F29" s="39"/>
      <c r="G29" s="39"/>
      <c r="H29" s="146"/>
    </row>
    <row r="30" spans="2:8">
      <c r="B30" s="369" t="s">
        <v>381</v>
      </c>
      <c r="C30" s="57">
        <f>IF(C23&gt;0,F12*C14,C14*C11)</f>
        <v>700000</v>
      </c>
      <c r="D30" s="34"/>
      <c r="E30" s="309"/>
      <c r="F30" s="39"/>
      <c r="G30" s="39"/>
      <c r="H30" s="146"/>
    </row>
    <row r="31" spans="2:8">
      <c r="B31" s="369" t="s">
        <v>382</v>
      </c>
      <c r="C31" s="57">
        <f>PMT(C15/C19,C17*C19,-C30)*C19</f>
        <v>80274.775083749526</v>
      </c>
      <c r="D31" s="34"/>
      <c r="E31" s="309"/>
      <c r="F31" s="39"/>
      <c r="G31" s="39"/>
      <c r="H31" s="146"/>
    </row>
    <row r="32" spans="2:8">
      <c r="B32" s="369"/>
      <c r="C32" s="57"/>
      <c r="D32" s="34"/>
      <c r="E32" s="309"/>
      <c r="F32" s="39"/>
      <c r="G32" s="39"/>
      <c r="H32" s="146"/>
    </row>
    <row r="33" spans="2:8" ht="13" thickBot="1">
      <c r="B33" s="371" t="s">
        <v>383</v>
      </c>
      <c r="C33" s="372">
        <f>IF(C15&lt;C16,(FV(C16/C19,C26*C19,C31/C19,-C30)),PV(C15/C19,(C17-C26)*C19,-(C31/C19)))</f>
        <v>551363.82006547728</v>
      </c>
      <c r="D33" s="554" t="s">
        <v>384</v>
      </c>
      <c r="E33" s="149">
        <f>C26</f>
        <v>5</v>
      </c>
      <c r="F33" s="39"/>
      <c r="G33" s="39"/>
      <c r="H33" s="146"/>
    </row>
    <row r="34" spans="2:8" ht="13" thickBot="1">
      <c r="B34" s="384"/>
      <c r="C34" s="39"/>
      <c r="D34" s="39"/>
      <c r="E34" s="39"/>
      <c r="F34" s="39"/>
      <c r="G34" s="39"/>
      <c r="H34" s="146"/>
    </row>
    <row r="35" spans="2:8" ht="13.5" thickBot="1">
      <c r="B35" s="1617" t="s">
        <v>385</v>
      </c>
      <c r="C35" s="1538"/>
      <c r="D35" s="1538"/>
      <c r="E35" s="1538"/>
      <c r="F35" s="1538"/>
      <c r="G35" s="1539"/>
      <c r="H35" s="146"/>
    </row>
    <row r="36" spans="2:8" ht="13">
      <c r="B36" s="555" t="s">
        <v>386</v>
      </c>
      <c r="C36" s="967">
        <v>1</v>
      </c>
      <c r="D36" s="967">
        <f>(1+C36)</f>
        <v>2</v>
      </c>
      <c r="E36" s="967">
        <f>(1+D36)</f>
        <v>3</v>
      </c>
      <c r="F36" s="967">
        <f>(1+E36)</f>
        <v>4</v>
      </c>
      <c r="G36" s="968">
        <f>(1+F36)</f>
        <v>5</v>
      </c>
      <c r="H36" s="146"/>
    </row>
    <row r="37" spans="2:8">
      <c r="B37" s="369" t="s">
        <v>209</v>
      </c>
      <c r="C37" s="57">
        <f>$C$31</f>
        <v>80274.775083749526</v>
      </c>
      <c r="D37" s="57">
        <f>$C$31</f>
        <v>80274.775083749526</v>
      </c>
      <c r="E37" s="57">
        <f>$C$31</f>
        <v>80274.775083749526</v>
      </c>
      <c r="F37" s="57">
        <f>$C$31</f>
        <v>80274.775083749526</v>
      </c>
      <c r="G37" s="370">
        <f>$C$31</f>
        <v>80274.775083749526</v>
      </c>
      <c r="H37" s="309"/>
    </row>
    <row r="38" spans="2:8">
      <c r="B38" s="369" t="s">
        <v>383</v>
      </c>
      <c r="C38" s="57">
        <f>IF($C$15&lt;$C$16,FV($C$16/$C$19,C36*$C$19,$C$31/$C$19,-$C$30),IF($C$17&gt;C36-$C36+1,(($C31/$C$19)/PMT($C$15/($C$19),($C$17-(C36-$C36+1))*$C$19,-1)),0))</f>
        <v>674815.07050231926</v>
      </c>
      <c r="D38" s="57">
        <f>IF($C$15&lt;$C$16,FV($C$16/$C$19,D36*$C$19,$C$31/$C$19,-$C$30),IF($C$17&gt;D36-$C36+1,(($C31/$C$19)/PMT($C$15/($C$19),($C$17-(D36-$C36+1))*$C$19,-1)),0))</f>
        <v>647539.80427734915</v>
      </c>
      <c r="E38" s="57">
        <f>IF($C$15&lt;$C$16,FV($C$16/$C$19,E36*$C$19,$C$31/$C$19,-$C$30),IF($C$17&gt;E36-$C36+1,(($C31/$C$19)/PMT($C$15/($C$19),($C$17-(E36-$C36+1))*$C$19,-1)),0))</f>
        <v>618000.70440766297</v>
      </c>
      <c r="F38" s="57">
        <f>IF($C$15&lt;$C$16,FV($C$16/$C$19,F36*$C$19,$C$31/$C$19,-$C$30),IF($C$17&gt;F36-$C36+1,(($C31/$C$19)/PMT($C$15/($C$19),($C$17-(F36-$C36+1))*$C$19,-1)),0))</f>
        <v>586009.87381725479</v>
      </c>
      <c r="G38" s="370">
        <f>IF($C$15&lt;$C$16,FV($C$16/$C$19,G36*$C$19,$C$31/$C$19,-$C$30),IF($C$17&gt;G36-$C36+1,(($C31/$C$19)/PMT($C$15/($C$19),($C$17-(G36-$C36+1))*$C$19,-1)),0))</f>
        <v>551363.82006548031</v>
      </c>
      <c r="H38" s="309"/>
    </row>
    <row r="39" spans="2:8">
      <c r="B39" s="369" t="s">
        <v>210</v>
      </c>
      <c r="C39" s="57">
        <f>($C$31-(C30-C38))</f>
        <v>55089.845586068783</v>
      </c>
      <c r="D39" s="57">
        <f>($C$31-(C38-D38))</f>
        <v>52999.508858779416</v>
      </c>
      <c r="E39" s="57">
        <f>($C$31-(D38-E38))</f>
        <v>50735.675214063347</v>
      </c>
      <c r="F39" s="57">
        <f>($C$31-(E38-F38))</f>
        <v>48283.944493341347</v>
      </c>
      <c r="G39" s="370">
        <f>($C$31-(F38-G38))</f>
        <v>45628.721331975044</v>
      </c>
      <c r="H39" s="309"/>
    </row>
    <row r="40" spans="2:8" ht="13" thickBot="1">
      <c r="B40" s="371" t="s">
        <v>387</v>
      </c>
      <c r="C40" s="64">
        <f>C37-C39</f>
        <v>25184.929497680743</v>
      </c>
      <c r="D40" s="64">
        <f>D37-D39</f>
        <v>27275.26622497011</v>
      </c>
      <c r="E40" s="64">
        <f>E37-E39</f>
        <v>29539.099869686179</v>
      </c>
      <c r="F40" s="64">
        <f>F37-F39</f>
        <v>31990.830590408179</v>
      </c>
      <c r="G40" s="379">
        <f>G37-G39</f>
        <v>34646.053751774481</v>
      </c>
      <c r="H40" s="309"/>
    </row>
    <row r="41" spans="2:8" ht="13" thickBot="1">
      <c r="B41" s="171"/>
      <c r="C41" s="57"/>
      <c r="D41" s="57"/>
      <c r="E41" s="57"/>
      <c r="F41" s="57"/>
      <c r="G41" s="57"/>
      <c r="H41" s="309"/>
    </row>
    <row r="42" spans="2:8" ht="13.5" thickBot="1">
      <c r="B42" s="1617" t="s">
        <v>436</v>
      </c>
      <c r="C42" s="1538"/>
      <c r="D42" s="1538"/>
      <c r="E42" s="1538"/>
      <c r="F42" s="1538"/>
      <c r="G42" s="1539"/>
      <c r="H42" s="309"/>
    </row>
    <row r="43" spans="2:8" ht="13.5" thickBot="1">
      <c r="B43" s="157" t="s">
        <v>262</v>
      </c>
      <c r="C43" s="157">
        <v>1</v>
      </c>
      <c r="D43" s="157">
        <v>2</v>
      </c>
      <c r="E43" s="157">
        <v>3</v>
      </c>
      <c r="F43" s="157">
        <v>4</v>
      </c>
      <c r="G43" s="157">
        <v>5</v>
      </c>
      <c r="H43" s="309"/>
    </row>
    <row r="44" spans="2:8">
      <c r="B44" s="369" t="s">
        <v>335</v>
      </c>
      <c r="C44" s="1186">
        <f>C12</f>
        <v>100000</v>
      </c>
      <c r="D44" s="1186">
        <f>C44*(1+$C$13)</f>
        <v>103000</v>
      </c>
      <c r="E44" s="1186">
        <f>D44*(1+$C$13)</f>
        <v>106090</v>
      </c>
      <c r="F44" s="1186">
        <f>E44*(1+$C$13)</f>
        <v>109272.7</v>
      </c>
      <c r="G44" s="1187">
        <f>F44*(1+$C$13)</f>
        <v>112550.88099999999</v>
      </c>
      <c r="H44" s="309"/>
    </row>
    <row r="45" spans="2:8">
      <c r="B45" s="369" t="s">
        <v>437</v>
      </c>
      <c r="C45" s="57">
        <f>$C$37</f>
        <v>80274.775083749526</v>
      </c>
      <c r="D45" s="57">
        <f>$C$37</f>
        <v>80274.775083749526</v>
      </c>
      <c r="E45" s="57">
        <f>$C$37</f>
        <v>80274.775083749526</v>
      </c>
      <c r="F45" s="57">
        <f>$C$37</f>
        <v>80274.775083749526</v>
      </c>
      <c r="G45" s="370">
        <f>$C$37</f>
        <v>80274.775083749526</v>
      </c>
      <c r="H45" s="309"/>
    </row>
    <row r="46" spans="2:8">
      <c r="B46" s="369" t="s">
        <v>438</v>
      </c>
      <c r="C46" s="61">
        <f>$C$23</f>
        <v>0</v>
      </c>
      <c r="D46" s="61">
        <f>$C$23</f>
        <v>0</v>
      </c>
      <c r="E46" s="61">
        <f>$C$23</f>
        <v>0</v>
      </c>
      <c r="F46" s="61">
        <f>$C$23</f>
        <v>0</v>
      </c>
      <c r="G46" s="560">
        <f>$C$23</f>
        <v>0</v>
      </c>
      <c r="H46" s="309"/>
    </row>
    <row r="47" spans="2:8">
      <c r="B47" s="369" t="s">
        <v>439</v>
      </c>
      <c r="C47" s="57">
        <f>C44-C45-C46</f>
        <v>19725.224916250474</v>
      </c>
      <c r="D47" s="57">
        <f>D44-D45-D46</f>
        <v>22725.224916250474</v>
      </c>
      <c r="E47" s="57">
        <f>E44-E45-E46</f>
        <v>25815.224916250474</v>
      </c>
      <c r="F47" s="57">
        <f>F44-F45-F46</f>
        <v>28997.924916250471</v>
      </c>
      <c r="G47" s="370">
        <f>G44-G45-G46</f>
        <v>32276.105916250468</v>
      </c>
      <c r="H47" s="309"/>
    </row>
    <row r="48" spans="2:8">
      <c r="B48" s="369" t="s">
        <v>428</v>
      </c>
      <c r="C48" s="1256">
        <f>IF(C44-$C$21&gt;0,$C$20*(C44-$C$21),0)</f>
        <v>0</v>
      </c>
      <c r="D48" s="1256">
        <f>IF(D44-$C$21&gt;0,$C$20*(D44-$C$21),0)</f>
        <v>1500</v>
      </c>
      <c r="E48" s="1256">
        <f>IF(E44-$C$21&gt;0,$C$20*(E44-$C$21),0)</f>
        <v>3045</v>
      </c>
      <c r="F48" s="1256">
        <f>IF(F44-$C$21&gt;0,$C$20*(F44-$C$21),0)</f>
        <v>4636.3499999999985</v>
      </c>
      <c r="G48" s="1257">
        <f>IF(G44-$C$21&gt;0,$C$20*(G44-$C$21),0)</f>
        <v>6275.440499999997</v>
      </c>
      <c r="H48" s="146"/>
    </row>
    <row r="49" spans="2:8" ht="13.5" thickBot="1">
      <c r="B49" s="444" t="s">
        <v>408</v>
      </c>
      <c r="C49" s="59">
        <f>C47-C48</f>
        <v>19725.224916250474</v>
      </c>
      <c r="D49" s="59">
        <f>D47-D48</f>
        <v>21225.224916250474</v>
      </c>
      <c r="E49" s="59">
        <f>E47-E48</f>
        <v>22770.224916250474</v>
      </c>
      <c r="F49" s="59">
        <f>F47-F48</f>
        <v>24361.574916250473</v>
      </c>
      <c r="G49" s="556">
        <f>G47-G48</f>
        <v>26000.665416250471</v>
      </c>
      <c r="H49" s="146"/>
    </row>
    <row r="50" spans="2:8" ht="13" thickTop="1">
      <c r="B50" s="384"/>
      <c r="C50" s="57"/>
      <c r="D50" s="57"/>
      <c r="E50" s="57"/>
      <c r="F50" s="57"/>
      <c r="G50" s="370"/>
      <c r="H50" s="146"/>
    </row>
    <row r="51" spans="2:8">
      <c r="B51" s="369" t="s">
        <v>335</v>
      </c>
      <c r="C51" s="57">
        <f>C44</f>
        <v>100000</v>
      </c>
      <c r="D51" s="57">
        <f>D44</f>
        <v>103000</v>
      </c>
      <c r="E51" s="57">
        <f>E44</f>
        <v>106090</v>
      </c>
      <c r="F51" s="57">
        <f>F44</f>
        <v>109272.7</v>
      </c>
      <c r="G51" s="370">
        <f>G44</f>
        <v>112550.88099999999</v>
      </c>
      <c r="H51" s="309"/>
    </row>
    <row r="52" spans="2:8">
      <c r="B52" s="369" t="s">
        <v>390</v>
      </c>
      <c r="C52" s="57">
        <f>C39</f>
        <v>55089.845586068783</v>
      </c>
      <c r="D52" s="57">
        <f>D39</f>
        <v>52999.508858779416</v>
      </c>
      <c r="E52" s="57">
        <f>E39</f>
        <v>50735.675214063347</v>
      </c>
      <c r="F52" s="57">
        <f>F39</f>
        <v>48283.944493341347</v>
      </c>
      <c r="G52" s="370">
        <f>G39</f>
        <v>45628.721331975044</v>
      </c>
      <c r="H52" s="309"/>
    </row>
    <row r="53" spans="2:8">
      <c r="B53" s="369" t="s">
        <v>391</v>
      </c>
      <c r="C53" s="57">
        <f>$F$12/$F$13</f>
        <v>32727.272727272728</v>
      </c>
      <c r="D53" s="57">
        <f>$F$12/$F$13</f>
        <v>32727.272727272728</v>
      </c>
      <c r="E53" s="57">
        <f>$F$12/$F$13</f>
        <v>32727.272727272728</v>
      </c>
      <c r="F53" s="57">
        <f>$F$12/$F$13</f>
        <v>32727.272727272728</v>
      </c>
      <c r="G53" s="370">
        <f>$F$12/$F$13</f>
        <v>32727.272727272728</v>
      </c>
      <c r="H53" s="309"/>
    </row>
    <row r="54" spans="2:8">
      <c r="B54" s="369" t="s">
        <v>440</v>
      </c>
      <c r="C54" s="969">
        <f>C48</f>
        <v>0</v>
      </c>
      <c r="D54" s="969">
        <f>D48</f>
        <v>1500</v>
      </c>
      <c r="E54" s="969">
        <f>E48</f>
        <v>3045</v>
      </c>
      <c r="F54" s="969">
        <f>F48</f>
        <v>4636.3499999999985</v>
      </c>
      <c r="G54" s="970">
        <f>G48</f>
        <v>6275.440499999997</v>
      </c>
      <c r="H54" s="146"/>
    </row>
    <row r="55" spans="2:8">
      <c r="B55" s="369" t="s">
        <v>438</v>
      </c>
      <c r="C55" s="57">
        <f>$C$23</f>
        <v>0</v>
      </c>
      <c r="D55" s="57">
        <f>$C$23</f>
        <v>0</v>
      </c>
      <c r="E55" s="57">
        <f>$C$23</f>
        <v>0</v>
      </c>
      <c r="F55" s="57">
        <f>$C$23</f>
        <v>0</v>
      </c>
      <c r="G55" s="370">
        <f>$C$23</f>
        <v>0</v>
      </c>
      <c r="H55" s="146"/>
    </row>
    <row r="56" spans="2:8">
      <c r="B56" s="369" t="s">
        <v>441</v>
      </c>
      <c r="C56" s="57">
        <f>C51-C52-C53-C54-C55</f>
        <v>12182.881686658489</v>
      </c>
      <c r="D56" s="57">
        <f>D51-D52-D53-D54-D55</f>
        <v>15773.218413947856</v>
      </c>
      <c r="E56" s="57">
        <f>E51-E52-E53-E54-E55</f>
        <v>19582.052058663925</v>
      </c>
      <c r="F56" s="57">
        <f>F51-F52-F53-F54-F55</f>
        <v>23625.132779385924</v>
      </c>
      <c r="G56" s="370">
        <f>G51-G52-G53-G54-G55</f>
        <v>27919.446440752225</v>
      </c>
      <c r="H56" s="309"/>
    </row>
    <row r="57" spans="2:8">
      <c r="B57" s="369" t="s">
        <v>442</v>
      </c>
      <c r="C57" s="57">
        <f>C56*$F$14</f>
        <v>3411.2068722643771</v>
      </c>
      <c r="D57" s="57">
        <f>D56*$F$14</f>
        <v>4416.5011559054001</v>
      </c>
      <c r="E57" s="57">
        <f>E56*$F$14</f>
        <v>5482.9745764258996</v>
      </c>
      <c r="F57" s="57">
        <f>F56*$F$14</f>
        <v>6615.037178228059</v>
      </c>
      <c r="G57" s="370">
        <f>G56*$F$14</f>
        <v>7817.4450034106239</v>
      </c>
      <c r="H57" s="309"/>
    </row>
    <row r="58" spans="2:8" ht="13.5" thickBot="1">
      <c r="B58" s="557" t="s">
        <v>409</v>
      </c>
      <c r="C58" s="558">
        <f>C49-C57</f>
        <v>16314.018043986096</v>
      </c>
      <c r="D58" s="558">
        <f>D49-D57</f>
        <v>16808.723760345074</v>
      </c>
      <c r="E58" s="558">
        <f>E49-E57</f>
        <v>17287.250339824575</v>
      </c>
      <c r="F58" s="558">
        <f>F49-F57</f>
        <v>17746.537738022413</v>
      </c>
      <c r="G58" s="559">
        <f>G49-G57</f>
        <v>18183.220412839848</v>
      </c>
      <c r="H58" s="309"/>
    </row>
    <row r="59" spans="2:8" ht="13">
      <c r="B59" s="444"/>
      <c r="C59" s="60"/>
      <c r="D59" s="60"/>
      <c r="E59" s="60"/>
      <c r="F59" s="60"/>
      <c r="G59" s="60"/>
      <c r="H59" s="309"/>
    </row>
    <row r="60" spans="2:8" ht="13" thickBot="1">
      <c r="B60" s="574"/>
      <c r="C60" s="61"/>
      <c r="D60" s="61"/>
      <c r="E60" s="61"/>
      <c r="H60" s="146"/>
    </row>
    <row r="61" spans="2:8" ht="13.5" thickBot="1">
      <c r="B61" s="1617" t="s">
        <v>1390</v>
      </c>
      <c r="C61" s="1542"/>
      <c r="D61" s="1542"/>
      <c r="E61" s="1543"/>
      <c r="H61" s="146"/>
    </row>
    <row r="62" spans="2:8">
      <c r="B62" s="369" t="s">
        <v>446</v>
      </c>
      <c r="C62" s="57"/>
      <c r="D62" s="57"/>
      <c r="E62" s="370">
        <f>IF(C23&gt;0,(1-C25)*(F12*(1+C24)^C26),(1-C25)*(C11*(1+C24)^C26))</f>
        <v>1159274.0742999997</v>
      </c>
      <c r="H62" s="146"/>
    </row>
    <row r="63" spans="2:8">
      <c r="B63" s="369" t="s">
        <v>396</v>
      </c>
      <c r="C63" s="57"/>
      <c r="D63" s="57"/>
      <c r="E63" s="370">
        <f>C27*E62</f>
        <v>0</v>
      </c>
      <c r="F63" s="57"/>
      <c r="G63" s="57"/>
      <c r="H63" s="146"/>
    </row>
    <row r="64" spans="2:8">
      <c r="B64" s="369" t="s">
        <v>383</v>
      </c>
      <c r="C64" s="57"/>
      <c r="D64" s="57"/>
      <c r="E64" s="560">
        <f>IF(C25&gt;0,0,G38)</f>
        <v>551363.82006548031</v>
      </c>
      <c r="F64" s="57"/>
      <c r="G64" s="57"/>
      <c r="H64" s="146"/>
    </row>
    <row r="65" spans="2:8">
      <c r="B65" s="369" t="s">
        <v>439</v>
      </c>
      <c r="C65" s="57"/>
      <c r="D65" s="57"/>
      <c r="E65" s="370">
        <f>E62-E63-E64</f>
        <v>607910.25423451944</v>
      </c>
      <c r="F65" s="57"/>
      <c r="G65" s="57" t="s">
        <v>448</v>
      </c>
      <c r="H65" s="146"/>
    </row>
    <row r="66" spans="2:8">
      <c r="B66" s="369" t="s">
        <v>1388</v>
      </c>
      <c r="C66" s="57"/>
      <c r="D66" s="57"/>
      <c r="E66" s="1258">
        <f>IF((E62-E63-C11)&gt;0,(E62-E63-C11)*C22,0)</f>
        <v>71673.333434999891</v>
      </c>
      <c r="F66" s="57"/>
      <c r="G66" s="57" t="s">
        <v>1387</v>
      </c>
      <c r="H66" s="146"/>
    </row>
    <row r="67" spans="2:8">
      <c r="B67" s="369" t="s">
        <v>397</v>
      </c>
      <c r="C67" s="57"/>
      <c r="D67" s="57"/>
      <c r="E67" s="370">
        <f>E65-E66</f>
        <v>536236.92079951952</v>
      </c>
      <c r="F67" s="57"/>
      <c r="G67" s="57" t="s">
        <v>1386</v>
      </c>
      <c r="H67" s="146"/>
    </row>
    <row r="68" spans="2:8">
      <c r="B68" s="384"/>
      <c r="C68" s="57"/>
      <c r="D68" s="57"/>
      <c r="E68" s="370"/>
      <c r="F68" s="57"/>
      <c r="G68" s="57"/>
      <c r="H68" s="146"/>
    </row>
    <row r="69" spans="2:8">
      <c r="B69" s="369" t="s">
        <v>446</v>
      </c>
      <c r="C69" s="57"/>
      <c r="D69" s="57">
        <f>IF(C23&gt;0,F12*(1+C24)^C26,C11*(1+C24)^C26)</f>
        <v>1159274.0742999997</v>
      </c>
      <c r="E69" s="370"/>
      <c r="F69" s="57"/>
      <c r="G69" s="57"/>
      <c r="H69" s="146"/>
    </row>
    <row r="70" spans="2:8">
      <c r="B70" s="369" t="s">
        <v>447</v>
      </c>
      <c r="C70" s="57"/>
      <c r="D70" s="57">
        <f>E63</f>
        <v>0</v>
      </c>
      <c r="E70" s="370"/>
      <c r="F70" s="57"/>
      <c r="G70" s="57"/>
      <c r="H70" s="146"/>
    </row>
    <row r="71" spans="2:8">
      <c r="B71" s="1188" t="s">
        <v>1530</v>
      </c>
      <c r="C71" s="57"/>
      <c r="D71" s="57">
        <f>E66</f>
        <v>71673.333434999891</v>
      </c>
      <c r="E71" s="370"/>
      <c r="F71" s="57"/>
      <c r="G71" s="57"/>
      <c r="H71" s="146"/>
    </row>
    <row r="72" spans="2:8">
      <c r="B72" s="384"/>
      <c r="C72" s="57"/>
      <c r="D72" s="57"/>
      <c r="E72" s="370"/>
      <c r="F72" s="57"/>
      <c r="G72" s="57"/>
      <c r="H72" s="146"/>
    </row>
    <row r="73" spans="2:8">
      <c r="B73" s="369" t="s">
        <v>398</v>
      </c>
      <c r="C73" s="57">
        <f>IF(C23&gt;0,F12,C11)</f>
        <v>1000000</v>
      </c>
      <c r="D73" s="57"/>
      <c r="E73" s="370"/>
      <c r="F73" s="57"/>
      <c r="G73" s="57"/>
      <c r="H73" s="146"/>
    </row>
    <row r="74" spans="2:8">
      <c r="B74" s="369" t="s">
        <v>399</v>
      </c>
      <c r="C74" s="61">
        <f>C26*C53</f>
        <v>163636.36363636365</v>
      </c>
      <c r="D74" s="57"/>
      <c r="E74" s="370"/>
      <c r="F74" s="57"/>
      <c r="G74" s="57"/>
      <c r="H74" s="146"/>
    </row>
    <row r="75" spans="2:8">
      <c r="B75" s="369" t="s">
        <v>400</v>
      </c>
      <c r="C75" s="57"/>
      <c r="D75" s="61">
        <f>C73-C74</f>
        <v>836363.63636363635</v>
      </c>
      <c r="E75" s="370"/>
      <c r="F75" s="57"/>
      <c r="G75" s="57"/>
      <c r="H75" s="146"/>
    </row>
    <row r="76" spans="2:8">
      <c r="B76" s="384"/>
      <c r="C76" s="57"/>
      <c r="D76" s="57"/>
      <c r="E76" s="370"/>
      <c r="F76" s="57"/>
      <c r="G76" s="57"/>
      <c r="H76" s="146"/>
    </row>
    <row r="77" spans="2:8">
      <c r="B77" s="369" t="s">
        <v>401</v>
      </c>
      <c r="C77" s="57"/>
      <c r="D77" s="57">
        <f>D69-D70-D71-D75</f>
        <v>251237.10450136347</v>
      </c>
      <c r="E77" s="370"/>
      <c r="F77" s="57"/>
      <c r="G77" s="57"/>
      <c r="H77" s="146"/>
    </row>
    <row r="78" spans="2:8">
      <c r="B78" s="369" t="s">
        <v>449</v>
      </c>
      <c r="C78" s="57"/>
      <c r="D78" s="57"/>
      <c r="E78" s="560">
        <f>F14*D77</f>
        <v>70346.38926038178</v>
      </c>
      <c r="F78" s="57"/>
      <c r="G78" s="1150" t="s">
        <v>1389</v>
      </c>
      <c r="H78" s="146"/>
    </row>
    <row r="79" spans="2:8">
      <c r="B79" s="384"/>
      <c r="C79" s="57"/>
      <c r="D79" s="57"/>
      <c r="E79" s="370"/>
      <c r="H79" s="126"/>
    </row>
    <row r="80" spans="2:8" ht="13.5" thickBot="1">
      <c r="B80" s="557" t="s">
        <v>405</v>
      </c>
      <c r="C80" s="561"/>
      <c r="D80" s="561"/>
      <c r="E80" s="562">
        <f>E67-E78</f>
        <v>465890.53153913771</v>
      </c>
      <c r="H80" s="126"/>
    </row>
    <row r="81" spans="2:8" ht="13" thickBot="1">
      <c r="B81" s="384"/>
      <c r="C81" s="34"/>
      <c r="D81" s="34"/>
      <c r="E81" s="39"/>
      <c r="H81" s="126"/>
    </row>
    <row r="82" spans="2:8" ht="13.5" thickBot="1">
      <c r="B82" s="1617" t="s">
        <v>1612</v>
      </c>
      <c r="C82" s="1538"/>
      <c r="D82" s="1538"/>
      <c r="E82" s="1538"/>
      <c r="F82" s="1538"/>
      <c r="G82" s="1538"/>
      <c r="H82" s="1539"/>
    </row>
    <row r="83" spans="2:8" ht="13.5" thickBot="1">
      <c r="B83" s="157" t="s">
        <v>262</v>
      </c>
      <c r="C83" s="157">
        <v>0</v>
      </c>
      <c r="D83" s="157">
        <v>1</v>
      </c>
      <c r="E83" s="157">
        <v>2</v>
      </c>
      <c r="F83" s="157">
        <v>3</v>
      </c>
      <c r="G83" s="157">
        <v>4</v>
      </c>
      <c r="H83" s="157">
        <v>5</v>
      </c>
    </row>
    <row r="84" spans="2:8" ht="13" thickBot="1">
      <c r="B84" s="369" t="s">
        <v>451</v>
      </c>
      <c r="C84" s="34">
        <f>-C29</f>
        <v>-300000.00000000006</v>
      </c>
      <c r="D84" s="57">
        <f>C49</f>
        <v>19725.224916250474</v>
      </c>
      <c r="E84" s="57">
        <f>D49</f>
        <v>21225.224916250474</v>
      </c>
      <c r="F84" s="57">
        <f>E49</f>
        <v>22770.224916250474</v>
      </c>
      <c r="G84" s="57">
        <f>F49</f>
        <v>24361.574916250473</v>
      </c>
      <c r="H84" s="970">
        <f>G49+E67</f>
        <v>562237.58621576999</v>
      </c>
    </row>
    <row r="85" spans="2:8" ht="13.5" thickBot="1">
      <c r="B85" s="563" t="s">
        <v>407</v>
      </c>
      <c r="C85" s="155">
        <f>IRR(C84:H84,0.1)</f>
        <v>0.18360593316074802</v>
      </c>
      <c r="D85" s="34"/>
      <c r="E85" s="34"/>
      <c r="F85" s="34"/>
      <c r="G85" s="39"/>
      <c r="H85" s="146"/>
    </row>
    <row r="86" spans="2:8" ht="13" thickBot="1">
      <c r="B86" s="384"/>
      <c r="C86" s="39"/>
      <c r="D86" s="39"/>
      <c r="E86" s="39"/>
      <c r="F86" s="39"/>
      <c r="G86" s="39"/>
      <c r="H86" s="146"/>
    </row>
    <row r="87" spans="2:8" ht="13.5" thickBot="1">
      <c r="B87" s="157" t="s">
        <v>262</v>
      </c>
      <c r="C87" s="157">
        <v>0</v>
      </c>
      <c r="D87" s="157">
        <v>1</v>
      </c>
      <c r="E87" s="157">
        <v>2</v>
      </c>
      <c r="F87" s="157">
        <v>3</v>
      </c>
      <c r="G87" s="157">
        <v>4</v>
      </c>
      <c r="H87" s="157">
        <v>5</v>
      </c>
    </row>
    <row r="88" spans="2:8" ht="13" thickBot="1">
      <c r="B88" s="369" t="s">
        <v>452</v>
      </c>
      <c r="C88" s="34">
        <f>-C29</f>
        <v>-300000.00000000006</v>
      </c>
      <c r="D88" s="57">
        <f>C58</f>
        <v>16314.018043986096</v>
      </c>
      <c r="E88" s="57">
        <f>D58</f>
        <v>16808.723760345074</v>
      </c>
      <c r="F88" s="57">
        <f>E58</f>
        <v>17287.250339824575</v>
      </c>
      <c r="G88" s="57">
        <f>F58</f>
        <v>17746.537738022413</v>
      </c>
      <c r="H88" s="370">
        <f>G58+E80</f>
        <v>484073.75195197755</v>
      </c>
    </row>
    <row r="89" spans="2:8" ht="13.5" thickBot="1">
      <c r="B89" s="563" t="s">
        <v>453</v>
      </c>
      <c r="C89" s="155">
        <f>IRR(C88:H88,0.1)</f>
        <v>0.14069207118242444</v>
      </c>
      <c r="D89" s="34"/>
      <c r="E89" s="34"/>
      <c r="F89" s="34"/>
      <c r="G89" s="34"/>
      <c r="H89" s="309"/>
    </row>
    <row r="90" spans="2:8" ht="13.5" thickBot="1">
      <c r="B90" s="444" t="s">
        <v>414</v>
      </c>
      <c r="C90" s="155">
        <f>(C85-C89)/C85</f>
        <v>0.23372807860600159</v>
      </c>
      <c r="D90" s="39"/>
      <c r="E90" s="39"/>
      <c r="F90" s="39"/>
      <c r="G90" s="39"/>
      <c r="H90" s="146"/>
    </row>
    <row r="91" spans="2:8" ht="13.5" thickBot="1">
      <c r="B91" s="557"/>
      <c r="C91" s="392"/>
      <c r="D91" s="63"/>
      <c r="E91" s="63"/>
      <c r="F91" s="63"/>
      <c r="G91" s="63"/>
      <c r="H91" s="149"/>
    </row>
    <row r="92" spans="2:8" ht="13.5" thickBot="1">
      <c r="B92" s="573"/>
      <c r="C92" s="1"/>
      <c r="D92" s="39"/>
      <c r="E92" s="39"/>
      <c r="F92" s="39"/>
      <c r="G92" s="39"/>
      <c r="H92" s="146"/>
    </row>
    <row r="93" spans="2:8" ht="13.5" thickBot="1">
      <c r="B93" s="1617" t="s">
        <v>1613</v>
      </c>
      <c r="C93" s="1538"/>
      <c r="D93" s="1538"/>
      <c r="E93" s="1538"/>
      <c r="F93" s="1538"/>
      <c r="G93" s="1538"/>
      <c r="H93" s="1539"/>
    </row>
    <row r="94" spans="2:8" ht="13.5" thickBot="1">
      <c r="B94" s="157" t="s">
        <v>262</v>
      </c>
      <c r="C94" s="157">
        <v>0</v>
      </c>
      <c r="D94" s="157">
        <v>1</v>
      </c>
      <c r="E94" s="157">
        <v>2</v>
      </c>
      <c r="F94" s="157">
        <v>3</v>
      </c>
      <c r="G94" s="157">
        <v>4</v>
      </c>
      <c r="H94" s="157">
        <v>5</v>
      </c>
    </row>
    <row r="95" spans="2:8" ht="13" thickBot="1">
      <c r="B95" s="369" t="s">
        <v>335</v>
      </c>
      <c r="C95" s="34">
        <f>-C11</f>
        <v>-1000000</v>
      </c>
      <c r="D95" s="57">
        <f>C44</f>
        <v>100000</v>
      </c>
      <c r="E95" s="57">
        <f>D44</f>
        <v>103000</v>
      </c>
      <c r="F95" s="57">
        <f>E44</f>
        <v>106090</v>
      </c>
      <c r="G95" s="57">
        <f>F44</f>
        <v>109272.7</v>
      </c>
      <c r="H95" s="370">
        <f>G44+E62-E63</f>
        <v>1271824.9552999998</v>
      </c>
    </row>
    <row r="96" spans="2:8" ht="13.5" thickBot="1">
      <c r="B96" s="563" t="s">
        <v>455</v>
      </c>
      <c r="C96" s="155">
        <f>IRR(C95:H95,0.1)</f>
        <v>0.12999999999999989</v>
      </c>
      <c r="D96" s="39"/>
      <c r="E96" s="39"/>
      <c r="F96" s="39"/>
      <c r="G96" s="39"/>
      <c r="H96" s="146"/>
    </row>
    <row r="97" spans="2:8" ht="13" thickBot="1">
      <c r="B97" s="384"/>
      <c r="C97" s="39"/>
      <c r="D97" s="39"/>
      <c r="E97" s="39"/>
      <c r="F97" s="39"/>
      <c r="G97" s="39"/>
      <c r="H97" s="146"/>
    </row>
    <row r="98" spans="2:8" ht="13.5" thickBot="1">
      <c r="B98" s="157" t="s">
        <v>262</v>
      </c>
      <c r="C98" s="157">
        <v>0</v>
      </c>
      <c r="D98" s="157">
        <v>1</v>
      </c>
      <c r="E98" s="157">
        <v>2</v>
      </c>
      <c r="F98" s="157">
        <v>3</v>
      </c>
      <c r="G98" s="157">
        <v>4</v>
      </c>
      <c r="H98" s="157">
        <v>5</v>
      </c>
    </row>
    <row r="99" spans="2:8" ht="13" thickBot="1">
      <c r="B99" s="369" t="s">
        <v>456</v>
      </c>
      <c r="C99" s="34">
        <f>-C11</f>
        <v>-1000000</v>
      </c>
      <c r="D99" s="57">
        <f>C44-((C44-C53)*$F$14)</f>
        <v>81163.636363636368</v>
      </c>
      <c r="E99" s="57">
        <f>D44-((D44-D53)*$F$14)</f>
        <v>83323.636363636368</v>
      </c>
      <c r="F99" s="57">
        <f>E44-((E44-E53)*$F$14)</f>
        <v>85548.436363636371</v>
      </c>
      <c r="G99" s="57">
        <f>F44-((F44-F53)*$F$14)</f>
        <v>87839.980363636365</v>
      </c>
      <c r="H99" s="370">
        <f>G44-((G44-G53)*$F$14)+(E62-E63-E78)</f>
        <v>1179127.9557232545</v>
      </c>
    </row>
    <row r="100" spans="2:8" ht="13.5" thickBot="1">
      <c r="B100" s="563" t="s">
        <v>457</v>
      </c>
      <c r="C100" s="155">
        <f>IRR(C99:H99,0.1)</f>
        <v>9.9760736040729103E-2</v>
      </c>
      <c r="D100" s="39"/>
      <c r="E100" s="39"/>
      <c r="F100" s="39"/>
      <c r="G100" s="39"/>
      <c r="H100" s="146"/>
    </row>
    <row r="101" spans="2:8" ht="13.5" thickBot="1">
      <c r="B101" s="565"/>
      <c r="C101" s="566"/>
      <c r="D101" s="63"/>
      <c r="E101" s="63"/>
      <c r="F101" s="63"/>
      <c r="G101" s="63"/>
      <c r="H101" s="149"/>
    </row>
    <row r="102" spans="2:8" ht="13" thickBot="1">
      <c r="B102" s="171"/>
      <c r="C102" s="39"/>
      <c r="D102" s="34"/>
      <c r="E102" s="34"/>
      <c r="F102" s="34"/>
      <c r="G102" s="34"/>
      <c r="H102" s="309"/>
    </row>
    <row r="103" spans="2:8" ht="13.5" thickBot="1">
      <c r="B103" s="1617" t="s">
        <v>53</v>
      </c>
      <c r="C103" s="1538"/>
      <c r="D103" s="1538"/>
      <c r="E103" s="1538"/>
      <c r="F103" s="1538"/>
      <c r="G103" s="1538"/>
      <c r="H103" s="1539"/>
    </row>
    <row r="104" spans="2:8" ht="13.5" thickBot="1">
      <c r="B104" s="157" t="s">
        <v>262</v>
      </c>
      <c r="C104" s="157">
        <v>0</v>
      </c>
      <c r="D104" s="157">
        <v>1</v>
      </c>
      <c r="E104" s="157">
        <v>2</v>
      </c>
      <c r="F104" s="157">
        <v>3</v>
      </c>
      <c r="G104" s="157">
        <v>4</v>
      </c>
      <c r="H104" s="157">
        <v>5</v>
      </c>
    </row>
    <row r="105" spans="2:8">
      <c r="B105" s="171" t="s">
        <v>458</v>
      </c>
      <c r="D105" s="231">
        <f>+C45</f>
        <v>80274.775083749526</v>
      </c>
      <c r="E105" s="231">
        <f>+D45</f>
        <v>80274.775083749526</v>
      </c>
      <c r="F105" s="231">
        <f>+E45</f>
        <v>80274.775083749526</v>
      </c>
      <c r="G105" s="231">
        <f>+F45</f>
        <v>80274.775083749526</v>
      </c>
      <c r="H105" s="256">
        <f>+G45</f>
        <v>80274.775083749526</v>
      </c>
    </row>
    <row r="106" spans="2:8">
      <c r="B106" s="171" t="s">
        <v>459</v>
      </c>
      <c r="C106" s="39"/>
      <c r="D106" s="78"/>
      <c r="E106" s="78"/>
      <c r="F106" s="78"/>
      <c r="G106" s="78"/>
      <c r="H106" s="257">
        <f>+E64</f>
        <v>551363.82006548031</v>
      </c>
    </row>
    <row r="107" spans="2:8">
      <c r="B107" s="171" t="s">
        <v>448</v>
      </c>
      <c r="C107" s="39"/>
      <c r="D107" s="1364">
        <f>+C54</f>
        <v>0</v>
      </c>
      <c r="E107" s="1364">
        <f>+D54</f>
        <v>1500</v>
      </c>
      <c r="F107" s="1364">
        <f>+E54</f>
        <v>3045</v>
      </c>
      <c r="G107" s="1364">
        <f>+F54</f>
        <v>4636.3499999999985</v>
      </c>
      <c r="H107" s="1365">
        <f>+G54+E66</f>
        <v>77948.773934999888</v>
      </c>
    </row>
    <row r="108" spans="2:8">
      <c r="B108" s="171" t="s">
        <v>460</v>
      </c>
      <c r="C108" s="92">
        <f>-C30</f>
        <v>-700000</v>
      </c>
      <c r="D108" s="78"/>
      <c r="E108" s="78"/>
      <c r="F108" s="78"/>
      <c r="G108" s="78"/>
      <c r="H108" s="257"/>
    </row>
    <row r="109" spans="2:8">
      <c r="B109" s="171" t="s">
        <v>461</v>
      </c>
      <c r="C109" s="92">
        <f t="shared" ref="C109:H109" si="0">+C105+C106+C107+C108</f>
        <v>-700000</v>
      </c>
      <c r="D109" s="78">
        <f t="shared" si="0"/>
        <v>80274.775083749526</v>
      </c>
      <c r="E109" s="78">
        <f t="shared" si="0"/>
        <v>81774.775083749526</v>
      </c>
      <c r="F109" s="78">
        <f t="shared" si="0"/>
        <v>83319.775083749526</v>
      </c>
      <c r="G109" s="78">
        <f t="shared" si="0"/>
        <v>84911.125083749532</v>
      </c>
      <c r="H109" s="257">
        <f t="shared" si="0"/>
        <v>709587.36908422969</v>
      </c>
    </row>
    <row r="110" spans="2:8" ht="13" thickBot="1">
      <c r="B110" s="171"/>
      <c r="C110" s="39"/>
      <c r="D110" s="78"/>
      <c r="E110" s="78"/>
      <c r="F110" s="78"/>
      <c r="G110" s="78"/>
      <c r="H110" s="257"/>
    </row>
    <row r="111" spans="2:8" ht="13.5" thickBot="1">
      <c r="B111" s="171" t="s">
        <v>1391</v>
      </c>
      <c r="C111" s="155">
        <f>IRR(C109:H109)</f>
        <v>0.10068204705224271</v>
      </c>
      <c r="D111" s="78"/>
      <c r="E111" s="78"/>
      <c r="F111" s="78"/>
      <c r="G111" s="78"/>
      <c r="H111" s="257"/>
    </row>
    <row r="112" spans="2:8" ht="13.5" thickBot="1">
      <c r="B112" s="567" t="s">
        <v>1395</v>
      </c>
      <c r="C112" s="155">
        <f>C180</f>
        <v>0.10168081849386468</v>
      </c>
      <c r="D112" s="971" t="s">
        <v>1393</v>
      </c>
      <c r="E112" s="260"/>
      <c r="F112" s="260"/>
      <c r="G112" s="260"/>
      <c r="H112" s="261"/>
    </row>
    <row r="113" spans="2:8">
      <c r="B113" s="171"/>
      <c r="D113" s="39"/>
      <c r="E113" s="39"/>
      <c r="F113" s="39"/>
      <c r="G113" s="39"/>
      <c r="H113" s="146"/>
    </row>
    <row r="114" spans="2:8" ht="13" thickBot="1">
      <c r="B114" s="171"/>
      <c r="C114" s="39"/>
      <c r="D114" s="39"/>
      <c r="E114" s="39"/>
      <c r="F114" s="39"/>
      <c r="G114" s="39"/>
      <c r="H114" s="146"/>
    </row>
    <row r="115" spans="2:8" ht="13.5" thickBot="1">
      <c r="B115" s="1531" t="s">
        <v>1392</v>
      </c>
      <c r="C115" s="1533"/>
      <c r="D115" s="22"/>
      <c r="E115" s="22"/>
      <c r="F115" s="22"/>
      <c r="G115" s="22"/>
      <c r="H115" s="575"/>
    </row>
    <row r="116" spans="2:8" ht="13" thickBot="1">
      <c r="B116" s="124"/>
      <c r="C116" s="126"/>
      <c r="H116" s="126"/>
    </row>
    <row r="117" spans="2:8" ht="13.5" thickBot="1">
      <c r="B117" s="157" t="s">
        <v>216</v>
      </c>
      <c r="C117" s="157" t="s">
        <v>824</v>
      </c>
      <c r="D117" s="6"/>
      <c r="E117" s="6"/>
      <c r="F117" s="6"/>
      <c r="G117" s="6"/>
      <c r="H117" s="575"/>
    </row>
    <row r="118" spans="2:8">
      <c r="B118" s="124">
        <v>0</v>
      </c>
      <c r="C118" s="975">
        <f>C108</f>
        <v>-700000</v>
      </c>
      <c r="H118" s="126"/>
    </row>
    <row r="119" spans="2:8">
      <c r="B119" s="124">
        <v>1</v>
      </c>
      <c r="C119" s="975">
        <f>($C$45+$C$48)/12</f>
        <v>6689.5645903124605</v>
      </c>
      <c r="E119" s="160"/>
      <c r="F119" s="160"/>
      <c r="G119" s="160"/>
      <c r="H119" s="568"/>
    </row>
    <row r="120" spans="2:8">
      <c r="B120" s="124">
        <v>2</v>
      </c>
      <c r="C120" s="975">
        <f t="shared" ref="C120:C130" si="1">($C$45+$C$48)/12</f>
        <v>6689.5645903124605</v>
      </c>
      <c r="D120" s="79"/>
      <c r="E120" s="160"/>
      <c r="F120" s="160"/>
      <c r="G120" s="160"/>
      <c r="H120" s="568"/>
    </row>
    <row r="121" spans="2:8">
      <c r="B121" s="124">
        <v>3</v>
      </c>
      <c r="C121" s="975">
        <f t="shared" si="1"/>
        <v>6689.5645903124605</v>
      </c>
      <c r="D121" s="79"/>
      <c r="E121" s="160"/>
      <c r="F121" s="160"/>
      <c r="G121" s="160"/>
      <c r="H121" s="568"/>
    </row>
    <row r="122" spans="2:8">
      <c r="B122" s="124">
        <v>4</v>
      </c>
      <c r="C122" s="975">
        <f t="shared" si="1"/>
        <v>6689.5645903124605</v>
      </c>
      <c r="D122" s="79"/>
      <c r="E122" s="160"/>
      <c r="F122" s="160"/>
      <c r="G122" s="160"/>
      <c r="H122" s="568"/>
    </row>
    <row r="123" spans="2:8">
      <c r="B123" s="124">
        <v>5</v>
      </c>
      <c r="C123" s="975">
        <f t="shared" si="1"/>
        <v>6689.5645903124605</v>
      </c>
      <c r="D123" s="79"/>
      <c r="E123" s="160"/>
      <c r="F123" s="160"/>
      <c r="G123" s="160"/>
      <c r="H123" s="568"/>
    </row>
    <row r="124" spans="2:8">
      <c r="B124" s="124">
        <v>6</v>
      </c>
      <c r="C124" s="975">
        <f t="shared" si="1"/>
        <v>6689.5645903124605</v>
      </c>
      <c r="D124" s="79"/>
      <c r="E124" s="160"/>
      <c r="F124" s="160"/>
      <c r="G124" s="160"/>
      <c r="H124" s="568"/>
    </row>
    <row r="125" spans="2:8">
      <c r="B125" s="124">
        <v>7</v>
      </c>
      <c r="C125" s="975">
        <f t="shared" si="1"/>
        <v>6689.5645903124605</v>
      </c>
      <c r="D125" s="79"/>
      <c r="E125" s="160"/>
      <c r="F125" s="160"/>
      <c r="G125" s="160"/>
      <c r="H125" s="568"/>
    </row>
    <row r="126" spans="2:8">
      <c r="B126" s="124">
        <v>8</v>
      </c>
      <c r="C126" s="975">
        <f t="shared" si="1"/>
        <v>6689.5645903124605</v>
      </c>
      <c r="D126" s="79"/>
      <c r="E126" s="160"/>
      <c r="F126" s="160"/>
      <c r="G126" s="160"/>
      <c r="H126" s="568"/>
    </row>
    <row r="127" spans="2:8">
      <c r="B127" s="124">
        <v>9</v>
      </c>
      <c r="C127" s="975">
        <f t="shared" si="1"/>
        <v>6689.5645903124605</v>
      </c>
      <c r="D127" s="79"/>
      <c r="E127" s="160"/>
      <c r="F127" s="160"/>
      <c r="G127" s="160"/>
      <c r="H127" s="568"/>
    </row>
    <row r="128" spans="2:8">
      <c r="B128" s="124">
        <v>10</v>
      </c>
      <c r="C128" s="975">
        <f t="shared" si="1"/>
        <v>6689.5645903124605</v>
      </c>
      <c r="D128" s="79"/>
      <c r="E128" s="160"/>
      <c r="F128" s="160"/>
      <c r="G128" s="160"/>
      <c r="H128" s="568"/>
    </row>
    <row r="129" spans="2:8">
      <c r="B129" s="124">
        <v>11</v>
      </c>
      <c r="C129" s="975">
        <f t="shared" si="1"/>
        <v>6689.5645903124605</v>
      </c>
      <c r="D129" s="79"/>
      <c r="E129" s="160"/>
      <c r="F129" s="160"/>
      <c r="G129" s="160"/>
      <c r="H129" s="568"/>
    </row>
    <row r="130" spans="2:8">
      <c r="B130" s="124">
        <v>12</v>
      </c>
      <c r="C130" s="975">
        <f t="shared" si="1"/>
        <v>6689.5645903124605</v>
      </c>
      <c r="D130" s="79"/>
      <c r="E130" s="160"/>
      <c r="F130" s="160"/>
      <c r="G130" s="160"/>
      <c r="H130" s="568"/>
    </row>
    <row r="131" spans="2:8">
      <c r="B131" s="124">
        <v>13</v>
      </c>
      <c r="C131" s="975">
        <f>($D$45+$D$48)/12</f>
        <v>6814.5645903124605</v>
      </c>
      <c r="D131" s="79"/>
      <c r="E131" s="160"/>
      <c r="F131" s="160"/>
      <c r="G131" s="160"/>
      <c r="H131" s="568"/>
    </row>
    <row r="132" spans="2:8">
      <c r="B132" s="124">
        <v>14</v>
      </c>
      <c r="C132" s="975">
        <f t="shared" ref="C132:C142" si="2">($D$45+$D$48)/12</f>
        <v>6814.5645903124605</v>
      </c>
      <c r="D132" s="79"/>
      <c r="E132" s="160"/>
      <c r="F132" s="160"/>
      <c r="G132" s="160"/>
      <c r="H132" s="568"/>
    </row>
    <row r="133" spans="2:8">
      <c r="B133" s="124">
        <v>15</v>
      </c>
      <c r="C133" s="975">
        <f t="shared" si="2"/>
        <v>6814.5645903124605</v>
      </c>
      <c r="D133" s="79"/>
      <c r="E133" s="160"/>
      <c r="F133" s="160"/>
      <c r="G133" s="160"/>
      <c r="H133" s="568"/>
    </row>
    <row r="134" spans="2:8">
      <c r="B134" s="124">
        <v>16</v>
      </c>
      <c r="C134" s="975">
        <f t="shared" si="2"/>
        <v>6814.5645903124605</v>
      </c>
      <c r="D134" s="79"/>
      <c r="E134" s="160"/>
      <c r="F134" s="160"/>
      <c r="G134" s="160"/>
      <c r="H134" s="568"/>
    </row>
    <row r="135" spans="2:8">
      <c r="B135" s="124">
        <v>17</v>
      </c>
      <c r="C135" s="975">
        <f t="shared" si="2"/>
        <v>6814.5645903124605</v>
      </c>
      <c r="D135" s="79"/>
      <c r="E135" s="160"/>
      <c r="F135" s="160"/>
      <c r="G135" s="160"/>
      <c r="H135" s="568"/>
    </row>
    <row r="136" spans="2:8">
      <c r="B136" s="124">
        <v>18</v>
      </c>
      <c r="C136" s="975">
        <f t="shared" si="2"/>
        <v>6814.5645903124605</v>
      </c>
      <c r="D136" s="79"/>
      <c r="E136" s="160"/>
      <c r="F136" s="160"/>
      <c r="G136" s="160"/>
      <c r="H136" s="568"/>
    </row>
    <row r="137" spans="2:8">
      <c r="B137" s="124">
        <v>19</v>
      </c>
      <c r="C137" s="975">
        <f t="shared" si="2"/>
        <v>6814.5645903124605</v>
      </c>
      <c r="D137" s="79"/>
      <c r="E137" s="160"/>
      <c r="F137" s="160"/>
      <c r="G137" s="160"/>
      <c r="H137" s="568"/>
    </row>
    <row r="138" spans="2:8">
      <c r="B138" s="124">
        <v>20</v>
      </c>
      <c r="C138" s="975">
        <f t="shared" si="2"/>
        <v>6814.5645903124605</v>
      </c>
      <c r="D138" s="79"/>
      <c r="E138" s="160"/>
      <c r="F138" s="160"/>
      <c r="G138" s="160"/>
      <c r="H138" s="568"/>
    </row>
    <row r="139" spans="2:8">
      <c r="B139" s="124">
        <v>21</v>
      </c>
      <c r="C139" s="975">
        <f t="shared" si="2"/>
        <v>6814.5645903124605</v>
      </c>
      <c r="D139" s="79"/>
      <c r="E139" s="160"/>
      <c r="F139" s="160"/>
      <c r="G139" s="160"/>
      <c r="H139" s="568"/>
    </row>
    <row r="140" spans="2:8">
      <c r="B140" s="124">
        <v>22</v>
      </c>
      <c r="C140" s="975">
        <f t="shared" si="2"/>
        <v>6814.5645903124605</v>
      </c>
      <c r="D140" s="79"/>
      <c r="E140" s="160"/>
      <c r="F140" s="160"/>
      <c r="G140" s="160"/>
      <c r="H140" s="568"/>
    </row>
    <row r="141" spans="2:8">
      <c r="B141" s="124">
        <v>23</v>
      </c>
      <c r="C141" s="975">
        <f t="shared" si="2"/>
        <v>6814.5645903124605</v>
      </c>
      <c r="D141" s="79"/>
      <c r="E141" s="160"/>
      <c r="F141" s="160"/>
      <c r="G141" s="160"/>
      <c r="H141" s="568"/>
    </row>
    <row r="142" spans="2:8">
      <c r="B142" s="124">
        <v>24</v>
      </c>
      <c r="C142" s="975">
        <f t="shared" si="2"/>
        <v>6814.5645903124605</v>
      </c>
      <c r="D142" s="79"/>
      <c r="E142" s="160"/>
      <c r="F142" s="160"/>
      <c r="G142" s="160"/>
      <c r="H142" s="568"/>
    </row>
    <row r="143" spans="2:8">
      <c r="B143" s="124">
        <v>25</v>
      </c>
      <c r="C143" s="975">
        <f>($E$45+$E$48)/12</f>
        <v>6943.3145903124605</v>
      </c>
      <c r="D143" s="79"/>
      <c r="E143" s="160"/>
      <c r="F143" s="160"/>
      <c r="G143" s="160"/>
      <c r="H143" s="568"/>
    </row>
    <row r="144" spans="2:8">
      <c r="B144" s="124">
        <v>26</v>
      </c>
      <c r="C144" s="975">
        <f t="shared" ref="C144:C154" si="3">($E$45+$E$48)/12</f>
        <v>6943.3145903124605</v>
      </c>
      <c r="D144" s="79"/>
      <c r="E144" s="160"/>
      <c r="F144" s="160"/>
      <c r="G144" s="160"/>
      <c r="H144" s="568"/>
    </row>
    <row r="145" spans="2:8">
      <c r="B145" s="124">
        <v>27</v>
      </c>
      <c r="C145" s="975">
        <f t="shared" si="3"/>
        <v>6943.3145903124605</v>
      </c>
      <c r="D145" s="79"/>
      <c r="E145" s="160"/>
      <c r="F145" s="160"/>
      <c r="G145" s="160"/>
      <c r="H145" s="568"/>
    </row>
    <row r="146" spans="2:8">
      <c r="B146" s="124">
        <v>28</v>
      </c>
      <c r="C146" s="975">
        <f t="shared" si="3"/>
        <v>6943.3145903124605</v>
      </c>
      <c r="D146" s="79"/>
      <c r="E146" s="160"/>
      <c r="F146" s="160"/>
      <c r="G146" s="160"/>
      <c r="H146" s="568"/>
    </row>
    <row r="147" spans="2:8">
      <c r="B147" s="124">
        <v>29</v>
      </c>
      <c r="C147" s="975">
        <f t="shared" si="3"/>
        <v>6943.3145903124605</v>
      </c>
      <c r="D147" s="79"/>
      <c r="E147" s="160"/>
      <c r="F147" s="160"/>
      <c r="G147" s="160"/>
      <c r="H147" s="568"/>
    </row>
    <row r="148" spans="2:8">
      <c r="B148" s="124">
        <v>30</v>
      </c>
      <c r="C148" s="975">
        <f t="shared" si="3"/>
        <v>6943.3145903124605</v>
      </c>
      <c r="D148" s="79"/>
      <c r="E148" s="160"/>
      <c r="F148" s="160"/>
      <c r="G148" s="160"/>
      <c r="H148" s="568"/>
    </row>
    <row r="149" spans="2:8">
      <c r="B149" s="124">
        <v>31</v>
      </c>
      <c r="C149" s="975">
        <f t="shared" si="3"/>
        <v>6943.3145903124605</v>
      </c>
      <c r="D149" s="79"/>
      <c r="E149" s="160"/>
      <c r="F149" s="160"/>
      <c r="G149" s="160"/>
      <c r="H149" s="568"/>
    </row>
    <row r="150" spans="2:8">
      <c r="B150" s="124">
        <v>32</v>
      </c>
      <c r="C150" s="975">
        <f t="shared" si="3"/>
        <v>6943.3145903124605</v>
      </c>
      <c r="D150" s="79"/>
      <c r="E150" s="160"/>
      <c r="F150" s="160"/>
      <c r="G150" s="160"/>
      <c r="H150" s="568"/>
    </row>
    <row r="151" spans="2:8">
      <c r="B151" s="124">
        <v>33</v>
      </c>
      <c r="C151" s="975">
        <f t="shared" si="3"/>
        <v>6943.3145903124605</v>
      </c>
      <c r="D151" s="79"/>
      <c r="E151" s="160"/>
      <c r="F151" s="160"/>
      <c r="G151" s="160"/>
      <c r="H151" s="568"/>
    </row>
    <row r="152" spans="2:8">
      <c r="B152" s="124">
        <v>34</v>
      </c>
      <c r="C152" s="975">
        <f t="shared" si="3"/>
        <v>6943.3145903124605</v>
      </c>
      <c r="D152" s="79"/>
      <c r="E152" s="160"/>
      <c r="F152" s="160"/>
      <c r="G152" s="160"/>
      <c r="H152" s="568"/>
    </row>
    <row r="153" spans="2:8">
      <c r="B153" s="124">
        <v>35</v>
      </c>
      <c r="C153" s="975">
        <f t="shared" si="3"/>
        <v>6943.3145903124605</v>
      </c>
      <c r="D153" s="79"/>
      <c r="E153" s="160"/>
      <c r="F153" s="160"/>
      <c r="G153" s="160"/>
      <c r="H153" s="568"/>
    </row>
    <row r="154" spans="2:8">
      <c r="B154" s="124">
        <v>36</v>
      </c>
      <c r="C154" s="975">
        <f t="shared" si="3"/>
        <v>6943.3145903124605</v>
      </c>
      <c r="D154" s="79"/>
      <c r="E154" s="160"/>
      <c r="F154" s="160"/>
      <c r="G154" s="160"/>
      <c r="H154" s="568"/>
    </row>
    <row r="155" spans="2:8">
      <c r="B155" s="124">
        <v>37</v>
      </c>
      <c r="C155" s="975">
        <f>($F$45+$F$48)/12</f>
        <v>7075.9270903124607</v>
      </c>
      <c r="D155" s="79"/>
      <c r="E155" s="160"/>
      <c r="F155" s="160"/>
      <c r="G155" s="160"/>
      <c r="H155" s="568"/>
    </row>
    <row r="156" spans="2:8">
      <c r="B156" s="124">
        <v>38</v>
      </c>
      <c r="C156" s="975">
        <f t="shared" ref="C156:C166" si="4">($F$45+$F$48)/12</f>
        <v>7075.9270903124607</v>
      </c>
      <c r="D156" s="79"/>
      <c r="E156" s="160"/>
      <c r="F156" s="160"/>
      <c r="G156" s="160"/>
      <c r="H156" s="568"/>
    </row>
    <row r="157" spans="2:8">
      <c r="B157" s="124">
        <v>39</v>
      </c>
      <c r="C157" s="975">
        <f t="shared" si="4"/>
        <v>7075.9270903124607</v>
      </c>
      <c r="D157" s="79"/>
      <c r="E157" s="160"/>
      <c r="F157" s="160"/>
      <c r="G157" s="160"/>
      <c r="H157" s="568"/>
    </row>
    <row r="158" spans="2:8">
      <c r="B158" s="124">
        <v>40</v>
      </c>
      <c r="C158" s="975">
        <f t="shared" si="4"/>
        <v>7075.9270903124607</v>
      </c>
      <c r="D158" s="79"/>
      <c r="E158" s="160"/>
      <c r="F158" s="160"/>
      <c r="G158" s="160"/>
      <c r="H158" s="568"/>
    </row>
    <row r="159" spans="2:8">
      <c r="B159" s="124">
        <v>41</v>
      </c>
      <c r="C159" s="975">
        <f t="shared" si="4"/>
        <v>7075.9270903124607</v>
      </c>
      <c r="D159" s="79"/>
      <c r="E159" s="160"/>
      <c r="F159" s="160"/>
      <c r="G159" s="160"/>
      <c r="H159" s="568"/>
    </row>
    <row r="160" spans="2:8">
      <c r="B160" s="124">
        <v>42</v>
      </c>
      <c r="C160" s="975">
        <f t="shared" si="4"/>
        <v>7075.9270903124607</v>
      </c>
      <c r="D160" s="79"/>
      <c r="E160" s="160"/>
      <c r="F160" s="160"/>
      <c r="G160" s="160"/>
      <c r="H160" s="568"/>
    </row>
    <row r="161" spans="2:8">
      <c r="B161" s="124">
        <v>43</v>
      </c>
      <c r="C161" s="975">
        <f t="shared" si="4"/>
        <v>7075.9270903124607</v>
      </c>
      <c r="D161" s="79"/>
      <c r="E161" s="160"/>
      <c r="F161" s="160"/>
      <c r="G161" s="160"/>
      <c r="H161" s="568"/>
    </row>
    <row r="162" spans="2:8">
      <c r="B162" s="124">
        <v>44</v>
      </c>
      <c r="C162" s="975">
        <f t="shared" si="4"/>
        <v>7075.9270903124607</v>
      </c>
      <c r="D162" s="79"/>
      <c r="E162" s="160"/>
      <c r="F162" s="160"/>
      <c r="G162" s="160"/>
      <c r="H162" s="568"/>
    </row>
    <row r="163" spans="2:8">
      <c r="B163" s="124">
        <v>45</v>
      </c>
      <c r="C163" s="975">
        <f t="shared" si="4"/>
        <v>7075.9270903124607</v>
      </c>
      <c r="D163" s="79"/>
      <c r="E163" s="160"/>
      <c r="F163" s="160"/>
      <c r="G163" s="160"/>
      <c r="H163" s="568"/>
    </row>
    <row r="164" spans="2:8">
      <c r="B164" s="124">
        <v>46</v>
      </c>
      <c r="C164" s="975">
        <f t="shared" si="4"/>
        <v>7075.9270903124607</v>
      </c>
      <c r="D164" s="79"/>
      <c r="E164" s="160"/>
      <c r="F164" s="160"/>
      <c r="G164" s="160"/>
      <c r="H164" s="568"/>
    </row>
    <row r="165" spans="2:8">
      <c r="B165" s="124">
        <v>47</v>
      </c>
      <c r="C165" s="975">
        <f t="shared" si="4"/>
        <v>7075.9270903124607</v>
      </c>
      <c r="D165" s="79"/>
      <c r="E165" s="160"/>
      <c r="F165" s="160"/>
      <c r="G165" s="160"/>
      <c r="H165" s="568"/>
    </row>
    <row r="166" spans="2:8">
      <c r="B166" s="124">
        <v>48</v>
      </c>
      <c r="C166" s="975">
        <f t="shared" si="4"/>
        <v>7075.9270903124607</v>
      </c>
      <c r="D166" s="79"/>
      <c r="E166" s="160"/>
      <c r="F166" s="160"/>
      <c r="G166" s="160"/>
      <c r="H166" s="568"/>
    </row>
    <row r="167" spans="2:8">
      <c r="B167" s="124">
        <v>49</v>
      </c>
      <c r="C167" s="975">
        <f>($G$45+$G$48)/12</f>
        <v>7212.5179653124605</v>
      </c>
      <c r="D167" s="79"/>
      <c r="E167" s="160"/>
      <c r="F167" s="160"/>
      <c r="G167" s="160"/>
      <c r="H167" s="568"/>
    </row>
    <row r="168" spans="2:8">
      <c r="B168" s="124">
        <v>50</v>
      </c>
      <c r="C168" s="975">
        <f t="shared" ref="C168:C177" si="5">($G$45+$G$48)/12</f>
        <v>7212.5179653124605</v>
      </c>
      <c r="D168" s="79"/>
      <c r="E168" s="160"/>
      <c r="F168" s="160"/>
      <c r="G168" s="160"/>
      <c r="H168" s="568"/>
    </row>
    <row r="169" spans="2:8">
      <c r="B169" s="124">
        <v>51</v>
      </c>
      <c r="C169" s="975">
        <f t="shared" si="5"/>
        <v>7212.5179653124605</v>
      </c>
      <c r="D169" s="79"/>
      <c r="E169" s="160"/>
      <c r="F169" s="160"/>
      <c r="G169" s="160"/>
      <c r="H169" s="568"/>
    </row>
    <row r="170" spans="2:8">
      <c r="B170" s="124">
        <v>52</v>
      </c>
      <c r="C170" s="975">
        <f t="shared" si="5"/>
        <v>7212.5179653124605</v>
      </c>
      <c r="D170" s="79"/>
      <c r="E170" s="160"/>
      <c r="F170" s="160"/>
      <c r="G170" s="160"/>
      <c r="H170" s="568"/>
    </row>
    <row r="171" spans="2:8">
      <c r="B171" s="124">
        <v>53</v>
      </c>
      <c r="C171" s="975">
        <f t="shared" si="5"/>
        <v>7212.5179653124605</v>
      </c>
      <c r="D171" s="79"/>
      <c r="E171" s="160"/>
      <c r="F171" s="160"/>
      <c r="G171" s="160"/>
      <c r="H171" s="568"/>
    </row>
    <row r="172" spans="2:8">
      <c r="B172" s="124">
        <v>54</v>
      </c>
      <c r="C172" s="975">
        <f t="shared" si="5"/>
        <v>7212.5179653124605</v>
      </c>
      <c r="D172" s="79"/>
      <c r="E172" s="160"/>
      <c r="F172" s="160"/>
      <c r="G172" s="160"/>
      <c r="H172" s="568"/>
    </row>
    <row r="173" spans="2:8">
      <c r="B173" s="124">
        <v>55</v>
      </c>
      <c r="C173" s="975">
        <f t="shared" si="5"/>
        <v>7212.5179653124605</v>
      </c>
      <c r="D173" s="79"/>
      <c r="E173" s="160"/>
      <c r="F173" s="160"/>
      <c r="G173" s="160"/>
      <c r="H173" s="568"/>
    </row>
    <row r="174" spans="2:8">
      <c r="B174" s="124">
        <v>56</v>
      </c>
      <c r="C174" s="975">
        <f t="shared" si="5"/>
        <v>7212.5179653124605</v>
      </c>
      <c r="D174" s="79"/>
      <c r="E174" s="160"/>
      <c r="F174" s="160"/>
      <c r="G174" s="160"/>
      <c r="H174" s="568"/>
    </row>
    <row r="175" spans="2:8">
      <c r="B175" s="124">
        <v>57</v>
      </c>
      <c r="C175" s="975">
        <f t="shared" si="5"/>
        <v>7212.5179653124605</v>
      </c>
      <c r="D175" s="79"/>
      <c r="E175" s="160"/>
      <c r="F175" s="160"/>
      <c r="G175" s="160"/>
      <c r="H175" s="568"/>
    </row>
    <row r="176" spans="2:8">
      <c r="B176" s="124">
        <v>58</v>
      </c>
      <c r="C176" s="975">
        <f t="shared" si="5"/>
        <v>7212.5179653124605</v>
      </c>
      <c r="D176" s="79"/>
      <c r="E176" s="160"/>
      <c r="F176" s="160"/>
      <c r="G176" s="160"/>
      <c r="H176" s="568"/>
    </row>
    <row r="177" spans="2:8">
      <c r="B177" s="124">
        <v>59</v>
      </c>
      <c r="C177" s="975">
        <f t="shared" si="5"/>
        <v>7212.5179653124605</v>
      </c>
      <c r="D177" s="79"/>
      <c r="E177" s="160"/>
      <c r="F177" s="160"/>
      <c r="G177" s="160"/>
      <c r="H177" s="568"/>
    </row>
    <row r="178" spans="2:8">
      <c r="B178" s="124">
        <v>60</v>
      </c>
      <c r="C178" s="975">
        <f>($G$45+$G$48)/12+E66+H106</f>
        <v>630249.67146579269</v>
      </c>
      <c r="D178" s="79"/>
      <c r="E178" s="160"/>
      <c r="F178" s="160"/>
      <c r="G178" s="160"/>
      <c r="H178" s="568"/>
    </row>
    <row r="179" spans="2:8" ht="13" thickBot="1">
      <c r="B179" s="124"/>
      <c r="C179" s="126"/>
      <c r="H179" s="126"/>
    </row>
    <row r="180" spans="2:8" ht="13.5" thickBot="1">
      <c r="B180" s="155" t="s">
        <v>903</v>
      </c>
      <c r="C180" s="155">
        <f>IRR(C118:C178,0.1/12)*12</f>
        <v>0.10168081849386468</v>
      </c>
      <c r="D180" s="4"/>
      <c r="E180" s="4"/>
      <c r="F180" s="4"/>
      <c r="G180" s="4"/>
      <c r="H180" s="135"/>
    </row>
  </sheetData>
  <mergeCells count="13">
    <mergeCell ref="B93:H93"/>
    <mergeCell ref="B103:H103"/>
    <mergeCell ref="B115:C115"/>
    <mergeCell ref="B61:E61"/>
    <mergeCell ref="B35:G35"/>
    <mergeCell ref="B42:G42"/>
    <mergeCell ref="B82:H82"/>
    <mergeCell ref="B10:G10"/>
    <mergeCell ref="B2:H2"/>
    <mergeCell ref="B3:H3"/>
    <mergeCell ref="B7:H7"/>
    <mergeCell ref="B5:H5"/>
    <mergeCell ref="B6:H6"/>
  </mergeCells>
  <phoneticPr fontId="0" type="noConversion"/>
  <pageMargins left="0.75" right="0.75" top="1" bottom="1" header="0.5" footer="0.5"/>
  <pageSetup orientation="portrait" r:id="rId1"/>
  <headerFooter alignWithMargins="0"/>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D7DB-177B-4033-8007-325FEA62BB1F}">
  <sheetPr>
    <tabColor rgb="FFEBB901"/>
  </sheetPr>
  <dimension ref="B1:H181"/>
  <sheetViews>
    <sheetView workbookViewId="0"/>
  </sheetViews>
  <sheetFormatPr defaultRowHeight="12.5"/>
  <cols>
    <col min="2" max="2" width="31" customWidth="1"/>
    <col min="3" max="3" width="11.81640625" bestFit="1" customWidth="1"/>
    <col min="4" max="4" width="12.453125" bestFit="1" customWidth="1"/>
    <col min="5" max="5" width="18.7265625" customWidth="1"/>
    <col min="6" max="6" width="11.1796875" customWidth="1"/>
    <col min="7" max="7" width="11.7265625" customWidth="1"/>
    <col min="8" max="8" width="11.453125" customWidth="1"/>
  </cols>
  <sheetData>
    <row r="1" spans="2:8" ht="13" thickBot="1"/>
    <row r="2" spans="2:8" ht="18.5" thickBot="1">
      <c r="B2" s="1618" t="s">
        <v>1725</v>
      </c>
      <c r="C2" s="1526"/>
      <c r="D2" s="1526"/>
      <c r="E2" s="1526"/>
      <c r="F2" s="1526"/>
      <c r="G2" s="1526"/>
      <c r="H2" s="1527"/>
    </row>
    <row r="3" spans="2:8" ht="16" thickBot="1">
      <c r="B3" s="1619" t="s">
        <v>1226</v>
      </c>
      <c r="C3" s="1529"/>
      <c r="D3" s="1529"/>
      <c r="E3" s="1529"/>
      <c r="F3" s="1529"/>
      <c r="G3" s="1529"/>
      <c r="H3" s="1530"/>
    </row>
    <row r="4" spans="2:8" ht="15.5">
      <c r="B4" s="569"/>
      <c r="C4" s="570"/>
      <c r="D4" s="570"/>
      <c r="E4" s="571"/>
      <c r="F4" s="570"/>
      <c r="G4" s="570"/>
      <c r="H4" s="572"/>
    </row>
    <row r="5" spans="2:8">
      <c r="B5" s="1620" t="s">
        <v>1101</v>
      </c>
      <c r="C5" s="1621"/>
      <c r="D5" s="1621"/>
      <c r="E5" s="1621"/>
      <c r="F5" s="1621"/>
      <c r="G5" s="1621"/>
      <c r="H5" s="1622"/>
    </row>
    <row r="6" spans="2:8">
      <c r="B6" s="1623" t="s">
        <v>419</v>
      </c>
      <c r="C6" s="1624"/>
      <c r="D6" s="1624"/>
      <c r="E6" s="1624"/>
      <c r="F6" s="1624"/>
      <c r="G6" s="1624"/>
      <c r="H6" s="1625"/>
    </row>
    <row r="7" spans="2:8">
      <c r="B7" s="1599"/>
      <c r="C7" s="1600"/>
      <c r="D7" s="1600"/>
      <c r="E7" s="1600"/>
      <c r="F7" s="1600"/>
      <c r="G7" s="1600"/>
      <c r="H7" s="1601"/>
    </row>
    <row r="8" spans="2:8">
      <c r="B8" s="223"/>
      <c r="C8" s="212"/>
      <c r="D8" s="212"/>
      <c r="E8" s="212"/>
      <c r="F8" s="212"/>
      <c r="G8" s="212"/>
      <c r="H8" s="224"/>
    </row>
    <row r="9" spans="2:8" ht="13.5" thickBot="1">
      <c r="B9" s="573"/>
      <c r="C9" s="1"/>
      <c r="D9" s="1"/>
      <c r="E9" s="39"/>
      <c r="F9" s="39"/>
      <c r="G9" s="39"/>
      <c r="H9" s="146"/>
    </row>
    <row r="10" spans="2:8" ht="13.5" thickBot="1">
      <c r="B10" s="1583" t="s">
        <v>207</v>
      </c>
      <c r="C10" s="1532"/>
      <c r="D10" s="1532"/>
      <c r="E10" s="1532"/>
      <c r="F10" s="1532"/>
      <c r="G10" s="1533"/>
      <c r="H10" s="146"/>
    </row>
    <row r="11" spans="2:8" ht="13.5" thickBot="1">
      <c r="B11" s="124" t="s">
        <v>48</v>
      </c>
      <c r="C11" s="762">
        <v>1000000</v>
      </c>
      <c r="E11" s="243" t="s">
        <v>363</v>
      </c>
      <c r="F11" s="122"/>
      <c r="G11" s="123"/>
      <c r="H11" s="146"/>
    </row>
    <row r="12" spans="2:8">
      <c r="B12" s="124" t="s">
        <v>420</v>
      </c>
      <c r="C12" s="812">
        <v>70000</v>
      </c>
      <c r="E12" s="124" t="s">
        <v>364</v>
      </c>
      <c r="F12" s="812">
        <f>0.9*C11</f>
        <v>900000</v>
      </c>
      <c r="G12" s="126"/>
      <c r="H12" s="146"/>
    </row>
    <row r="13" spans="2:8">
      <c r="B13" s="124" t="s">
        <v>421</v>
      </c>
      <c r="C13" s="813">
        <v>0.02</v>
      </c>
      <c r="E13" s="124" t="s">
        <v>422</v>
      </c>
      <c r="F13" s="128">
        <v>39</v>
      </c>
      <c r="G13" s="126" t="s">
        <v>208</v>
      </c>
      <c r="H13" s="146"/>
    </row>
    <row r="14" spans="2:8">
      <c r="B14" s="124" t="s">
        <v>368</v>
      </c>
      <c r="C14" s="813">
        <v>0.7</v>
      </c>
      <c r="E14" s="124" t="s">
        <v>423</v>
      </c>
      <c r="F14" s="1522"/>
      <c r="G14" s="126"/>
      <c r="H14" s="146"/>
    </row>
    <row r="15" spans="2:8">
      <c r="B15" s="124" t="s">
        <v>424</v>
      </c>
      <c r="C15" s="1114">
        <v>0.04</v>
      </c>
      <c r="E15" s="124" t="s">
        <v>1726</v>
      </c>
      <c r="F15" s="601">
        <v>0.35</v>
      </c>
      <c r="G15" s="126"/>
      <c r="H15" s="146"/>
    </row>
    <row r="16" spans="2:8">
      <c r="B16" s="124" t="s">
        <v>425</v>
      </c>
      <c r="C16" s="128">
        <v>0</v>
      </c>
      <c r="E16" s="124" t="s">
        <v>1727</v>
      </c>
      <c r="F16" s="601">
        <v>0.25</v>
      </c>
      <c r="G16" s="126"/>
      <c r="H16" s="146"/>
    </row>
    <row r="17" spans="2:8">
      <c r="B17" s="124" t="s">
        <v>426</v>
      </c>
      <c r="C17" s="128">
        <v>20</v>
      </c>
      <c r="D17" t="s">
        <v>208</v>
      </c>
      <c r="E17" s="124" t="s">
        <v>1728</v>
      </c>
      <c r="F17" s="601">
        <v>0.2</v>
      </c>
      <c r="G17" s="126"/>
      <c r="H17" s="146"/>
    </row>
    <row r="18" spans="2:8">
      <c r="B18" s="124" t="s">
        <v>427</v>
      </c>
      <c r="C18" s="128">
        <v>20</v>
      </c>
      <c r="D18" t="s">
        <v>208</v>
      </c>
      <c r="E18" s="124"/>
      <c r="G18" s="126"/>
      <c r="H18" s="146"/>
    </row>
    <row r="19" spans="2:8" ht="13" thickBot="1">
      <c r="B19" s="124" t="s">
        <v>372</v>
      </c>
      <c r="C19" s="128">
        <v>12</v>
      </c>
      <c r="E19" s="124"/>
      <c r="G19" s="126"/>
      <c r="H19" s="146"/>
    </row>
    <row r="20" spans="2:8">
      <c r="B20" s="230" t="s">
        <v>428</v>
      </c>
      <c r="C20" s="1338">
        <v>0.5</v>
      </c>
      <c r="D20" t="s">
        <v>429</v>
      </c>
      <c r="E20" s="124"/>
      <c r="G20" s="126"/>
      <c r="H20" s="146"/>
    </row>
    <row r="21" spans="2:8" ht="13" thickBot="1">
      <c r="B21" s="124" t="s">
        <v>1385</v>
      </c>
      <c r="C21" s="1362">
        <v>70000</v>
      </c>
      <c r="E21" s="124"/>
      <c r="G21" s="126"/>
      <c r="H21" s="146"/>
    </row>
    <row r="22" spans="2:8" ht="13" thickBot="1">
      <c r="B22" s="884" t="s">
        <v>428</v>
      </c>
      <c r="C22" s="1363">
        <v>0.45</v>
      </c>
      <c r="D22" t="s">
        <v>431</v>
      </c>
      <c r="E22" s="124"/>
      <c r="G22" s="126"/>
      <c r="H22" s="146"/>
    </row>
    <row r="23" spans="2:8">
      <c r="B23" s="124" t="s">
        <v>432</v>
      </c>
      <c r="C23" s="128">
        <v>0</v>
      </c>
      <c r="E23" s="124"/>
      <c r="G23" s="126"/>
      <c r="H23" s="146"/>
    </row>
    <row r="24" spans="2:8">
      <c r="B24" s="124" t="s">
        <v>433</v>
      </c>
      <c r="C24" s="813">
        <v>0.02</v>
      </c>
      <c r="E24" s="124"/>
      <c r="G24" s="126"/>
      <c r="H24" s="146"/>
    </row>
    <row r="25" spans="2:8">
      <c r="B25" s="124" t="s">
        <v>434</v>
      </c>
      <c r="C25" s="128">
        <v>0</v>
      </c>
      <c r="E25" s="124"/>
      <c r="G25" s="126"/>
      <c r="H25" s="146"/>
    </row>
    <row r="26" spans="2:8">
      <c r="B26" s="124" t="s">
        <v>376</v>
      </c>
      <c r="C26" s="128">
        <v>5</v>
      </c>
      <c r="D26" t="s">
        <v>208</v>
      </c>
      <c r="E26" s="124"/>
      <c r="G26" s="126"/>
      <c r="H26" s="146"/>
    </row>
    <row r="27" spans="2:8" ht="13" thickBot="1">
      <c r="B27" s="134" t="s">
        <v>377</v>
      </c>
      <c r="C27" s="286">
        <v>0</v>
      </c>
      <c r="D27" s="4" t="s">
        <v>378</v>
      </c>
      <c r="E27" s="134"/>
      <c r="F27" s="4"/>
      <c r="G27" s="135"/>
      <c r="H27" s="146"/>
    </row>
    <row r="28" spans="2:8" ht="13.5" thickBot="1">
      <c r="B28" s="573"/>
      <c r="C28" s="56"/>
      <c r="D28" s="39"/>
      <c r="E28" s="39"/>
      <c r="F28" s="39"/>
      <c r="G28" s="39"/>
      <c r="H28" s="146"/>
    </row>
    <row r="29" spans="2:8">
      <c r="B29" s="552" t="s">
        <v>291</v>
      </c>
      <c r="C29" s="553">
        <f>IF(C23&gt;0,(1-C14)*F12,(1-C14)*C11)</f>
        <v>300000.00000000006</v>
      </c>
      <c r="D29" s="470"/>
      <c r="E29" s="535"/>
      <c r="F29" s="39"/>
      <c r="G29" s="39"/>
      <c r="H29" s="146"/>
    </row>
    <row r="30" spans="2:8">
      <c r="B30" s="369" t="s">
        <v>381</v>
      </c>
      <c r="C30" s="57">
        <f>IF(C23&gt;0,F12*C14,C14*C11)</f>
        <v>700000</v>
      </c>
      <c r="D30" s="34"/>
      <c r="E30" s="309"/>
      <c r="F30" s="39"/>
      <c r="G30" s="39"/>
      <c r="H30" s="146"/>
    </row>
    <row r="31" spans="2:8">
      <c r="B31" s="369" t="s">
        <v>382</v>
      </c>
      <c r="C31" s="57">
        <f>PMT(C15/C19,C17*C19,-C30)*C19</f>
        <v>50902.347661151172</v>
      </c>
      <c r="D31" s="34"/>
      <c r="E31" s="309"/>
      <c r="F31" s="39"/>
      <c r="G31" s="39"/>
      <c r="H31" s="146"/>
    </row>
    <row r="32" spans="2:8">
      <c r="B32" s="369"/>
      <c r="C32" s="57"/>
      <c r="D32" s="34"/>
      <c r="E32" s="309"/>
      <c r="F32" s="39"/>
      <c r="G32" s="39"/>
      <c r="H32" s="146"/>
    </row>
    <row r="33" spans="2:8" ht="13" thickBot="1">
      <c r="B33" s="371" t="s">
        <v>383</v>
      </c>
      <c r="C33" s="372">
        <f>IF(C15&lt;C16,(FV(C16/C19,C26*C19,C31/C19,-C30)),PV(C15/C19,(C17-C26)*C19,-(C31/C19)))</f>
        <v>573466.4793401967</v>
      </c>
      <c r="D33" s="554" t="s">
        <v>384</v>
      </c>
      <c r="E33" s="149">
        <f>C26</f>
        <v>5</v>
      </c>
      <c r="F33" s="39"/>
      <c r="G33" s="39"/>
      <c r="H33" s="146"/>
    </row>
    <row r="34" spans="2:8" ht="13" thickBot="1">
      <c r="B34" s="384"/>
      <c r="C34" s="39"/>
      <c r="D34" s="39"/>
      <c r="E34" s="39"/>
      <c r="F34" s="39"/>
      <c r="G34" s="39"/>
      <c r="H34" s="146"/>
    </row>
    <row r="35" spans="2:8" ht="13.5" thickBot="1">
      <c r="B35" s="1617" t="s">
        <v>385</v>
      </c>
      <c r="C35" s="1538"/>
      <c r="D35" s="1538"/>
      <c r="E35" s="1538"/>
      <c r="F35" s="1538"/>
      <c r="G35" s="1539"/>
      <c r="H35" s="146"/>
    </row>
    <row r="36" spans="2:8" ht="13">
      <c r="B36" s="555" t="s">
        <v>386</v>
      </c>
      <c r="C36" s="967">
        <v>1</v>
      </c>
      <c r="D36" s="967">
        <f>(1+C36)</f>
        <v>2</v>
      </c>
      <c r="E36" s="967">
        <f>(1+D36)</f>
        <v>3</v>
      </c>
      <c r="F36" s="967">
        <f>(1+E36)</f>
        <v>4</v>
      </c>
      <c r="G36" s="968">
        <f>(1+F36)</f>
        <v>5</v>
      </c>
      <c r="H36" s="146"/>
    </row>
    <row r="37" spans="2:8">
      <c r="B37" s="369" t="s">
        <v>209</v>
      </c>
      <c r="C37" s="57">
        <f>$C$31</f>
        <v>50902.347661151172</v>
      </c>
      <c r="D37" s="57">
        <f>$C$31</f>
        <v>50902.347661151172</v>
      </c>
      <c r="E37" s="57">
        <f>$C$31</f>
        <v>50902.347661151172</v>
      </c>
      <c r="F37" s="57">
        <f>$C$31</f>
        <v>50902.347661151172</v>
      </c>
      <c r="G37" s="370">
        <f>$C$31</f>
        <v>50902.347661151172</v>
      </c>
      <c r="H37" s="309"/>
    </row>
    <row r="38" spans="2:8">
      <c r="B38" s="369" t="s">
        <v>383</v>
      </c>
      <c r="C38" s="57">
        <f>IF($C$15&lt;$C$16,FV($C$16/$C$19,C36*$C$19,$C$31/$C$19,-$C$30),IF($C$17&gt;C36-$C36+1,(($C31/$C$19)/PMT($C$15/($C$19),($C$17-(C36-$C36+1))*$C$19,-1)),0))</f>
        <v>676673.07549498172</v>
      </c>
      <c r="D38" s="57">
        <f>IF($C$15&lt;$C$16,FV($C$16/$C$19,D36*$C$19,$C$31/$C$19,-$C$30),IF($C$17&gt;D36-$C36+1,(($C31/$C$19)/PMT($C$15/($C$19),($C$17-(D36-$C36+1))*$C$19,-1)),0))</f>
        <v>652395.77609405562</v>
      </c>
      <c r="E38" s="57">
        <f>IF($C$15&lt;$C$16,FV($C$16/$C$19,E36*$C$19,$C$31/$C$19,-$C$30),IF($C$17&gt;E36-$C36+1,(($C31/$C$19)/PMT($C$15/($C$19),($C$17-(E36-$C36+1))*$C$19,-1)),0))</f>
        <v>627129.38205760985</v>
      </c>
      <c r="F38" s="57">
        <f>IF($C$15&lt;$C$16,FV($C$16/$C$19,F36*$C$19,$C$31/$C$19,-$C$30),IF($C$17&gt;F36-$C36+1,(($C31/$C$19)/PMT($C$15/($C$19),($C$17-(F36-$C36+1))*$C$19,-1)),0))</f>
        <v>600833.59614410007</v>
      </c>
      <c r="G38" s="370">
        <f>IF($C$15&lt;$C$16,FV($C$16/$C$19,G36*$C$19,$C$31/$C$19,-$C$30),IF($C$17&gt;G36-$C36+1,(($C31/$C$19)/PMT($C$15/($C$19),($C$17-(G36-$C36+1))*$C$19,-1)),0))</f>
        <v>573466.47934018541</v>
      </c>
      <c r="H38" s="309"/>
    </row>
    <row r="39" spans="2:8">
      <c r="B39" s="369" t="s">
        <v>210</v>
      </c>
      <c r="C39" s="57">
        <f>($C$31-(C30-C38))</f>
        <v>27575.423156132892</v>
      </c>
      <c r="D39" s="57">
        <f>($C$31-(C38-D38))</f>
        <v>26625.04826022507</v>
      </c>
      <c r="E39" s="57">
        <f>($C$31-(D38-E38))</f>
        <v>25635.953624705406</v>
      </c>
      <c r="F39" s="57">
        <f>($C$31-(E38-F38))</f>
        <v>24606.56174764139</v>
      </c>
      <c r="G39" s="370">
        <f>($C$31-(F38-G38))</f>
        <v>23535.230857236515</v>
      </c>
      <c r="H39" s="309"/>
    </row>
    <row r="40" spans="2:8" ht="13" thickBot="1">
      <c r="B40" s="371" t="s">
        <v>387</v>
      </c>
      <c r="C40" s="64">
        <f>C37-C39</f>
        <v>23326.92450501828</v>
      </c>
      <c r="D40" s="64">
        <f>D37-D39</f>
        <v>24277.299400926102</v>
      </c>
      <c r="E40" s="64">
        <f>E37-E39</f>
        <v>25266.394036445767</v>
      </c>
      <c r="F40" s="64">
        <f>F37-F39</f>
        <v>26295.785913509782</v>
      </c>
      <c r="G40" s="379">
        <f>G37-G39</f>
        <v>27367.116803914658</v>
      </c>
      <c r="H40" s="309"/>
    </row>
    <row r="41" spans="2:8" ht="13" thickBot="1">
      <c r="B41" s="171"/>
      <c r="C41" s="57"/>
      <c r="D41" s="57"/>
      <c r="E41" s="57"/>
      <c r="F41" s="57"/>
      <c r="G41" s="57"/>
      <c r="H41" s="309"/>
    </row>
    <row r="42" spans="2:8" ht="13.5" thickBot="1">
      <c r="B42" s="1617" t="s">
        <v>436</v>
      </c>
      <c r="C42" s="1538"/>
      <c r="D42" s="1538"/>
      <c r="E42" s="1538"/>
      <c r="F42" s="1538"/>
      <c r="G42" s="1539"/>
      <c r="H42" s="309"/>
    </row>
    <row r="43" spans="2:8" ht="13.5" thickBot="1">
      <c r="B43" s="157" t="s">
        <v>262</v>
      </c>
      <c r="C43" s="157">
        <v>1</v>
      </c>
      <c r="D43" s="157">
        <v>2</v>
      </c>
      <c r="E43" s="157">
        <v>3</v>
      </c>
      <c r="F43" s="157">
        <v>4</v>
      </c>
      <c r="G43" s="157">
        <v>5</v>
      </c>
      <c r="H43" s="309"/>
    </row>
    <row r="44" spans="2:8">
      <c r="B44" s="552" t="s">
        <v>335</v>
      </c>
      <c r="C44" s="1520">
        <f>C12</f>
        <v>70000</v>
      </c>
      <c r="D44" s="1520">
        <f>C44*(1+$C$13)</f>
        <v>71400</v>
      </c>
      <c r="E44" s="1520">
        <f>D44*(1+$C$13)</f>
        <v>72828</v>
      </c>
      <c r="F44" s="1520">
        <f>E44*(1+$C$13)</f>
        <v>74284.56</v>
      </c>
      <c r="G44" s="1521">
        <f>F44*(1+$C$13)</f>
        <v>75770.251199999999</v>
      </c>
      <c r="H44" s="309"/>
    </row>
    <row r="45" spans="2:8">
      <c r="B45" s="369" t="s">
        <v>437</v>
      </c>
      <c r="C45" s="57">
        <f>$C$37</f>
        <v>50902.347661151172</v>
      </c>
      <c r="D45" s="57">
        <f>$C$37</f>
        <v>50902.347661151172</v>
      </c>
      <c r="E45" s="57">
        <f>$C$37</f>
        <v>50902.347661151172</v>
      </c>
      <c r="F45" s="57">
        <f>$C$37</f>
        <v>50902.347661151172</v>
      </c>
      <c r="G45" s="370">
        <f>$C$37</f>
        <v>50902.347661151172</v>
      </c>
      <c r="H45" s="309"/>
    </row>
    <row r="46" spans="2:8">
      <c r="B46" s="369" t="s">
        <v>438</v>
      </c>
      <c r="C46" s="61">
        <f>$C$23</f>
        <v>0</v>
      </c>
      <c r="D46" s="61">
        <f>$C$23</f>
        <v>0</v>
      </c>
      <c r="E46" s="61">
        <f>$C$23</f>
        <v>0</v>
      </c>
      <c r="F46" s="61">
        <f>$C$23</f>
        <v>0</v>
      </c>
      <c r="G46" s="560">
        <f>$C$23</f>
        <v>0</v>
      </c>
      <c r="H46" s="309"/>
    </row>
    <row r="47" spans="2:8">
      <c r="B47" s="369" t="s">
        <v>439</v>
      </c>
      <c r="C47" s="57">
        <f>C44-C45-C46</f>
        <v>19097.652338848828</v>
      </c>
      <c r="D47" s="57">
        <f>D44-D45-D46</f>
        <v>20497.652338848828</v>
      </c>
      <c r="E47" s="57">
        <f>E44-E45-E46</f>
        <v>21925.652338848828</v>
      </c>
      <c r="F47" s="57">
        <f>F44-F45-F46</f>
        <v>23382.212338848825</v>
      </c>
      <c r="G47" s="370">
        <f>G44-G45-G46</f>
        <v>24867.903538848826</v>
      </c>
      <c r="H47" s="309"/>
    </row>
    <row r="48" spans="2:8">
      <c r="B48" s="369" t="s">
        <v>428</v>
      </c>
      <c r="C48" s="1256">
        <f>IF(C44-$C$21&gt;0,$C$20*(C44-$C$21),0)</f>
        <v>0</v>
      </c>
      <c r="D48" s="1256">
        <f>IF(D44-$C$21&gt;0,$C$20*(D44-$C$21),0)</f>
        <v>700</v>
      </c>
      <c r="E48" s="1256">
        <f>IF(E44-$C$21&gt;0,$C$20*(E44-$C$21),0)</f>
        <v>1414</v>
      </c>
      <c r="F48" s="1256">
        <f>IF(F44-$C$21&gt;0,$C$20*(F44-$C$21),0)</f>
        <v>2142.2799999999988</v>
      </c>
      <c r="G48" s="1257">
        <f>IF(G44-$C$21&gt;0,$C$20*(G44-$C$21),0)</f>
        <v>2885.1255999999994</v>
      </c>
      <c r="H48" s="146"/>
    </row>
    <row r="49" spans="2:8" ht="13.5" thickBot="1">
      <c r="B49" s="444" t="s">
        <v>408</v>
      </c>
      <c r="C49" s="59">
        <f>C47-C48</f>
        <v>19097.652338848828</v>
      </c>
      <c r="D49" s="59">
        <f>D47-D48</f>
        <v>19797.652338848828</v>
      </c>
      <c r="E49" s="59">
        <f>E47-E48</f>
        <v>20511.652338848828</v>
      </c>
      <c r="F49" s="59">
        <f>F47-F48</f>
        <v>21239.932338848826</v>
      </c>
      <c r="G49" s="556">
        <f>G47-G48</f>
        <v>21982.777938848827</v>
      </c>
      <c r="H49" s="146"/>
    </row>
    <row r="50" spans="2:8" ht="13" thickTop="1">
      <c r="B50" s="384"/>
      <c r="C50" s="57"/>
      <c r="D50" s="57"/>
      <c r="E50" s="57"/>
      <c r="F50" s="57"/>
      <c r="G50" s="370"/>
      <c r="H50" s="146"/>
    </row>
    <row r="51" spans="2:8">
      <c r="B51" s="369" t="s">
        <v>335</v>
      </c>
      <c r="C51" s="57">
        <f>C44</f>
        <v>70000</v>
      </c>
      <c r="D51" s="57">
        <f>D44</f>
        <v>71400</v>
      </c>
      <c r="E51" s="57">
        <f>E44</f>
        <v>72828</v>
      </c>
      <c r="F51" s="57">
        <f>F44</f>
        <v>74284.56</v>
      </c>
      <c r="G51" s="370">
        <f>G44</f>
        <v>75770.251199999999</v>
      </c>
      <c r="H51" s="309"/>
    </row>
    <row r="52" spans="2:8">
      <c r="B52" s="369" t="s">
        <v>390</v>
      </c>
      <c r="C52" s="57">
        <f>C39</f>
        <v>27575.423156132892</v>
      </c>
      <c r="D52" s="57">
        <f>D39</f>
        <v>26625.04826022507</v>
      </c>
      <c r="E52" s="57">
        <f>E39</f>
        <v>25635.953624705406</v>
      </c>
      <c r="F52" s="57">
        <f>F39</f>
        <v>24606.56174764139</v>
      </c>
      <c r="G52" s="370">
        <f>G39</f>
        <v>23535.230857236515</v>
      </c>
      <c r="H52" s="309"/>
    </row>
    <row r="53" spans="2:8">
      <c r="B53" s="369" t="s">
        <v>391</v>
      </c>
      <c r="C53" s="57">
        <f>$F$12/$F$13</f>
        <v>23076.923076923078</v>
      </c>
      <c r="D53" s="57">
        <f>$F$12/$F$13</f>
        <v>23076.923076923078</v>
      </c>
      <c r="E53" s="57">
        <f>$F$12/$F$13</f>
        <v>23076.923076923078</v>
      </c>
      <c r="F53" s="57">
        <f>$F$12/$F$13</f>
        <v>23076.923076923078</v>
      </c>
      <c r="G53" s="370">
        <f>$F$12/$F$13</f>
        <v>23076.923076923078</v>
      </c>
      <c r="H53" s="309"/>
    </row>
    <row r="54" spans="2:8">
      <c r="B54" s="369" t="s">
        <v>440</v>
      </c>
      <c r="C54" s="969">
        <f>C48</f>
        <v>0</v>
      </c>
      <c r="D54" s="969">
        <f>D48</f>
        <v>700</v>
      </c>
      <c r="E54" s="969">
        <f>E48</f>
        <v>1414</v>
      </c>
      <c r="F54" s="969">
        <f>F48</f>
        <v>2142.2799999999988</v>
      </c>
      <c r="G54" s="970">
        <f>G48</f>
        <v>2885.1255999999994</v>
      </c>
      <c r="H54" s="146"/>
    </row>
    <row r="55" spans="2:8">
      <c r="B55" s="369" t="s">
        <v>438</v>
      </c>
      <c r="C55" s="57">
        <f>$C$23</f>
        <v>0</v>
      </c>
      <c r="D55" s="57">
        <f>$C$23</f>
        <v>0</v>
      </c>
      <c r="E55" s="57">
        <f>$C$23</f>
        <v>0</v>
      </c>
      <c r="F55" s="57">
        <f>$C$23</f>
        <v>0</v>
      </c>
      <c r="G55" s="370">
        <f>$C$23</f>
        <v>0</v>
      </c>
      <c r="H55" s="146"/>
    </row>
    <row r="56" spans="2:8">
      <c r="B56" s="369" t="s">
        <v>441</v>
      </c>
      <c r="C56" s="57">
        <f>C51-C52-C53-C54-C55</f>
        <v>19347.653766944029</v>
      </c>
      <c r="D56" s="57">
        <f>D51-D52-D53-D54-D55</f>
        <v>20998.028662851852</v>
      </c>
      <c r="E56" s="57">
        <f>E51-E52-E53-E54-E55</f>
        <v>22701.123298371516</v>
      </c>
      <c r="F56" s="57">
        <f>F51-F52-F53-F54-F55</f>
        <v>24458.795175435531</v>
      </c>
      <c r="G56" s="370">
        <f>G51-G52-G53-G54-G55</f>
        <v>26272.971665840407</v>
      </c>
      <c r="H56" s="309"/>
    </row>
    <row r="57" spans="2:8">
      <c r="B57" s="369" t="s">
        <v>442</v>
      </c>
      <c r="C57" s="57">
        <f>C56*$F$15</f>
        <v>6771.6788184304096</v>
      </c>
      <c r="D57" s="57">
        <f t="shared" ref="D57:G57" si="0">D56*$F$15</f>
        <v>7349.3100319981477</v>
      </c>
      <c r="E57" s="57">
        <f t="shared" si="0"/>
        <v>7945.3931544300303</v>
      </c>
      <c r="F57" s="57">
        <f t="shared" si="0"/>
        <v>8560.5783114024362</v>
      </c>
      <c r="G57" s="370">
        <f t="shared" si="0"/>
        <v>9195.5400830441413</v>
      </c>
      <c r="H57" s="309"/>
    </row>
    <row r="58" spans="2:8" ht="13.5" thickBot="1">
      <c r="B58" s="557" t="s">
        <v>409</v>
      </c>
      <c r="C58" s="558">
        <f>C49-C57</f>
        <v>12325.973520418418</v>
      </c>
      <c r="D58" s="558">
        <f>D49-D57</f>
        <v>12448.34230685068</v>
      </c>
      <c r="E58" s="558">
        <f>E49-E57</f>
        <v>12566.259184418797</v>
      </c>
      <c r="F58" s="558">
        <f>F49-F57</f>
        <v>12679.35402744639</v>
      </c>
      <c r="G58" s="559">
        <f>G49-G57</f>
        <v>12787.237855804686</v>
      </c>
      <c r="H58" s="309"/>
    </row>
    <row r="59" spans="2:8" ht="13">
      <c r="B59" s="444"/>
      <c r="C59" s="60"/>
      <c r="D59" s="60"/>
      <c r="E59" s="60"/>
      <c r="F59" s="60"/>
      <c r="G59" s="60"/>
      <c r="H59" s="309"/>
    </row>
    <row r="60" spans="2:8" ht="13" thickBot="1">
      <c r="B60" s="574"/>
      <c r="C60" s="61"/>
      <c r="D60" s="61"/>
      <c r="E60" s="61"/>
      <c r="H60" s="146"/>
    </row>
    <row r="61" spans="2:8" ht="13.5" thickBot="1">
      <c r="B61" s="1617" t="s">
        <v>1390</v>
      </c>
      <c r="C61" s="1542"/>
      <c r="D61" s="1542"/>
      <c r="E61" s="1543"/>
      <c r="H61" s="146"/>
    </row>
    <row r="62" spans="2:8">
      <c r="B62" s="369" t="s">
        <v>446</v>
      </c>
      <c r="C62" s="57"/>
      <c r="D62" s="57"/>
      <c r="E62" s="370">
        <f>IF(C23&gt;0,(1-C25)*(F12*(1+C24)^C26),(1-C25)*(C11*(1+C24)^C26))</f>
        <v>1104080.8032</v>
      </c>
      <c r="H62" s="146"/>
    </row>
    <row r="63" spans="2:8">
      <c r="B63" s="369" t="s">
        <v>396</v>
      </c>
      <c r="C63" s="57"/>
      <c r="D63" s="57"/>
      <c r="E63" s="370">
        <f>C27*E62</f>
        <v>0</v>
      </c>
      <c r="F63" s="57"/>
      <c r="G63" s="57"/>
      <c r="H63" s="146"/>
    </row>
    <row r="64" spans="2:8">
      <c r="B64" s="369" t="s">
        <v>383</v>
      </c>
      <c r="C64" s="57"/>
      <c r="D64" s="57"/>
      <c r="E64" s="560">
        <f>IF(C25&gt;0,0,G38)</f>
        <v>573466.47934018541</v>
      </c>
      <c r="F64" s="57"/>
      <c r="G64" s="57"/>
      <c r="H64" s="146"/>
    </row>
    <row r="65" spans="2:8">
      <c r="B65" s="369" t="s">
        <v>439</v>
      </c>
      <c r="C65" s="57"/>
      <c r="D65" s="57"/>
      <c r="E65" s="370">
        <f>E62-E63-E64</f>
        <v>530614.32385981455</v>
      </c>
      <c r="F65" s="57"/>
      <c r="G65" s="57" t="s">
        <v>448</v>
      </c>
      <c r="H65" s="146"/>
    </row>
    <row r="66" spans="2:8">
      <c r="B66" s="369" t="s">
        <v>1388</v>
      </c>
      <c r="C66" s="57"/>
      <c r="D66" s="57"/>
      <c r="E66" s="1258">
        <f>IF((E62-E63-C11)&gt;0,(E62-E63-C11)*C22,0)</f>
        <v>46836.361439999986</v>
      </c>
      <c r="F66" s="57"/>
      <c r="G66" s="57" t="s">
        <v>1387</v>
      </c>
      <c r="H66" s="146"/>
    </row>
    <row r="67" spans="2:8">
      <c r="B67" s="369" t="s">
        <v>397</v>
      </c>
      <c r="C67" s="57"/>
      <c r="D67" s="57"/>
      <c r="E67" s="370">
        <f>E65-E66</f>
        <v>483777.96241981455</v>
      </c>
      <c r="F67" s="57"/>
      <c r="G67" s="57" t="s">
        <v>1386</v>
      </c>
      <c r="H67" s="146"/>
    </row>
    <row r="68" spans="2:8">
      <c r="B68" s="384"/>
      <c r="C68" s="57"/>
      <c r="D68" s="57"/>
      <c r="E68" s="370"/>
      <c r="F68" s="57"/>
      <c r="G68" s="57"/>
      <c r="H68" s="146"/>
    </row>
    <row r="69" spans="2:8">
      <c r="B69" s="369" t="s">
        <v>446</v>
      </c>
      <c r="C69" s="57"/>
      <c r="D69" s="57">
        <f>IF(C23&gt;0,F12*(1+C24)^C26,C11*(1+C24)^C26)</f>
        <v>1104080.8032</v>
      </c>
      <c r="E69" s="370"/>
      <c r="F69" s="57"/>
      <c r="G69" s="57"/>
      <c r="H69" s="146"/>
    </row>
    <row r="70" spans="2:8">
      <c r="B70" s="369" t="s">
        <v>447</v>
      </c>
      <c r="C70" s="57"/>
      <c r="D70" s="57">
        <f>E63</f>
        <v>0</v>
      </c>
      <c r="E70" s="370"/>
      <c r="F70" s="57"/>
      <c r="G70" s="57"/>
      <c r="H70" s="146"/>
    </row>
    <row r="71" spans="2:8">
      <c r="B71" s="1188" t="s">
        <v>1530</v>
      </c>
      <c r="C71" s="57"/>
      <c r="D71" s="57">
        <f>E66</f>
        <v>46836.361439999986</v>
      </c>
      <c r="E71" s="370"/>
      <c r="F71" s="57"/>
      <c r="G71" s="57"/>
      <c r="H71" s="146"/>
    </row>
    <row r="72" spans="2:8">
      <c r="B72" s="384"/>
      <c r="C72" s="57"/>
      <c r="D72" s="57"/>
      <c r="E72" s="370"/>
      <c r="F72" s="57"/>
      <c r="G72" s="57"/>
      <c r="H72" s="146"/>
    </row>
    <row r="73" spans="2:8">
      <c r="B73" s="369" t="s">
        <v>398</v>
      </c>
      <c r="C73" s="57">
        <f>IF(C23&gt;0,F12,C11)</f>
        <v>1000000</v>
      </c>
      <c r="D73" s="57"/>
      <c r="E73" s="370"/>
      <c r="F73" s="57"/>
      <c r="G73" s="57"/>
      <c r="H73" s="146"/>
    </row>
    <row r="74" spans="2:8">
      <c r="B74" s="369" t="s">
        <v>399</v>
      </c>
      <c r="C74" s="61">
        <f>C26*C53</f>
        <v>115384.61538461539</v>
      </c>
      <c r="D74" s="57"/>
      <c r="E74" s="370"/>
      <c r="F74" s="57"/>
      <c r="G74" s="57"/>
      <c r="H74" s="146"/>
    </row>
    <row r="75" spans="2:8">
      <c r="B75" s="369" t="s">
        <v>400</v>
      </c>
      <c r="C75" s="57"/>
      <c r="D75" s="61">
        <f>C73-C74</f>
        <v>884615.38461538462</v>
      </c>
      <c r="E75" s="370"/>
      <c r="F75" s="57"/>
      <c r="G75" s="57"/>
      <c r="H75" s="146"/>
    </row>
    <row r="76" spans="2:8">
      <c r="B76" s="384"/>
      <c r="C76" s="57"/>
      <c r="D76" s="57"/>
      <c r="E76" s="370"/>
      <c r="F76" s="57"/>
      <c r="G76" s="57"/>
      <c r="H76" s="146"/>
    </row>
    <row r="77" spans="2:8">
      <c r="B77" s="1188" t="s">
        <v>1578</v>
      </c>
      <c r="C77" s="57"/>
      <c r="D77" s="57">
        <f>D69-D70-D71-D75</f>
        <v>172629.05714461545</v>
      </c>
      <c r="E77" s="370"/>
      <c r="F77" s="57"/>
      <c r="G77" s="57"/>
      <c r="H77" s="146"/>
    </row>
    <row r="78" spans="2:8">
      <c r="B78" s="1188" t="s">
        <v>1729</v>
      </c>
      <c r="C78" s="57"/>
      <c r="D78" s="57"/>
      <c r="E78" s="370">
        <f>IF(D77&gt;C74,C74*F16,D77*F16)</f>
        <v>28846.153846153848</v>
      </c>
      <c r="F78" s="57"/>
      <c r="G78" s="57"/>
      <c r="H78" s="146"/>
    </row>
    <row r="79" spans="2:8">
      <c r="B79" s="1188" t="s">
        <v>1730</v>
      </c>
      <c r="C79" s="57"/>
      <c r="D79" s="57"/>
      <c r="E79" s="560">
        <f>IF(D77&gt;C74,(D77-C74)*F17)</f>
        <v>11448.888352000013</v>
      </c>
      <c r="F79" s="57"/>
      <c r="G79" s="1150" t="s">
        <v>1389</v>
      </c>
      <c r="H79" s="146"/>
    </row>
    <row r="80" spans="2:8">
      <c r="B80" s="384"/>
      <c r="C80" s="57"/>
      <c r="D80" s="57"/>
      <c r="E80" s="370"/>
      <c r="H80" s="126"/>
    </row>
    <row r="81" spans="2:8" ht="13.5" thickBot="1">
      <c r="B81" s="557" t="s">
        <v>405</v>
      </c>
      <c r="C81" s="561"/>
      <c r="D81" s="561"/>
      <c r="E81" s="562">
        <f>E67-E78-E79</f>
        <v>443482.92022166064</v>
      </c>
      <c r="H81" s="126"/>
    </row>
    <row r="82" spans="2:8" ht="13" thickBot="1">
      <c r="B82" s="384"/>
      <c r="C82" s="34"/>
      <c r="D82" s="34"/>
      <c r="E82" s="39"/>
      <c r="H82" s="126"/>
    </row>
    <row r="83" spans="2:8" ht="13.5" thickBot="1">
      <c r="B83" s="1617" t="s">
        <v>1612</v>
      </c>
      <c r="C83" s="1538"/>
      <c r="D83" s="1538"/>
      <c r="E83" s="1538"/>
      <c r="F83" s="1538"/>
      <c r="G83" s="1538"/>
      <c r="H83" s="1539"/>
    </row>
    <row r="84" spans="2:8" ht="13.5" thickBot="1">
      <c r="B84" s="157" t="s">
        <v>262</v>
      </c>
      <c r="C84" s="157">
        <v>0</v>
      </c>
      <c r="D84" s="157">
        <v>1</v>
      </c>
      <c r="E84" s="157">
        <v>2</v>
      </c>
      <c r="F84" s="157">
        <v>3</v>
      </c>
      <c r="G84" s="157">
        <v>4</v>
      </c>
      <c r="H84" s="157">
        <v>5</v>
      </c>
    </row>
    <row r="85" spans="2:8" ht="13" thickBot="1">
      <c r="B85" s="369" t="s">
        <v>451</v>
      </c>
      <c r="C85" s="34">
        <f>-C29</f>
        <v>-300000.00000000006</v>
      </c>
      <c r="D85" s="57">
        <f>C49</f>
        <v>19097.652338848828</v>
      </c>
      <c r="E85" s="57">
        <f>D49</f>
        <v>19797.652338848828</v>
      </c>
      <c r="F85" s="57">
        <f>E49</f>
        <v>20511.652338848828</v>
      </c>
      <c r="G85" s="57">
        <f>F49</f>
        <v>21239.932338848826</v>
      </c>
      <c r="H85" s="970">
        <f>G49+E67</f>
        <v>505760.74035866337</v>
      </c>
    </row>
    <row r="86" spans="2:8" ht="13.5" thickBot="1">
      <c r="B86" s="563" t="s">
        <v>407</v>
      </c>
      <c r="C86" s="155">
        <f>IRR(C85:H85,0.1)</f>
        <v>0.1572815720040146</v>
      </c>
      <c r="D86" s="34"/>
      <c r="E86" s="34"/>
      <c r="F86" s="34"/>
      <c r="G86" s="39"/>
      <c r="H86" s="146"/>
    </row>
    <row r="87" spans="2:8" ht="13" thickBot="1">
      <c r="B87" s="384"/>
      <c r="C87" s="39"/>
      <c r="D87" s="39"/>
      <c r="E87" s="39"/>
      <c r="F87" s="39"/>
      <c r="G87" s="39"/>
      <c r="H87" s="146"/>
    </row>
    <row r="88" spans="2:8" ht="13.5" thickBot="1">
      <c r="B88" s="157" t="s">
        <v>262</v>
      </c>
      <c r="C88" s="157">
        <v>0</v>
      </c>
      <c r="D88" s="157">
        <v>1</v>
      </c>
      <c r="E88" s="157">
        <v>2</v>
      </c>
      <c r="F88" s="157">
        <v>3</v>
      </c>
      <c r="G88" s="157">
        <v>4</v>
      </c>
      <c r="H88" s="157">
        <v>5</v>
      </c>
    </row>
    <row r="89" spans="2:8" ht="13" thickBot="1">
      <c r="B89" s="369" t="s">
        <v>452</v>
      </c>
      <c r="C89" s="34">
        <f>-C29</f>
        <v>-300000.00000000006</v>
      </c>
      <c r="D89" s="57">
        <f>C58</f>
        <v>12325.973520418418</v>
      </c>
      <c r="E89" s="57">
        <f>D58</f>
        <v>12448.34230685068</v>
      </c>
      <c r="F89" s="57">
        <f>E58</f>
        <v>12566.259184418797</v>
      </c>
      <c r="G89" s="57">
        <f>F58</f>
        <v>12679.35402744639</v>
      </c>
      <c r="H89" s="370">
        <f>G58+E81</f>
        <v>456270.15807746531</v>
      </c>
    </row>
    <row r="90" spans="2:8" ht="13.5" thickBot="1">
      <c r="B90" s="563" t="s">
        <v>453</v>
      </c>
      <c r="C90" s="155">
        <f>IRR(C89:H89,0.1)</f>
        <v>0.11745364196605101</v>
      </c>
      <c r="D90" s="34"/>
      <c r="E90" s="34"/>
      <c r="F90" s="34"/>
      <c r="G90" s="34"/>
      <c r="H90" s="309"/>
    </row>
    <row r="91" spans="2:8" ht="13.5" thickBot="1">
      <c r="B91" s="444" t="s">
        <v>414</v>
      </c>
      <c r="C91" s="155">
        <f>(C86-C90)/C86</f>
        <v>0.25322693263103313</v>
      </c>
      <c r="D91" s="39"/>
      <c r="E91" s="39"/>
      <c r="F91" s="39"/>
      <c r="G91" s="39"/>
      <c r="H91" s="146"/>
    </row>
    <row r="92" spans="2:8" ht="13.5" thickBot="1">
      <c r="B92" s="557"/>
      <c r="C92" s="392"/>
      <c r="D92" s="63"/>
      <c r="E92" s="63"/>
      <c r="F92" s="63"/>
      <c r="G92" s="63"/>
      <c r="H92" s="149"/>
    </row>
    <row r="93" spans="2:8" ht="13.5" thickBot="1">
      <c r="B93" s="573"/>
      <c r="C93" s="1"/>
      <c r="D93" s="39"/>
      <c r="E93" s="39"/>
      <c r="F93" s="39"/>
      <c r="G93" s="39"/>
      <c r="H93" s="146"/>
    </row>
    <row r="94" spans="2:8" ht="13.5" thickBot="1">
      <c r="B94" s="1617" t="s">
        <v>1613</v>
      </c>
      <c r="C94" s="1538"/>
      <c r="D94" s="1538"/>
      <c r="E94" s="1538"/>
      <c r="F94" s="1538"/>
      <c r="G94" s="1538"/>
      <c r="H94" s="1539"/>
    </row>
    <row r="95" spans="2:8" ht="13.5" thickBot="1">
      <c r="B95" s="157" t="s">
        <v>262</v>
      </c>
      <c r="C95" s="157">
        <v>0</v>
      </c>
      <c r="D95" s="157">
        <v>1</v>
      </c>
      <c r="E95" s="157">
        <v>2</v>
      </c>
      <c r="F95" s="157">
        <v>3</v>
      </c>
      <c r="G95" s="157">
        <v>4</v>
      </c>
      <c r="H95" s="157">
        <v>5</v>
      </c>
    </row>
    <row r="96" spans="2:8" ht="13" thickBot="1">
      <c r="B96" s="369" t="s">
        <v>335</v>
      </c>
      <c r="C96" s="34">
        <f>-C11</f>
        <v>-1000000</v>
      </c>
      <c r="D96" s="57">
        <f>C44</f>
        <v>70000</v>
      </c>
      <c r="E96" s="57">
        <f>D44</f>
        <v>71400</v>
      </c>
      <c r="F96" s="57">
        <f>E44</f>
        <v>72828</v>
      </c>
      <c r="G96" s="57">
        <f>F44</f>
        <v>74284.56</v>
      </c>
      <c r="H96" s="370">
        <f>G44+E62-E63</f>
        <v>1179851.0544</v>
      </c>
    </row>
    <row r="97" spans="2:8" ht="13.5" thickBot="1">
      <c r="B97" s="563" t="s">
        <v>455</v>
      </c>
      <c r="C97" s="155">
        <f>IRR(C96:H96,0.1)</f>
        <v>8.9999999999992308E-2</v>
      </c>
      <c r="D97" s="39"/>
      <c r="E97" s="39"/>
      <c r="F97" s="39"/>
      <c r="G97" s="39"/>
      <c r="H97" s="146"/>
    </row>
    <row r="98" spans="2:8" ht="13" thickBot="1">
      <c r="B98" s="384"/>
      <c r="C98" s="39"/>
      <c r="D98" s="39"/>
      <c r="E98" s="39"/>
      <c r="F98" s="39"/>
      <c r="G98" s="39"/>
      <c r="H98" s="146"/>
    </row>
    <row r="99" spans="2:8" ht="13.5" thickBot="1">
      <c r="B99" s="157" t="s">
        <v>262</v>
      </c>
      <c r="C99" s="157">
        <v>0</v>
      </c>
      <c r="D99" s="157">
        <v>1</v>
      </c>
      <c r="E99" s="157">
        <v>2</v>
      </c>
      <c r="F99" s="157">
        <v>3</v>
      </c>
      <c r="G99" s="157">
        <v>4</v>
      </c>
      <c r="H99" s="157">
        <v>5</v>
      </c>
    </row>
    <row r="100" spans="2:8" ht="13" thickBot="1">
      <c r="B100" s="369" t="s">
        <v>456</v>
      </c>
      <c r="C100" s="34">
        <f>-C11</f>
        <v>-1000000</v>
      </c>
      <c r="D100" s="57">
        <f>C44-((C44-C53)*$F$14)</f>
        <v>70000</v>
      </c>
      <c r="E100" s="57">
        <f>D44-((D44-D53)*$F$14)</f>
        <v>71400</v>
      </c>
      <c r="F100" s="57">
        <f>E44-((E44-E53)*$F$14)</f>
        <v>72828</v>
      </c>
      <c r="G100" s="57">
        <f>F44-((F44-F53)*$F$14)</f>
        <v>74284.56</v>
      </c>
      <c r="H100" s="370">
        <f>G44-((G44-G53)*$F$14)+(E62-E63-E79)</f>
        <v>1168402.1660480001</v>
      </c>
    </row>
    <row r="101" spans="2:8" ht="13.5" thickBot="1">
      <c r="B101" s="563" t="s">
        <v>457</v>
      </c>
      <c r="C101" s="155">
        <f>IRR(C100:H100,0.1)</f>
        <v>8.8149022047665948E-2</v>
      </c>
      <c r="D101" s="39"/>
      <c r="E101" s="39"/>
      <c r="F101" s="39"/>
      <c r="G101" s="39"/>
      <c r="H101" s="146"/>
    </row>
    <row r="102" spans="2:8" ht="13.5" thickBot="1">
      <c r="B102" s="565"/>
      <c r="C102" s="566"/>
      <c r="D102" s="63"/>
      <c r="E102" s="63"/>
      <c r="F102" s="63"/>
      <c r="G102" s="63"/>
      <c r="H102" s="149"/>
    </row>
    <row r="103" spans="2:8" ht="13" thickBot="1">
      <c r="B103" s="171"/>
      <c r="C103" s="39"/>
      <c r="D103" s="34"/>
      <c r="E103" s="34"/>
      <c r="F103" s="34"/>
      <c r="G103" s="34"/>
      <c r="H103" s="309"/>
    </row>
    <row r="104" spans="2:8" ht="13.5" thickBot="1">
      <c r="B104" s="1617" t="s">
        <v>53</v>
      </c>
      <c r="C104" s="1538"/>
      <c r="D104" s="1538"/>
      <c r="E104" s="1538"/>
      <c r="F104" s="1538"/>
      <c r="G104" s="1538"/>
      <c r="H104" s="1539"/>
    </row>
    <row r="105" spans="2:8" ht="13.5" thickBot="1">
      <c r="B105" s="157" t="s">
        <v>262</v>
      </c>
      <c r="C105" s="157">
        <v>0</v>
      </c>
      <c r="D105" s="157">
        <v>1</v>
      </c>
      <c r="E105" s="157">
        <v>2</v>
      </c>
      <c r="F105" s="157">
        <v>3</v>
      </c>
      <c r="G105" s="157">
        <v>4</v>
      </c>
      <c r="H105" s="157">
        <v>5</v>
      </c>
    </row>
    <row r="106" spans="2:8">
      <c r="B106" s="171" t="s">
        <v>458</v>
      </c>
      <c r="D106" s="231">
        <f>+C45</f>
        <v>50902.347661151172</v>
      </c>
      <c r="E106" s="231">
        <f>+D45</f>
        <v>50902.347661151172</v>
      </c>
      <c r="F106" s="231">
        <f>+E45</f>
        <v>50902.347661151172</v>
      </c>
      <c r="G106" s="231">
        <f>+F45</f>
        <v>50902.347661151172</v>
      </c>
      <c r="H106" s="256">
        <f>+G45</f>
        <v>50902.347661151172</v>
      </c>
    </row>
    <row r="107" spans="2:8">
      <c r="B107" s="171" t="s">
        <v>459</v>
      </c>
      <c r="C107" s="39"/>
      <c r="D107" s="78"/>
      <c r="E107" s="78"/>
      <c r="F107" s="78"/>
      <c r="G107" s="78"/>
      <c r="H107" s="257">
        <f>+E64</f>
        <v>573466.47934018541</v>
      </c>
    </row>
    <row r="108" spans="2:8">
      <c r="B108" s="171" t="s">
        <v>448</v>
      </c>
      <c r="C108" s="39"/>
      <c r="D108" s="1364">
        <f>+C54</f>
        <v>0</v>
      </c>
      <c r="E108" s="1364">
        <f>+D54</f>
        <v>700</v>
      </c>
      <c r="F108" s="1364">
        <f>+E54</f>
        <v>1414</v>
      </c>
      <c r="G108" s="1364">
        <f>+F54</f>
        <v>2142.2799999999988</v>
      </c>
      <c r="H108" s="1365">
        <f>+G54+E66</f>
        <v>49721.487039999985</v>
      </c>
    </row>
    <row r="109" spans="2:8">
      <c r="B109" s="171" t="s">
        <v>460</v>
      </c>
      <c r="C109" s="92">
        <f>-C30</f>
        <v>-700000</v>
      </c>
      <c r="D109" s="78"/>
      <c r="E109" s="78"/>
      <c r="F109" s="78"/>
      <c r="G109" s="78"/>
      <c r="H109" s="257"/>
    </row>
    <row r="110" spans="2:8">
      <c r="B110" s="171" t="s">
        <v>461</v>
      </c>
      <c r="C110" s="92">
        <f t="shared" ref="C110:H110" si="1">+C106+C107+C108+C109</f>
        <v>-700000</v>
      </c>
      <c r="D110" s="78">
        <f t="shared" si="1"/>
        <v>50902.347661151172</v>
      </c>
      <c r="E110" s="78">
        <f t="shared" si="1"/>
        <v>51602.347661151172</v>
      </c>
      <c r="F110" s="78">
        <f t="shared" si="1"/>
        <v>52316.347661151172</v>
      </c>
      <c r="G110" s="78">
        <f t="shared" si="1"/>
        <v>53044.627661151171</v>
      </c>
      <c r="H110" s="257">
        <f t="shared" si="1"/>
        <v>674090.31404133665</v>
      </c>
    </row>
    <row r="111" spans="2:8" ht="13" thickBot="1">
      <c r="B111" s="171"/>
      <c r="C111" s="39"/>
      <c r="D111" s="78"/>
      <c r="E111" s="78"/>
      <c r="F111" s="78"/>
      <c r="G111" s="78"/>
      <c r="H111" s="257"/>
    </row>
    <row r="112" spans="2:8" ht="13.5" thickBot="1">
      <c r="B112" s="171" t="s">
        <v>1391</v>
      </c>
      <c r="C112" s="155">
        <f>IRR(C110:H110)</f>
        <v>5.4217722002857904E-2</v>
      </c>
      <c r="D112" s="78"/>
      <c r="E112" s="78"/>
      <c r="F112" s="78"/>
      <c r="G112" s="78"/>
      <c r="H112" s="257"/>
    </row>
    <row r="113" spans="2:8" ht="13.5" thickBot="1">
      <c r="B113" s="567" t="s">
        <v>1395</v>
      </c>
      <c r="C113" s="155">
        <f>C181</f>
        <v>5.4800634422100813E-2</v>
      </c>
      <c r="D113" s="971" t="s">
        <v>1393</v>
      </c>
      <c r="E113" s="260"/>
      <c r="F113" s="260"/>
      <c r="G113" s="260"/>
      <c r="H113" s="261"/>
    </row>
    <row r="114" spans="2:8">
      <c r="B114" s="171"/>
      <c r="D114" s="39"/>
      <c r="E114" s="39"/>
      <c r="F114" s="39"/>
      <c r="G114" s="39"/>
      <c r="H114" s="146"/>
    </row>
    <row r="115" spans="2:8" ht="13" thickBot="1">
      <c r="B115" s="171"/>
      <c r="C115" s="39"/>
      <c r="D115" s="39"/>
      <c r="E115" s="39"/>
      <c r="F115" s="39"/>
      <c r="G115" s="39"/>
      <c r="H115" s="146"/>
    </row>
    <row r="116" spans="2:8" ht="13.5" thickBot="1">
      <c r="B116" s="1531" t="s">
        <v>1392</v>
      </c>
      <c r="C116" s="1533"/>
      <c r="D116" s="22"/>
      <c r="E116" s="22"/>
      <c r="F116" s="22"/>
      <c r="G116" s="22"/>
      <c r="H116" s="575"/>
    </row>
    <row r="117" spans="2:8" ht="13" thickBot="1">
      <c r="B117" s="124"/>
      <c r="C117" s="126"/>
      <c r="H117" s="126"/>
    </row>
    <row r="118" spans="2:8" ht="13.5" thickBot="1">
      <c r="B118" s="157" t="s">
        <v>216</v>
      </c>
      <c r="C118" s="157" t="s">
        <v>824</v>
      </c>
      <c r="D118" s="6"/>
      <c r="E118" s="6"/>
      <c r="F118" s="6"/>
      <c r="G118" s="6"/>
      <c r="H118" s="575"/>
    </row>
    <row r="119" spans="2:8">
      <c r="B119" s="124">
        <v>0</v>
      </c>
      <c r="C119" s="975">
        <f>C109</f>
        <v>-700000</v>
      </c>
      <c r="H119" s="126"/>
    </row>
    <row r="120" spans="2:8">
      <c r="B120" s="124">
        <v>1</v>
      </c>
      <c r="C120" s="975">
        <f>($C$45+$C$48)/12</f>
        <v>4241.8623050959313</v>
      </c>
      <c r="E120" s="160"/>
      <c r="F120" s="160"/>
      <c r="G120" s="160"/>
      <c r="H120" s="568"/>
    </row>
    <row r="121" spans="2:8">
      <c r="B121" s="124">
        <v>2</v>
      </c>
      <c r="C121" s="975">
        <f t="shared" ref="C121:C131" si="2">($C$45+$C$48)/12</f>
        <v>4241.8623050959313</v>
      </c>
      <c r="D121" s="79"/>
      <c r="E121" s="160"/>
      <c r="F121" s="160"/>
      <c r="G121" s="160"/>
      <c r="H121" s="568"/>
    </row>
    <row r="122" spans="2:8">
      <c r="B122" s="124">
        <v>3</v>
      </c>
      <c r="C122" s="975">
        <f t="shared" si="2"/>
        <v>4241.8623050959313</v>
      </c>
      <c r="D122" s="79"/>
      <c r="E122" s="160"/>
      <c r="F122" s="160"/>
      <c r="G122" s="160"/>
      <c r="H122" s="568"/>
    </row>
    <row r="123" spans="2:8">
      <c r="B123" s="124">
        <v>4</v>
      </c>
      <c r="C123" s="975">
        <f t="shared" si="2"/>
        <v>4241.8623050959313</v>
      </c>
      <c r="D123" s="79"/>
      <c r="E123" s="160"/>
      <c r="F123" s="160"/>
      <c r="G123" s="160"/>
      <c r="H123" s="568"/>
    </row>
    <row r="124" spans="2:8">
      <c r="B124" s="124">
        <v>5</v>
      </c>
      <c r="C124" s="975">
        <f t="shared" si="2"/>
        <v>4241.8623050959313</v>
      </c>
      <c r="D124" s="79"/>
      <c r="E124" s="160"/>
      <c r="F124" s="160"/>
      <c r="G124" s="160"/>
      <c r="H124" s="568"/>
    </row>
    <row r="125" spans="2:8">
      <c r="B125" s="124">
        <v>6</v>
      </c>
      <c r="C125" s="975">
        <f t="shared" si="2"/>
        <v>4241.8623050959313</v>
      </c>
      <c r="D125" s="79"/>
      <c r="E125" s="160"/>
      <c r="F125" s="160"/>
      <c r="G125" s="160"/>
      <c r="H125" s="568"/>
    </row>
    <row r="126" spans="2:8">
      <c r="B126" s="124">
        <v>7</v>
      </c>
      <c r="C126" s="975">
        <f t="shared" si="2"/>
        <v>4241.8623050959313</v>
      </c>
      <c r="D126" s="79"/>
      <c r="E126" s="160"/>
      <c r="F126" s="160"/>
      <c r="G126" s="160"/>
      <c r="H126" s="568"/>
    </row>
    <row r="127" spans="2:8">
      <c r="B127" s="124">
        <v>8</v>
      </c>
      <c r="C127" s="975">
        <f t="shared" si="2"/>
        <v>4241.8623050959313</v>
      </c>
      <c r="D127" s="79"/>
      <c r="E127" s="160"/>
      <c r="F127" s="160"/>
      <c r="G127" s="160"/>
      <c r="H127" s="568"/>
    </row>
    <row r="128" spans="2:8">
      <c r="B128" s="124">
        <v>9</v>
      </c>
      <c r="C128" s="975">
        <f t="shared" si="2"/>
        <v>4241.8623050959313</v>
      </c>
      <c r="D128" s="79"/>
      <c r="E128" s="160"/>
      <c r="F128" s="160"/>
      <c r="G128" s="160"/>
      <c r="H128" s="568"/>
    </row>
    <row r="129" spans="2:8">
      <c r="B129" s="124">
        <v>10</v>
      </c>
      <c r="C129" s="975">
        <f t="shared" si="2"/>
        <v>4241.8623050959313</v>
      </c>
      <c r="D129" s="79"/>
      <c r="E129" s="160"/>
      <c r="F129" s="160"/>
      <c r="G129" s="160"/>
      <c r="H129" s="568"/>
    </row>
    <row r="130" spans="2:8">
      <c r="B130" s="124">
        <v>11</v>
      </c>
      <c r="C130" s="975">
        <f t="shared" si="2"/>
        <v>4241.8623050959313</v>
      </c>
      <c r="D130" s="79"/>
      <c r="E130" s="160"/>
      <c r="F130" s="160"/>
      <c r="G130" s="160"/>
      <c r="H130" s="568"/>
    </row>
    <row r="131" spans="2:8">
      <c r="B131" s="124">
        <v>12</v>
      </c>
      <c r="C131" s="975">
        <f t="shared" si="2"/>
        <v>4241.8623050959313</v>
      </c>
      <c r="D131" s="79"/>
      <c r="E131" s="160"/>
      <c r="F131" s="160"/>
      <c r="G131" s="160"/>
      <c r="H131" s="568"/>
    </row>
    <row r="132" spans="2:8">
      <c r="B132" s="124">
        <v>13</v>
      </c>
      <c r="C132" s="975">
        <f>($D$45+$D$48)/12</f>
        <v>4300.1956384292644</v>
      </c>
      <c r="D132" s="79"/>
      <c r="E132" s="160"/>
      <c r="F132" s="160"/>
      <c r="G132" s="160"/>
      <c r="H132" s="568"/>
    </row>
    <row r="133" spans="2:8">
      <c r="B133" s="124">
        <v>14</v>
      </c>
      <c r="C133" s="975">
        <f t="shared" ref="C133:C143" si="3">($D$45+$D$48)/12</f>
        <v>4300.1956384292644</v>
      </c>
      <c r="D133" s="79"/>
      <c r="E133" s="160"/>
      <c r="F133" s="160"/>
      <c r="G133" s="160"/>
      <c r="H133" s="568"/>
    </row>
    <row r="134" spans="2:8">
      <c r="B134" s="124">
        <v>15</v>
      </c>
      <c r="C134" s="975">
        <f t="shared" si="3"/>
        <v>4300.1956384292644</v>
      </c>
      <c r="D134" s="79"/>
      <c r="E134" s="160"/>
      <c r="F134" s="160"/>
      <c r="G134" s="160"/>
      <c r="H134" s="568"/>
    </row>
    <row r="135" spans="2:8">
      <c r="B135" s="124">
        <v>16</v>
      </c>
      <c r="C135" s="975">
        <f t="shared" si="3"/>
        <v>4300.1956384292644</v>
      </c>
      <c r="D135" s="79"/>
      <c r="E135" s="160"/>
      <c r="F135" s="160"/>
      <c r="G135" s="160"/>
      <c r="H135" s="568"/>
    </row>
    <row r="136" spans="2:8">
      <c r="B136" s="124">
        <v>17</v>
      </c>
      <c r="C136" s="975">
        <f t="shared" si="3"/>
        <v>4300.1956384292644</v>
      </c>
      <c r="D136" s="79"/>
      <c r="E136" s="160"/>
      <c r="F136" s="160"/>
      <c r="G136" s="160"/>
      <c r="H136" s="568"/>
    </row>
    <row r="137" spans="2:8">
      <c r="B137" s="124">
        <v>18</v>
      </c>
      <c r="C137" s="975">
        <f t="shared" si="3"/>
        <v>4300.1956384292644</v>
      </c>
      <c r="D137" s="79"/>
      <c r="E137" s="160"/>
      <c r="F137" s="160"/>
      <c r="G137" s="160"/>
      <c r="H137" s="568"/>
    </row>
    <row r="138" spans="2:8">
      <c r="B138" s="124">
        <v>19</v>
      </c>
      <c r="C138" s="975">
        <f t="shared" si="3"/>
        <v>4300.1956384292644</v>
      </c>
      <c r="D138" s="79"/>
      <c r="E138" s="160"/>
      <c r="F138" s="160"/>
      <c r="G138" s="160"/>
      <c r="H138" s="568"/>
    </row>
    <row r="139" spans="2:8">
      <c r="B139" s="124">
        <v>20</v>
      </c>
      <c r="C139" s="975">
        <f t="shared" si="3"/>
        <v>4300.1956384292644</v>
      </c>
      <c r="D139" s="79"/>
      <c r="E139" s="160"/>
      <c r="F139" s="160"/>
      <c r="G139" s="160"/>
      <c r="H139" s="568"/>
    </row>
    <row r="140" spans="2:8">
      <c r="B140" s="124">
        <v>21</v>
      </c>
      <c r="C140" s="975">
        <f t="shared" si="3"/>
        <v>4300.1956384292644</v>
      </c>
      <c r="D140" s="79"/>
      <c r="E140" s="160"/>
      <c r="F140" s="160"/>
      <c r="G140" s="160"/>
      <c r="H140" s="568"/>
    </row>
    <row r="141" spans="2:8">
      <c r="B141" s="124">
        <v>22</v>
      </c>
      <c r="C141" s="975">
        <f t="shared" si="3"/>
        <v>4300.1956384292644</v>
      </c>
      <c r="D141" s="79"/>
      <c r="E141" s="160"/>
      <c r="F141" s="160"/>
      <c r="G141" s="160"/>
      <c r="H141" s="568"/>
    </row>
    <row r="142" spans="2:8">
      <c r="B142" s="124">
        <v>23</v>
      </c>
      <c r="C142" s="975">
        <f t="shared" si="3"/>
        <v>4300.1956384292644</v>
      </c>
      <c r="D142" s="79"/>
      <c r="E142" s="160"/>
      <c r="F142" s="160"/>
      <c r="G142" s="160"/>
      <c r="H142" s="568"/>
    </row>
    <row r="143" spans="2:8">
      <c r="B143" s="124">
        <v>24</v>
      </c>
      <c r="C143" s="975">
        <f t="shared" si="3"/>
        <v>4300.1956384292644</v>
      </c>
      <c r="D143" s="79"/>
      <c r="E143" s="160"/>
      <c r="F143" s="160"/>
      <c r="G143" s="160"/>
      <c r="H143" s="568"/>
    </row>
    <row r="144" spans="2:8">
      <c r="B144" s="124">
        <v>25</v>
      </c>
      <c r="C144" s="975">
        <f>($E$45+$E$48)/12</f>
        <v>4359.6956384292644</v>
      </c>
      <c r="D144" s="79"/>
      <c r="E144" s="160"/>
      <c r="F144" s="160"/>
      <c r="G144" s="160"/>
      <c r="H144" s="568"/>
    </row>
    <row r="145" spans="2:8">
      <c r="B145" s="124">
        <v>26</v>
      </c>
      <c r="C145" s="975">
        <f t="shared" ref="C145:C155" si="4">($E$45+$E$48)/12</f>
        <v>4359.6956384292644</v>
      </c>
      <c r="D145" s="79"/>
      <c r="E145" s="160"/>
      <c r="F145" s="160"/>
      <c r="G145" s="160"/>
      <c r="H145" s="568"/>
    </row>
    <row r="146" spans="2:8">
      <c r="B146" s="124">
        <v>27</v>
      </c>
      <c r="C146" s="975">
        <f t="shared" si="4"/>
        <v>4359.6956384292644</v>
      </c>
      <c r="D146" s="79"/>
      <c r="E146" s="160"/>
      <c r="F146" s="160"/>
      <c r="G146" s="160"/>
      <c r="H146" s="568"/>
    </row>
    <row r="147" spans="2:8">
      <c r="B147" s="124">
        <v>28</v>
      </c>
      <c r="C147" s="975">
        <f t="shared" si="4"/>
        <v>4359.6956384292644</v>
      </c>
      <c r="D147" s="79"/>
      <c r="E147" s="160"/>
      <c r="F147" s="160"/>
      <c r="G147" s="160"/>
      <c r="H147" s="568"/>
    </row>
    <row r="148" spans="2:8">
      <c r="B148" s="124">
        <v>29</v>
      </c>
      <c r="C148" s="975">
        <f t="shared" si="4"/>
        <v>4359.6956384292644</v>
      </c>
      <c r="D148" s="79"/>
      <c r="E148" s="160"/>
      <c r="F148" s="160"/>
      <c r="G148" s="160"/>
      <c r="H148" s="568"/>
    </row>
    <row r="149" spans="2:8">
      <c r="B149" s="124">
        <v>30</v>
      </c>
      <c r="C149" s="975">
        <f t="shared" si="4"/>
        <v>4359.6956384292644</v>
      </c>
      <c r="D149" s="79"/>
      <c r="E149" s="160"/>
      <c r="F149" s="160"/>
      <c r="G149" s="160"/>
      <c r="H149" s="568"/>
    </row>
    <row r="150" spans="2:8">
      <c r="B150" s="124">
        <v>31</v>
      </c>
      <c r="C150" s="975">
        <f t="shared" si="4"/>
        <v>4359.6956384292644</v>
      </c>
      <c r="D150" s="79"/>
      <c r="E150" s="160"/>
      <c r="F150" s="160"/>
      <c r="G150" s="160"/>
      <c r="H150" s="568"/>
    </row>
    <row r="151" spans="2:8">
      <c r="B151" s="124">
        <v>32</v>
      </c>
      <c r="C151" s="975">
        <f t="shared" si="4"/>
        <v>4359.6956384292644</v>
      </c>
      <c r="D151" s="79"/>
      <c r="E151" s="160"/>
      <c r="F151" s="160"/>
      <c r="G151" s="160"/>
      <c r="H151" s="568"/>
    </row>
    <row r="152" spans="2:8">
      <c r="B152" s="124">
        <v>33</v>
      </c>
      <c r="C152" s="975">
        <f t="shared" si="4"/>
        <v>4359.6956384292644</v>
      </c>
      <c r="D152" s="79"/>
      <c r="E152" s="160"/>
      <c r="F152" s="160"/>
      <c r="G152" s="160"/>
      <c r="H152" s="568"/>
    </row>
    <row r="153" spans="2:8">
      <c r="B153" s="124">
        <v>34</v>
      </c>
      <c r="C153" s="975">
        <f t="shared" si="4"/>
        <v>4359.6956384292644</v>
      </c>
      <c r="D153" s="79"/>
      <c r="E153" s="160"/>
      <c r="F153" s="160"/>
      <c r="G153" s="160"/>
      <c r="H153" s="568"/>
    </row>
    <row r="154" spans="2:8">
      <c r="B154" s="124">
        <v>35</v>
      </c>
      <c r="C154" s="975">
        <f t="shared" si="4"/>
        <v>4359.6956384292644</v>
      </c>
      <c r="D154" s="79"/>
      <c r="E154" s="160"/>
      <c r="F154" s="160"/>
      <c r="G154" s="160"/>
      <c r="H154" s="568"/>
    </row>
    <row r="155" spans="2:8">
      <c r="B155" s="124">
        <v>36</v>
      </c>
      <c r="C155" s="975">
        <f t="shared" si="4"/>
        <v>4359.6956384292644</v>
      </c>
      <c r="D155" s="79"/>
      <c r="E155" s="160"/>
      <c r="F155" s="160"/>
      <c r="G155" s="160"/>
      <c r="H155" s="568"/>
    </row>
    <row r="156" spans="2:8">
      <c r="B156" s="124">
        <v>37</v>
      </c>
      <c r="C156" s="975">
        <f>($F$45+$F$48)/12</f>
        <v>4420.385638429264</v>
      </c>
      <c r="D156" s="79"/>
      <c r="E156" s="160"/>
      <c r="F156" s="160"/>
      <c r="G156" s="160"/>
      <c r="H156" s="568"/>
    </row>
    <row r="157" spans="2:8">
      <c r="B157" s="124">
        <v>38</v>
      </c>
      <c r="C157" s="975">
        <f t="shared" ref="C157:C167" si="5">($F$45+$F$48)/12</f>
        <v>4420.385638429264</v>
      </c>
      <c r="D157" s="79"/>
      <c r="E157" s="160"/>
      <c r="F157" s="160"/>
      <c r="G157" s="160"/>
      <c r="H157" s="568"/>
    </row>
    <row r="158" spans="2:8">
      <c r="B158" s="124">
        <v>39</v>
      </c>
      <c r="C158" s="975">
        <f t="shared" si="5"/>
        <v>4420.385638429264</v>
      </c>
      <c r="D158" s="79"/>
      <c r="E158" s="160"/>
      <c r="F158" s="160"/>
      <c r="G158" s="160"/>
      <c r="H158" s="568"/>
    </row>
    <row r="159" spans="2:8">
      <c r="B159" s="124">
        <v>40</v>
      </c>
      <c r="C159" s="975">
        <f t="shared" si="5"/>
        <v>4420.385638429264</v>
      </c>
      <c r="D159" s="79"/>
      <c r="E159" s="160"/>
      <c r="F159" s="160"/>
      <c r="G159" s="160"/>
      <c r="H159" s="568"/>
    </row>
    <row r="160" spans="2:8">
      <c r="B160" s="124">
        <v>41</v>
      </c>
      <c r="C160" s="975">
        <f t="shared" si="5"/>
        <v>4420.385638429264</v>
      </c>
      <c r="D160" s="79"/>
      <c r="E160" s="160"/>
      <c r="F160" s="160"/>
      <c r="G160" s="160"/>
      <c r="H160" s="568"/>
    </row>
    <row r="161" spans="2:8">
      <c r="B161" s="124">
        <v>42</v>
      </c>
      <c r="C161" s="975">
        <f t="shared" si="5"/>
        <v>4420.385638429264</v>
      </c>
      <c r="D161" s="79"/>
      <c r="E161" s="160"/>
      <c r="F161" s="160"/>
      <c r="G161" s="160"/>
      <c r="H161" s="568"/>
    </row>
    <row r="162" spans="2:8">
      <c r="B162" s="124">
        <v>43</v>
      </c>
      <c r="C162" s="975">
        <f t="shared" si="5"/>
        <v>4420.385638429264</v>
      </c>
      <c r="D162" s="79"/>
      <c r="E162" s="160"/>
      <c r="F162" s="160"/>
      <c r="G162" s="160"/>
      <c r="H162" s="568"/>
    </row>
    <row r="163" spans="2:8">
      <c r="B163" s="124">
        <v>44</v>
      </c>
      <c r="C163" s="975">
        <f t="shared" si="5"/>
        <v>4420.385638429264</v>
      </c>
      <c r="D163" s="79"/>
      <c r="E163" s="160"/>
      <c r="F163" s="160"/>
      <c r="G163" s="160"/>
      <c r="H163" s="568"/>
    </row>
    <row r="164" spans="2:8">
      <c r="B164" s="124">
        <v>45</v>
      </c>
      <c r="C164" s="975">
        <f t="shared" si="5"/>
        <v>4420.385638429264</v>
      </c>
      <c r="D164" s="79"/>
      <c r="E164" s="160"/>
      <c r="F164" s="160"/>
      <c r="G164" s="160"/>
      <c r="H164" s="568"/>
    </row>
    <row r="165" spans="2:8">
      <c r="B165" s="124">
        <v>46</v>
      </c>
      <c r="C165" s="975">
        <f t="shared" si="5"/>
        <v>4420.385638429264</v>
      </c>
      <c r="D165" s="79"/>
      <c r="E165" s="160"/>
      <c r="F165" s="160"/>
      <c r="G165" s="160"/>
      <c r="H165" s="568"/>
    </row>
    <row r="166" spans="2:8">
      <c r="B166" s="124">
        <v>47</v>
      </c>
      <c r="C166" s="975">
        <f t="shared" si="5"/>
        <v>4420.385638429264</v>
      </c>
      <c r="D166" s="79"/>
      <c r="E166" s="160"/>
      <c r="F166" s="160"/>
      <c r="G166" s="160"/>
      <c r="H166" s="568"/>
    </row>
    <row r="167" spans="2:8">
      <c r="B167" s="124">
        <v>48</v>
      </c>
      <c r="C167" s="975">
        <f t="shared" si="5"/>
        <v>4420.385638429264</v>
      </c>
      <c r="D167" s="79"/>
      <c r="E167" s="160"/>
      <c r="F167" s="160"/>
      <c r="G167" s="160"/>
      <c r="H167" s="568"/>
    </row>
    <row r="168" spans="2:8">
      <c r="B168" s="124">
        <v>49</v>
      </c>
      <c r="C168" s="975">
        <f>($G$45+$G$48)/12</f>
        <v>4482.289438429264</v>
      </c>
      <c r="D168" s="79"/>
      <c r="E168" s="160"/>
      <c r="F168" s="160"/>
      <c r="G168" s="160"/>
      <c r="H168" s="568"/>
    </row>
    <row r="169" spans="2:8">
      <c r="B169" s="124">
        <v>50</v>
      </c>
      <c r="C169" s="975">
        <f t="shared" ref="C169:C178" si="6">($G$45+$G$48)/12</f>
        <v>4482.289438429264</v>
      </c>
      <c r="D169" s="79"/>
      <c r="E169" s="160"/>
      <c r="F169" s="160"/>
      <c r="G169" s="160"/>
      <c r="H169" s="568"/>
    </row>
    <row r="170" spans="2:8">
      <c r="B170" s="124">
        <v>51</v>
      </c>
      <c r="C170" s="975">
        <f t="shared" si="6"/>
        <v>4482.289438429264</v>
      </c>
      <c r="D170" s="79"/>
      <c r="E170" s="160"/>
      <c r="F170" s="160"/>
      <c r="G170" s="160"/>
      <c r="H170" s="568"/>
    </row>
    <row r="171" spans="2:8">
      <c r="B171" s="124">
        <v>52</v>
      </c>
      <c r="C171" s="975">
        <f t="shared" si="6"/>
        <v>4482.289438429264</v>
      </c>
      <c r="D171" s="79"/>
      <c r="E171" s="160"/>
      <c r="F171" s="160"/>
      <c r="G171" s="160"/>
      <c r="H171" s="568"/>
    </row>
    <row r="172" spans="2:8">
      <c r="B172" s="124">
        <v>53</v>
      </c>
      <c r="C172" s="975">
        <f t="shared" si="6"/>
        <v>4482.289438429264</v>
      </c>
      <c r="D172" s="79"/>
      <c r="E172" s="160"/>
      <c r="F172" s="160"/>
      <c r="G172" s="160"/>
      <c r="H172" s="568"/>
    </row>
    <row r="173" spans="2:8">
      <c r="B173" s="124">
        <v>54</v>
      </c>
      <c r="C173" s="975">
        <f t="shared" si="6"/>
        <v>4482.289438429264</v>
      </c>
      <c r="D173" s="79"/>
      <c r="E173" s="160"/>
      <c r="F173" s="160"/>
      <c r="G173" s="160"/>
      <c r="H173" s="568"/>
    </row>
    <row r="174" spans="2:8">
      <c r="B174" s="124">
        <v>55</v>
      </c>
      <c r="C174" s="975">
        <f t="shared" si="6"/>
        <v>4482.289438429264</v>
      </c>
      <c r="D174" s="79"/>
      <c r="E174" s="160"/>
      <c r="F174" s="160"/>
      <c r="G174" s="160"/>
      <c r="H174" s="568"/>
    </row>
    <row r="175" spans="2:8">
      <c r="B175" s="124">
        <v>56</v>
      </c>
      <c r="C175" s="975">
        <f t="shared" si="6"/>
        <v>4482.289438429264</v>
      </c>
      <c r="D175" s="79"/>
      <c r="E175" s="160"/>
      <c r="F175" s="160"/>
      <c r="G175" s="160"/>
      <c r="H175" s="568"/>
    </row>
    <row r="176" spans="2:8">
      <c r="B176" s="124">
        <v>57</v>
      </c>
      <c r="C176" s="975">
        <f t="shared" si="6"/>
        <v>4482.289438429264</v>
      </c>
      <c r="D176" s="79"/>
      <c r="E176" s="160"/>
      <c r="F176" s="160"/>
      <c r="G176" s="160"/>
      <c r="H176" s="568"/>
    </row>
    <row r="177" spans="2:8">
      <c r="B177" s="124">
        <v>58</v>
      </c>
      <c r="C177" s="975">
        <f t="shared" si="6"/>
        <v>4482.289438429264</v>
      </c>
      <c r="D177" s="79"/>
      <c r="E177" s="160"/>
      <c r="F177" s="160"/>
      <c r="G177" s="160"/>
      <c r="H177" s="568"/>
    </row>
    <row r="178" spans="2:8">
      <c r="B178" s="124">
        <v>59</v>
      </c>
      <c r="C178" s="975">
        <f t="shared" si="6"/>
        <v>4482.289438429264</v>
      </c>
      <c r="D178" s="79"/>
      <c r="E178" s="160"/>
      <c r="F178" s="160"/>
      <c r="G178" s="160"/>
      <c r="H178" s="568"/>
    </row>
    <row r="179" spans="2:8">
      <c r="B179" s="124">
        <v>60</v>
      </c>
      <c r="C179" s="975">
        <f>($G$45+$G$48)/12+E66+H107</f>
        <v>624785.13021861471</v>
      </c>
      <c r="D179" s="79"/>
      <c r="E179" s="160"/>
      <c r="F179" s="160"/>
      <c r="G179" s="160"/>
      <c r="H179" s="568"/>
    </row>
    <row r="180" spans="2:8" ht="13" thickBot="1">
      <c r="B180" s="124"/>
      <c r="C180" s="126"/>
      <c r="H180" s="126"/>
    </row>
    <row r="181" spans="2:8" ht="13.5" thickBot="1">
      <c r="B181" s="155" t="s">
        <v>903</v>
      </c>
      <c r="C181" s="155">
        <f>IRR(C119:C179,0.1/12)*12</f>
        <v>5.4800634422100813E-2</v>
      </c>
      <c r="D181" s="4"/>
      <c r="E181" s="4"/>
      <c r="F181" s="4"/>
      <c r="G181" s="4"/>
      <c r="H181" s="135"/>
    </row>
  </sheetData>
  <mergeCells count="13">
    <mergeCell ref="B10:G10"/>
    <mergeCell ref="B2:H2"/>
    <mergeCell ref="B3:H3"/>
    <mergeCell ref="B5:H5"/>
    <mergeCell ref="B6:H6"/>
    <mergeCell ref="B7:H7"/>
    <mergeCell ref="B116:C116"/>
    <mergeCell ref="B35:G35"/>
    <mergeCell ref="B42:G42"/>
    <mergeCell ref="B61:E61"/>
    <mergeCell ref="B83:H83"/>
    <mergeCell ref="B94:H94"/>
    <mergeCell ref="B104:H104"/>
  </mergeCells>
  <pageMargins left="0.75" right="0.75" top="1" bottom="1" header="0.5" footer="0.5"/>
  <pageSetup orientation="portrait" r:id="rId1"/>
  <headerFooter alignWithMargins="0"/>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H174"/>
  <sheetViews>
    <sheetView workbookViewId="0">
      <selection activeCell="C68" sqref="C68"/>
    </sheetView>
  </sheetViews>
  <sheetFormatPr defaultRowHeight="12.5"/>
  <cols>
    <col min="2" max="2" width="35.81640625" customWidth="1"/>
    <col min="3" max="3" width="11.26953125" bestFit="1" customWidth="1"/>
    <col min="4" max="4" width="12.26953125" customWidth="1"/>
    <col min="5" max="5" width="19" customWidth="1"/>
    <col min="6" max="6" width="10.81640625" customWidth="1"/>
    <col min="7" max="7" width="10" customWidth="1"/>
    <col min="8" max="8" width="11.453125" customWidth="1"/>
  </cols>
  <sheetData>
    <row r="1" spans="2:8" ht="13" thickBot="1"/>
    <row r="2" spans="2:8" ht="18.5" thickBot="1">
      <c r="B2" s="1618" t="s">
        <v>1102</v>
      </c>
      <c r="C2" s="1526"/>
      <c r="D2" s="1526"/>
      <c r="E2" s="1526"/>
      <c r="F2" s="1526"/>
      <c r="G2" s="1526"/>
      <c r="H2" s="1527"/>
    </row>
    <row r="3" spans="2:8" ht="16" thickBot="1">
      <c r="B3" s="1619" t="s">
        <v>1103</v>
      </c>
      <c r="C3" s="1554"/>
      <c r="D3" s="1554"/>
      <c r="E3" s="1554"/>
      <c r="F3" s="1554"/>
      <c r="G3" s="1554"/>
      <c r="H3" s="1555"/>
    </row>
    <row r="4" spans="2:8">
      <c r="B4" s="124"/>
      <c r="H4" s="126"/>
    </row>
    <row r="5" spans="2:8">
      <c r="B5" s="1620" t="s">
        <v>1101</v>
      </c>
      <c r="C5" s="1621"/>
      <c r="D5" s="1621"/>
      <c r="E5" s="1621"/>
      <c r="F5" s="1621"/>
      <c r="G5" s="1621"/>
      <c r="H5" s="1622"/>
    </row>
    <row r="6" spans="2:8">
      <c r="B6" s="1623" t="s">
        <v>419</v>
      </c>
      <c r="C6" s="1624"/>
      <c r="D6" s="1624"/>
      <c r="E6" s="1624"/>
      <c r="F6" s="1624"/>
      <c r="G6" s="1624"/>
      <c r="H6" s="1625"/>
    </row>
    <row r="7" spans="2:8" ht="13">
      <c r="B7" s="1626" t="s">
        <v>1104</v>
      </c>
      <c r="C7" s="1624"/>
      <c r="D7" s="1624"/>
      <c r="E7" s="1624"/>
      <c r="F7" s="1624"/>
      <c r="G7" s="1624"/>
      <c r="H7" s="1625"/>
    </row>
    <row r="8" spans="2:8" ht="13.5" thickBot="1">
      <c r="B8" s="573"/>
      <c r="C8" s="1"/>
      <c r="D8" s="1"/>
      <c r="E8" s="39"/>
      <c r="F8" s="39"/>
      <c r="G8" s="39"/>
      <c r="H8" s="146"/>
    </row>
    <row r="9" spans="2:8" ht="13.5" thickBot="1">
      <c r="B9" s="1583" t="s">
        <v>207</v>
      </c>
      <c r="C9" s="1532"/>
      <c r="D9" s="1532"/>
      <c r="E9" s="1532"/>
      <c r="F9" s="1532"/>
      <c r="G9" s="1533"/>
      <c r="H9" s="146"/>
    </row>
    <row r="10" spans="2:8" ht="13.5" thickBot="1">
      <c r="B10" s="124" t="s">
        <v>267</v>
      </c>
      <c r="C10" s="128">
        <v>1000000</v>
      </c>
      <c r="E10" s="243" t="s">
        <v>363</v>
      </c>
      <c r="F10" s="122"/>
      <c r="G10" s="123"/>
      <c r="H10" s="126"/>
    </row>
    <row r="11" spans="2:8">
      <c r="B11" s="124" t="s">
        <v>420</v>
      </c>
      <c r="C11" s="128">
        <v>100000</v>
      </c>
      <c r="E11" s="124" t="s">
        <v>364</v>
      </c>
      <c r="F11" s="128">
        <f>0.9*C10</f>
        <v>900000</v>
      </c>
      <c r="G11" s="126"/>
      <c r="H11" s="126"/>
    </row>
    <row r="12" spans="2:8">
      <c r="B12" s="124" t="s">
        <v>421</v>
      </c>
      <c r="C12" s="128">
        <v>0.03</v>
      </c>
      <c r="E12" s="124" t="s">
        <v>422</v>
      </c>
      <c r="F12" s="128">
        <v>27.5</v>
      </c>
      <c r="G12" s="126" t="s">
        <v>208</v>
      </c>
      <c r="H12" s="126"/>
    </row>
    <row r="13" spans="2:8">
      <c r="B13" s="124" t="s">
        <v>368</v>
      </c>
      <c r="C13" s="128">
        <v>0.7</v>
      </c>
      <c r="E13" s="124" t="s">
        <v>423</v>
      </c>
      <c r="F13" s="128">
        <v>0.28000000000000003</v>
      </c>
      <c r="G13" s="126"/>
      <c r="H13" s="126"/>
    </row>
    <row r="14" spans="2:8">
      <c r="B14" s="124" t="s">
        <v>424</v>
      </c>
      <c r="C14" s="128">
        <v>0.1</v>
      </c>
      <c r="E14" s="124"/>
      <c r="G14" s="126"/>
      <c r="H14" s="126"/>
    </row>
    <row r="15" spans="2:8">
      <c r="B15" s="124" t="s">
        <v>425</v>
      </c>
      <c r="C15" s="128">
        <v>0.1</v>
      </c>
      <c r="E15" s="124"/>
      <c r="G15" s="126"/>
      <c r="H15" s="126"/>
    </row>
    <row r="16" spans="2:8">
      <c r="B16" s="124" t="s">
        <v>426</v>
      </c>
      <c r="C16" s="128">
        <v>15</v>
      </c>
      <c r="D16" t="s">
        <v>208</v>
      </c>
      <c r="E16" s="124"/>
      <c r="G16" s="126"/>
      <c r="H16" s="126"/>
    </row>
    <row r="17" spans="2:8">
      <c r="B17" s="124" t="s">
        <v>427</v>
      </c>
      <c r="C17" s="128">
        <v>15</v>
      </c>
      <c r="D17" t="s">
        <v>208</v>
      </c>
      <c r="E17" s="124"/>
      <c r="G17" s="126"/>
      <c r="H17" s="126"/>
    </row>
    <row r="18" spans="2:8">
      <c r="B18" s="124" t="s">
        <v>372</v>
      </c>
      <c r="C18" s="128">
        <v>12</v>
      </c>
      <c r="E18" s="124"/>
      <c r="G18" s="126"/>
      <c r="H18" s="126"/>
    </row>
    <row r="19" spans="2:8">
      <c r="B19" s="124" t="s">
        <v>428</v>
      </c>
      <c r="C19" s="128">
        <v>0</v>
      </c>
      <c r="D19" t="s">
        <v>429</v>
      </c>
      <c r="E19" s="124"/>
      <c r="G19" s="126"/>
      <c r="H19" s="126"/>
    </row>
    <row r="20" spans="2:8">
      <c r="B20" s="124" t="s">
        <v>430</v>
      </c>
      <c r="C20" s="128">
        <v>0</v>
      </c>
      <c r="E20" s="124"/>
      <c r="G20" s="126"/>
      <c r="H20" s="126"/>
    </row>
    <row r="21" spans="2:8">
      <c r="B21" s="124" t="s">
        <v>428</v>
      </c>
      <c r="C21" s="128">
        <v>0</v>
      </c>
      <c r="D21" t="s">
        <v>431</v>
      </c>
      <c r="E21" s="124"/>
      <c r="G21" s="126"/>
      <c r="H21" s="126"/>
    </row>
    <row r="22" spans="2:8">
      <c r="B22" s="124" t="s">
        <v>432</v>
      </c>
      <c r="C22" s="128">
        <v>7800</v>
      </c>
      <c r="E22" s="124"/>
      <c r="G22" s="126"/>
      <c r="H22" s="126"/>
    </row>
    <row r="23" spans="2:8">
      <c r="B23" s="124" t="s">
        <v>433</v>
      </c>
      <c r="C23" s="128">
        <f>0.03</f>
        <v>0.03</v>
      </c>
      <c r="E23" s="124"/>
      <c r="G23" s="126"/>
      <c r="H23" s="126"/>
    </row>
    <row r="24" spans="2:8">
      <c r="B24" s="124" t="s">
        <v>434</v>
      </c>
      <c r="C24" s="128">
        <v>0</v>
      </c>
      <c r="E24" s="124"/>
      <c r="G24" s="126"/>
      <c r="H24" s="126"/>
    </row>
    <row r="25" spans="2:8">
      <c r="B25" s="124" t="s">
        <v>376</v>
      </c>
      <c r="C25" s="128">
        <v>5</v>
      </c>
      <c r="D25" t="s">
        <v>208</v>
      </c>
      <c r="E25" s="124"/>
      <c r="G25" s="126"/>
      <c r="H25" s="126"/>
    </row>
    <row r="26" spans="2:8" ht="13" thickBot="1">
      <c r="B26" s="134" t="s">
        <v>377</v>
      </c>
      <c r="C26" s="286">
        <v>0</v>
      </c>
      <c r="D26" s="4" t="s">
        <v>378</v>
      </c>
      <c r="E26" s="134"/>
      <c r="F26" s="4"/>
      <c r="G26" s="135"/>
      <c r="H26" s="126"/>
    </row>
    <row r="27" spans="2:8" ht="13.5" thickBot="1">
      <c r="B27" s="573"/>
      <c r="C27" s="56"/>
      <c r="D27" s="39"/>
      <c r="E27" s="39"/>
      <c r="F27" s="39"/>
      <c r="G27" s="39"/>
      <c r="H27" s="146"/>
    </row>
    <row r="28" spans="2:8">
      <c r="B28" s="552" t="s">
        <v>291</v>
      </c>
      <c r="C28" s="553">
        <f>IF(C22&gt;0,(1-C13)*F11,(1-C13)*C10)</f>
        <v>270000.00000000006</v>
      </c>
      <c r="D28" s="470"/>
      <c r="E28" s="535"/>
      <c r="F28" s="39"/>
      <c r="G28" s="39"/>
      <c r="H28" s="146"/>
    </row>
    <row r="29" spans="2:8">
      <c r="B29" s="369" t="s">
        <v>381</v>
      </c>
      <c r="C29" s="57">
        <f>IF(C22&gt;0,F11*C13,C13*C10)</f>
        <v>630000</v>
      </c>
      <c r="D29" s="34"/>
      <c r="E29" s="309"/>
      <c r="F29" s="39"/>
      <c r="G29" s="39"/>
      <c r="H29" s="146"/>
    </row>
    <row r="30" spans="2:8">
      <c r="B30" s="369" t="s">
        <v>382</v>
      </c>
      <c r="C30" s="57">
        <f>PMT(C14/C18,C16*C18,-C29)*C18</f>
        <v>81240.146898733568</v>
      </c>
      <c r="D30" s="34"/>
      <c r="E30" s="309"/>
      <c r="F30" s="39"/>
      <c r="G30" s="39"/>
      <c r="H30" s="146"/>
    </row>
    <row r="31" spans="2:8">
      <c r="B31" s="369" t="s">
        <v>435</v>
      </c>
      <c r="C31" s="57">
        <f>(PMT(C15/C18,C18*C16,-C29))*C18</f>
        <v>81240.146898733568</v>
      </c>
      <c r="D31" s="34"/>
      <c r="E31" s="309"/>
      <c r="F31" s="39"/>
      <c r="G31" s="39"/>
      <c r="H31" s="146"/>
    </row>
    <row r="32" spans="2:8" ht="13" thickBot="1">
      <c r="B32" s="371" t="s">
        <v>383</v>
      </c>
      <c r="C32" s="372">
        <f>IF(C14&lt;C15,(FV(C15/C18,C25*C18,C30/C18,-C29)),PV(C14/C18,(C16-C25)*C18,-(C30/C18)))</f>
        <v>512294.7023457312</v>
      </c>
      <c r="D32" s="554" t="s">
        <v>384</v>
      </c>
      <c r="E32" s="149">
        <f>C25</f>
        <v>5</v>
      </c>
      <c r="F32" s="39"/>
      <c r="G32" s="39"/>
      <c r="H32" s="146"/>
    </row>
    <row r="33" spans="2:8" ht="13" thickBot="1">
      <c r="B33" s="384"/>
      <c r="C33" s="39"/>
      <c r="D33" s="39"/>
      <c r="E33" s="39"/>
      <c r="F33" s="39"/>
      <c r="G33" s="39"/>
      <c r="H33" s="146"/>
    </row>
    <row r="34" spans="2:8" ht="13.5" thickBot="1">
      <c r="B34" s="1617" t="s">
        <v>385</v>
      </c>
      <c r="C34" s="1538"/>
      <c r="D34" s="1538"/>
      <c r="E34" s="1538"/>
      <c r="F34" s="1538"/>
      <c r="G34" s="1539"/>
      <c r="H34" s="146"/>
    </row>
    <row r="35" spans="2:8" ht="13.5" thickBot="1">
      <c r="B35" s="576" t="s">
        <v>386</v>
      </c>
      <c r="C35" s="576">
        <v>1</v>
      </c>
      <c r="D35" s="576">
        <f>(1+C35)</f>
        <v>2</v>
      </c>
      <c r="E35" s="576">
        <f>(1+D35)</f>
        <v>3</v>
      </c>
      <c r="F35" s="576">
        <f>(1+E35)</f>
        <v>4</v>
      </c>
      <c r="G35" s="576">
        <f>(1+F35)</f>
        <v>5</v>
      </c>
      <c r="H35" s="146"/>
    </row>
    <row r="36" spans="2:8">
      <c r="B36" s="369" t="s">
        <v>209</v>
      </c>
      <c r="C36" s="57">
        <f>$C$30</f>
        <v>81240.146898733568</v>
      </c>
      <c r="D36" s="57">
        <f>$C$30</f>
        <v>81240.146898733568</v>
      </c>
      <c r="E36" s="57">
        <f>$C$30</f>
        <v>81240.146898733568</v>
      </c>
      <c r="F36" s="57">
        <f>$C$30</f>
        <v>81240.146898733568</v>
      </c>
      <c r="G36" s="370">
        <f>$C$30</f>
        <v>81240.146898733568</v>
      </c>
      <c r="H36" s="309"/>
    </row>
    <row r="37" spans="2:8">
      <c r="B37" s="369" t="s">
        <v>383</v>
      </c>
      <c r="C37" s="57">
        <f>IF($C$14&lt;$C$15,FV($C$15/$C$18,C35*$C$18,$C$30/$C$18,-$C$29),IF($C$16&gt;C35-$C35+1,(($C30/$C$18)/PMT($C$14/($C$18),($C$16-(C35-$C35+1))*$C$18,-1)),0))</f>
        <v>610900.18267653731</v>
      </c>
      <c r="D37" s="57">
        <f>IF($C$14&lt;$C$15,FV($C$15/$C$18,D35*$C$18,$C$30/$C$18,-$C$29),IF($C$16&gt;D35-$C35+1,(($C30/$C$18)/PMT($C$14/($C$18),($C$16-(D35-$C35+1))*$C$18,-1)),0))</f>
        <v>589800.36489356647</v>
      </c>
      <c r="E37" s="57">
        <f>IF($C$14&lt;$C$15,FV($C$15/$C$18,E35*$C$18,$C$30/$C$18,-$C$29),IF($C$16&gt;E35-$C35+1,(($C30/$C$18)/PMT($C$14/($C$18),($C$16-(E35-$C35+1))*$C$18,-1)),0))</f>
        <v>566491.12046808843</v>
      </c>
      <c r="F37" s="57">
        <f>IF($C$14&lt;$C$15,FV($C$15/$C$18,F35*$C$18,$C$30/$C$18,-$C$29),IF($C$16&gt;F35-$C35+1,(($C30/$C$18)/PMT($C$14/($C$18),($C$16-(F35-$C35+1))*$C$18,-1)),0))</f>
        <v>540741.09355907969</v>
      </c>
      <c r="G37" s="370">
        <f>IF($C$14&lt;$C$15,FV($C$15/$C$18,G35*$C$18,$C$30/$C$18,-$C$29),IF($C$16&gt;G35-$C35+1,(($C30/$C$18)/PMT($C$14/($C$18),($C$16-(G35-$C35+1))*$C$18,-1)),0))</f>
        <v>512294.70234573254</v>
      </c>
      <c r="H37" s="309"/>
    </row>
    <row r="38" spans="2:8">
      <c r="B38" s="369" t="s">
        <v>210</v>
      </c>
      <c r="C38" s="57">
        <f>($C$30-(C29-C37))</f>
        <v>62140.32957527088</v>
      </c>
      <c r="D38" s="57">
        <f>($C$30-(C37-D37))</f>
        <v>60140.329115762725</v>
      </c>
      <c r="E38" s="57">
        <f>($C$30-(D37-E37))</f>
        <v>57930.902473255526</v>
      </c>
      <c r="F38" s="57">
        <f>($C$30-(E37-F37))</f>
        <v>55490.11998972483</v>
      </c>
      <c r="G38" s="370">
        <f>($C$30-(F37-G37))</f>
        <v>52793.755685386423</v>
      </c>
      <c r="H38" s="309"/>
    </row>
    <row r="39" spans="2:8" ht="13" thickBot="1">
      <c r="B39" s="371" t="s">
        <v>387</v>
      </c>
      <c r="C39" s="64">
        <f>C36-C38</f>
        <v>19099.817323462688</v>
      </c>
      <c r="D39" s="64">
        <f>D36-D38</f>
        <v>21099.817782970844</v>
      </c>
      <c r="E39" s="64">
        <f>E36-E38</f>
        <v>23309.244425478042</v>
      </c>
      <c r="F39" s="64">
        <f>F36-F38</f>
        <v>25750.026909008739</v>
      </c>
      <c r="G39" s="379">
        <f>G36-G38</f>
        <v>28446.391213347146</v>
      </c>
      <c r="H39" s="309"/>
    </row>
    <row r="40" spans="2:8" ht="13" thickBot="1">
      <c r="B40" s="171"/>
      <c r="C40" s="57"/>
      <c r="D40" s="57"/>
      <c r="E40" s="57"/>
      <c r="F40" s="57"/>
      <c r="G40" s="57"/>
      <c r="H40" s="309"/>
    </row>
    <row r="41" spans="2:8" ht="13.5" thickBot="1">
      <c r="B41" s="1617" t="s">
        <v>436</v>
      </c>
      <c r="C41" s="1538"/>
      <c r="D41" s="1538"/>
      <c r="E41" s="1538"/>
      <c r="F41" s="1538"/>
      <c r="G41" s="1539"/>
      <c r="H41" s="309"/>
    </row>
    <row r="42" spans="2:8" ht="13.5" thickBot="1">
      <c r="B42" s="576" t="s">
        <v>262</v>
      </c>
      <c r="C42" s="576">
        <v>1</v>
      </c>
      <c r="D42" s="576">
        <v>2</v>
      </c>
      <c r="E42" s="576">
        <v>3</v>
      </c>
      <c r="F42" s="576">
        <v>4</v>
      </c>
      <c r="G42" s="576">
        <v>5</v>
      </c>
      <c r="H42" s="309"/>
    </row>
    <row r="43" spans="2:8">
      <c r="B43" s="369" t="s">
        <v>335</v>
      </c>
      <c r="C43" s="57">
        <f>C11</f>
        <v>100000</v>
      </c>
      <c r="D43" s="57">
        <f>C43*(1+$C$12)</f>
        <v>103000</v>
      </c>
      <c r="E43" s="57">
        <f>D43*(1+$C$12)</f>
        <v>106090</v>
      </c>
      <c r="F43" s="57">
        <f>E43*(1+$C$12)</f>
        <v>109272.7</v>
      </c>
      <c r="G43" s="370">
        <f>F43*(1+$C$12)</f>
        <v>112550.88099999999</v>
      </c>
      <c r="H43" s="309"/>
    </row>
    <row r="44" spans="2:8">
      <c r="B44" s="369" t="s">
        <v>437</v>
      </c>
      <c r="C44" s="57">
        <f>$C$36</f>
        <v>81240.146898733568</v>
      </c>
      <c r="D44" s="57">
        <f>$C$36</f>
        <v>81240.146898733568</v>
      </c>
      <c r="E44" s="57">
        <f>$C$36</f>
        <v>81240.146898733568</v>
      </c>
      <c r="F44" s="57">
        <f>$C$36</f>
        <v>81240.146898733568</v>
      </c>
      <c r="G44" s="370">
        <f>$C$36</f>
        <v>81240.146898733568</v>
      </c>
      <c r="H44" s="309"/>
    </row>
    <row r="45" spans="2:8">
      <c r="B45" s="369" t="s">
        <v>438</v>
      </c>
      <c r="C45" s="57">
        <f>$C$22</f>
        <v>7800</v>
      </c>
      <c r="D45" s="57">
        <f>$C$22</f>
        <v>7800</v>
      </c>
      <c r="E45" s="57">
        <f>$C$22</f>
        <v>7800</v>
      </c>
      <c r="F45" s="57">
        <f>$C$22</f>
        <v>7800</v>
      </c>
      <c r="G45" s="370">
        <f>$C$22</f>
        <v>7800</v>
      </c>
      <c r="H45" s="309"/>
    </row>
    <row r="46" spans="2:8">
      <c r="B46" s="369" t="s">
        <v>439</v>
      </c>
      <c r="C46" s="57">
        <f>C43-C44-C45</f>
        <v>10959.853101266432</v>
      </c>
      <c r="D46" s="57">
        <f>D43-D44-D45</f>
        <v>13959.853101266432</v>
      </c>
      <c r="E46" s="57">
        <f>E43-E44-E45</f>
        <v>17049.853101266432</v>
      </c>
      <c r="F46" s="57">
        <f>F43-F44-F45</f>
        <v>20232.553101266429</v>
      </c>
      <c r="G46" s="370">
        <f>G43-G44-G45</f>
        <v>23510.734101266426</v>
      </c>
      <c r="H46" s="309"/>
    </row>
    <row r="47" spans="2:8">
      <c r="B47" s="369" t="s">
        <v>428</v>
      </c>
      <c r="C47" s="57">
        <f>$C$19*(C43-100000)</f>
        <v>0</v>
      </c>
      <c r="D47" s="57">
        <f>$C$19*(D43-$C$20)</f>
        <v>0</v>
      </c>
      <c r="E47" s="57">
        <f>$C$19*(E43-$C$20)</f>
        <v>0</v>
      </c>
      <c r="F47" s="57">
        <f>$C$19*(F43-$C$20)</f>
        <v>0</v>
      </c>
      <c r="G47" s="370">
        <f>$C$19*(G43-$C$20)</f>
        <v>0</v>
      </c>
      <c r="H47" s="146"/>
    </row>
    <row r="48" spans="2:8" ht="13.5" thickBot="1">
      <c r="B48" s="444" t="s">
        <v>408</v>
      </c>
      <c r="C48" s="59">
        <f>C46-C47</f>
        <v>10959.853101266432</v>
      </c>
      <c r="D48" s="59">
        <f>D46-D47</f>
        <v>13959.853101266432</v>
      </c>
      <c r="E48" s="59">
        <f>E46-E47</f>
        <v>17049.853101266432</v>
      </c>
      <c r="F48" s="59">
        <f>F46-F47</f>
        <v>20232.553101266429</v>
      </c>
      <c r="G48" s="556">
        <f>G46-G47</f>
        <v>23510.734101266426</v>
      </c>
      <c r="H48" s="146"/>
    </row>
    <row r="49" spans="2:8" ht="13" thickTop="1">
      <c r="B49" s="384"/>
      <c r="C49" s="57"/>
      <c r="D49" s="57"/>
      <c r="E49" s="57"/>
      <c r="F49" s="57"/>
      <c r="G49" s="370"/>
      <c r="H49" s="146"/>
    </row>
    <row r="50" spans="2:8">
      <c r="B50" s="369" t="s">
        <v>335</v>
      </c>
      <c r="C50" s="57">
        <f>C43</f>
        <v>100000</v>
      </c>
      <c r="D50" s="57">
        <f>D43</f>
        <v>103000</v>
      </c>
      <c r="E50" s="57">
        <f>E43</f>
        <v>106090</v>
      </c>
      <c r="F50" s="57">
        <f>F43</f>
        <v>109272.7</v>
      </c>
      <c r="G50" s="370">
        <f>G43</f>
        <v>112550.88099999999</v>
      </c>
      <c r="H50" s="309"/>
    </row>
    <row r="51" spans="2:8">
      <c r="B51" s="369" t="s">
        <v>390</v>
      </c>
      <c r="C51" s="57">
        <f>C38</f>
        <v>62140.32957527088</v>
      </c>
      <c r="D51" s="57">
        <f>D38</f>
        <v>60140.329115762725</v>
      </c>
      <c r="E51" s="57">
        <f>E38</f>
        <v>57930.902473255526</v>
      </c>
      <c r="F51" s="57">
        <f>F38</f>
        <v>55490.11998972483</v>
      </c>
      <c r="G51" s="370">
        <f>G38</f>
        <v>52793.755685386423</v>
      </c>
      <c r="H51" s="309"/>
    </row>
    <row r="52" spans="2:8">
      <c r="B52" s="369" t="s">
        <v>391</v>
      </c>
      <c r="C52" s="57">
        <f>$F$11/$F$12</f>
        <v>32727.272727272728</v>
      </c>
      <c r="D52" s="57">
        <f>$F$11/$F$12</f>
        <v>32727.272727272728</v>
      </c>
      <c r="E52" s="57">
        <f>$F$11/$F$12</f>
        <v>32727.272727272728</v>
      </c>
      <c r="F52" s="57">
        <f>$F$11/$F$12</f>
        <v>32727.272727272728</v>
      </c>
      <c r="G52" s="370">
        <f>$F$11/$F$12</f>
        <v>32727.272727272728</v>
      </c>
      <c r="H52" s="309"/>
    </row>
    <row r="53" spans="2:8">
      <c r="B53" s="369" t="s">
        <v>440</v>
      </c>
      <c r="C53" s="57">
        <f>C47</f>
        <v>0</v>
      </c>
      <c r="D53" s="57">
        <f>D47</f>
        <v>0</v>
      </c>
      <c r="E53" s="57">
        <f>E47</f>
        <v>0</v>
      </c>
      <c r="F53" s="57">
        <f>F47</f>
        <v>0</v>
      </c>
      <c r="G53" s="370">
        <f>G47</f>
        <v>0</v>
      </c>
      <c r="H53" s="146"/>
    </row>
    <row r="54" spans="2:8">
      <c r="B54" s="369" t="s">
        <v>438</v>
      </c>
      <c r="C54" s="57">
        <f>$C$22</f>
        <v>7800</v>
      </c>
      <c r="D54" s="57">
        <f>$C$22</f>
        <v>7800</v>
      </c>
      <c r="E54" s="57">
        <f>$C$22</f>
        <v>7800</v>
      </c>
      <c r="F54" s="57">
        <f>$C$22</f>
        <v>7800</v>
      </c>
      <c r="G54" s="370">
        <f>$C$22</f>
        <v>7800</v>
      </c>
      <c r="H54" s="146"/>
    </row>
    <row r="55" spans="2:8">
      <c r="B55" s="369" t="s">
        <v>441</v>
      </c>
      <c r="C55" s="57">
        <f>C50-C51-C52-C53-C54</f>
        <v>-2667.6023025436079</v>
      </c>
      <c r="D55" s="57">
        <f>D50-D51-D52-D53-D54</f>
        <v>2332.3981569645475</v>
      </c>
      <c r="E55" s="57">
        <f>E50-E51-E52-E53-E54</f>
        <v>7631.8247994717458</v>
      </c>
      <c r="F55" s="57">
        <f>F50-F51-F52-F53-F54</f>
        <v>13255.307283002439</v>
      </c>
      <c r="G55" s="370">
        <f>G50-G51-G52-G53-G54</f>
        <v>19229.852587340843</v>
      </c>
      <c r="H55" s="309"/>
    </row>
    <row r="56" spans="2:8">
      <c r="B56" s="369" t="s">
        <v>442</v>
      </c>
      <c r="C56" s="57">
        <f>C55*$F$13</f>
        <v>-746.92864471221026</v>
      </c>
      <c r="D56" s="57">
        <f>D55*$F$13</f>
        <v>653.07148395007334</v>
      </c>
      <c r="E56" s="57">
        <f>E55*$F$13</f>
        <v>2136.9109438520891</v>
      </c>
      <c r="F56" s="57">
        <f>F55*$F$13</f>
        <v>3711.4860392406836</v>
      </c>
      <c r="G56" s="370">
        <f>G55*$F$13</f>
        <v>5384.3587244554365</v>
      </c>
      <c r="H56" s="309"/>
    </row>
    <row r="57" spans="2:8" ht="13.5" thickBot="1">
      <c r="B57" s="557" t="s">
        <v>409</v>
      </c>
      <c r="C57" s="558">
        <f>C48-C56</f>
        <v>11706.781745978642</v>
      </c>
      <c r="D57" s="558">
        <f>D48-D56</f>
        <v>13306.781617316359</v>
      </c>
      <c r="E57" s="558">
        <f>E48-E56</f>
        <v>14912.942157414342</v>
      </c>
      <c r="F57" s="558">
        <f>F48-F56</f>
        <v>16521.067062025744</v>
      </c>
      <c r="G57" s="559">
        <f>G48-G56</f>
        <v>18126.375376810989</v>
      </c>
      <c r="H57" s="309"/>
    </row>
    <row r="58" spans="2:8" ht="13">
      <c r="B58" s="444"/>
      <c r="C58" s="60"/>
      <c r="D58" s="60"/>
      <c r="E58" s="60"/>
      <c r="F58" s="60"/>
      <c r="G58" s="60"/>
      <c r="H58" s="309"/>
    </row>
    <row r="59" spans="2:8" ht="13" thickBot="1">
      <c r="B59" s="384"/>
      <c r="C59" s="57"/>
      <c r="D59" s="57"/>
      <c r="E59" s="57"/>
      <c r="H59" s="146"/>
    </row>
    <row r="60" spans="2:8" ht="13.5" thickBot="1">
      <c r="B60" s="1617" t="s">
        <v>443</v>
      </c>
      <c r="C60" s="1538"/>
      <c r="D60" s="1538"/>
      <c r="E60" s="1539"/>
      <c r="H60" s="146"/>
    </row>
    <row r="61" spans="2:8">
      <c r="B61" s="369" t="s">
        <v>60</v>
      </c>
      <c r="C61" s="57"/>
      <c r="D61" s="57"/>
      <c r="E61" s="370">
        <f>IF(C22&gt;0,(1-C24)*(F11*(1+C23)^C25),(1-C24)*(C10*(1+C23)^C25))</f>
        <v>1043346.6668699998</v>
      </c>
      <c r="H61" s="146"/>
    </row>
    <row r="62" spans="2:8">
      <c r="B62" s="369" t="s">
        <v>396</v>
      </c>
      <c r="C62" s="57"/>
      <c r="D62" s="57"/>
      <c r="E62" s="370">
        <f>C26*E61</f>
        <v>0</v>
      </c>
      <c r="F62" s="57"/>
      <c r="G62" s="57"/>
      <c r="H62" s="146"/>
    </row>
    <row r="63" spans="2:8">
      <c r="B63" s="369" t="s">
        <v>383</v>
      </c>
      <c r="C63" s="57"/>
      <c r="D63" s="57"/>
      <c r="E63" s="560">
        <f>IF(C24&gt;0,0,G37)</f>
        <v>512294.70234573254</v>
      </c>
      <c r="F63" s="57"/>
      <c r="G63" s="57"/>
      <c r="H63" s="146"/>
    </row>
    <row r="64" spans="2:8">
      <c r="B64" s="369" t="s">
        <v>439</v>
      </c>
      <c r="C64" s="57"/>
      <c r="D64" s="57"/>
      <c r="E64" s="370">
        <f>E61-E62-E63</f>
        <v>531051.96452426724</v>
      </c>
      <c r="F64" s="57"/>
      <c r="G64" s="57"/>
      <c r="H64" s="146"/>
    </row>
    <row r="65" spans="2:8">
      <c r="B65" s="369" t="s">
        <v>445</v>
      </c>
      <c r="C65" s="57"/>
      <c r="D65" s="57"/>
      <c r="E65" s="560">
        <f>(E61-E62-C10)*C21</f>
        <v>0</v>
      </c>
      <c r="F65" s="57"/>
      <c r="G65" s="57"/>
      <c r="H65" s="146"/>
    </row>
    <row r="66" spans="2:8">
      <c r="B66" s="369" t="s">
        <v>397</v>
      </c>
      <c r="C66" s="57"/>
      <c r="D66" s="57"/>
      <c r="E66" s="370">
        <f>E64-E65</f>
        <v>531051.96452426724</v>
      </c>
      <c r="F66" s="57"/>
      <c r="G66" s="57"/>
      <c r="H66" s="146"/>
    </row>
    <row r="67" spans="2:8">
      <c r="B67" s="384"/>
      <c r="C67" s="57"/>
      <c r="D67" s="57"/>
      <c r="E67" s="370"/>
      <c r="F67" s="57"/>
      <c r="G67" s="57"/>
      <c r="H67" s="146"/>
    </row>
    <row r="68" spans="2:8">
      <c r="B68" s="369" t="s">
        <v>446</v>
      </c>
      <c r="C68" s="57"/>
      <c r="D68" s="57">
        <f>IF(C22&gt;0,F11*(1+C23)^C25,C10*(1+C23)^C25)</f>
        <v>1043346.6668699998</v>
      </c>
      <c r="E68" s="370"/>
      <c r="F68" s="57"/>
      <c r="G68" s="57"/>
      <c r="H68" s="146"/>
    </row>
    <row r="69" spans="2:8">
      <c r="B69" s="369" t="s">
        <v>447</v>
      </c>
      <c r="C69" s="57"/>
      <c r="D69" s="57">
        <f>E62</f>
        <v>0</v>
      </c>
      <c r="E69" s="370"/>
      <c r="F69" s="57"/>
      <c r="G69" s="57"/>
      <c r="H69" s="146"/>
    </row>
    <row r="70" spans="2:8">
      <c r="B70" s="369" t="s">
        <v>448</v>
      </c>
      <c r="C70" s="57"/>
      <c r="D70" s="57">
        <f>E65</f>
        <v>0</v>
      </c>
      <c r="E70" s="370"/>
      <c r="F70" s="57"/>
      <c r="G70" s="57"/>
      <c r="H70" s="146"/>
    </row>
    <row r="71" spans="2:8">
      <c r="B71" s="384"/>
      <c r="C71" s="57"/>
      <c r="D71" s="57"/>
      <c r="E71" s="370"/>
      <c r="F71" s="57"/>
      <c r="G71" s="57"/>
      <c r="H71" s="146"/>
    </row>
    <row r="72" spans="2:8">
      <c r="B72" s="369" t="s">
        <v>398</v>
      </c>
      <c r="C72" s="57">
        <f>IF(C22&gt;0,F11,C10)</f>
        <v>900000</v>
      </c>
      <c r="D72" s="57"/>
      <c r="E72" s="370"/>
      <c r="F72" s="57"/>
      <c r="G72" s="57"/>
      <c r="H72" s="146"/>
    </row>
    <row r="73" spans="2:8">
      <c r="B73" s="369" t="s">
        <v>399</v>
      </c>
      <c r="C73" s="61">
        <f>C25*C52</f>
        <v>163636.36363636365</v>
      </c>
      <c r="D73" s="57"/>
      <c r="E73" s="370"/>
      <c r="F73" s="57"/>
      <c r="G73" s="57"/>
      <c r="H73" s="146"/>
    </row>
    <row r="74" spans="2:8">
      <c r="B74" s="369" t="s">
        <v>400</v>
      </c>
      <c r="C74" s="57"/>
      <c r="D74" s="61">
        <f>C72-C73</f>
        <v>736363.63636363635</v>
      </c>
      <c r="E74" s="370"/>
      <c r="F74" s="57"/>
      <c r="G74" s="57"/>
      <c r="H74" s="146"/>
    </row>
    <row r="75" spans="2:8">
      <c r="B75" s="384"/>
      <c r="C75" s="57"/>
      <c r="D75" s="57"/>
      <c r="E75" s="370"/>
      <c r="F75" s="57"/>
      <c r="G75" s="57"/>
      <c r="H75" s="146"/>
    </row>
    <row r="76" spans="2:8">
      <c r="B76" s="369" t="s">
        <v>401</v>
      </c>
      <c r="C76" s="57"/>
      <c r="D76" s="57">
        <f>D68-D69-D70-D74</f>
        <v>306983.03050636349</v>
      </c>
      <c r="E76" s="370"/>
      <c r="F76" s="57"/>
      <c r="G76" s="57"/>
      <c r="H76" s="146"/>
    </row>
    <row r="77" spans="2:8">
      <c r="B77" s="369" t="s">
        <v>449</v>
      </c>
      <c r="C77" s="57"/>
      <c r="D77" s="57"/>
      <c r="E77" s="560">
        <f>F13*D76</f>
        <v>85955.248541781781</v>
      </c>
      <c r="F77" s="57"/>
      <c r="G77" s="57"/>
      <c r="H77" s="146"/>
    </row>
    <row r="78" spans="2:8">
      <c r="B78" s="384"/>
      <c r="C78" s="57"/>
      <c r="D78" s="57"/>
      <c r="E78" s="370"/>
      <c r="F78" s="57"/>
      <c r="G78" s="57"/>
      <c r="H78" s="146"/>
    </row>
    <row r="79" spans="2:8" ht="13.5" thickBot="1">
      <c r="B79" s="557" t="s">
        <v>405</v>
      </c>
      <c r="C79" s="561"/>
      <c r="D79" s="561"/>
      <c r="E79" s="562">
        <f>E66-E77</f>
        <v>445096.71598248545</v>
      </c>
      <c r="H79" s="126"/>
    </row>
    <row r="80" spans="2:8" ht="13" thickBot="1">
      <c r="B80" s="384"/>
      <c r="C80" s="34"/>
      <c r="D80" s="34"/>
      <c r="E80" s="39"/>
      <c r="H80" s="126"/>
    </row>
    <row r="81" spans="2:8" ht="13.5" thickBot="1">
      <c r="B81" s="1547" t="s">
        <v>450</v>
      </c>
      <c r="C81" s="1538"/>
      <c r="D81" s="1538"/>
      <c r="E81" s="1538"/>
      <c r="F81" s="1538"/>
      <c r="G81" s="1538"/>
      <c r="H81" s="1539"/>
    </row>
    <row r="82" spans="2:8" ht="13.5" thickBot="1">
      <c r="B82" s="576" t="s">
        <v>262</v>
      </c>
      <c r="C82" s="576">
        <v>0</v>
      </c>
      <c r="D82" s="576">
        <v>1</v>
      </c>
      <c r="E82" s="576">
        <v>2</v>
      </c>
      <c r="F82" s="576">
        <v>3</v>
      </c>
      <c r="G82" s="576">
        <v>4</v>
      </c>
      <c r="H82" s="576">
        <v>5</v>
      </c>
    </row>
    <row r="83" spans="2:8">
      <c r="B83" s="369" t="s">
        <v>451</v>
      </c>
      <c r="C83" s="34">
        <f>-C28</f>
        <v>-270000.00000000006</v>
      </c>
      <c r="D83" s="57">
        <f>C48</f>
        <v>10959.853101266432</v>
      </c>
      <c r="E83" s="57">
        <f>D48</f>
        <v>13959.853101266432</v>
      </c>
      <c r="F83" s="57">
        <f>E48</f>
        <v>17049.853101266432</v>
      </c>
      <c r="G83" s="57">
        <f>F48</f>
        <v>20232.553101266429</v>
      </c>
      <c r="H83" s="370">
        <f>G48+E66</f>
        <v>554562.69862553361</v>
      </c>
    </row>
    <row r="84" spans="2:8" ht="13">
      <c r="B84" s="563" t="s">
        <v>407</v>
      </c>
      <c r="C84" s="564">
        <f>IRR(C83:H83,0.1)</f>
        <v>0.19157572149531665</v>
      </c>
      <c r="D84" s="34"/>
      <c r="E84" s="34"/>
      <c r="F84" s="34"/>
      <c r="G84" s="39"/>
      <c r="H84" s="146"/>
    </row>
    <row r="85" spans="2:8" ht="13" thickBot="1">
      <c r="B85" s="384"/>
      <c r="C85" s="39"/>
      <c r="D85" s="39"/>
      <c r="E85" s="39"/>
      <c r="F85" s="39"/>
      <c r="G85" s="39"/>
      <c r="H85" s="146"/>
    </row>
    <row r="86" spans="2:8" ht="13.5" thickBot="1">
      <c r="B86" s="576" t="s">
        <v>262</v>
      </c>
      <c r="C86" s="576">
        <v>0</v>
      </c>
      <c r="D86" s="576">
        <v>1</v>
      </c>
      <c r="E86" s="576">
        <v>2</v>
      </c>
      <c r="F86" s="576">
        <v>3</v>
      </c>
      <c r="G86" s="576">
        <v>4</v>
      </c>
      <c r="H86" s="576">
        <v>5</v>
      </c>
    </row>
    <row r="87" spans="2:8">
      <c r="B87" s="369" t="s">
        <v>452</v>
      </c>
      <c r="C87" s="34">
        <f>-C28</f>
        <v>-270000.00000000006</v>
      </c>
      <c r="D87" s="57">
        <f>C57</f>
        <v>11706.781745978642</v>
      </c>
      <c r="E87" s="57">
        <f>D57</f>
        <v>13306.781617316359</v>
      </c>
      <c r="F87" s="57">
        <f>E57</f>
        <v>14912.942157414342</v>
      </c>
      <c r="G87" s="57">
        <f>F57</f>
        <v>16521.067062025744</v>
      </c>
      <c r="H87" s="370">
        <f>G57+E79</f>
        <v>463223.09135929646</v>
      </c>
    </row>
    <row r="88" spans="2:8" ht="13">
      <c r="B88" s="563" t="s">
        <v>453</v>
      </c>
      <c r="C88" s="564">
        <f>IRR(C87:H87,0.1)</f>
        <v>0.14981306147862794</v>
      </c>
      <c r="D88" s="34"/>
      <c r="E88" s="34"/>
      <c r="F88" s="34"/>
      <c r="G88" s="34"/>
      <c r="H88" s="309"/>
    </row>
    <row r="89" spans="2:8" ht="13">
      <c r="B89" s="444" t="s">
        <v>414</v>
      </c>
      <c r="C89" s="56">
        <f>(C84-C88)/C84</f>
        <v>0.21799557736604772</v>
      </c>
      <c r="D89" s="39"/>
      <c r="E89" s="39"/>
      <c r="F89" s="39"/>
      <c r="G89" s="39"/>
      <c r="H89" s="146"/>
    </row>
    <row r="90" spans="2:8" ht="13.5" thickBot="1">
      <c r="B90" s="557"/>
      <c r="C90" s="392"/>
      <c r="D90" s="63"/>
      <c r="E90" s="63"/>
      <c r="F90" s="63"/>
      <c r="G90" s="63"/>
      <c r="H90" s="149"/>
    </row>
    <row r="91" spans="2:8" ht="13.5" thickBot="1">
      <c r="B91" s="573"/>
      <c r="C91" s="1"/>
      <c r="D91" s="39"/>
      <c r="E91" s="39"/>
      <c r="F91" s="39"/>
      <c r="G91" s="39"/>
      <c r="H91" s="146"/>
    </row>
    <row r="92" spans="2:8" ht="13.5" thickBot="1">
      <c r="B92" s="1547" t="s">
        <v>454</v>
      </c>
      <c r="C92" s="1538"/>
      <c r="D92" s="1538"/>
      <c r="E92" s="1538"/>
      <c r="F92" s="1538"/>
      <c r="G92" s="1538"/>
      <c r="H92" s="1539"/>
    </row>
    <row r="93" spans="2:8" ht="13.5" thickBot="1">
      <c r="B93" s="576" t="s">
        <v>262</v>
      </c>
      <c r="C93" s="576">
        <v>0</v>
      </c>
      <c r="D93" s="576">
        <v>1</v>
      </c>
      <c r="E93" s="576">
        <v>2</v>
      </c>
      <c r="F93" s="576">
        <v>3</v>
      </c>
      <c r="G93" s="576">
        <v>4</v>
      </c>
      <c r="H93" s="576">
        <v>5</v>
      </c>
    </row>
    <row r="94" spans="2:8">
      <c r="B94" s="369" t="s">
        <v>335</v>
      </c>
      <c r="C94" s="34">
        <f>-C10</f>
        <v>-1000000</v>
      </c>
      <c r="D94" s="57">
        <f>C43</f>
        <v>100000</v>
      </c>
      <c r="E94" s="57">
        <f>D43</f>
        <v>103000</v>
      </c>
      <c r="F94" s="57">
        <f>E43</f>
        <v>106090</v>
      </c>
      <c r="G94" s="57">
        <f>F43</f>
        <v>109272.7</v>
      </c>
      <c r="H94" s="370">
        <f>G43+E61-E62</f>
        <v>1155897.5478699999</v>
      </c>
    </row>
    <row r="95" spans="2:8" ht="13">
      <c r="B95" s="563" t="s">
        <v>455</v>
      </c>
      <c r="C95" s="564">
        <f>IRR(C94:H94,0.1)</f>
        <v>0.11244449754585339</v>
      </c>
      <c r="D95" s="39"/>
      <c r="E95" s="39"/>
      <c r="F95" s="39"/>
      <c r="G95" s="39"/>
      <c r="H95" s="146"/>
    </row>
    <row r="96" spans="2:8" ht="13" thickBot="1">
      <c r="B96" s="384"/>
      <c r="C96" s="39"/>
      <c r="D96" s="39"/>
      <c r="E96" s="39"/>
      <c r="F96" s="39"/>
      <c r="G96" s="39"/>
      <c r="H96" s="146"/>
    </row>
    <row r="97" spans="2:8" ht="13.5" thickBot="1">
      <c r="B97" s="576" t="s">
        <v>262</v>
      </c>
      <c r="C97" s="576">
        <v>0</v>
      </c>
      <c r="D97" s="576">
        <v>1</v>
      </c>
      <c r="E97" s="576">
        <v>2</v>
      </c>
      <c r="F97" s="576">
        <v>3</v>
      </c>
      <c r="G97" s="576">
        <v>4</v>
      </c>
      <c r="H97" s="576">
        <v>5</v>
      </c>
    </row>
    <row r="98" spans="2:8">
      <c r="B98" s="369" t="s">
        <v>456</v>
      </c>
      <c r="C98" s="34">
        <f>-C10</f>
        <v>-1000000</v>
      </c>
      <c r="D98" s="57">
        <f>C43-((C43-C52)*$F$13)</f>
        <v>81163.636363636368</v>
      </c>
      <c r="E98" s="57">
        <f>D43-((D43-D52)*$F$13)</f>
        <v>83323.636363636368</v>
      </c>
      <c r="F98" s="57">
        <f>E43-((E43-E52)*$F$13)</f>
        <v>85548.436363636371</v>
      </c>
      <c r="G98" s="57">
        <f>F43-((F43-F52)*$F$13)</f>
        <v>87839.980363636365</v>
      </c>
      <c r="H98" s="370">
        <f>G43-((G43-G52)*$F$13)+(E61-E62-E77)</f>
        <v>1047591.6890118544</v>
      </c>
    </row>
    <row r="99" spans="2:8" ht="13">
      <c r="B99" s="563" t="s">
        <v>457</v>
      </c>
      <c r="C99" s="564">
        <f>IRR(C98:H98,0.1)</f>
        <v>7.7984862074224726E-2</v>
      </c>
      <c r="D99" s="39"/>
      <c r="E99" s="39"/>
      <c r="F99" s="39"/>
      <c r="G99" s="39"/>
      <c r="H99" s="146"/>
    </row>
    <row r="100" spans="2:8" ht="13.5" thickBot="1">
      <c r="B100" s="565"/>
      <c r="C100" s="566"/>
      <c r="D100" s="63"/>
      <c r="E100" s="63"/>
      <c r="F100" s="63"/>
      <c r="G100" s="63"/>
      <c r="H100" s="149"/>
    </row>
    <row r="101" spans="2:8" ht="13" thickBot="1">
      <c r="B101" s="171"/>
      <c r="C101" s="39"/>
      <c r="D101" s="34"/>
      <c r="E101" s="34"/>
      <c r="F101" s="34"/>
      <c r="G101" s="34"/>
      <c r="H101" s="309"/>
    </row>
    <row r="102" spans="2:8" ht="13.5" thickBot="1">
      <c r="B102" s="1547" t="s">
        <v>57</v>
      </c>
      <c r="C102" s="1538"/>
      <c r="D102" s="1538"/>
      <c r="E102" s="1538"/>
      <c r="F102" s="1538"/>
      <c r="G102" s="1538"/>
      <c r="H102" s="1539"/>
    </row>
    <row r="103" spans="2:8" ht="13.5" thickBot="1">
      <c r="B103" s="576" t="s">
        <v>262</v>
      </c>
      <c r="C103" s="576">
        <v>0</v>
      </c>
      <c r="D103" s="576">
        <v>1</v>
      </c>
      <c r="E103" s="576">
        <v>2</v>
      </c>
      <c r="F103" s="576">
        <v>3</v>
      </c>
      <c r="G103" s="576">
        <v>4</v>
      </c>
      <c r="H103" s="576">
        <v>5</v>
      </c>
    </row>
    <row r="104" spans="2:8">
      <c r="B104" s="171"/>
      <c r="D104" s="231"/>
      <c r="E104" s="231"/>
      <c r="F104" s="231"/>
      <c r="G104" s="231"/>
      <c r="H104" s="256"/>
    </row>
    <row r="105" spans="2:8">
      <c r="B105" s="171" t="s">
        <v>59</v>
      </c>
      <c r="C105" s="78">
        <f>-(C10-F11)</f>
        <v>-100000</v>
      </c>
      <c r="D105" s="78">
        <f>$C$22</f>
        <v>7800</v>
      </c>
      <c r="E105" s="78">
        <f>$C$22</f>
        <v>7800</v>
      </c>
      <c r="F105" s="78">
        <f>$C$22</f>
        <v>7800</v>
      </c>
      <c r="G105" s="78">
        <f>$C$22</f>
        <v>7800</v>
      </c>
      <c r="H105" s="257">
        <f>$C$22-C105*(1+C23)^5</f>
        <v>123727.40742999998</v>
      </c>
    </row>
    <row r="106" spans="2:8">
      <c r="B106" s="171"/>
      <c r="C106" s="78"/>
      <c r="D106" s="78"/>
      <c r="E106" s="78"/>
      <c r="F106" s="78"/>
      <c r="G106" s="78"/>
      <c r="H106" s="257"/>
    </row>
    <row r="107" spans="2:8" ht="13.5" thickBot="1">
      <c r="B107" s="567" t="s">
        <v>826</v>
      </c>
      <c r="C107" s="566">
        <f>C174</f>
        <v>0.10251798767562637</v>
      </c>
      <c r="D107" s="260"/>
      <c r="E107" s="260"/>
      <c r="F107" s="260"/>
      <c r="G107" s="260"/>
      <c r="H107" s="261"/>
    </row>
    <row r="108" spans="2:8" ht="13" thickBot="1">
      <c r="B108" s="171"/>
      <c r="C108" s="39"/>
      <c r="D108" s="39"/>
      <c r="E108" s="39"/>
      <c r="F108" s="39"/>
      <c r="G108" s="39"/>
      <c r="H108" s="146"/>
    </row>
    <row r="109" spans="2:8" ht="13.5" thickBot="1">
      <c r="B109" s="1531" t="s">
        <v>58</v>
      </c>
      <c r="C109" s="1533"/>
      <c r="D109" s="22"/>
      <c r="E109" s="22"/>
      <c r="F109" s="22"/>
      <c r="G109" s="22"/>
      <c r="H109" s="575"/>
    </row>
    <row r="110" spans="2:8" ht="13" thickBot="1">
      <c r="B110" s="124"/>
      <c r="C110" s="126"/>
      <c r="H110" s="126"/>
    </row>
    <row r="111" spans="2:8" ht="13.5" thickBot="1">
      <c r="B111" s="576" t="s">
        <v>216</v>
      </c>
      <c r="C111" s="576" t="s">
        <v>824</v>
      </c>
      <c r="D111" s="6"/>
      <c r="E111" s="6"/>
      <c r="F111" s="6"/>
      <c r="G111" s="6"/>
      <c r="H111" s="575"/>
    </row>
    <row r="112" spans="2:8">
      <c r="B112" s="124">
        <v>0</v>
      </c>
      <c r="C112" s="568">
        <f>C105</f>
        <v>-100000</v>
      </c>
      <c r="H112" s="126"/>
    </row>
    <row r="113" spans="2:8">
      <c r="B113" s="124">
        <v>1</v>
      </c>
      <c r="C113" s="271">
        <f>$D$105/12</f>
        <v>650</v>
      </c>
      <c r="E113" s="160"/>
      <c r="F113" s="160"/>
      <c r="G113" s="160"/>
      <c r="H113" s="568"/>
    </row>
    <row r="114" spans="2:8">
      <c r="B114" s="124">
        <v>2</v>
      </c>
      <c r="C114" s="271">
        <f t="shared" ref="C114:C171" si="0">$D$105/12</f>
        <v>650</v>
      </c>
      <c r="D114" s="79"/>
      <c r="E114" s="160"/>
      <c r="F114" s="160"/>
      <c r="G114" s="160"/>
      <c r="H114" s="568"/>
    </row>
    <row r="115" spans="2:8">
      <c r="B115" s="124">
        <v>3</v>
      </c>
      <c r="C115" s="271">
        <f t="shared" si="0"/>
        <v>650</v>
      </c>
      <c r="D115" s="79"/>
      <c r="E115" s="160"/>
      <c r="F115" s="160"/>
      <c r="G115" s="160"/>
      <c r="H115" s="568"/>
    </row>
    <row r="116" spans="2:8">
      <c r="B116" s="124">
        <v>4</v>
      </c>
      <c r="C116" s="271">
        <f t="shared" si="0"/>
        <v>650</v>
      </c>
      <c r="D116" s="79"/>
      <c r="E116" s="160"/>
      <c r="F116" s="160"/>
      <c r="G116" s="160"/>
      <c r="H116" s="568"/>
    </row>
    <row r="117" spans="2:8">
      <c r="B117" s="124">
        <v>5</v>
      </c>
      <c r="C117" s="271">
        <f t="shared" si="0"/>
        <v>650</v>
      </c>
      <c r="D117" s="79"/>
      <c r="E117" s="160"/>
      <c r="F117" s="160"/>
      <c r="G117" s="160"/>
      <c r="H117" s="568"/>
    </row>
    <row r="118" spans="2:8">
      <c r="B118" s="124">
        <v>6</v>
      </c>
      <c r="C118" s="271">
        <f t="shared" si="0"/>
        <v>650</v>
      </c>
      <c r="D118" s="79"/>
      <c r="E118" s="160"/>
      <c r="F118" s="160"/>
      <c r="G118" s="160"/>
      <c r="H118" s="568"/>
    </row>
    <row r="119" spans="2:8">
      <c r="B119" s="124">
        <v>7</v>
      </c>
      <c r="C119" s="271">
        <f t="shared" si="0"/>
        <v>650</v>
      </c>
      <c r="D119" s="79"/>
      <c r="E119" s="160"/>
      <c r="F119" s="160"/>
      <c r="G119" s="160"/>
      <c r="H119" s="568"/>
    </row>
    <row r="120" spans="2:8">
      <c r="B120" s="124">
        <v>8</v>
      </c>
      <c r="C120" s="271">
        <f t="shared" si="0"/>
        <v>650</v>
      </c>
      <c r="D120" s="79"/>
      <c r="E120" s="160"/>
      <c r="F120" s="160"/>
      <c r="G120" s="160"/>
      <c r="H120" s="568"/>
    </row>
    <row r="121" spans="2:8">
      <c r="B121" s="124">
        <v>9</v>
      </c>
      <c r="C121" s="271">
        <f t="shared" si="0"/>
        <v>650</v>
      </c>
      <c r="D121" s="79"/>
      <c r="E121" s="160"/>
      <c r="F121" s="160"/>
      <c r="G121" s="160"/>
      <c r="H121" s="568"/>
    </row>
    <row r="122" spans="2:8">
      <c r="B122" s="124">
        <v>10</v>
      </c>
      <c r="C122" s="271">
        <f t="shared" si="0"/>
        <v>650</v>
      </c>
      <c r="D122" s="79"/>
      <c r="E122" s="160"/>
      <c r="F122" s="160"/>
      <c r="G122" s="160"/>
      <c r="H122" s="568"/>
    </row>
    <row r="123" spans="2:8">
      <c r="B123" s="124">
        <v>11</v>
      </c>
      <c r="C123" s="271">
        <f t="shared" si="0"/>
        <v>650</v>
      </c>
      <c r="D123" s="79"/>
      <c r="E123" s="160"/>
      <c r="F123" s="160"/>
      <c r="G123" s="160"/>
      <c r="H123" s="568"/>
    </row>
    <row r="124" spans="2:8">
      <c r="B124" s="124">
        <v>12</v>
      </c>
      <c r="C124" s="271">
        <f t="shared" si="0"/>
        <v>650</v>
      </c>
      <c r="D124" s="79"/>
      <c r="E124" s="160"/>
      <c r="F124" s="160"/>
      <c r="G124" s="160"/>
      <c r="H124" s="568"/>
    </row>
    <row r="125" spans="2:8">
      <c r="B125" s="124">
        <v>13</v>
      </c>
      <c r="C125" s="271">
        <f t="shared" si="0"/>
        <v>650</v>
      </c>
      <c r="D125" s="79"/>
      <c r="E125" s="160"/>
      <c r="F125" s="160"/>
      <c r="G125" s="160"/>
      <c r="H125" s="568"/>
    </row>
    <row r="126" spans="2:8">
      <c r="B126" s="124">
        <v>14</v>
      </c>
      <c r="C126" s="271">
        <f t="shared" si="0"/>
        <v>650</v>
      </c>
      <c r="D126" s="79"/>
      <c r="E126" s="160"/>
      <c r="F126" s="160"/>
      <c r="G126" s="160"/>
      <c r="H126" s="568"/>
    </row>
    <row r="127" spans="2:8">
      <c r="B127" s="124">
        <v>15</v>
      </c>
      <c r="C127" s="271">
        <f t="shared" si="0"/>
        <v>650</v>
      </c>
      <c r="D127" s="79"/>
      <c r="E127" s="160"/>
      <c r="F127" s="160"/>
      <c r="G127" s="160"/>
      <c r="H127" s="568"/>
    </row>
    <row r="128" spans="2:8">
      <c r="B128" s="124">
        <v>16</v>
      </c>
      <c r="C128" s="271">
        <f t="shared" si="0"/>
        <v>650</v>
      </c>
      <c r="D128" s="79"/>
      <c r="E128" s="160"/>
      <c r="F128" s="160"/>
      <c r="G128" s="160"/>
      <c r="H128" s="568"/>
    </row>
    <row r="129" spans="2:8">
      <c r="B129" s="124">
        <v>17</v>
      </c>
      <c r="C129" s="271">
        <f t="shared" si="0"/>
        <v>650</v>
      </c>
      <c r="D129" s="79"/>
      <c r="E129" s="160"/>
      <c r="F129" s="160"/>
      <c r="G129" s="160"/>
      <c r="H129" s="568"/>
    </row>
    <row r="130" spans="2:8">
      <c r="B130" s="124">
        <v>18</v>
      </c>
      <c r="C130" s="271">
        <f t="shared" si="0"/>
        <v>650</v>
      </c>
      <c r="D130" s="79"/>
      <c r="E130" s="160"/>
      <c r="F130" s="160"/>
      <c r="G130" s="160"/>
      <c r="H130" s="568"/>
    </row>
    <row r="131" spans="2:8">
      <c r="B131" s="124">
        <v>19</v>
      </c>
      <c r="C131" s="271">
        <f t="shared" si="0"/>
        <v>650</v>
      </c>
      <c r="D131" s="79"/>
      <c r="E131" s="160"/>
      <c r="F131" s="160"/>
      <c r="G131" s="160"/>
      <c r="H131" s="568"/>
    </row>
    <row r="132" spans="2:8">
      <c r="B132" s="124">
        <v>20</v>
      </c>
      <c r="C132" s="271">
        <f t="shared" si="0"/>
        <v>650</v>
      </c>
      <c r="D132" s="79"/>
      <c r="E132" s="160"/>
      <c r="F132" s="160"/>
      <c r="G132" s="160"/>
      <c r="H132" s="568"/>
    </row>
    <row r="133" spans="2:8">
      <c r="B133" s="124">
        <v>21</v>
      </c>
      <c r="C133" s="271">
        <f t="shared" si="0"/>
        <v>650</v>
      </c>
      <c r="D133" s="79"/>
      <c r="E133" s="160"/>
      <c r="F133" s="160"/>
      <c r="G133" s="160"/>
      <c r="H133" s="568"/>
    </row>
    <row r="134" spans="2:8">
      <c r="B134" s="124">
        <v>22</v>
      </c>
      <c r="C134" s="271">
        <f t="shared" si="0"/>
        <v>650</v>
      </c>
      <c r="D134" s="79"/>
      <c r="E134" s="160"/>
      <c r="F134" s="160"/>
      <c r="G134" s="160"/>
      <c r="H134" s="568"/>
    </row>
    <row r="135" spans="2:8">
      <c r="B135" s="124">
        <v>23</v>
      </c>
      <c r="C135" s="271">
        <f t="shared" si="0"/>
        <v>650</v>
      </c>
      <c r="D135" s="79"/>
      <c r="E135" s="160"/>
      <c r="F135" s="160"/>
      <c r="G135" s="160"/>
      <c r="H135" s="568"/>
    </row>
    <row r="136" spans="2:8">
      <c r="B136" s="124">
        <v>24</v>
      </c>
      <c r="C136" s="271">
        <f t="shared" si="0"/>
        <v>650</v>
      </c>
      <c r="D136" s="79"/>
      <c r="E136" s="160"/>
      <c r="F136" s="160"/>
      <c r="G136" s="160"/>
      <c r="H136" s="568"/>
    </row>
    <row r="137" spans="2:8">
      <c r="B137" s="124">
        <v>25</v>
      </c>
      <c r="C137" s="271">
        <f t="shared" si="0"/>
        <v>650</v>
      </c>
      <c r="D137" s="79"/>
      <c r="E137" s="160"/>
      <c r="F137" s="160"/>
      <c r="G137" s="160"/>
      <c r="H137" s="568"/>
    </row>
    <row r="138" spans="2:8">
      <c r="B138" s="124">
        <v>26</v>
      </c>
      <c r="C138" s="271">
        <f t="shared" si="0"/>
        <v>650</v>
      </c>
      <c r="D138" s="79"/>
      <c r="E138" s="160"/>
      <c r="F138" s="160"/>
      <c r="G138" s="160"/>
      <c r="H138" s="568"/>
    </row>
    <row r="139" spans="2:8">
      <c r="B139" s="124">
        <v>27</v>
      </c>
      <c r="C139" s="271">
        <f t="shared" si="0"/>
        <v>650</v>
      </c>
      <c r="D139" s="79"/>
      <c r="E139" s="160"/>
      <c r="F139" s="160"/>
      <c r="G139" s="160"/>
      <c r="H139" s="568"/>
    </row>
    <row r="140" spans="2:8">
      <c r="B140" s="124">
        <v>28</v>
      </c>
      <c r="C140" s="271">
        <f t="shared" si="0"/>
        <v>650</v>
      </c>
      <c r="D140" s="79"/>
      <c r="E140" s="160"/>
      <c r="F140" s="160"/>
      <c r="G140" s="160"/>
      <c r="H140" s="568"/>
    </row>
    <row r="141" spans="2:8">
      <c r="B141" s="124">
        <v>29</v>
      </c>
      <c r="C141" s="271">
        <f t="shared" si="0"/>
        <v>650</v>
      </c>
      <c r="D141" s="79"/>
      <c r="E141" s="160"/>
      <c r="F141" s="160"/>
      <c r="G141" s="160"/>
      <c r="H141" s="568"/>
    </row>
    <row r="142" spans="2:8">
      <c r="B142" s="124">
        <v>30</v>
      </c>
      <c r="C142" s="271">
        <f t="shared" si="0"/>
        <v>650</v>
      </c>
      <c r="D142" s="79"/>
      <c r="E142" s="160"/>
      <c r="F142" s="160"/>
      <c r="G142" s="160"/>
      <c r="H142" s="568"/>
    </row>
    <row r="143" spans="2:8">
      <c r="B143" s="124">
        <v>31</v>
      </c>
      <c r="C143" s="271">
        <f t="shared" si="0"/>
        <v>650</v>
      </c>
      <c r="D143" s="79"/>
      <c r="E143" s="160"/>
      <c r="F143" s="160"/>
      <c r="G143" s="160"/>
      <c r="H143" s="568"/>
    </row>
    <row r="144" spans="2:8">
      <c r="B144" s="124">
        <v>32</v>
      </c>
      <c r="C144" s="271">
        <f t="shared" si="0"/>
        <v>650</v>
      </c>
      <c r="D144" s="79"/>
      <c r="E144" s="160"/>
      <c r="F144" s="160"/>
      <c r="G144" s="160"/>
      <c r="H144" s="568"/>
    </row>
    <row r="145" spans="2:8">
      <c r="B145" s="124">
        <v>33</v>
      </c>
      <c r="C145" s="271">
        <f t="shared" si="0"/>
        <v>650</v>
      </c>
      <c r="D145" s="79"/>
      <c r="E145" s="160"/>
      <c r="F145" s="160"/>
      <c r="G145" s="160"/>
      <c r="H145" s="568"/>
    </row>
    <row r="146" spans="2:8">
      <c r="B146" s="124">
        <v>34</v>
      </c>
      <c r="C146" s="271">
        <f t="shared" si="0"/>
        <v>650</v>
      </c>
      <c r="D146" s="79"/>
      <c r="E146" s="160"/>
      <c r="F146" s="160"/>
      <c r="G146" s="160"/>
      <c r="H146" s="568"/>
    </row>
    <row r="147" spans="2:8">
      <c r="B147" s="124">
        <v>35</v>
      </c>
      <c r="C147" s="271">
        <f t="shared" si="0"/>
        <v>650</v>
      </c>
      <c r="D147" s="79"/>
      <c r="E147" s="160"/>
      <c r="F147" s="160"/>
      <c r="G147" s="160"/>
      <c r="H147" s="568"/>
    </row>
    <row r="148" spans="2:8">
      <c r="B148" s="124">
        <v>36</v>
      </c>
      <c r="C148" s="271">
        <f t="shared" si="0"/>
        <v>650</v>
      </c>
      <c r="D148" s="79"/>
      <c r="E148" s="160"/>
      <c r="F148" s="160"/>
      <c r="G148" s="160"/>
      <c r="H148" s="568"/>
    </row>
    <row r="149" spans="2:8">
      <c r="B149" s="124">
        <v>37</v>
      </c>
      <c r="C149" s="271">
        <f t="shared" si="0"/>
        <v>650</v>
      </c>
      <c r="D149" s="79"/>
      <c r="E149" s="160"/>
      <c r="F149" s="160"/>
      <c r="G149" s="160"/>
      <c r="H149" s="568"/>
    </row>
    <row r="150" spans="2:8">
      <c r="B150" s="124">
        <v>38</v>
      </c>
      <c r="C150" s="271">
        <f t="shared" si="0"/>
        <v>650</v>
      </c>
      <c r="D150" s="79"/>
      <c r="E150" s="160"/>
      <c r="F150" s="160"/>
      <c r="G150" s="160"/>
      <c r="H150" s="568"/>
    </row>
    <row r="151" spans="2:8">
      <c r="B151" s="124">
        <v>39</v>
      </c>
      <c r="C151" s="271">
        <f t="shared" si="0"/>
        <v>650</v>
      </c>
      <c r="D151" s="79"/>
      <c r="E151" s="160"/>
      <c r="F151" s="160"/>
      <c r="G151" s="160"/>
      <c r="H151" s="568"/>
    </row>
    <row r="152" spans="2:8">
      <c r="B152" s="124">
        <v>40</v>
      </c>
      <c r="C152" s="271">
        <f t="shared" si="0"/>
        <v>650</v>
      </c>
      <c r="D152" s="79"/>
      <c r="E152" s="160"/>
      <c r="F152" s="160"/>
      <c r="G152" s="160"/>
      <c r="H152" s="568"/>
    </row>
    <row r="153" spans="2:8">
      <c r="B153" s="124">
        <v>41</v>
      </c>
      <c r="C153" s="271">
        <f t="shared" si="0"/>
        <v>650</v>
      </c>
      <c r="D153" s="79"/>
      <c r="E153" s="160"/>
      <c r="F153" s="160"/>
      <c r="G153" s="160"/>
      <c r="H153" s="568"/>
    </row>
    <row r="154" spans="2:8">
      <c r="B154" s="124">
        <v>42</v>
      </c>
      <c r="C154" s="271">
        <f t="shared" si="0"/>
        <v>650</v>
      </c>
      <c r="D154" s="79"/>
      <c r="E154" s="160"/>
      <c r="F154" s="160"/>
      <c r="G154" s="160"/>
      <c r="H154" s="568"/>
    </row>
    <row r="155" spans="2:8">
      <c r="B155" s="124">
        <v>43</v>
      </c>
      <c r="C155" s="271">
        <f t="shared" si="0"/>
        <v>650</v>
      </c>
      <c r="D155" s="79"/>
      <c r="E155" s="160"/>
      <c r="F155" s="160"/>
      <c r="G155" s="160"/>
      <c r="H155" s="568"/>
    </row>
    <row r="156" spans="2:8">
      <c r="B156" s="124">
        <v>44</v>
      </c>
      <c r="C156" s="271">
        <f t="shared" si="0"/>
        <v>650</v>
      </c>
      <c r="D156" s="79"/>
      <c r="E156" s="160"/>
      <c r="F156" s="160"/>
      <c r="G156" s="160"/>
      <c r="H156" s="568"/>
    </row>
    <row r="157" spans="2:8">
      <c r="B157" s="124">
        <v>45</v>
      </c>
      <c r="C157" s="271">
        <f t="shared" si="0"/>
        <v>650</v>
      </c>
      <c r="D157" s="79"/>
      <c r="E157" s="160"/>
      <c r="F157" s="160"/>
      <c r="G157" s="160"/>
      <c r="H157" s="568"/>
    </row>
    <row r="158" spans="2:8">
      <c r="B158" s="124">
        <v>46</v>
      </c>
      <c r="C158" s="271">
        <f t="shared" si="0"/>
        <v>650</v>
      </c>
      <c r="D158" s="79"/>
      <c r="E158" s="160"/>
      <c r="F158" s="160"/>
      <c r="G158" s="160"/>
      <c r="H158" s="568"/>
    </row>
    <row r="159" spans="2:8">
      <c r="B159" s="124">
        <v>47</v>
      </c>
      <c r="C159" s="271">
        <f t="shared" si="0"/>
        <v>650</v>
      </c>
      <c r="D159" s="79"/>
      <c r="E159" s="160"/>
      <c r="F159" s="160"/>
      <c r="G159" s="160"/>
      <c r="H159" s="568"/>
    </row>
    <row r="160" spans="2:8">
      <c r="B160" s="124">
        <v>48</v>
      </c>
      <c r="C160" s="271">
        <f t="shared" si="0"/>
        <v>650</v>
      </c>
      <c r="D160" s="79"/>
      <c r="E160" s="160"/>
      <c r="F160" s="160"/>
      <c r="G160" s="160"/>
      <c r="H160" s="568"/>
    </row>
    <row r="161" spans="2:8">
      <c r="B161" s="124">
        <v>49</v>
      </c>
      <c r="C161" s="271">
        <f t="shared" si="0"/>
        <v>650</v>
      </c>
      <c r="D161" s="79"/>
      <c r="E161" s="160"/>
      <c r="F161" s="160"/>
      <c r="G161" s="160"/>
      <c r="H161" s="568"/>
    </row>
    <row r="162" spans="2:8">
      <c r="B162" s="124">
        <v>50</v>
      </c>
      <c r="C162" s="271">
        <f t="shared" si="0"/>
        <v>650</v>
      </c>
      <c r="D162" s="79"/>
      <c r="E162" s="160"/>
      <c r="F162" s="160"/>
      <c r="G162" s="160"/>
      <c r="H162" s="568"/>
    </row>
    <row r="163" spans="2:8">
      <c r="B163" s="124">
        <v>51</v>
      </c>
      <c r="C163" s="271">
        <f t="shared" si="0"/>
        <v>650</v>
      </c>
      <c r="D163" s="79"/>
      <c r="E163" s="160"/>
      <c r="F163" s="160"/>
      <c r="G163" s="160"/>
      <c r="H163" s="568"/>
    </row>
    <row r="164" spans="2:8">
      <c r="B164" s="124">
        <v>52</v>
      </c>
      <c r="C164" s="271">
        <f t="shared" si="0"/>
        <v>650</v>
      </c>
      <c r="D164" s="79"/>
      <c r="E164" s="160"/>
      <c r="F164" s="160"/>
      <c r="G164" s="160"/>
      <c r="H164" s="568"/>
    </row>
    <row r="165" spans="2:8">
      <c r="B165" s="124">
        <v>53</v>
      </c>
      <c r="C165" s="271">
        <f t="shared" si="0"/>
        <v>650</v>
      </c>
      <c r="D165" s="79"/>
      <c r="E165" s="160"/>
      <c r="F165" s="160"/>
      <c r="G165" s="160"/>
      <c r="H165" s="568"/>
    </row>
    <row r="166" spans="2:8">
      <c r="B166" s="124">
        <v>54</v>
      </c>
      <c r="C166" s="271">
        <f t="shared" si="0"/>
        <v>650</v>
      </c>
      <c r="D166" s="79"/>
      <c r="E166" s="160"/>
      <c r="F166" s="160"/>
      <c r="G166" s="160"/>
      <c r="H166" s="568"/>
    </row>
    <row r="167" spans="2:8">
      <c r="B167" s="124">
        <v>55</v>
      </c>
      <c r="C167" s="271">
        <f t="shared" si="0"/>
        <v>650</v>
      </c>
      <c r="D167" s="79"/>
      <c r="E167" s="160"/>
      <c r="F167" s="160"/>
      <c r="G167" s="160"/>
      <c r="H167" s="568"/>
    </row>
    <row r="168" spans="2:8">
      <c r="B168" s="124">
        <v>56</v>
      </c>
      <c r="C168" s="271">
        <f t="shared" si="0"/>
        <v>650</v>
      </c>
      <c r="D168" s="79"/>
      <c r="E168" s="160"/>
      <c r="F168" s="160"/>
      <c r="G168" s="160"/>
      <c r="H168" s="568"/>
    </row>
    <row r="169" spans="2:8">
      <c r="B169" s="124">
        <v>57</v>
      </c>
      <c r="C169" s="271">
        <f t="shared" si="0"/>
        <v>650</v>
      </c>
      <c r="D169" s="79"/>
      <c r="E169" s="160"/>
      <c r="F169" s="160"/>
      <c r="G169" s="160"/>
      <c r="H169" s="568"/>
    </row>
    <row r="170" spans="2:8">
      <c r="B170" s="124">
        <v>58</v>
      </c>
      <c r="C170" s="271">
        <f t="shared" si="0"/>
        <v>650</v>
      </c>
      <c r="D170" s="79"/>
      <c r="E170" s="160"/>
      <c r="F170" s="160"/>
      <c r="G170" s="160"/>
      <c r="H170" s="568"/>
    </row>
    <row r="171" spans="2:8">
      <c r="B171" s="124">
        <v>59</v>
      </c>
      <c r="C171" s="271">
        <f t="shared" si="0"/>
        <v>650</v>
      </c>
      <c r="D171" s="79"/>
      <c r="E171" s="160"/>
      <c r="F171" s="160"/>
      <c r="G171" s="160"/>
      <c r="H171" s="568"/>
    </row>
    <row r="172" spans="2:8">
      <c r="B172" s="124">
        <v>60</v>
      </c>
      <c r="C172" s="271">
        <f>$D$105/12-C105*(1+C23)^5</f>
        <v>116577.40742999998</v>
      </c>
      <c r="D172" s="79"/>
      <c r="E172" s="160"/>
      <c r="F172" s="160"/>
      <c r="G172" s="160"/>
      <c r="H172" s="568"/>
    </row>
    <row r="173" spans="2:8" ht="13" thickBot="1">
      <c r="B173" s="124"/>
      <c r="C173" s="126"/>
      <c r="H173" s="126"/>
    </row>
    <row r="174" spans="2:8" ht="13.5" thickBot="1">
      <c r="B174" s="170" t="s">
        <v>903</v>
      </c>
      <c r="C174" s="155">
        <f>IRR(C112:C172,0.1/12)*12</f>
        <v>0.10251798767562637</v>
      </c>
      <c r="D174" s="4"/>
      <c r="E174" s="4"/>
      <c r="F174" s="4"/>
      <c r="G174" s="4"/>
      <c r="H174" s="135"/>
    </row>
  </sheetData>
  <mergeCells count="13">
    <mergeCell ref="B34:G34"/>
    <mergeCell ref="B2:H2"/>
    <mergeCell ref="B3:H3"/>
    <mergeCell ref="B7:H7"/>
    <mergeCell ref="B5:H5"/>
    <mergeCell ref="B6:H6"/>
    <mergeCell ref="B9:G9"/>
    <mergeCell ref="B41:G41"/>
    <mergeCell ref="B109:C109"/>
    <mergeCell ref="B102:H102"/>
    <mergeCell ref="B92:H92"/>
    <mergeCell ref="B81:H81"/>
    <mergeCell ref="B60:E60"/>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BB901"/>
  </sheetPr>
  <dimension ref="B1:I54"/>
  <sheetViews>
    <sheetView workbookViewId="0">
      <selection activeCell="K32" sqref="K32"/>
    </sheetView>
  </sheetViews>
  <sheetFormatPr defaultRowHeight="12.5"/>
  <cols>
    <col min="2" max="2" width="13" customWidth="1"/>
    <col min="3" max="3" width="12.453125" customWidth="1"/>
    <col min="4" max="4" width="10.54296875" customWidth="1"/>
  </cols>
  <sheetData>
    <row r="1" spans="2:7" ht="13" thickBot="1"/>
    <row r="2" spans="2:7" ht="18.5" thickBot="1">
      <c r="B2" s="1525" t="s">
        <v>1734</v>
      </c>
      <c r="C2" s="1526"/>
      <c r="D2" s="1526"/>
      <c r="E2" s="1526"/>
      <c r="F2" s="1526"/>
      <c r="G2" s="1527"/>
    </row>
    <row r="3" spans="2:7" ht="16" thickBot="1">
      <c r="B3" s="1528" t="s">
        <v>1736</v>
      </c>
      <c r="C3" s="1529"/>
      <c r="D3" s="1529"/>
      <c r="E3" s="1529"/>
      <c r="F3" s="1529"/>
      <c r="G3" s="1530"/>
    </row>
    <row r="4" spans="2:7">
      <c r="B4" s="124"/>
      <c r="G4" s="126"/>
    </row>
    <row r="5" spans="2:7">
      <c r="B5" s="171" t="s">
        <v>381</v>
      </c>
      <c r="C5" s="172">
        <v>60000</v>
      </c>
      <c r="D5" s="39"/>
      <c r="G5" s="126"/>
    </row>
    <row r="6" spans="2:7">
      <c r="B6" s="171" t="s">
        <v>690</v>
      </c>
      <c r="C6" s="152">
        <v>30</v>
      </c>
      <c r="D6" s="39" t="s">
        <v>816</v>
      </c>
      <c r="G6" s="126"/>
    </row>
    <row r="7" spans="2:7">
      <c r="B7" s="171" t="s">
        <v>822</v>
      </c>
      <c r="C7" s="151">
        <v>0.12</v>
      </c>
      <c r="D7" s="39"/>
      <c r="G7" s="126"/>
    </row>
    <row r="8" spans="2:7">
      <c r="B8" s="171" t="s">
        <v>214</v>
      </c>
      <c r="C8" s="151">
        <v>0.03</v>
      </c>
      <c r="D8" s="39"/>
      <c r="G8" s="126"/>
    </row>
    <row r="9" spans="2:7">
      <c r="B9" s="171"/>
      <c r="C9" s="55"/>
      <c r="D9" s="39"/>
      <c r="G9" s="126"/>
    </row>
    <row r="10" spans="2:7">
      <c r="B10" s="124" t="s">
        <v>209</v>
      </c>
      <c r="C10" s="649">
        <f>-PMT(C7/12,C6*12,C5)</f>
        <v>617.16755815530257</v>
      </c>
      <c r="D10" t="s">
        <v>1023</v>
      </c>
      <c r="G10" s="126"/>
    </row>
    <row r="11" spans="2:7">
      <c r="B11" s="124" t="s">
        <v>1024</v>
      </c>
      <c r="C11" s="649">
        <f>C5*(1-C8)</f>
        <v>58200</v>
      </c>
      <c r="G11" s="126"/>
    </row>
    <row r="12" spans="2:7">
      <c r="B12" s="124" t="s">
        <v>376</v>
      </c>
      <c r="C12" s="128">
        <v>5</v>
      </c>
      <c r="D12" t="s">
        <v>816</v>
      </c>
      <c r="G12" s="126"/>
    </row>
    <row r="13" spans="2:7">
      <c r="B13" s="124" t="s">
        <v>215</v>
      </c>
      <c r="C13" s="649">
        <f>-PV(C7/12,(C6-C12)*12,C10)</f>
        <v>58597.931193215729</v>
      </c>
      <c r="D13" t="s">
        <v>1025</v>
      </c>
      <c r="G13" s="126"/>
    </row>
    <row r="14" spans="2:7" ht="13" thickBot="1">
      <c r="B14" s="124"/>
      <c r="G14" s="126"/>
    </row>
    <row r="15" spans="2:7" ht="13.5" thickBot="1">
      <c r="B15" s="170" t="s">
        <v>1026</v>
      </c>
      <c r="C15" s="169">
        <f>RATE(C12*12,C10,-C11,C13)*12</f>
        <v>0.12823369626820647</v>
      </c>
      <c r="D15" t="s">
        <v>1027</v>
      </c>
      <c r="E15" s="167"/>
      <c r="G15" s="126"/>
    </row>
    <row r="16" spans="2:7">
      <c r="B16" s="124"/>
      <c r="G16" s="126"/>
    </row>
    <row r="17" spans="2:9" ht="13" thickBot="1">
      <c r="B17" s="134"/>
      <c r="C17" s="4"/>
      <c r="D17" s="4"/>
      <c r="E17" s="4"/>
      <c r="F17" s="4"/>
      <c r="G17" s="135"/>
    </row>
    <row r="18" spans="2:9" ht="13" thickBot="1"/>
    <row r="19" spans="2:9" ht="16" thickBot="1">
      <c r="B19" s="1528" t="s">
        <v>1573</v>
      </c>
      <c r="C19" s="1529"/>
      <c r="D19" s="1529"/>
      <c r="E19" s="1529"/>
      <c r="F19" s="1529"/>
      <c r="G19" s="1530"/>
      <c r="H19" s="122"/>
      <c r="I19" s="123"/>
    </row>
    <row r="20" spans="2:9">
      <c r="B20" s="124"/>
      <c r="I20" s="126"/>
    </row>
    <row r="21" spans="2:9">
      <c r="B21" s="124" t="s">
        <v>23</v>
      </c>
      <c r="C21">
        <f>C12*12</f>
        <v>60</v>
      </c>
      <c r="D21" t="s">
        <v>1574</v>
      </c>
      <c r="I21" s="126"/>
    </row>
    <row r="22" spans="2:9">
      <c r="B22" s="124" t="s">
        <v>19</v>
      </c>
      <c r="C22" s="464">
        <f>-C10</f>
        <v>-617.16755815530257</v>
      </c>
      <c r="I22" s="126"/>
    </row>
    <row r="23" spans="2:9">
      <c r="B23" s="124" t="s">
        <v>786</v>
      </c>
      <c r="C23" s="464">
        <f>C11</f>
        <v>58200</v>
      </c>
      <c r="I23" s="126"/>
    </row>
    <row r="24" spans="2:9">
      <c r="B24" s="124" t="s">
        <v>21</v>
      </c>
      <c r="C24" s="464">
        <f>-C13</f>
        <v>-58597.931193215729</v>
      </c>
      <c r="I24" s="126"/>
    </row>
    <row r="25" spans="2:9">
      <c r="B25" s="124" t="s">
        <v>1575</v>
      </c>
      <c r="C25" s="23">
        <f>RATE(C21,C22,C23,C24)*12</f>
        <v>0.12823369626820647</v>
      </c>
      <c r="D25" t="s">
        <v>1576</v>
      </c>
      <c r="I25" s="126"/>
    </row>
    <row r="26" spans="2:9" ht="13" thickBot="1">
      <c r="B26" s="134"/>
      <c r="C26" s="4"/>
      <c r="D26" s="4"/>
      <c r="E26" s="4"/>
      <c r="F26" s="4"/>
      <c r="G26" s="4"/>
      <c r="H26" s="4"/>
      <c r="I26" s="135"/>
    </row>
    <row r="29" spans="2:9" ht="13" thickBot="1"/>
    <row r="30" spans="2:9" ht="18.5" thickBot="1">
      <c r="B30" s="1525" t="s">
        <v>1735</v>
      </c>
      <c r="C30" s="1526"/>
      <c r="D30" s="1526"/>
      <c r="E30" s="1526"/>
      <c r="F30" s="1526"/>
      <c r="G30" s="1527"/>
    </row>
    <row r="31" spans="2:9" ht="16" thickBot="1">
      <c r="B31" s="1528" t="s">
        <v>1736</v>
      </c>
      <c r="C31" s="1529"/>
      <c r="D31" s="1529"/>
      <c r="E31" s="1529"/>
      <c r="F31" s="1529"/>
      <c r="G31" s="1530"/>
    </row>
    <row r="32" spans="2:9">
      <c r="B32" s="124"/>
      <c r="G32" s="126"/>
    </row>
    <row r="33" spans="2:9">
      <c r="B33" s="171" t="s">
        <v>381</v>
      </c>
      <c r="C33" s="172">
        <v>60000</v>
      </c>
      <c r="D33" s="39"/>
      <c r="G33" s="126"/>
    </row>
    <row r="34" spans="2:9">
      <c r="B34" s="171" t="s">
        <v>690</v>
      </c>
      <c r="C34" s="152">
        <v>30</v>
      </c>
      <c r="D34" s="39" t="s">
        <v>816</v>
      </c>
      <c r="G34" s="126"/>
    </row>
    <row r="35" spans="2:9">
      <c r="B35" s="171" t="s">
        <v>822</v>
      </c>
      <c r="C35" s="151">
        <v>0.06</v>
      </c>
      <c r="D35" s="39"/>
      <c r="G35" s="126"/>
    </row>
    <row r="36" spans="2:9">
      <c r="B36" s="171" t="s">
        <v>214</v>
      </c>
      <c r="C36" s="151">
        <v>0.03</v>
      </c>
      <c r="D36" s="39"/>
      <c r="G36" s="126"/>
    </row>
    <row r="37" spans="2:9">
      <c r="B37" s="171"/>
      <c r="C37" s="55"/>
      <c r="D37" s="39"/>
      <c r="G37" s="126"/>
    </row>
    <row r="38" spans="2:9">
      <c r="B38" s="124" t="s">
        <v>209</v>
      </c>
      <c r="C38" s="649">
        <f>-PMT(C35/12,C34*12,C33)</f>
        <v>359.73031509165133</v>
      </c>
      <c r="D38" t="s">
        <v>1023</v>
      </c>
      <c r="G38" s="126"/>
    </row>
    <row r="39" spans="2:9">
      <c r="B39" s="124" t="s">
        <v>1024</v>
      </c>
      <c r="C39" s="649">
        <f>C33*(1-C36)</f>
        <v>58200</v>
      </c>
      <c r="G39" s="126"/>
    </row>
    <row r="40" spans="2:9">
      <c r="B40" s="124" t="s">
        <v>376</v>
      </c>
      <c r="C40" s="128">
        <v>5</v>
      </c>
      <c r="D40" t="s">
        <v>816</v>
      </c>
      <c r="G40" s="126"/>
    </row>
    <row r="41" spans="2:9">
      <c r="B41" s="124" t="s">
        <v>215</v>
      </c>
      <c r="C41" s="649">
        <f>-PV(C35/12,(C34-C40)*12,C38)</f>
        <v>55832.614093690987</v>
      </c>
      <c r="D41" t="s">
        <v>1025</v>
      </c>
      <c r="G41" s="126"/>
    </row>
    <row r="42" spans="2:9" ht="13" thickBot="1">
      <c r="B42" s="124"/>
      <c r="G42" s="126"/>
    </row>
    <row r="43" spans="2:9" ht="13.5" thickBot="1">
      <c r="B43" s="170" t="s">
        <v>1026</v>
      </c>
      <c r="C43" s="169">
        <f>RATE(C40*12,C38,-C39,C41)*12</f>
        <v>6.7305523117119445E-2</v>
      </c>
      <c r="D43" t="s">
        <v>1027</v>
      </c>
      <c r="E43" s="167"/>
      <c r="G43" s="126"/>
    </row>
    <row r="44" spans="2:9">
      <c r="B44" s="124"/>
      <c r="G44" s="126"/>
    </row>
    <row r="45" spans="2:9" ht="13" thickBot="1">
      <c r="B45" s="134"/>
      <c r="C45" s="4"/>
      <c r="D45" s="4"/>
      <c r="E45" s="4"/>
      <c r="F45" s="4"/>
      <c r="G45" s="135"/>
    </row>
    <row r="46" spans="2:9" ht="13" thickBot="1"/>
    <row r="47" spans="2:9" ht="16" thickBot="1">
      <c r="B47" s="1528" t="s">
        <v>1573</v>
      </c>
      <c r="C47" s="1529"/>
      <c r="D47" s="1529"/>
      <c r="E47" s="1529"/>
      <c r="F47" s="1529"/>
      <c r="G47" s="1530"/>
      <c r="H47" s="122"/>
      <c r="I47" s="123"/>
    </row>
    <row r="48" spans="2:9">
      <c r="B48" s="124"/>
      <c r="I48" s="126"/>
    </row>
    <row r="49" spans="2:9">
      <c r="B49" s="124" t="s">
        <v>23</v>
      </c>
      <c r="C49">
        <f>C40*12</f>
        <v>60</v>
      </c>
      <c r="D49" t="s">
        <v>1574</v>
      </c>
      <c r="I49" s="126"/>
    </row>
    <row r="50" spans="2:9">
      <c r="B50" s="124" t="s">
        <v>19</v>
      </c>
      <c r="C50" s="464">
        <f>-C38</f>
        <v>-359.73031509165133</v>
      </c>
      <c r="I50" s="126"/>
    </row>
    <row r="51" spans="2:9">
      <c r="B51" s="124" t="s">
        <v>786</v>
      </c>
      <c r="C51" s="464">
        <f>C39</f>
        <v>58200</v>
      </c>
      <c r="I51" s="126"/>
    </row>
    <row r="52" spans="2:9">
      <c r="B52" s="124" t="s">
        <v>21</v>
      </c>
      <c r="C52" s="464">
        <f>-C41</f>
        <v>-55832.614093690987</v>
      </c>
      <c r="I52" s="126"/>
    </row>
    <row r="53" spans="2:9">
      <c r="B53" s="124" t="s">
        <v>1575</v>
      </c>
      <c r="C53" s="23">
        <f>RATE(C49,C50,C51,C52)*12</f>
        <v>6.730552311711463E-2</v>
      </c>
      <c r="D53" t="s">
        <v>1576</v>
      </c>
      <c r="I53" s="126"/>
    </row>
    <row r="54" spans="2:9" ht="13" thickBot="1">
      <c r="B54" s="134"/>
      <c r="C54" s="4"/>
      <c r="D54" s="4"/>
      <c r="E54" s="4"/>
      <c r="F54" s="4"/>
      <c r="G54" s="4"/>
      <c r="H54" s="4"/>
      <c r="I54" s="135"/>
    </row>
  </sheetData>
  <mergeCells count="6">
    <mergeCell ref="B47:G47"/>
    <mergeCell ref="B2:G2"/>
    <mergeCell ref="B3:G3"/>
    <mergeCell ref="B19:G19"/>
    <mergeCell ref="B30:G30"/>
    <mergeCell ref="B31:G31"/>
  </mergeCells>
  <phoneticPr fontId="39" type="noConversion"/>
  <pageMargins left="0.75" right="0.75"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4"/>
  <dimension ref="B1:I170"/>
  <sheetViews>
    <sheetView workbookViewId="0">
      <selection activeCell="C27" sqref="C27"/>
    </sheetView>
  </sheetViews>
  <sheetFormatPr defaultRowHeight="12.5"/>
  <cols>
    <col min="2" max="2" width="23.26953125" customWidth="1"/>
    <col min="3" max="3" width="12.7265625" customWidth="1"/>
    <col min="4" max="4" width="12.54296875" customWidth="1"/>
    <col min="5" max="5" width="18.453125" customWidth="1"/>
    <col min="8" max="8" width="12.26953125" customWidth="1"/>
  </cols>
  <sheetData>
    <row r="1" spans="2:9" ht="13" thickBot="1"/>
    <row r="2" spans="2:9" ht="18.5" thickBot="1">
      <c r="B2" s="595" t="s">
        <v>205</v>
      </c>
      <c r="C2" s="596"/>
      <c r="D2" s="596"/>
      <c r="E2" s="596"/>
      <c r="F2" s="596"/>
      <c r="G2" s="596"/>
      <c r="H2" s="597"/>
    </row>
    <row r="3" spans="2:9" ht="16" thickBot="1">
      <c r="B3" s="1619" t="s">
        <v>55</v>
      </c>
      <c r="C3" s="1529"/>
      <c r="D3" s="1529"/>
      <c r="E3" s="1529"/>
      <c r="F3" s="1529"/>
      <c r="G3" s="1529"/>
      <c r="H3" s="1530"/>
    </row>
    <row r="4" spans="2:9" ht="15.5">
      <c r="B4" s="569"/>
      <c r="C4" s="570"/>
      <c r="D4" s="570"/>
      <c r="E4" s="571"/>
      <c r="F4" s="570"/>
      <c r="G4" s="570"/>
      <c r="H4" s="572"/>
    </row>
    <row r="5" spans="2:9">
      <c r="B5" s="1620" t="s">
        <v>1101</v>
      </c>
      <c r="C5" s="1621"/>
      <c r="D5" s="1621"/>
      <c r="E5" s="1621"/>
      <c r="F5" s="1621"/>
      <c r="G5" s="1621"/>
      <c r="H5" s="1622"/>
      <c r="I5" s="22"/>
    </row>
    <row r="6" spans="2:9">
      <c r="B6" s="1623" t="s">
        <v>419</v>
      </c>
      <c r="C6" s="1624"/>
      <c r="D6" s="1624"/>
      <c r="E6" s="1624"/>
      <c r="F6" s="1624"/>
      <c r="G6" s="1624"/>
      <c r="H6" s="1625"/>
      <c r="I6" s="22"/>
    </row>
    <row r="7" spans="2:9">
      <c r="B7" s="577" t="s">
        <v>56</v>
      </c>
      <c r="C7" s="578"/>
      <c r="D7" s="578"/>
      <c r="E7" s="578"/>
      <c r="F7" s="578"/>
      <c r="G7" s="578"/>
      <c r="H7" s="579"/>
    </row>
    <row r="8" spans="2:9" ht="13">
      <c r="B8" s="1626" t="s">
        <v>1107</v>
      </c>
      <c r="C8" s="1624"/>
      <c r="D8" s="1624"/>
      <c r="E8" s="1624"/>
      <c r="F8" s="1624"/>
      <c r="G8" s="1624"/>
      <c r="H8" s="1625"/>
      <c r="I8" s="22"/>
    </row>
    <row r="9" spans="2:9" ht="13">
      <c r="B9" s="1627"/>
      <c r="C9" s="1628"/>
      <c r="D9" s="1628"/>
      <c r="E9" s="1628"/>
      <c r="F9" s="1628"/>
      <c r="G9" s="1628"/>
      <c r="H9" s="1629"/>
    </row>
    <row r="10" spans="2:9" ht="13.5" thickBot="1">
      <c r="B10" s="573"/>
      <c r="C10" s="1"/>
      <c r="D10" s="1"/>
      <c r="E10" s="39"/>
      <c r="F10" s="39"/>
      <c r="G10" s="39"/>
      <c r="H10" s="146"/>
    </row>
    <row r="11" spans="2:9" ht="13.5" thickBot="1">
      <c r="B11" s="1583" t="s">
        <v>207</v>
      </c>
      <c r="C11" s="1532"/>
      <c r="D11" s="1532"/>
      <c r="E11" s="1532"/>
      <c r="F11" s="1532"/>
      <c r="G11" s="1533"/>
      <c r="H11" s="146"/>
    </row>
    <row r="12" spans="2:9" ht="13.5" thickBot="1">
      <c r="B12" s="171" t="s">
        <v>267</v>
      </c>
      <c r="C12" s="152">
        <v>1000000</v>
      </c>
      <c r="D12" s="39"/>
      <c r="E12" s="243" t="s">
        <v>363</v>
      </c>
      <c r="F12" s="39"/>
      <c r="G12" s="146"/>
      <c r="H12" s="146"/>
    </row>
    <row r="13" spans="2:9">
      <c r="B13" s="171" t="s">
        <v>420</v>
      </c>
      <c r="C13" s="152">
        <v>100000</v>
      </c>
      <c r="D13" s="39"/>
      <c r="E13" s="39" t="s">
        <v>364</v>
      </c>
      <c r="F13" s="152">
        <f>0.9*C12</f>
        <v>900000</v>
      </c>
      <c r="G13" s="146"/>
      <c r="H13" s="146"/>
    </row>
    <row r="14" spans="2:9">
      <c r="B14" s="171" t="s">
        <v>421</v>
      </c>
      <c r="C14" s="152">
        <v>0.03</v>
      </c>
      <c r="D14" s="39"/>
      <c r="E14" s="39" t="s">
        <v>422</v>
      </c>
      <c r="F14" s="152">
        <v>27.5</v>
      </c>
      <c r="G14" s="146" t="s">
        <v>208</v>
      </c>
      <c r="H14" s="146"/>
    </row>
    <row r="15" spans="2:9">
      <c r="B15" s="171" t="s">
        <v>368</v>
      </c>
      <c r="C15" s="152">
        <v>0.7</v>
      </c>
      <c r="D15" s="39"/>
      <c r="E15" s="39" t="s">
        <v>423</v>
      </c>
      <c r="F15" s="152">
        <v>0.28000000000000003</v>
      </c>
      <c r="G15" s="146"/>
      <c r="H15" s="146"/>
    </row>
    <row r="16" spans="2:9">
      <c r="B16" s="171" t="s">
        <v>424</v>
      </c>
      <c r="C16" s="152">
        <v>0.08</v>
      </c>
      <c r="D16" s="39"/>
      <c r="E16" s="39"/>
      <c r="F16" s="39"/>
      <c r="G16" s="146"/>
      <c r="H16" s="146"/>
    </row>
    <row r="17" spans="2:8">
      <c r="B17" s="171" t="s">
        <v>425</v>
      </c>
      <c r="C17" s="152">
        <v>0.1</v>
      </c>
      <c r="D17" s="39"/>
      <c r="E17" s="39"/>
      <c r="F17" s="39"/>
      <c r="G17" s="146"/>
      <c r="H17" s="146"/>
    </row>
    <row r="18" spans="2:8">
      <c r="B18" s="171" t="s">
        <v>426</v>
      </c>
      <c r="C18" s="152">
        <v>30</v>
      </c>
      <c r="D18" s="39" t="s">
        <v>208</v>
      </c>
      <c r="E18" s="39"/>
      <c r="F18" s="39"/>
      <c r="G18" s="146"/>
      <c r="H18" s="146"/>
    </row>
    <row r="19" spans="2:8">
      <c r="B19" s="171" t="s">
        <v>427</v>
      </c>
      <c r="C19" s="152">
        <v>15</v>
      </c>
      <c r="D19" s="39" t="s">
        <v>208</v>
      </c>
      <c r="E19" s="39"/>
      <c r="F19" s="39"/>
      <c r="G19" s="146"/>
      <c r="H19" s="146"/>
    </row>
    <row r="20" spans="2:8">
      <c r="B20" s="171" t="s">
        <v>372</v>
      </c>
      <c r="C20" s="152">
        <v>12</v>
      </c>
      <c r="D20" s="39"/>
      <c r="E20" s="39"/>
      <c r="F20" s="39"/>
      <c r="G20" s="146"/>
      <c r="H20" s="146"/>
    </row>
    <row r="21" spans="2:8">
      <c r="B21" s="171" t="s">
        <v>433</v>
      </c>
      <c r="C21" s="152">
        <f>0.03</f>
        <v>0.03</v>
      </c>
      <c r="D21" s="39"/>
      <c r="E21" s="39"/>
      <c r="F21" s="39"/>
      <c r="G21" s="146"/>
      <c r="H21" s="146"/>
    </row>
    <row r="22" spans="2:8">
      <c r="B22" s="171" t="s">
        <v>376</v>
      </c>
      <c r="C22" s="152">
        <v>5</v>
      </c>
      <c r="D22" s="39" t="s">
        <v>208</v>
      </c>
      <c r="E22" s="39"/>
      <c r="F22" s="39"/>
      <c r="G22" s="146"/>
      <c r="H22" s="146"/>
    </row>
    <row r="23" spans="2:8" ht="13" thickBot="1">
      <c r="B23" s="228" t="s">
        <v>377</v>
      </c>
      <c r="C23" s="153">
        <v>0</v>
      </c>
      <c r="D23" s="63" t="s">
        <v>378</v>
      </c>
      <c r="E23" s="63"/>
      <c r="F23" s="63"/>
      <c r="G23" s="149"/>
      <c r="H23" s="146"/>
    </row>
    <row r="24" spans="2:8" ht="13.5" thickBot="1">
      <c r="B24" s="573"/>
      <c r="C24" s="56"/>
      <c r="D24" s="39"/>
      <c r="E24" s="39"/>
      <c r="F24" s="39"/>
      <c r="G24" s="39"/>
      <c r="H24" s="146"/>
    </row>
    <row r="25" spans="2:8">
      <c r="B25" s="552" t="s">
        <v>291</v>
      </c>
      <c r="C25" s="553">
        <f>(1-C15)*C12</f>
        <v>300000.00000000006</v>
      </c>
      <c r="D25" s="470"/>
      <c r="E25" s="535"/>
      <c r="F25" s="39"/>
      <c r="G25" s="39"/>
      <c r="H25" s="146"/>
    </row>
    <row r="26" spans="2:8">
      <c r="B26" s="369" t="s">
        <v>381</v>
      </c>
      <c r="C26" s="57">
        <f>C15*C12</f>
        <v>700000</v>
      </c>
      <c r="D26" s="34"/>
      <c r="E26" s="309"/>
      <c r="F26" s="39"/>
      <c r="G26" s="39"/>
      <c r="H26" s="146"/>
    </row>
    <row r="27" spans="2:8">
      <c r="B27" s="369" t="s">
        <v>382</v>
      </c>
      <c r="C27" s="57">
        <f>PMT(C16/C20,C18*C20,-C26)*C20</f>
        <v>61636.224205867591</v>
      </c>
      <c r="D27" s="34"/>
      <c r="E27" s="309"/>
      <c r="F27" s="39"/>
      <c r="G27" s="39"/>
      <c r="H27" s="146"/>
    </row>
    <row r="28" spans="2:8">
      <c r="B28" s="369" t="s">
        <v>435</v>
      </c>
      <c r="C28" s="57">
        <f>(PMT(C17/C20,C20*C18,-C26))*C20</f>
        <v>73716.011887459084</v>
      </c>
      <c r="D28" s="34"/>
      <c r="E28" s="309"/>
      <c r="F28" s="39"/>
      <c r="G28" s="39"/>
      <c r="H28" s="146"/>
    </row>
    <row r="29" spans="2:8" ht="13" thickBot="1">
      <c r="B29" s="371" t="s">
        <v>383</v>
      </c>
      <c r="C29" s="372">
        <f>IF(C16&lt;C17,(FV(C17/C20,C22*C20,C27/C20,-C26)),PV(C16/C20,(C18-C22)*C20,-(C27/C20)))</f>
        <v>753972.19248438498</v>
      </c>
      <c r="D29" s="554" t="s">
        <v>384</v>
      </c>
      <c r="E29" s="149">
        <f>C22</f>
        <v>5</v>
      </c>
      <c r="F29" s="39"/>
      <c r="G29" s="39"/>
      <c r="H29" s="146"/>
    </row>
    <row r="30" spans="2:8" ht="13" thickBot="1">
      <c r="B30" s="384"/>
      <c r="C30" s="39"/>
      <c r="D30" s="39"/>
      <c r="E30" s="39"/>
      <c r="F30" s="39"/>
      <c r="G30" s="39"/>
      <c r="H30" s="146"/>
    </row>
    <row r="31" spans="2:8" ht="13.5" thickBot="1">
      <c r="B31" s="1617" t="s">
        <v>385</v>
      </c>
      <c r="C31" s="1538"/>
      <c r="D31" s="1538"/>
      <c r="E31" s="1538"/>
      <c r="F31" s="1538"/>
      <c r="G31" s="1539"/>
      <c r="H31" s="146"/>
    </row>
    <row r="32" spans="2:8" ht="13.5" thickBot="1">
      <c r="B32" s="157" t="s">
        <v>386</v>
      </c>
      <c r="C32" s="157">
        <v>1</v>
      </c>
      <c r="D32" s="157">
        <f>(1+C32)</f>
        <v>2</v>
      </c>
      <c r="E32" s="157">
        <f>(1+D32)</f>
        <v>3</v>
      </c>
      <c r="F32" s="157">
        <f>(1+E32)</f>
        <v>4</v>
      </c>
      <c r="G32" s="157">
        <f>(1+F32)</f>
        <v>5</v>
      </c>
      <c r="H32" s="146"/>
    </row>
    <row r="33" spans="2:8">
      <c r="B33" s="369" t="s">
        <v>209</v>
      </c>
      <c r="C33" s="57">
        <f>$C$27</f>
        <v>61636.224205867591</v>
      </c>
      <c r="D33" s="57">
        <f>$C$27</f>
        <v>61636.224205867591</v>
      </c>
      <c r="E33" s="57">
        <f>$C$27</f>
        <v>61636.224205867591</v>
      </c>
      <c r="F33" s="57">
        <f>$C$27</f>
        <v>61636.224205867591</v>
      </c>
      <c r="G33" s="370">
        <f>$C$27</f>
        <v>61636.224205867591</v>
      </c>
      <c r="H33" s="309"/>
    </row>
    <row r="34" spans="2:8">
      <c r="B34" s="369" t="s">
        <v>383</v>
      </c>
      <c r="C34" s="57">
        <f>IF($C$16&lt;$C$17,FV($C$17/$C$20,C32*$C$20,$C$27/$C$20,-$C$26),IF($C$18&gt;C32-$C32+1,(($C27/$C$20)/PMT($C$16/($C$20),($C$18-(C32-$C32+1))*$C$20,-1)),0))</f>
        <v>708757.96618794871</v>
      </c>
      <c r="D34" s="57">
        <f>IF($C$16&lt;$C$17,FV($C$17/$C$20,D32*$C$20,$C$27/$C$20,-$C$26),IF($C$18&gt;D32-$C32+1,(($C27/$C$20)/PMT($C$16/($C$20),($C$18-(D32-$C32+1))*$C$20,-1)),0))</f>
        <v>718433.0058799847</v>
      </c>
      <c r="E34" s="57">
        <f>IF($C$16&lt;$C$17,FV($C$17/$C$20,E32*$C$20,$C$27/$C$20,-$C$26),IF($C$18&gt;E32-$C32+1,(($C27/$C$20)/PMT($C$16/($C$20),($C$18-(E32-$C32+1))*$C$20,-1)),0))</f>
        <v>729121.14865579002</v>
      </c>
      <c r="F34" s="57">
        <f>IF($C$16&lt;$C$17,FV($C$17/$C$20,F32*$C$20,$C$27/$C$20,-$C$26),IF($C$18&gt;F32-$C32+1,(($C27/$C$20)/PMT($C$16/($C$20),($C$18-(F32-$C32+1))*$C$20,-1)),0))</f>
        <v>740928.47964690055</v>
      </c>
      <c r="G34" s="370">
        <f>IF($C$16&lt;$C$17,FV($C$17/$C$20,G32*$C$20,$C$27/$C$20,-$C$26),IF($C$18&gt;G32-$C32+1,(($C27/$C$20)/PMT($C$16/($C$20),($C$18-(G32-$C32+1))*$C$20,-1)),0))</f>
        <v>753972.19248438498</v>
      </c>
      <c r="H34" s="309"/>
    </row>
    <row r="35" spans="2:8">
      <c r="B35" s="369" t="s">
        <v>210</v>
      </c>
      <c r="C35" s="57">
        <f>($C$27-(C26-C34))</f>
        <v>70394.190393816301</v>
      </c>
      <c r="D35" s="57">
        <f>($C$27-(C34-D34))</f>
        <v>71311.263897903584</v>
      </c>
      <c r="E35" s="57">
        <f>($C$27-(D34-E34))</f>
        <v>72324.366981672909</v>
      </c>
      <c r="F35" s="57">
        <f>($C$27-(E34-F34))</f>
        <v>73443.555196978123</v>
      </c>
      <c r="G35" s="370">
        <f>($C$27-(F34-G34))</f>
        <v>74679.937043352023</v>
      </c>
      <c r="H35" s="309"/>
    </row>
    <row r="36" spans="2:8" ht="13" thickBot="1">
      <c r="B36" s="371" t="s">
        <v>387</v>
      </c>
      <c r="C36" s="64">
        <f>C33-C35</f>
        <v>-8757.9661879487103</v>
      </c>
      <c r="D36" s="64">
        <f>D33-D35</f>
        <v>-9675.0396920359926</v>
      </c>
      <c r="E36" s="64">
        <f>E33-E35</f>
        <v>-10688.142775805318</v>
      </c>
      <c r="F36" s="64">
        <f>F33-F35</f>
        <v>-11807.330991110532</v>
      </c>
      <c r="G36" s="379">
        <f>G33-G35</f>
        <v>-13043.712837484432</v>
      </c>
      <c r="H36" s="309"/>
    </row>
    <row r="37" spans="2:8" ht="13" thickBot="1">
      <c r="B37" s="171"/>
      <c r="C37" s="57"/>
      <c r="D37" s="57"/>
      <c r="E37" s="57"/>
      <c r="F37" s="57"/>
      <c r="G37" s="57"/>
      <c r="H37" s="309"/>
    </row>
    <row r="38" spans="2:8" ht="13.5" thickBot="1">
      <c r="B38" s="1617" t="s">
        <v>436</v>
      </c>
      <c r="C38" s="1538"/>
      <c r="D38" s="1538"/>
      <c r="E38" s="1538"/>
      <c r="F38" s="1538"/>
      <c r="G38" s="1539"/>
      <c r="H38" s="309"/>
    </row>
    <row r="39" spans="2:8" ht="13.5" thickBot="1">
      <c r="B39" s="157" t="s">
        <v>262</v>
      </c>
      <c r="C39" s="157">
        <v>1</v>
      </c>
      <c r="D39" s="157">
        <v>2</v>
      </c>
      <c r="E39" s="157">
        <v>3</v>
      </c>
      <c r="F39" s="157">
        <v>4</v>
      </c>
      <c r="G39" s="157">
        <v>5</v>
      </c>
      <c r="H39" s="309"/>
    </row>
    <row r="40" spans="2:8">
      <c r="B40" s="369" t="s">
        <v>335</v>
      </c>
      <c r="C40" s="57">
        <f>C13</f>
        <v>100000</v>
      </c>
      <c r="D40" s="57">
        <f>C40*(1+$C$14)</f>
        <v>103000</v>
      </c>
      <c r="E40" s="57">
        <f>D40*(1+$C$14)</f>
        <v>106090</v>
      </c>
      <c r="F40" s="57">
        <f>E40*(1+$C$14)</f>
        <v>109272.7</v>
      </c>
      <c r="G40" s="370">
        <f>F40*(1+$C$14)</f>
        <v>112550.88099999999</v>
      </c>
      <c r="H40" s="309"/>
    </row>
    <row r="41" spans="2:8">
      <c r="B41" s="369" t="s">
        <v>437</v>
      </c>
      <c r="C41" s="57">
        <f>$C$33</f>
        <v>61636.224205867591</v>
      </c>
      <c r="D41" s="57">
        <f>$C$33</f>
        <v>61636.224205867591</v>
      </c>
      <c r="E41" s="57">
        <f>$C$33</f>
        <v>61636.224205867591</v>
      </c>
      <c r="F41" s="57">
        <f>$C$33</f>
        <v>61636.224205867591</v>
      </c>
      <c r="G41" s="370">
        <f>$C$33</f>
        <v>61636.224205867591</v>
      </c>
      <c r="H41" s="309"/>
    </row>
    <row r="42" spans="2:8">
      <c r="B42" s="369"/>
      <c r="C42" s="57"/>
      <c r="D42" s="57"/>
      <c r="E42" s="57"/>
      <c r="F42" s="57"/>
      <c r="G42" s="370"/>
      <c r="H42" s="309"/>
    </row>
    <row r="43" spans="2:8">
      <c r="B43" s="369"/>
      <c r="C43" s="57"/>
      <c r="D43" s="57"/>
      <c r="E43" s="57"/>
      <c r="F43" s="57"/>
      <c r="G43" s="370"/>
      <c r="H43" s="309"/>
    </row>
    <row r="44" spans="2:8">
      <c r="B44" s="369"/>
      <c r="C44" s="57"/>
      <c r="D44" s="57"/>
      <c r="E44" s="57"/>
      <c r="F44" s="57"/>
      <c r="G44" s="370"/>
      <c r="H44" s="146"/>
    </row>
    <row r="45" spans="2:8" ht="13.5" thickBot="1">
      <c r="B45" s="444" t="s">
        <v>408</v>
      </c>
      <c r="C45" s="59">
        <f>C40-C41</f>
        <v>38363.775794132409</v>
      </c>
      <c r="D45" s="59">
        <f>D40-D41</f>
        <v>41363.775794132409</v>
      </c>
      <c r="E45" s="59">
        <f>E40-E41</f>
        <v>44453.775794132409</v>
      </c>
      <c r="F45" s="59">
        <f>F40-F41</f>
        <v>47636.475794132406</v>
      </c>
      <c r="G45" s="556">
        <f>G40-G41</f>
        <v>50914.656794132403</v>
      </c>
      <c r="H45" s="146"/>
    </row>
    <row r="46" spans="2:8" ht="13" thickTop="1">
      <c r="B46" s="384"/>
      <c r="C46" s="57"/>
      <c r="D46" s="57"/>
      <c r="E46" s="57"/>
      <c r="F46" s="57"/>
      <c r="G46" s="370"/>
      <c r="H46" s="146"/>
    </row>
    <row r="47" spans="2:8">
      <c r="B47" s="369" t="s">
        <v>335</v>
      </c>
      <c r="C47" s="57">
        <f>C40</f>
        <v>100000</v>
      </c>
      <c r="D47" s="57">
        <f>D40</f>
        <v>103000</v>
      </c>
      <c r="E47" s="57">
        <f>E40</f>
        <v>106090</v>
      </c>
      <c r="F47" s="57">
        <f>F40</f>
        <v>109272.7</v>
      </c>
      <c r="G47" s="370">
        <f>G40</f>
        <v>112550.88099999999</v>
      </c>
      <c r="H47" s="309"/>
    </row>
    <row r="48" spans="2:8">
      <c r="B48" s="369" t="s">
        <v>390</v>
      </c>
      <c r="C48" s="57">
        <f>C35</f>
        <v>70394.190393816301</v>
      </c>
      <c r="D48" s="57">
        <f>D35</f>
        <v>71311.263897903584</v>
      </c>
      <c r="E48" s="57">
        <f>E35</f>
        <v>72324.366981672909</v>
      </c>
      <c r="F48" s="57">
        <f>F35</f>
        <v>73443.555196978123</v>
      </c>
      <c r="G48" s="370">
        <f>G35</f>
        <v>74679.937043352023</v>
      </c>
      <c r="H48" s="309"/>
    </row>
    <row r="49" spans="2:8">
      <c r="B49" s="369" t="s">
        <v>391</v>
      </c>
      <c r="C49" s="57">
        <f>$F$13/$F$14</f>
        <v>32727.272727272728</v>
      </c>
      <c r="D49" s="57">
        <f>$F$13/$F$14</f>
        <v>32727.272727272728</v>
      </c>
      <c r="E49" s="57">
        <f>$F$13/$F$14</f>
        <v>32727.272727272728</v>
      </c>
      <c r="F49" s="57">
        <f>$F$13/$F$14</f>
        <v>32727.272727272728</v>
      </c>
      <c r="G49" s="370">
        <f>$F$13/$F$14</f>
        <v>32727.272727272728</v>
      </c>
      <c r="H49" s="309"/>
    </row>
    <row r="50" spans="2:8">
      <c r="B50" s="369" t="s">
        <v>441</v>
      </c>
      <c r="C50" s="57">
        <f>C47-C48-C49</f>
        <v>-3121.4631210890293</v>
      </c>
      <c r="D50" s="57">
        <f>D47-D48-D49</f>
        <v>-1038.5366251763116</v>
      </c>
      <c r="E50" s="57">
        <f>E47-E48-E49</f>
        <v>1038.3602910543632</v>
      </c>
      <c r="F50" s="57">
        <f>F47-F48-F49</f>
        <v>3101.8720757491465</v>
      </c>
      <c r="G50" s="370">
        <f>G47-G48-G49</f>
        <v>5143.6712293752425</v>
      </c>
      <c r="H50" s="309"/>
    </row>
    <row r="51" spans="2:8">
      <c r="B51" s="369" t="s">
        <v>442</v>
      </c>
      <c r="C51" s="57">
        <f>C50*$F$15</f>
        <v>-874.00967390492826</v>
      </c>
      <c r="D51" s="57">
        <f>D50*$F$15</f>
        <v>-290.79025504936726</v>
      </c>
      <c r="E51" s="57">
        <f>E50*$F$15</f>
        <v>290.74088149522174</v>
      </c>
      <c r="F51" s="57">
        <f>F50*$F$15</f>
        <v>868.52418120976108</v>
      </c>
      <c r="G51" s="370">
        <f>G50*$F$15</f>
        <v>1440.2279442250681</v>
      </c>
      <c r="H51" s="309"/>
    </row>
    <row r="52" spans="2:8" ht="13.5" thickBot="1">
      <c r="B52" s="557" t="s">
        <v>409</v>
      </c>
      <c r="C52" s="558">
        <f>C45-C51</f>
        <v>39237.785468037335</v>
      </c>
      <c r="D52" s="558">
        <f>D45-D51</f>
        <v>41654.566049181776</v>
      </c>
      <c r="E52" s="558">
        <f>E45-E51</f>
        <v>44163.034912637188</v>
      </c>
      <c r="F52" s="558">
        <f>F45-F51</f>
        <v>46767.951612922647</v>
      </c>
      <c r="G52" s="559">
        <f>G45-G51</f>
        <v>49474.428849907337</v>
      </c>
      <c r="H52" s="309"/>
    </row>
    <row r="53" spans="2:8" ht="13">
      <c r="B53" s="444"/>
      <c r="C53" s="60"/>
      <c r="D53" s="60"/>
      <c r="E53" s="60"/>
      <c r="F53" s="60"/>
      <c r="G53" s="60"/>
      <c r="H53" s="309"/>
    </row>
    <row r="54" spans="2:8" ht="13" thickBot="1">
      <c r="B54" s="384"/>
      <c r="C54" s="57"/>
      <c r="D54" s="57"/>
      <c r="E54" s="57"/>
      <c r="H54" s="126"/>
    </row>
    <row r="55" spans="2:8" ht="13">
      <c r="B55" s="1630" t="s">
        <v>443</v>
      </c>
      <c r="C55" s="1631"/>
      <c r="D55" s="1631"/>
      <c r="E55" s="1632"/>
      <c r="H55" s="126"/>
    </row>
    <row r="56" spans="2:8">
      <c r="B56" s="369" t="s">
        <v>444</v>
      </c>
      <c r="C56" s="57"/>
      <c r="D56" s="57"/>
      <c r="E56" s="370">
        <f>(C12*(1+C21)^C22)</f>
        <v>1159274.0742999997</v>
      </c>
      <c r="H56" s="126"/>
    </row>
    <row r="57" spans="2:8">
      <c r="B57" s="369" t="s">
        <v>396</v>
      </c>
      <c r="C57" s="57"/>
      <c r="D57" s="57"/>
      <c r="E57" s="370">
        <f>C23*E56</f>
        <v>0</v>
      </c>
      <c r="H57" s="126"/>
    </row>
    <row r="58" spans="2:8">
      <c r="B58" s="369" t="s">
        <v>383</v>
      </c>
      <c r="C58" s="57"/>
      <c r="D58" s="57"/>
      <c r="E58" s="560">
        <f>G34</f>
        <v>753972.19248438498</v>
      </c>
      <c r="H58" s="126"/>
    </row>
    <row r="59" spans="2:8">
      <c r="B59" s="369" t="s">
        <v>439</v>
      </c>
      <c r="C59" s="57"/>
      <c r="D59" s="57"/>
      <c r="E59" s="370">
        <f>E56-E57-E58</f>
        <v>405301.88181561476</v>
      </c>
      <c r="H59" s="126"/>
    </row>
    <row r="60" spans="2:8">
      <c r="B60" s="369"/>
      <c r="C60" s="57"/>
      <c r="D60" s="57"/>
      <c r="E60" s="560"/>
      <c r="H60" s="126"/>
    </row>
    <row r="61" spans="2:8">
      <c r="B61" s="369" t="s">
        <v>397</v>
      </c>
      <c r="C61" s="57"/>
      <c r="D61" s="57"/>
      <c r="E61" s="370">
        <f>E59</f>
        <v>405301.88181561476</v>
      </c>
      <c r="H61" s="126"/>
    </row>
    <row r="62" spans="2:8">
      <c r="B62" s="384"/>
      <c r="C62" s="57"/>
      <c r="D62" s="57"/>
      <c r="E62" s="370"/>
      <c r="H62" s="126"/>
    </row>
    <row r="63" spans="2:8">
      <c r="B63" s="369" t="s">
        <v>446</v>
      </c>
      <c r="C63" s="57"/>
      <c r="D63" s="57">
        <f>C12*(1+C21)^C22</f>
        <v>1159274.0742999997</v>
      </c>
      <c r="E63" s="370"/>
      <c r="H63" s="126"/>
    </row>
    <row r="64" spans="2:8">
      <c r="B64" s="369" t="s">
        <v>447</v>
      </c>
      <c r="C64" s="57"/>
      <c r="D64" s="57">
        <f>E57</f>
        <v>0</v>
      </c>
      <c r="E64" s="370"/>
      <c r="H64" s="126"/>
    </row>
    <row r="65" spans="2:8">
      <c r="B65" s="384"/>
      <c r="C65" s="57"/>
      <c r="D65" s="57"/>
      <c r="E65" s="370"/>
      <c r="H65" s="126"/>
    </row>
    <row r="66" spans="2:8">
      <c r="B66" s="369" t="s">
        <v>398</v>
      </c>
      <c r="C66" s="57">
        <f>C12</f>
        <v>1000000</v>
      </c>
      <c r="D66" s="57"/>
      <c r="E66" s="370"/>
      <c r="H66" s="126"/>
    </row>
    <row r="67" spans="2:8">
      <c r="B67" s="369" t="s">
        <v>399</v>
      </c>
      <c r="C67" s="61">
        <f>C22*C49</f>
        <v>163636.36363636365</v>
      </c>
      <c r="D67" s="57"/>
      <c r="E67" s="370"/>
      <c r="H67" s="126"/>
    </row>
    <row r="68" spans="2:8">
      <c r="B68" s="369" t="s">
        <v>400</v>
      </c>
      <c r="C68" s="57"/>
      <c r="D68" s="61">
        <f>C66-C67</f>
        <v>836363.63636363635</v>
      </c>
      <c r="E68" s="370"/>
      <c r="H68" s="126"/>
    </row>
    <row r="69" spans="2:8">
      <c r="B69" s="384"/>
      <c r="C69" s="57"/>
      <c r="D69" s="57"/>
      <c r="E69" s="370"/>
      <c r="H69" s="126"/>
    </row>
    <row r="70" spans="2:8">
      <c r="B70" s="369" t="s">
        <v>401</v>
      </c>
      <c r="C70" s="57"/>
      <c r="D70" s="57">
        <f>D63-D64-D68</f>
        <v>322910.43793636339</v>
      </c>
      <c r="E70" s="370"/>
      <c r="H70" s="126"/>
    </row>
    <row r="71" spans="2:8">
      <c r="B71" s="369" t="s">
        <v>449</v>
      </c>
      <c r="C71" s="57"/>
      <c r="D71" s="57"/>
      <c r="E71" s="560">
        <f>F15*D70</f>
        <v>90414.922622181752</v>
      </c>
      <c r="H71" s="126"/>
    </row>
    <row r="72" spans="2:8">
      <c r="B72" s="384"/>
      <c r="C72" s="57"/>
      <c r="D72" s="57"/>
      <c r="E72" s="370"/>
      <c r="H72" s="126"/>
    </row>
    <row r="73" spans="2:8" ht="13.5" thickBot="1">
      <c r="B73" s="557" t="s">
        <v>405</v>
      </c>
      <c r="C73" s="561"/>
      <c r="D73" s="561"/>
      <c r="E73" s="562">
        <f>E61-E71</f>
        <v>314886.95919343299</v>
      </c>
      <c r="H73" s="126"/>
    </row>
    <row r="74" spans="2:8" ht="13" thickBot="1">
      <c r="B74" s="384"/>
      <c r="C74" s="34"/>
      <c r="D74" s="34"/>
      <c r="E74" s="39"/>
      <c r="H74" s="126"/>
    </row>
    <row r="75" spans="2:8" ht="13.5" thickBot="1">
      <c r="B75" s="1617" t="s">
        <v>450</v>
      </c>
      <c r="C75" s="1538"/>
      <c r="D75" s="1538"/>
      <c r="E75" s="1538"/>
      <c r="F75" s="1538"/>
      <c r="G75" s="1538"/>
      <c r="H75" s="1539"/>
    </row>
    <row r="76" spans="2:8" ht="13.5" thickBot="1">
      <c r="B76" s="157" t="s">
        <v>262</v>
      </c>
      <c r="C76" s="157">
        <v>0</v>
      </c>
      <c r="D76" s="157">
        <v>1</v>
      </c>
      <c r="E76" s="157">
        <v>2</v>
      </c>
      <c r="F76" s="157">
        <v>3</v>
      </c>
      <c r="G76" s="157">
        <v>4</v>
      </c>
      <c r="H76" s="157">
        <v>5</v>
      </c>
    </row>
    <row r="77" spans="2:8">
      <c r="B77" s="369" t="s">
        <v>451</v>
      </c>
      <c r="C77" s="34">
        <f>-C25</f>
        <v>-300000.00000000006</v>
      </c>
      <c r="D77" s="57">
        <f>C45</f>
        <v>38363.775794132409</v>
      </c>
      <c r="E77" s="57">
        <f>D45</f>
        <v>41363.775794132409</v>
      </c>
      <c r="F77" s="57">
        <f>E45</f>
        <v>44453.775794132409</v>
      </c>
      <c r="G77" s="57">
        <f>F45</f>
        <v>47636.475794132406</v>
      </c>
      <c r="H77" s="370">
        <f>G45+E61</f>
        <v>456216.53860974719</v>
      </c>
    </row>
    <row r="78" spans="2:8" ht="13">
      <c r="B78" s="563" t="s">
        <v>407</v>
      </c>
      <c r="C78" s="564">
        <f>IRR(C77:H77,0.1)</f>
        <v>0.19270733318833511</v>
      </c>
      <c r="D78" s="34"/>
      <c r="E78" s="34"/>
      <c r="F78" s="34"/>
      <c r="G78" s="39"/>
      <c r="H78" s="146"/>
    </row>
    <row r="79" spans="2:8" ht="13" thickBot="1">
      <c r="B79" s="384"/>
      <c r="C79" s="39"/>
      <c r="D79" s="39"/>
      <c r="E79" s="39"/>
      <c r="F79" s="39"/>
      <c r="G79" s="39"/>
      <c r="H79" s="146"/>
    </row>
    <row r="80" spans="2:8" ht="13.5" thickBot="1">
      <c r="B80" s="157" t="s">
        <v>262</v>
      </c>
      <c r="C80" s="157">
        <v>0</v>
      </c>
      <c r="D80" s="157">
        <v>1</v>
      </c>
      <c r="E80" s="157">
        <v>2</v>
      </c>
      <c r="F80" s="157">
        <v>3</v>
      </c>
      <c r="G80" s="157">
        <v>4</v>
      </c>
      <c r="H80" s="157">
        <v>5</v>
      </c>
    </row>
    <row r="81" spans="2:8" ht="13" thickBot="1">
      <c r="B81" s="369" t="s">
        <v>452</v>
      </c>
      <c r="C81" s="34">
        <f>-C25</f>
        <v>-300000.00000000006</v>
      </c>
      <c r="D81" s="57">
        <f>C52</f>
        <v>39237.785468037335</v>
      </c>
      <c r="E81" s="57">
        <f>D52</f>
        <v>41654.566049181776</v>
      </c>
      <c r="F81" s="57">
        <f>E52</f>
        <v>44163.034912637188</v>
      </c>
      <c r="G81" s="57">
        <f>F52</f>
        <v>46767.951612922647</v>
      </c>
      <c r="H81" s="370">
        <f>G52+E73</f>
        <v>364361.38804334035</v>
      </c>
    </row>
    <row r="82" spans="2:8" ht="13.5" thickBot="1">
      <c r="B82" s="563" t="s">
        <v>453</v>
      </c>
      <c r="C82" s="155">
        <f>IRR(C81:H81,0.1)</f>
        <v>0.15246081999420102</v>
      </c>
      <c r="D82" s="34"/>
      <c r="E82" s="34"/>
      <c r="F82" s="34"/>
      <c r="G82" s="34"/>
      <c r="H82" s="309"/>
    </row>
    <row r="83" spans="2:8" ht="13.5" thickBot="1">
      <c r="B83" s="444" t="s">
        <v>414</v>
      </c>
      <c r="C83" s="155">
        <f>(C78-C82)/C78</f>
        <v>0.20884785507773437</v>
      </c>
      <c r="D83" s="39"/>
      <c r="E83" s="39"/>
      <c r="F83" s="39"/>
      <c r="G83" s="39"/>
      <c r="H83" s="146"/>
    </row>
    <row r="84" spans="2:8" ht="13.5" thickBot="1">
      <c r="B84" s="557"/>
      <c r="C84" s="392"/>
      <c r="D84" s="63"/>
      <c r="E84" s="63"/>
      <c r="F84" s="63"/>
      <c r="G84" s="63"/>
      <c r="H84" s="149"/>
    </row>
    <row r="85" spans="2:8" ht="13.5" thickBot="1">
      <c r="B85" s="573"/>
      <c r="C85" s="1"/>
      <c r="D85" s="39"/>
      <c r="E85" s="39"/>
      <c r="F85" s="39"/>
      <c r="G85" s="39"/>
      <c r="H85" s="146"/>
    </row>
    <row r="86" spans="2:8" ht="13.5" thickBot="1">
      <c r="B86" s="1617" t="s">
        <v>454</v>
      </c>
      <c r="C86" s="1538"/>
      <c r="D86" s="1538"/>
      <c r="E86" s="1538"/>
      <c r="F86" s="1538"/>
      <c r="G86" s="1538"/>
      <c r="H86" s="1539"/>
    </row>
    <row r="87" spans="2:8" ht="13.5" thickBot="1">
      <c r="B87" s="157" t="s">
        <v>262</v>
      </c>
      <c r="C87" s="157">
        <v>0</v>
      </c>
      <c r="D87" s="157">
        <v>1</v>
      </c>
      <c r="E87" s="157">
        <v>2</v>
      </c>
      <c r="F87" s="157">
        <v>3</v>
      </c>
      <c r="G87" s="157">
        <v>4</v>
      </c>
      <c r="H87" s="157">
        <v>5</v>
      </c>
    </row>
    <row r="88" spans="2:8" ht="13" thickBot="1">
      <c r="B88" s="369" t="s">
        <v>335</v>
      </c>
      <c r="C88" s="34">
        <f>-C12</f>
        <v>-1000000</v>
      </c>
      <c r="D88" s="57">
        <f>C40</f>
        <v>100000</v>
      </c>
      <c r="E88" s="57">
        <f>D40</f>
        <v>103000</v>
      </c>
      <c r="F88" s="57">
        <f>E40</f>
        <v>106090</v>
      </c>
      <c r="G88" s="57">
        <f>F40</f>
        <v>109272.7</v>
      </c>
      <c r="H88" s="370">
        <f>G40+E56-E57</f>
        <v>1271824.9552999998</v>
      </c>
    </row>
    <row r="89" spans="2:8" ht="13.5" thickBot="1">
      <c r="B89" s="563" t="s">
        <v>455</v>
      </c>
      <c r="C89" s="155">
        <f>IRR(C88:H88,0.1)</f>
        <v>0.12999999999999989</v>
      </c>
      <c r="D89" s="39"/>
      <c r="E89" s="39"/>
      <c r="F89" s="39"/>
      <c r="G89" s="39"/>
      <c r="H89" s="146"/>
    </row>
    <row r="90" spans="2:8" ht="13" thickBot="1">
      <c r="B90" s="384"/>
      <c r="C90" s="39"/>
      <c r="D90" s="39"/>
      <c r="E90" s="39"/>
      <c r="F90" s="39"/>
      <c r="G90" s="39"/>
      <c r="H90" s="146"/>
    </row>
    <row r="91" spans="2:8" ht="13.5" thickBot="1">
      <c r="B91" s="157" t="s">
        <v>262</v>
      </c>
      <c r="C91" s="157">
        <v>0</v>
      </c>
      <c r="D91" s="157">
        <v>1</v>
      </c>
      <c r="E91" s="157">
        <v>2</v>
      </c>
      <c r="F91" s="157">
        <v>3</v>
      </c>
      <c r="G91" s="157">
        <v>4</v>
      </c>
      <c r="H91" s="157">
        <v>5</v>
      </c>
    </row>
    <row r="92" spans="2:8" ht="13" thickBot="1">
      <c r="B92" s="369" t="s">
        <v>456</v>
      </c>
      <c r="C92" s="34">
        <f>-C12</f>
        <v>-1000000</v>
      </c>
      <c r="D92" s="57">
        <f>C40-((C40-C49)*$F$15)</f>
        <v>81163.636363636368</v>
      </c>
      <c r="E92" s="57">
        <f>D40-((D40-D49)*$F$15)</f>
        <v>83323.636363636368</v>
      </c>
      <c r="F92" s="57">
        <f>E40-((E40-E49)*$F$15)</f>
        <v>85548.436363636371</v>
      </c>
      <c r="G92" s="57">
        <f>F40-((F40-F49)*$F$15)</f>
        <v>87839.980363636365</v>
      </c>
      <c r="H92" s="370">
        <f>G40-((G40-G49)*$F$15)+(E56-E57-E71)</f>
        <v>1159059.4223614545</v>
      </c>
    </row>
    <row r="93" spans="2:8" ht="13.5" thickBot="1">
      <c r="B93" s="563" t="s">
        <v>457</v>
      </c>
      <c r="C93" s="155">
        <f>IRR(C92:H92,0.1)</f>
        <v>9.6557208329354882E-2</v>
      </c>
      <c r="D93" s="39"/>
      <c r="E93" s="39"/>
      <c r="F93" s="39"/>
      <c r="G93" s="39"/>
      <c r="H93" s="146"/>
    </row>
    <row r="94" spans="2:8" ht="13.5" thickBot="1">
      <c r="B94" s="565"/>
      <c r="C94" s="566"/>
      <c r="D94" s="63"/>
      <c r="E94" s="63"/>
      <c r="F94" s="63"/>
      <c r="G94" s="63"/>
      <c r="H94" s="149"/>
    </row>
    <row r="95" spans="2:8" ht="13" thickBot="1">
      <c r="B95" s="171"/>
      <c r="C95" s="39"/>
      <c r="D95" s="34"/>
      <c r="E95" s="34"/>
      <c r="F95" s="34"/>
      <c r="G95" s="34"/>
      <c r="H95" s="309"/>
    </row>
    <row r="96" spans="2:8" ht="13.5" thickBot="1">
      <c r="B96" s="1617" t="s">
        <v>53</v>
      </c>
      <c r="C96" s="1538"/>
      <c r="D96" s="1538"/>
      <c r="E96" s="1538"/>
      <c r="F96" s="1538"/>
      <c r="G96" s="1538"/>
      <c r="H96" s="1539"/>
    </row>
    <row r="97" spans="2:8" ht="13.5" thickBot="1">
      <c r="B97" s="157" t="s">
        <v>262</v>
      </c>
      <c r="C97" s="157">
        <v>0</v>
      </c>
      <c r="D97" s="157">
        <v>1</v>
      </c>
      <c r="E97" s="157">
        <v>2</v>
      </c>
      <c r="F97" s="157">
        <v>3</v>
      </c>
      <c r="G97" s="157">
        <v>4</v>
      </c>
      <c r="H97" s="157">
        <v>5</v>
      </c>
    </row>
    <row r="98" spans="2:8">
      <c r="B98" s="171" t="s">
        <v>458</v>
      </c>
      <c r="D98" s="231">
        <f>+C41</f>
        <v>61636.224205867591</v>
      </c>
      <c r="E98" s="231">
        <f>+D41</f>
        <v>61636.224205867591</v>
      </c>
      <c r="F98" s="231">
        <f>+E41</f>
        <v>61636.224205867591</v>
      </c>
      <c r="G98" s="231">
        <f>+F41</f>
        <v>61636.224205867591</v>
      </c>
      <c r="H98" s="256">
        <f>+G41</f>
        <v>61636.224205867591</v>
      </c>
    </row>
    <row r="99" spans="2:8">
      <c r="B99" s="171" t="s">
        <v>459</v>
      </c>
      <c r="C99" s="39"/>
      <c r="D99" s="78"/>
      <c r="E99" s="78"/>
      <c r="F99" s="78"/>
      <c r="G99" s="78"/>
      <c r="H99" s="257">
        <f>+E58</f>
        <v>753972.19248438498</v>
      </c>
    </row>
    <row r="100" spans="2:8">
      <c r="B100" s="171" t="s">
        <v>460</v>
      </c>
      <c r="C100" s="39">
        <f>-C26</f>
        <v>-700000</v>
      </c>
      <c r="D100" s="78"/>
      <c r="E100" s="78"/>
      <c r="F100" s="78"/>
      <c r="G100" s="78"/>
      <c r="H100" s="257"/>
    </row>
    <row r="101" spans="2:8" ht="13" thickBot="1">
      <c r="B101" s="171" t="s">
        <v>461</v>
      </c>
      <c r="C101" s="593">
        <f t="shared" ref="C101:H101" si="0">+C98+C99+C100</f>
        <v>-700000</v>
      </c>
      <c r="D101" s="593">
        <f t="shared" si="0"/>
        <v>61636.224205867591</v>
      </c>
      <c r="E101" s="593">
        <f t="shared" si="0"/>
        <v>61636.224205867591</v>
      </c>
      <c r="F101" s="593">
        <f t="shared" si="0"/>
        <v>61636.224205867591</v>
      </c>
      <c r="G101" s="593">
        <f t="shared" si="0"/>
        <v>61636.224205867591</v>
      </c>
      <c r="H101" s="594">
        <f t="shared" si="0"/>
        <v>815608.4166902526</v>
      </c>
    </row>
    <row r="102" spans="2:8" ht="13.5" thickBot="1">
      <c r="B102" s="567" t="s">
        <v>462</v>
      </c>
      <c r="C102" s="155">
        <f>C170</f>
        <v>9.999999999999698E-2</v>
      </c>
      <c r="D102" s="260"/>
      <c r="E102" s="260"/>
      <c r="F102" s="260"/>
      <c r="G102" s="260"/>
      <c r="H102" s="261"/>
    </row>
    <row r="103" spans="2:8">
      <c r="B103" s="171"/>
      <c r="C103" s="39"/>
      <c r="D103" s="39"/>
      <c r="E103" s="39"/>
      <c r="F103" s="39"/>
      <c r="G103" s="39"/>
      <c r="H103" s="146"/>
    </row>
    <row r="104" spans="2:8" ht="13" thickBot="1">
      <c r="B104" s="171"/>
      <c r="C104" s="39"/>
      <c r="D104" s="39"/>
      <c r="E104" s="39"/>
      <c r="F104" s="39"/>
      <c r="G104" s="39"/>
      <c r="H104" s="146"/>
    </row>
    <row r="105" spans="2:8" ht="13.5" thickBot="1">
      <c r="B105" s="1531" t="s">
        <v>54</v>
      </c>
      <c r="C105" s="1533"/>
      <c r="D105" s="22"/>
      <c r="E105" s="22"/>
      <c r="F105" s="22"/>
      <c r="G105" s="22"/>
      <c r="H105" s="575"/>
    </row>
    <row r="106" spans="2:8" ht="13" thickBot="1">
      <c r="B106" s="124"/>
      <c r="C106" s="126"/>
      <c r="H106" s="126"/>
    </row>
    <row r="107" spans="2:8" ht="13.5" thickBot="1">
      <c r="B107" s="157" t="s">
        <v>216</v>
      </c>
      <c r="C107" s="157" t="s">
        <v>824</v>
      </c>
      <c r="D107" s="6"/>
      <c r="E107" s="6"/>
      <c r="F107" s="6"/>
      <c r="G107" s="6"/>
      <c r="H107" s="575"/>
    </row>
    <row r="108" spans="2:8">
      <c r="B108" s="124">
        <v>0</v>
      </c>
      <c r="C108" s="568">
        <f>C100</f>
        <v>-700000</v>
      </c>
      <c r="H108" s="126"/>
    </row>
    <row r="109" spans="2:8">
      <c r="B109" s="124">
        <v>1</v>
      </c>
      <c r="C109" s="271">
        <f>$D$101/12</f>
        <v>5136.3520171556329</v>
      </c>
      <c r="E109" s="160"/>
      <c r="F109" s="160"/>
      <c r="G109" s="160"/>
      <c r="H109" s="568"/>
    </row>
    <row r="110" spans="2:8">
      <c r="B110" s="124">
        <v>2</v>
      </c>
      <c r="C110" s="271">
        <f t="shared" ref="C110:C167" si="1">$D$101/12</f>
        <v>5136.3520171556329</v>
      </c>
      <c r="D110" s="79"/>
      <c r="E110" s="160"/>
      <c r="F110" s="160"/>
      <c r="G110" s="160"/>
      <c r="H110" s="568"/>
    </row>
    <row r="111" spans="2:8">
      <c r="B111" s="124">
        <v>3</v>
      </c>
      <c r="C111" s="271">
        <f t="shared" si="1"/>
        <v>5136.3520171556329</v>
      </c>
      <c r="D111" s="79"/>
      <c r="E111" s="160"/>
      <c r="F111" s="160"/>
      <c r="G111" s="160"/>
      <c r="H111" s="568"/>
    </row>
    <row r="112" spans="2:8">
      <c r="B112" s="124">
        <v>4</v>
      </c>
      <c r="C112" s="271">
        <f t="shared" si="1"/>
        <v>5136.3520171556329</v>
      </c>
      <c r="D112" s="79"/>
      <c r="E112" s="160"/>
      <c r="F112" s="160"/>
      <c r="G112" s="160"/>
      <c r="H112" s="568"/>
    </row>
    <row r="113" spans="2:8">
      <c r="B113" s="124">
        <v>5</v>
      </c>
      <c r="C113" s="271">
        <f t="shared" si="1"/>
        <v>5136.3520171556329</v>
      </c>
      <c r="D113" s="79"/>
      <c r="E113" s="160"/>
      <c r="F113" s="160"/>
      <c r="G113" s="160"/>
      <c r="H113" s="568"/>
    </row>
    <row r="114" spans="2:8">
      <c r="B114" s="124">
        <v>6</v>
      </c>
      <c r="C114" s="271">
        <f t="shared" si="1"/>
        <v>5136.3520171556329</v>
      </c>
      <c r="D114" s="79"/>
      <c r="E114" s="160"/>
      <c r="F114" s="160"/>
      <c r="G114" s="160"/>
      <c r="H114" s="568"/>
    </row>
    <row r="115" spans="2:8">
      <c r="B115" s="124">
        <v>7</v>
      </c>
      <c r="C115" s="271">
        <f t="shared" si="1"/>
        <v>5136.3520171556329</v>
      </c>
      <c r="D115" s="79"/>
      <c r="E115" s="160"/>
      <c r="F115" s="160"/>
      <c r="G115" s="160"/>
      <c r="H115" s="568"/>
    </row>
    <row r="116" spans="2:8">
      <c r="B116" s="124">
        <v>8</v>
      </c>
      <c r="C116" s="271">
        <f t="shared" si="1"/>
        <v>5136.3520171556329</v>
      </c>
      <c r="D116" s="79"/>
      <c r="E116" s="160"/>
      <c r="F116" s="160"/>
      <c r="G116" s="160"/>
      <c r="H116" s="568"/>
    </row>
    <row r="117" spans="2:8">
      <c r="B117" s="124">
        <v>9</v>
      </c>
      <c r="C117" s="271">
        <f t="shared" si="1"/>
        <v>5136.3520171556329</v>
      </c>
      <c r="D117" s="79"/>
      <c r="E117" s="160"/>
      <c r="F117" s="160"/>
      <c r="G117" s="160"/>
      <c r="H117" s="568"/>
    </row>
    <row r="118" spans="2:8">
      <c r="B118" s="124">
        <v>10</v>
      </c>
      <c r="C118" s="271">
        <f t="shared" si="1"/>
        <v>5136.3520171556329</v>
      </c>
      <c r="D118" s="79"/>
      <c r="E118" s="160"/>
      <c r="F118" s="160"/>
      <c r="G118" s="160"/>
      <c r="H118" s="568"/>
    </row>
    <row r="119" spans="2:8">
      <c r="B119" s="124">
        <v>11</v>
      </c>
      <c r="C119" s="271">
        <f t="shared" si="1"/>
        <v>5136.3520171556329</v>
      </c>
      <c r="D119" s="79"/>
      <c r="E119" s="160"/>
      <c r="F119" s="160"/>
      <c r="G119" s="160"/>
      <c r="H119" s="568"/>
    </row>
    <row r="120" spans="2:8">
      <c r="B120" s="124">
        <v>12</v>
      </c>
      <c r="C120" s="271">
        <f t="shared" si="1"/>
        <v>5136.3520171556329</v>
      </c>
      <c r="D120" s="79"/>
      <c r="E120" s="160"/>
      <c r="F120" s="160"/>
      <c r="G120" s="160"/>
      <c r="H120" s="568"/>
    </row>
    <row r="121" spans="2:8">
      <c r="B121" s="124">
        <v>13</v>
      </c>
      <c r="C121" s="271">
        <f t="shared" si="1"/>
        <v>5136.3520171556329</v>
      </c>
      <c r="D121" s="79"/>
      <c r="E121" s="160"/>
      <c r="F121" s="160"/>
      <c r="G121" s="160"/>
      <c r="H121" s="568"/>
    </row>
    <row r="122" spans="2:8">
      <c r="B122" s="124">
        <v>14</v>
      </c>
      <c r="C122" s="271">
        <f t="shared" si="1"/>
        <v>5136.3520171556329</v>
      </c>
      <c r="D122" s="79"/>
      <c r="E122" s="160"/>
      <c r="F122" s="160"/>
      <c r="G122" s="160"/>
      <c r="H122" s="568"/>
    </row>
    <row r="123" spans="2:8">
      <c r="B123" s="124">
        <v>15</v>
      </c>
      <c r="C123" s="271">
        <f t="shared" si="1"/>
        <v>5136.3520171556329</v>
      </c>
      <c r="D123" s="79"/>
      <c r="E123" s="160"/>
      <c r="F123" s="160"/>
      <c r="G123" s="160"/>
      <c r="H123" s="568"/>
    </row>
    <row r="124" spans="2:8">
      <c r="B124" s="124">
        <v>16</v>
      </c>
      <c r="C124" s="271">
        <f t="shared" si="1"/>
        <v>5136.3520171556329</v>
      </c>
      <c r="D124" s="79"/>
      <c r="E124" s="160"/>
      <c r="F124" s="160"/>
      <c r="G124" s="160"/>
      <c r="H124" s="568"/>
    </row>
    <row r="125" spans="2:8">
      <c r="B125" s="124">
        <v>17</v>
      </c>
      <c r="C125" s="271">
        <f t="shared" si="1"/>
        <v>5136.3520171556329</v>
      </c>
      <c r="D125" s="79"/>
      <c r="E125" s="160"/>
      <c r="F125" s="160"/>
      <c r="G125" s="160"/>
      <c r="H125" s="568"/>
    </row>
    <row r="126" spans="2:8">
      <c r="B126" s="124">
        <v>18</v>
      </c>
      <c r="C126" s="271">
        <f t="shared" si="1"/>
        <v>5136.3520171556329</v>
      </c>
      <c r="D126" s="79"/>
      <c r="E126" s="160"/>
      <c r="F126" s="160"/>
      <c r="G126" s="160"/>
      <c r="H126" s="568"/>
    </row>
    <row r="127" spans="2:8">
      <c r="B127" s="124">
        <v>19</v>
      </c>
      <c r="C127" s="271">
        <f t="shared" si="1"/>
        <v>5136.3520171556329</v>
      </c>
      <c r="D127" s="79"/>
      <c r="E127" s="160"/>
      <c r="F127" s="160"/>
      <c r="G127" s="160"/>
      <c r="H127" s="568"/>
    </row>
    <row r="128" spans="2:8">
      <c r="B128" s="124">
        <v>20</v>
      </c>
      <c r="C128" s="271">
        <f t="shared" si="1"/>
        <v>5136.3520171556329</v>
      </c>
      <c r="D128" s="79"/>
      <c r="E128" s="160"/>
      <c r="F128" s="160"/>
      <c r="G128" s="160"/>
      <c r="H128" s="568"/>
    </row>
    <row r="129" spans="2:8">
      <c r="B129" s="124">
        <v>21</v>
      </c>
      <c r="C129" s="271">
        <f t="shared" si="1"/>
        <v>5136.3520171556329</v>
      </c>
      <c r="D129" s="79"/>
      <c r="E129" s="160"/>
      <c r="F129" s="160"/>
      <c r="G129" s="160"/>
      <c r="H129" s="568"/>
    </row>
    <row r="130" spans="2:8">
      <c r="B130" s="124">
        <v>22</v>
      </c>
      <c r="C130" s="271">
        <f t="shared" si="1"/>
        <v>5136.3520171556329</v>
      </c>
      <c r="D130" s="79"/>
      <c r="E130" s="160"/>
      <c r="F130" s="160"/>
      <c r="G130" s="160"/>
      <c r="H130" s="568"/>
    </row>
    <row r="131" spans="2:8">
      <c r="B131" s="124">
        <v>23</v>
      </c>
      <c r="C131" s="271">
        <f t="shared" si="1"/>
        <v>5136.3520171556329</v>
      </c>
      <c r="D131" s="79"/>
      <c r="E131" s="160"/>
      <c r="F131" s="160"/>
      <c r="G131" s="160"/>
      <c r="H131" s="568"/>
    </row>
    <row r="132" spans="2:8">
      <c r="B132" s="124">
        <v>24</v>
      </c>
      <c r="C132" s="271">
        <f t="shared" si="1"/>
        <v>5136.3520171556329</v>
      </c>
      <c r="D132" s="79"/>
      <c r="E132" s="160"/>
      <c r="F132" s="160"/>
      <c r="G132" s="160"/>
      <c r="H132" s="568"/>
    </row>
    <row r="133" spans="2:8">
      <c r="B133" s="124">
        <v>25</v>
      </c>
      <c r="C133" s="271">
        <f t="shared" si="1"/>
        <v>5136.3520171556329</v>
      </c>
      <c r="D133" s="79"/>
      <c r="E133" s="160"/>
      <c r="F133" s="160"/>
      <c r="G133" s="160"/>
      <c r="H133" s="568"/>
    </row>
    <row r="134" spans="2:8">
      <c r="B134" s="124">
        <v>26</v>
      </c>
      <c r="C134" s="271">
        <f t="shared" si="1"/>
        <v>5136.3520171556329</v>
      </c>
      <c r="D134" s="79"/>
      <c r="E134" s="160"/>
      <c r="F134" s="160"/>
      <c r="G134" s="160"/>
      <c r="H134" s="568"/>
    </row>
    <row r="135" spans="2:8">
      <c r="B135" s="124">
        <v>27</v>
      </c>
      <c r="C135" s="271">
        <f t="shared" si="1"/>
        <v>5136.3520171556329</v>
      </c>
      <c r="D135" s="79"/>
      <c r="E135" s="160"/>
      <c r="F135" s="160"/>
      <c r="G135" s="160"/>
      <c r="H135" s="568"/>
    </row>
    <row r="136" spans="2:8">
      <c r="B136" s="124">
        <v>28</v>
      </c>
      <c r="C136" s="271">
        <f t="shared" si="1"/>
        <v>5136.3520171556329</v>
      </c>
      <c r="D136" s="79"/>
      <c r="E136" s="160"/>
      <c r="F136" s="160"/>
      <c r="G136" s="160"/>
      <c r="H136" s="568"/>
    </row>
    <row r="137" spans="2:8">
      <c r="B137" s="124">
        <v>29</v>
      </c>
      <c r="C137" s="271">
        <f t="shared" si="1"/>
        <v>5136.3520171556329</v>
      </c>
      <c r="D137" s="79"/>
      <c r="E137" s="160"/>
      <c r="F137" s="160"/>
      <c r="G137" s="160"/>
      <c r="H137" s="568"/>
    </row>
    <row r="138" spans="2:8">
      <c r="B138" s="124">
        <v>30</v>
      </c>
      <c r="C138" s="271">
        <f t="shared" si="1"/>
        <v>5136.3520171556329</v>
      </c>
      <c r="D138" s="79"/>
      <c r="E138" s="160"/>
      <c r="F138" s="160"/>
      <c r="G138" s="160"/>
      <c r="H138" s="568"/>
    </row>
    <row r="139" spans="2:8">
      <c r="B139" s="124">
        <v>31</v>
      </c>
      <c r="C139" s="271">
        <f t="shared" si="1"/>
        <v>5136.3520171556329</v>
      </c>
      <c r="D139" s="79"/>
      <c r="E139" s="160"/>
      <c r="F139" s="160"/>
      <c r="G139" s="160"/>
      <c r="H139" s="568"/>
    </row>
    <row r="140" spans="2:8">
      <c r="B140" s="124">
        <v>32</v>
      </c>
      <c r="C140" s="271">
        <f t="shared" si="1"/>
        <v>5136.3520171556329</v>
      </c>
      <c r="D140" s="79"/>
      <c r="E140" s="160"/>
      <c r="F140" s="160"/>
      <c r="G140" s="160"/>
      <c r="H140" s="568"/>
    </row>
    <row r="141" spans="2:8">
      <c r="B141" s="124">
        <v>33</v>
      </c>
      <c r="C141" s="271">
        <f t="shared" si="1"/>
        <v>5136.3520171556329</v>
      </c>
      <c r="D141" s="79"/>
      <c r="E141" s="160"/>
      <c r="F141" s="160"/>
      <c r="G141" s="160"/>
      <c r="H141" s="568"/>
    </row>
    <row r="142" spans="2:8">
      <c r="B142" s="124">
        <v>34</v>
      </c>
      <c r="C142" s="271">
        <f t="shared" si="1"/>
        <v>5136.3520171556329</v>
      </c>
      <c r="D142" s="79"/>
      <c r="E142" s="160"/>
      <c r="F142" s="160"/>
      <c r="G142" s="160"/>
      <c r="H142" s="568"/>
    </row>
    <row r="143" spans="2:8">
      <c r="B143" s="124">
        <v>35</v>
      </c>
      <c r="C143" s="271">
        <f t="shared" si="1"/>
        <v>5136.3520171556329</v>
      </c>
      <c r="D143" s="79"/>
      <c r="E143" s="160"/>
      <c r="F143" s="160"/>
      <c r="G143" s="160"/>
      <c r="H143" s="568"/>
    </row>
    <row r="144" spans="2:8">
      <c r="B144" s="124">
        <v>36</v>
      </c>
      <c r="C144" s="271">
        <f t="shared" si="1"/>
        <v>5136.3520171556329</v>
      </c>
      <c r="D144" s="79"/>
      <c r="E144" s="160"/>
      <c r="F144" s="160"/>
      <c r="G144" s="160"/>
      <c r="H144" s="568"/>
    </row>
    <row r="145" spans="2:8">
      <c r="B145" s="124">
        <v>37</v>
      </c>
      <c r="C145" s="271">
        <f t="shared" si="1"/>
        <v>5136.3520171556329</v>
      </c>
      <c r="D145" s="79"/>
      <c r="E145" s="160"/>
      <c r="F145" s="160"/>
      <c r="G145" s="160"/>
      <c r="H145" s="568"/>
    </row>
    <row r="146" spans="2:8">
      <c r="B146" s="124">
        <v>38</v>
      </c>
      <c r="C146" s="271">
        <f t="shared" si="1"/>
        <v>5136.3520171556329</v>
      </c>
      <c r="D146" s="79"/>
      <c r="E146" s="160"/>
      <c r="F146" s="160"/>
      <c r="G146" s="160"/>
      <c r="H146" s="568"/>
    </row>
    <row r="147" spans="2:8">
      <c r="B147" s="124">
        <v>39</v>
      </c>
      <c r="C147" s="271">
        <f t="shared" si="1"/>
        <v>5136.3520171556329</v>
      </c>
      <c r="D147" s="79"/>
      <c r="E147" s="160"/>
      <c r="F147" s="160"/>
      <c r="G147" s="160"/>
      <c r="H147" s="568"/>
    </row>
    <row r="148" spans="2:8">
      <c r="B148" s="124">
        <v>40</v>
      </c>
      <c r="C148" s="271">
        <f t="shared" si="1"/>
        <v>5136.3520171556329</v>
      </c>
      <c r="D148" s="79"/>
      <c r="E148" s="160"/>
      <c r="F148" s="160"/>
      <c r="G148" s="160"/>
      <c r="H148" s="568"/>
    </row>
    <row r="149" spans="2:8">
      <c r="B149" s="124">
        <v>41</v>
      </c>
      <c r="C149" s="271">
        <f t="shared" si="1"/>
        <v>5136.3520171556329</v>
      </c>
      <c r="D149" s="79"/>
      <c r="E149" s="160"/>
      <c r="F149" s="160"/>
      <c r="G149" s="160"/>
      <c r="H149" s="568"/>
    </row>
    <row r="150" spans="2:8">
      <c r="B150" s="124">
        <v>42</v>
      </c>
      <c r="C150" s="271">
        <f t="shared" si="1"/>
        <v>5136.3520171556329</v>
      </c>
      <c r="D150" s="79"/>
      <c r="E150" s="160"/>
      <c r="F150" s="160"/>
      <c r="G150" s="160"/>
      <c r="H150" s="568"/>
    </row>
    <row r="151" spans="2:8">
      <c r="B151" s="124">
        <v>43</v>
      </c>
      <c r="C151" s="271">
        <f t="shared" si="1"/>
        <v>5136.3520171556329</v>
      </c>
      <c r="D151" s="79"/>
      <c r="E151" s="160"/>
      <c r="F151" s="160"/>
      <c r="G151" s="160"/>
      <c r="H151" s="568"/>
    </row>
    <row r="152" spans="2:8">
      <c r="B152" s="124">
        <v>44</v>
      </c>
      <c r="C152" s="271">
        <f t="shared" si="1"/>
        <v>5136.3520171556329</v>
      </c>
      <c r="D152" s="79"/>
      <c r="E152" s="160"/>
      <c r="F152" s="160"/>
      <c r="G152" s="160"/>
      <c r="H152" s="568"/>
    </row>
    <row r="153" spans="2:8">
      <c r="B153" s="124">
        <v>45</v>
      </c>
      <c r="C153" s="271">
        <f t="shared" si="1"/>
        <v>5136.3520171556329</v>
      </c>
      <c r="D153" s="79"/>
      <c r="E153" s="160"/>
      <c r="F153" s="160"/>
      <c r="G153" s="160"/>
      <c r="H153" s="568"/>
    </row>
    <row r="154" spans="2:8">
      <c r="B154" s="124">
        <v>46</v>
      </c>
      <c r="C154" s="271">
        <f t="shared" si="1"/>
        <v>5136.3520171556329</v>
      </c>
      <c r="D154" s="79"/>
      <c r="E154" s="160"/>
      <c r="F154" s="160"/>
      <c r="G154" s="160"/>
      <c r="H154" s="568"/>
    </row>
    <row r="155" spans="2:8">
      <c r="B155" s="124">
        <v>47</v>
      </c>
      <c r="C155" s="271">
        <f t="shared" si="1"/>
        <v>5136.3520171556329</v>
      </c>
      <c r="D155" s="79"/>
      <c r="E155" s="160"/>
      <c r="F155" s="160"/>
      <c r="G155" s="160"/>
      <c r="H155" s="568"/>
    </row>
    <row r="156" spans="2:8">
      <c r="B156" s="124">
        <v>48</v>
      </c>
      <c r="C156" s="271">
        <f t="shared" si="1"/>
        <v>5136.3520171556329</v>
      </c>
      <c r="D156" s="79"/>
      <c r="E156" s="160"/>
      <c r="F156" s="160"/>
      <c r="G156" s="160"/>
      <c r="H156" s="568"/>
    </row>
    <row r="157" spans="2:8">
      <c r="B157" s="124">
        <v>49</v>
      </c>
      <c r="C157" s="271">
        <f t="shared" si="1"/>
        <v>5136.3520171556329</v>
      </c>
      <c r="D157" s="79"/>
      <c r="E157" s="160"/>
      <c r="F157" s="160"/>
      <c r="G157" s="160"/>
      <c r="H157" s="568"/>
    </row>
    <row r="158" spans="2:8">
      <c r="B158" s="124">
        <v>50</v>
      </c>
      <c r="C158" s="271">
        <f t="shared" si="1"/>
        <v>5136.3520171556329</v>
      </c>
      <c r="D158" s="79"/>
      <c r="E158" s="160"/>
      <c r="F158" s="160"/>
      <c r="G158" s="160"/>
      <c r="H158" s="568"/>
    </row>
    <row r="159" spans="2:8">
      <c r="B159" s="124">
        <v>51</v>
      </c>
      <c r="C159" s="271">
        <f t="shared" si="1"/>
        <v>5136.3520171556329</v>
      </c>
      <c r="D159" s="79"/>
      <c r="E159" s="160"/>
      <c r="F159" s="160"/>
      <c r="G159" s="160"/>
      <c r="H159" s="568"/>
    </row>
    <row r="160" spans="2:8">
      <c r="B160" s="124">
        <v>52</v>
      </c>
      <c r="C160" s="271">
        <f t="shared" si="1"/>
        <v>5136.3520171556329</v>
      </c>
      <c r="D160" s="79"/>
      <c r="E160" s="160"/>
      <c r="F160" s="160"/>
      <c r="G160" s="160"/>
      <c r="H160" s="568"/>
    </row>
    <row r="161" spans="2:8">
      <c r="B161" s="124">
        <v>53</v>
      </c>
      <c r="C161" s="271">
        <f t="shared" si="1"/>
        <v>5136.3520171556329</v>
      </c>
      <c r="D161" s="79"/>
      <c r="E161" s="160"/>
      <c r="F161" s="160"/>
      <c r="G161" s="160"/>
      <c r="H161" s="568"/>
    </row>
    <row r="162" spans="2:8">
      <c r="B162" s="124">
        <v>54</v>
      </c>
      <c r="C162" s="271">
        <f t="shared" si="1"/>
        <v>5136.3520171556329</v>
      </c>
      <c r="D162" s="79"/>
      <c r="E162" s="160"/>
      <c r="F162" s="160"/>
      <c r="G162" s="160"/>
      <c r="H162" s="568"/>
    </row>
    <row r="163" spans="2:8">
      <c r="B163" s="124">
        <v>55</v>
      </c>
      <c r="C163" s="271">
        <f t="shared" si="1"/>
        <v>5136.3520171556329</v>
      </c>
      <c r="D163" s="79"/>
      <c r="E163" s="160"/>
      <c r="F163" s="160"/>
      <c r="G163" s="160"/>
      <c r="H163" s="568"/>
    </row>
    <row r="164" spans="2:8">
      <c r="B164" s="124">
        <v>56</v>
      </c>
      <c r="C164" s="271">
        <f t="shared" si="1"/>
        <v>5136.3520171556329</v>
      </c>
      <c r="D164" s="79"/>
      <c r="E164" s="160"/>
      <c r="F164" s="160"/>
      <c r="G164" s="160"/>
      <c r="H164" s="568"/>
    </row>
    <row r="165" spans="2:8">
      <c r="B165" s="124">
        <v>57</v>
      </c>
      <c r="C165" s="271">
        <f t="shared" si="1"/>
        <v>5136.3520171556329</v>
      </c>
      <c r="D165" s="79"/>
      <c r="E165" s="160"/>
      <c r="F165" s="160"/>
      <c r="G165" s="160"/>
      <c r="H165" s="568"/>
    </row>
    <row r="166" spans="2:8">
      <c r="B166" s="124">
        <v>58</v>
      </c>
      <c r="C166" s="271">
        <f t="shared" si="1"/>
        <v>5136.3520171556329</v>
      </c>
      <c r="D166" s="79"/>
      <c r="E166" s="160"/>
      <c r="F166" s="160"/>
      <c r="G166" s="160"/>
      <c r="H166" s="568"/>
    </row>
    <row r="167" spans="2:8">
      <c r="B167" s="124">
        <v>59</v>
      </c>
      <c r="C167" s="271">
        <f t="shared" si="1"/>
        <v>5136.3520171556329</v>
      </c>
      <c r="D167" s="79"/>
      <c r="E167" s="160"/>
      <c r="F167" s="160"/>
      <c r="G167" s="160"/>
      <c r="H167" s="568"/>
    </row>
    <row r="168" spans="2:8">
      <c r="B168" s="124">
        <v>60</v>
      </c>
      <c r="C168" s="271">
        <f>$D$101/12+H99</f>
        <v>759108.5445015406</v>
      </c>
      <c r="D168" s="79"/>
      <c r="E168" s="160"/>
      <c r="F168" s="160"/>
      <c r="G168" s="160"/>
      <c r="H168" s="568"/>
    </row>
    <row r="169" spans="2:8" ht="13" thickBot="1">
      <c r="B169" s="124"/>
      <c r="C169" s="126"/>
      <c r="H169" s="126"/>
    </row>
    <row r="170" spans="2:8" ht="13.5" thickBot="1">
      <c r="B170" s="170" t="s">
        <v>903</v>
      </c>
      <c r="C170" s="155">
        <f>IRR(C108:C168,0.1/12)*12</f>
        <v>9.999999999999698E-2</v>
      </c>
      <c r="D170" s="4"/>
      <c r="E170" s="4"/>
      <c r="F170" s="4"/>
      <c r="G170" s="4"/>
      <c r="H170" s="135"/>
    </row>
  </sheetData>
  <mergeCells count="13">
    <mergeCell ref="B105:C105"/>
    <mergeCell ref="B11:G11"/>
    <mergeCell ref="B31:G31"/>
    <mergeCell ref="B38:G38"/>
    <mergeCell ref="B55:E55"/>
    <mergeCell ref="B3:H3"/>
    <mergeCell ref="B75:H75"/>
    <mergeCell ref="B86:H86"/>
    <mergeCell ref="B96:H96"/>
    <mergeCell ref="B9:H9"/>
    <mergeCell ref="B5:H5"/>
    <mergeCell ref="B6:H6"/>
    <mergeCell ref="B8:H8"/>
  </mergeCells>
  <phoneticPr fontId="4" type="noConversion"/>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H176"/>
  <sheetViews>
    <sheetView workbookViewId="0">
      <selection activeCell="D82" sqref="D82"/>
    </sheetView>
  </sheetViews>
  <sheetFormatPr defaultRowHeight="12.5"/>
  <cols>
    <col min="2" max="2" width="38.453125" customWidth="1"/>
    <col min="3" max="3" width="10.7265625" bestFit="1" customWidth="1"/>
    <col min="4" max="4" width="12.453125" bestFit="1" customWidth="1"/>
    <col min="5" max="5" width="19" customWidth="1"/>
    <col min="8" max="8" width="9.7265625" bestFit="1" customWidth="1"/>
  </cols>
  <sheetData>
    <row r="1" spans="2:8" ht="13" thickBot="1"/>
    <row r="2" spans="2:8" ht="18.5" thickBot="1">
      <c r="B2" s="1618" t="s">
        <v>1102</v>
      </c>
      <c r="C2" s="1526"/>
      <c r="D2" s="1526"/>
      <c r="E2" s="1526"/>
      <c r="F2" s="1526"/>
      <c r="G2" s="1526"/>
      <c r="H2" s="1527"/>
    </row>
    <row r="3" spans="2:8" ht="16" thickBot="1">
      <c r="B3" s="1619" t="s">
        <v>1105</v>
      </c>
      <c r="C3" s="1529"/>
      <c r="D3" s="1529"/>
      <c r="E3" s="1529"/>
      <c r="F3" s="1529"/>
      <c r="G3" s="1529"/>
      <c r="H3" s="1530"/>
    </row>
    <row r="4" spans="2:8">
      <c r="B4" s="124"/>
      <c r="H4" s="126"/>
    </row>
    <row r="5" spans="2:8">
      <c r="B5" s="1620" t="s">
        <v>1101</v>
      </c>
      <c r="C5" s="1621"/>
      <c r="D5" s="1621"/>
      <c r="E5" s="1621"/>
      <c r="F5" s="1621"/>
      <c r="G5" s="1621"/>
      <c r="H5" s="1622"/>
    </row>
    <row r="6" spans="2:8">
      <c r="B6" s="1623" t="s">
        <v>419</v>
      </c>
      <c r="C6" s="1624"/>
      <c r="D6" s="1624"/>
      <c r="E6" s="1624"/>
      <c r="F6" s="1624"/>
      <c r="G6" s="1624"/>
      <c r="H6" s="1625"/>
    </row>
    <row r="7" spans="2:8" ht="13.5" thickBot="1">
      <c r="B7" s="573"/>
      <c r="C7" s="1"/>
      <c r="D7" s="1"/>
      <c r="E7" s="39"/>
      <c r="F7" s="39"/>
      <c r="G7" s="39"/>
      <c r="H7" s="146"/>
    </row>
    <row r="8" spans="2:8" ht="13.5" thickBot="1">
      <c r="B8" s="1583" t="s">
        <v>207</v>
      </c>
      <c r="C8" s="1532"/>
      <c r="D8" s="1532"/>
      <c r="E8" s="1532"/>
      <c r="F8" s="1532"/>
      <c r="G8" s="1533"/>
      <c r="H8" s="146"/>
    </row>
    <row r="9" spans="2:8" ht="13.5" thickBot="1">
      <c r="B9" s="124" t="s">
        <v>267</v>
      </c>
      <c r="C9" s="128">
        <v>1000000</v>
      </c>
      <c r="E9" s="243" t="s">
        <v>363</v>
      </c>
      <c r="F9" s="122"/>
      <c r="G9" s="123"/>
      <c r="H9" s="126"/>
    </row>
    <row r="10" spans="2:8">
      <c r="B10" s="124" t="s">
        <v>420</v>
      </c>
      <c r="C10" s="128">
        <v>100000</v>
      </c>
      <c r="E10" s="124" t="s">
        <v>364</v>
      </c>
      <c r="F10" s="128">
        <f>0.9*C9</f>
        <v>900000</v>
      </c>
      <c r="G10" s="126"/>
      <c r="H10" s="126"/>
    </row>
    <row r="11" spans="2:8">
      <c r="B11" s="124" t="s">
        <v>421</v>
      </c>
      <c r="C11" s="128">
        <v>0.03</v>
      </c>
      <c r="E11" s="124" t="s">
        <v>422</v>
      </c>
      <c r="F11" s="128">
        <v>27.5</v>
      </c>
      <c r="G11" s="126" t="s">
        <v>208</v>
      </c>
      <c r="H11" s="126"/>
    </row>
    <row r="12" spans="2:8">
      <c r="B12" s="124" t="s">
        <v>368</v>
      </c>
      <c r="C12" s="128">
        <v>0.7</v>
      </c>
      <c r="E12" s="124" t="s">
        <v>423</v>
      </c>
      <c r="F12" s="128">
        <v>0.28000000000000003</v>
      </c>
      <c r="G12" s="126"/>
      <c r="H12" s="126"/>
    </row>
    <row r="13" spans="2:8">
      <c r="B13" s="124" t="s">
        <v>424</v>
      </c>
      <c r="C13" s="128">
        <v>8.5000000000000006E-2</v>
      </c>
      <c r="E13" s="124"/>
      <c r="G13" s="126"/>
      <c r="H13" s="126"/>
    </row>
    <row r="14" spans="2:8">
      <c r="B14" s="124" t="s">
        <v>425</v>
      </c>
      <c r="C14" s="128">
        <v>8.5000000000000006E-2</v>
      </c>
      <c r="E14" s="124"/>
      <c r="G14" s="126"/>
      <c r="H14" s="126"/>
    </row>
    <row r="15" spans="2:8">
      <c r="B15" s="124" t="s">
        <v>426</v>
      </c>
      <c r="C15" s="128">
        <v>30</v>
      </c>
      <c r="D15" t="s">
        <v>208</v>
      </c>
      <c r="E15" s="124"/>
      <c r="G15" s="126"/>
      <c r="H15" s="126"/>
    </row>
    <row r="16" spans="2:8">
      <c r="B16" s="124" t="s">
        <v>427</v>
      </c>
      <c r="C16" s="128">
        <v>15</v>
      </c>
      <c r="D16" t="s">
        <v>208</v>
      </c>
      <c r="E16" s="124"/>
      <c r="G16" s="126"/>
      <c r="H16" s="126"/>
    </row>
    <row r="17" spans="2:8">
      <c r="B17" s="124" t="s">
        <v>372</v>
      </c>
      <c r="C17" s="128">
        <v>12</v>
      </c>
      <c r="E17" s="124"/>
      <c r="G17" s="126"/>
      <c r="H17" s="126"/>
    </row>
    <row r="18" spans="2:8">
      <c r="B18" s="124" t="s">
        <v>428</v>
      </c>
      <c r="C18" s="128">
        <v>0</v>
      </c>
      <c r="D18" t="s">
        <v>429</v>
      </c>
      <c r="E18" s="124"/>
      <c r="G18" s="126"/>
      <c r="H18" s="126"/>
    </row>
    <row r="19" spans="2:8">
      <c r="B19" s="124" t="s">
        <v>430</v>
      </c>
      <c r="C19" s="128">
        <v>0</v>
      </c>
      <c r="E19" s="124"/>
      <c r="G19" s="126"/>
      <c r="H19" s="126"/>
    </row>
    <row r="20" spans="2:8">
      <c r="B20" s="124" t="s">
        <v>428</v>
      </c>
      <c r="C20" s="128">
        <v>0</v>
      </c>
      <c r="D20" t="s">
        <v>431</v>
      </c>
      <c r="E20" s="124"/>
      <c r="G20" s="126"/>
      <c r="H20" s="126"/>
    </row>
    <row r="21" spans="2:8">
      <c r="B21" s="124" t="s">
        <v>432</v>
      </c>
      <c r="C21" s="128">
        <v>0</v>
      </c>
      <c r="E21" s="124"/>
      <c r="G21" s="126"/>
      <c r="H21" s="126"/>
    </row>
    <row r="22" spans="2:8">
      <c r="B22" s="124" t="s">
        <v>433</v>
      </c>
      <c r="C22" s="128">
        <f>0.03</f>
        <v>0.03</v>
      </c>
      <c r="E22" s="124"/>
      <c r="G22" s="126"/>
      <c r="H22" s="126"/>
    </row>
    <row r="23" spans="2:8">
      <c r="B23" s="124" t="s">
        <v>434</v>
      </c>
      <c r="C23" s="128">
        <v>0.65</v>
      </c>
      <c r="E23" s="124"/>
      <c r="G23" s="126"/>
      <c r="H23" s="126"/>
    </row>
    <row r="24" spans="2:8">
      <c r="B24" s="124" t="s">
        <v>376</v>
      </c>
      <c r="C24" s="128">
        <v>5</v>
      </c>
      <c r="D24" t="s">
        <v>208</v>
      </c>
      <c r="E24" s="124"/>
      <c r="G24" s="126"/>
      <c r="H24" s="126"/>
    </row>
    <row r="25" spans="2:8" ht="13" thickBot="1">
      <c r="B25" s="134" t="s">
        <v>377</v>
      </c>
      <c r="C25" s="286">
        <v>0</v>
      </c>
      <c r="D25" s="4" t="s">
        <v>378</v>
      </c>
      <c r="E25" s="134"/>
      <c r="F25" s="4"/>
      <c r="G25" s="135"/>
      <c r="H25" s="126"/>
    </row>
    <row r="26" spans="2:8" ht="13.5" thickBot="1">
      <c r="B26" s="573"/>
      <c r="C26" s="56"/>
      <c r="D26" s="39"/>
      <c r="E26" s="39"/>
      <c r="F26" s="39"/>
      <c r="G26" s="39"/>
      <c r="H26" s="146"/>
    </row>
    <row r="27" spans="2:8">
      <c r="B27" s="552" t="s">
        <v>291</v>
      </c>
      <c r="C27" s="553">
        <f>IF(C21&gt;0,(1-C12)*F10,(1-C12)*C9)</f>
        <v>300000.00000000006</v>
      </c>
      <c r="D27" s="470"/>
      <c r="E27" s="535"/>
      <c r="F27" s="39"/>
      <c r="G27" s="39"/>
      <c r="H27" s="146"/>
    </row>
    <row r="28" spans="2:8">
      <c r="B28" s="369" t="s">
        <v>381</v>
      </c>
      <c r="C28" s="57">
        <f>IF(C21&gt;0,F10*C12,C12*C9)</f>
        <v>700000</v>
      </c>
      <c r="D28" s="34"/>
      <c r="E28" s="309"/>
      <c r="F28" s="39"/>
      <c r="G28" s="39"/>
      <c r="H28" s="146"/>
    </row>
    <row r="29" spans="2:8">
      <c r="B29" s="369" t="s">
        <v>382</v>
      </c>
      <c r="C29" s="57">
        <f>PMT(C13/C17,C15*C17,-C28)*C17</f>
        <v>64588.732621084026</v>
      </c>
      <c r="D29" s="34"/>
      <c r="E29" s="309"/>
      <c r="F29" s="39"/>
      <c r="G29" s="39"/>
      <c r="H29" s="146"/>
    </row>
    <row r="30" spans="2:8">
      <c r="B30" s="369" t="s">
        <v>435</v>
      </c>
      <c r="C30" s="57">
        <f>(PMT(C14/C17,C17*C15,-C28))*C17</f>
        <v>64588.732621084026</v>
      </c>
      <c r="D30" s="34"/>
      <c r="E30" s="309"/>
      <c r="F30" s="39"/>
      <c r="G30" s="39"/>
      <c r="H30" s="146"/>
    </row>
    <row r="31" spans="2:8" ht="13" thickBot="1">
      <c r="B31" s="371" t="s">
        <v>383</v>
      </c>
      <c r="C31" s="372">
        <f>IF(C13&lt;C14,(FV(C14/C17,C24*C17,C29/C17,-C28)),PV(C13/C17,(C15-C24)*C17,-(C29/C17)))</f>
        <v>668431.86172381986</v>
      </c>
      <c r="D31" s="554" t="s">
        <v>384</v>
      </c>
      <c r="E31" s="149">
        <f>C24</f>
        <v>5</v>
      </c>
      <c r="F31" s="39"/>
      <c r="G31" s="39"/>
      <c r="H31" s="146"/>
    </row>
    <row r="32" spans="2:8" ht="13" thickBot="1">
      <c r="B32" s="384"/>
      <c r="C32" s="39"/>
      <c r="D32" s="39"/>
      <c r="E32" s="39"/>
      <c r="F32" s="39"/>
      <c r="G32" s="39"/>
      <c r="H32" s="146"/>
    </row>
    <row r="33" spans="2:8" ht="13.5" thickBot="1">
      <c r="B33" s="1617" t="s">
        <v>385</v>
      </c>
      <c r="C33" s="1538"/>
      <c r="D33" s="1538"/>
      <c r="E33" s="1538"/>
      <c r="F33" s="1538"/>
      <c r="G33" s="1539"/>
      <c r="H33" s="146"/>
    </row>
    <row r="34" spans="2:8" ht="13.5" thickBot="1">
      <c r="B34" s="576" t="s">
        <v>386</v>
      </c>
      <c r="C34" s="576">
        <v>1</v>
      </c>
      <c r="D34" s="576">
        <f>(1+C34)</f>
        <v>2</v>
      </c>
      <c r="E34" s="576">
        <f>(1+D34)</f>
        <v>3</v>
      </c>
      <c r="F34" s="576">
        <f>(1+E34)</f>
        <v>4</v>
      </c>
      <c r="G34" s="576">
        <f>(1+F34)</f>
        <v>5</v>
      </c>
      <c r="H34" s="146"/>
    </row>
    <row r="35" spans="2:8">
      <c r="B35" s="369" t="s">
        <v>209</v>
      </c>
      <c r="C35" s="57">
        <f>$C$29</f>
        <v>64588.732621084026</v>
      </c>
      <c r="D35" s="57">
        <f>$C$29</f>
        <v>64588.732621084026</v>
      </c>
      <c r="E35" s="57">
        <f>$C$29</f>
        <v>64588.732621084026</v>
      </c>
      <c r="F35" s="57">
        <f>$C$29</f>
        <v>64588.732621084026</v>
      </c>
      <c r="G35" s="370">
        <f>$C$29</f>
        <v>64588.732621084026</v>
      </c>
      <c r="H35" s="309"/>
    </row>
    <row r="36" spans="2:8">
      <c r="B36" s="369" t="s">
        <v>383</v>
      </c>
      <c r="C36" s="57">
        <f>IF($C$13&lt;$C$14,FV($C$14/$C$17,C34*$C$17,$C$29/$C$17,-$C$28),IF($C$15&gt;C34-$C34+1,(($C29/$C$17)/PMT($C$13/($C$17),($C$15-(C34-$C34+1))*$C$17,-1)),0))</f>
        <v>694708.26251502312</v>
      </c>
      <c r="D36" s="57">
        <f>IF($C$13&lt;$C$14,FV($C$14/$C$17,D34*$C$17,$C$29/$C$17,-$C$28),IF($C$15&gt;D34-$C34+1,(($C29/$C$17)/PMT($C$13/($C$17),($C$15-(D34-$C34+1))*$C$17,-1)),0))</f>
        <v>688948.78356000339</v>
      </c>
      <c r="E36" s="57">
        <f>IF($C$13&lt;$C$14,FV($C$14/$C$17,E34*$C$17,$C$29/$C$17,-$C$28),IF($C$15&gt;E34-$C34+1,(($C29/$C$17)/PMT($C$13/($C$17),($C$15-(E34-$C34+1))*$C$17,-1)),0))</f>
        <v>682680.21904267988</v>
      </c>
      <c r="F36" s="57">
        <f>IF($C$13&lt;$C$14,FV($C$14/$C$17,F34*$C$17,$C$29/$C$17,-$C$28),IF($C$15&gt;F34-$C34+1,(($C29/$C$17)/PMT($C$13/($C$17),($C$15-(F34-$C34+1))*$C$17,-1)),0))</f>
        <v>675857.57042902359</v>
      </c>
      <c r="G36" s="370">
        <f>IF($C$13&lt;$C$14,FV($C$14/$C$17,G34*$C$17,$C$29/$C$17,-$C$28),IF($C$15&gt;G34-$C34+1,(($C29/$C$17)/PMT($C$13/($C$17),($C$15-(G34-$C34+1))*$C$17,-1)),0))</f>
        <v>668431.86172381905</v>
      </c>
      <c r="H36" s="309"/>
    </row>
    <row r="37" spans="2:8">
      <c r="B37" s="369" t="s">
        <v>210</v>
      </c>
      <c r="C37" s="57">
        <f>($C$29-(C28-C36))</f>
        <v>59296.995136107143</v>
      </c>
      <c r="D37" s="57">
        <f>($C$29-(C36-D36))</f>
        <v>58829.253666064295</v>
      </c>
      <c r="E37" s="57">
        <f>($C$29-(D36-E36))</f>
        <v>58320.168103760516</v>
      </c>
      <c r="F37" s="57">
        <f>($C$29-(E36-F36))</f>
        <v>57766.084007427737</v>
      </c>
      <c r="G37" s="370">
        <f>($C$29-(F36-G36))</f>
        <v>57163.023915879487</v>
      </c>
      <c r="H37" s="309"/>
    </row>
    <row r="38" spans="2:8" ht="13" thickBot="1">
      <c r="B38" s="371" t="s">
        <v>387</v>
      </c>
      <c r="C38" s="64">
        <f>C35-C37</f>
        <v>5291.7374849768821</v>
      </c>
      <c r="D38" s="64">
        <f>D35-D37</f>
        <v>5759.4789550197311</v>
      </c>
      <c r="E38" s="64">
        <f>E35-E37</f>
        <v>6268.5645173235098</v>
      </c>
      <c r="F38" s="64">
        <f>F35-F37</f>
        <v>6822.6486136562889</v>
      </c>
      <c r="G38" s="379">
        <f>G35-G37</f>
        <v>7425.708705204539</v>
      </c>
      <c r="H38" s="309"/>
    </row>
    <row r="39" spans="2:8" ht="13" thickBot="1">
      <c r="B39" s="171"/>
      <c r="C39" s="57"/>
      <c r="D39" s="57"/>
      <c r="E39" s="57"/>
      <c r="F39" s="57"/>
      <c r="G39" s="57"/>
      <c r="H39" s="309"/>
    </row>
    <row r="40" spans="2:8" ht="13.5" thickBot="1">
      <c r="B40" s="1617" t="s">
        <v>436</v>
      </c>
      <c r="C40" s="1538"/>
      <c r="D40" s="1538"/>
      <c r="E40" s="1538"/>
      <c r="F40" s="1538"/>
      <c r="G40" s="1539"/>
      <c r="H40" s="309"/>
    </row>
    <row r="41" spans="2:8" ht="13.5" thickBot="1">
      <c r="B41" s="576" t="s">
        <v>262</v>
      </c>
      <c r="C41" s="576">
        <v>1</v>
      </c>
      <c r="D41" s="576">
        <v>2</v>
      </c>
      <c r="E41" s="576">
        <v>3</v>
      </c>
      <c r="F41" s="576">
        <v>4</v>
      </c>
      <c r="G41" s="576">
        <v>5</v>
      </c>
      <c r="H41" s="309"/>
    </row>
    <row r="42" spans="2:8">
      <c r="B42" s="369" t="s">
        <v>335</v>
      </c>
      <c r="C42" s="57">
        <f>C10</f>
        <v>100000</v>
      </c>
      <c r="D42" s="57">
        <f>C42*(1+$C$11)</f>
        <v>103000</v>
      </c>
      <c r="E42" s="57">
        <f>D42*(1+$C$11)</f>
        <v>106090</v>
      </c>
      <c r="F42" s="57">
        <f>E42*(1+$C$11)</f>
        <v>109272.7</v>
      </c>
      <c r="G42" s="370">
        <f>F42*(1+$C$11)</f>
        <v>112550.88099999999</v>
      </c>
      <c r="H42" s="309"/>
    </row>
    <row r="43" spans="2:8">
      <c r="B43" s="369" t="s">
        <v>437</v>
      </c>
      <c r="C43" s="57">
        <f>$C$35</f>
        <v>64588.732621084026</v>
      </c>
      <c r="D43" s="57">
        <f>$C$35</f>
        <v>64588.732621084026</v>
      </c>
      <c r="E43" s="57">
        <f>$C$35</f>
        <v>64588.732621084026</v>
      </c>
      <c r="F43" s="57">
        <f>$C$35</f>
        <v>64588.732621084026</v>
      </c>
      <c r="G43" s="370">
        <f>$C$35</f>
        <v>64588.732621084026</v>
      </c>
      <c r="H43" s="309"/>
    </row>
    <row r="44" spans="2:8">
      <c r="B44" s="369" t="s">
        <v>438</v>
      </c>
      <c r="C44" s="57">
        <f>$C$21</f>
        <v>0</v>
      </c>
      <c r="D44" s="57">
        <f>$C$21</f>
        <v>0</v>
      </c>
      <c r="E44" s="57">
        <f>$C$21</f>
        <v>0</v>
      </c>
      <c r="F44" s="57">
        <f>$C$21</f>
        <v>0</v>
      </c>
      <c r="G44" s="370">
        <f>$C$21</f>
        <v>0</v>
      </c>
      <c r="H44" s="309"/>
    </row>
    <row r="45" spans="2:8">
      <c r="B45" s="369" t="s">
        <v>439</v>
      </c>
      <c r="C45" s="57">
        <f>C42-C43-C44</f>
        <v>35411.267378915974</v>
      </c>
      <c r="D45" s="57">
        <f>D42-D43-D44</f>
        <v>38411.267378915974</v>
      </c>
      <c r="E45" s="57">
        <f>E42-E43-E44</f>
        <v>41501.267378915974</v>
      </c>
      <c r="F45" s="57">
        <f>F42-F43-F44</f>
        <v>44683.967378915971</v>
      </c>
      <c r="G45" s="370">
        <f>G42-G43-G44</f>
        <v>47962.148378915968</v>
      </c>
      <c r="H45" s="309"/>
    </row>
    <row r="46" spans="2:8">
      <c r="B46" s="369" t="s">
        <v>428</v>
      </c>
      <c r="C46" s="57">
        <f>$C$18*(C42-100000)</f>
        <v>0</v>
      </c>
      <c r="D46" s="57">
        <f>$C$18*(D42-$C$19)</f>
        <v>0</v>
      </c>
      <c r="E46" s="57">
        <f>$C$18*(E42-$C$19)</f>
        <v>0</v>
      </c>
      <c r="F46" s="57">
        <f>$C$18*(F42-$C$19)</f>
        <v>0</v>
      </c>
      <c r="G46" s="370">
        <f>$C$18*(G42-$C$19)</f>
        <v>0</v>
      </c>
      <c r="H46" s="146"/>
    </row>
    <row r="47" spans="2:8" ht="13.5" thickBot="1">
      <c r="B47" s="444" t="s">
        <v>408</v>
      </c>
      <c r="C47" s="59">
        <f>C45-C46</f>
        <v>35411.267378915974</v>
      </c>
      <c r="D47" s="59">
        <f>D45-D46</f>
        <v>38411.267378915974</v>
      </c>
      <c r="E47" s="59">
        <f>E45-E46</f>
        <v>41501.267378915974</v>
      </c>
      <c r="F47" s="59">
        <f>F45-F46</f>
        <v>44683.967378915971</v>
      </c>
      <c r="G47" s="556">
        <f>G45-G46</f>
        <v>47962.148378915968</v>
      </c>
      <c r="H47" s="146"/>
    </row>
    <row r="48" spans="2:8" ht="13" thickTop="1">
      <c r="B48" s="384"/>
      <c r="C48" s="57"/>
      <c r="D48" s="57"/>
      <c r="E48" s="57"/>
      <c r="F48" s="57"/>
      <c r="G48" s="370"/>
      <c r="H48" s="146"/>
    </row>
    <row r="49" spans="2:8">
      <c r="B49" s="369" t="s">
        <v>335</v>
      </c>
      <c r="C49" s="57">
        <f>C42</f>
        <v>100000</v>
      </c>
      <c r="D49" s="57">
        <f>D42</f>
        <v>103000</v>
      </c>
      <c r="E49" s="57">
        <f>E42</f>
        <v>106090</v>
      </c>
      <c r="F49" s="57">
        <f>F42</f>
        <v>109272.7</v>
      </c>
      <c r="G49" s="370">
        <f>G42</f>
        <v>112550.88099999999</v>
      </c>
      <c r="H49" s="309"/>
    </row>
    <row r="50" spans="2:8">
      <c r="B50" s="369" t="s">
        <v>390</v>
      </c>
      <c r="C50" s="57">
        <f>C37</f>
        <v>59296.995136107143</v>
      </c>
      <c r="D50" s="57">
        <f>D37</f>
        <v>58829.253666064295</v>
      </c>
      <c r="E50" s="57">
        <f>E37</f>
        <v>58320.168103760516</v>
      </c>
      <c r="F50" s="57">
        <f>F37</f>
        <v>57766.084007427737</v>
      </c>
      <c r="G50" s="370">
        <f>G37</f>
        <v>57163.023915879487</v>
      </c>
      <c r="H50" s="309"/>
    </row>
    <row r="51" spans="2:8">
      <c r="B51" s="369" t="s">
        <v>391</v>
      </c>
      <c r="C51" s="57">
        <f>$F$10/$F$11</f>
        <v>32727.272727272728</v>
      </c>
      <c r="D51" s="57">
        <f>$F$10/$F$11</f>
        <v>32727.272727272728</v>
      </c>
      <c r="E51" s="57">
        <f>$F$10/$F$11</f>
        <v>32727.272727272728</v>
      </c>
      <c r="F51" s="57">
        <f>$F$10/$F$11</f>
        <v>32727.272727272728</v>
      </c>
      <c r="G51" s="370">
        <f>$F$10/$F$11</f>
        <v>32727.272727272728</v>
      </c>
      <c r="H51" s="309"/>
    </row>
    <row r="52" spans="2:8">
      <c r="B52" s="369" t="s">
        <v>440</v>
      </c>
      <c r="C52" s="57">
        <f>C46</f>
        <v>0</v>
      </c>
      <c r="D52" s="57">
        <f>D46</f>
        <v>0</v>
      </c>
      <c r="E52" s="57">
        <f>E46</f>
        <v>0</v>
      </c>
      <c r="F52" s="57">
        <f>F46</f>
        <v>0</v>
      </c>
      <c r="G52" s="370">
        <f>G46</f>
        <v>0</v>
      </c>
      <c r="H52" s="146"/>
    </row>
    <row r="53" spans="2:8">
      <c r="B53" s="369" t="s">
        <v>438</v>
      </c>
      <c r="C53" s="57">
        <f>$C$21</f>
        <v>0</v>
      </c>
      <c r="D53" s="57">
        <f>$C$21</f>
        <v>0</v>
      </c>
      <c r="E53" s="57">
        <f>$C$21</f>
        <v>0</v>
      </c>
      <c r="F53" s="57">
        <f>$C$21</f>
        <v>0</v>
      </c>
      <c r="G53" s="370">
        <f>$C$21</f>
        <v>0</v>
      </c>
      <c r="H53" s="146"/>
    </row>
    <row r="54" spans="2:8">
      <c r="B54" s="369" t="s">
        <v>441</v>
      </c>
      <c r="C54" s="57">
        <f>C49-C50-C51-C52-C53</f>
        <v>7975.7321366201286</v>
      </c>
      <c r="D54" s="57">
        <f>D49-D50-D51-D52-D53</f>
        <v>11443.473606662978</v>
      </c>
      <c r="E54" s="57">
        <f>E49-E50-E51-E52-E53</f>
        <v>15042.559168966756</v>
      </c>
      <c r="F54" s="57">
        <f>F49-F50-F51-F52-F53</f>
        <v>18779.343265299533</v>
      </c>
      <c r="G54" s="370">
        <f>G49-G50-G51-G52-G53</f>
        <v>22660.584356847779</v>
      </c>
      <c r="H54" s="309"/>
    </row>
    <row r="55" spans="2:8">
      <c r="B55" s="369" t="s">
        <v>442</v>
      </c>
      <c r="C55" s="57">
        <f>C54*$F$12</f>
        <v>2233.2049982536364</v>
      </c>
      <c r="D55" s="57">
        <f>D54*$F$12</f>
        <v>3204.1726098656341</v>
      </c>
      <c r="E55" s="57">
        <f>E54*$F$12</f>
        <v>4211.9165673106918</v>
      </c>
      <c r="F55" s="57">
        <f>F54*$F$12</f>
        <v>5258.2161142838695</v>
      </c>
      <c r="G55" s="370">
        <f>G54*$F$12</f>
        <v>6344.9636199173792</v>
      </c>
      <c r="H55" s="309"/>
    </row>
    <row r="56" spans="2:8" ht="13.5" thickBot="1">
      <c r="B56" s="557" t="s">
        <v>409</v>
      </c>
      <c r="C56" s="558">
        <f>C47-C55</f>
        <v>33178.062380662341</v>
      </c>
      <c r="D56" s="558">
        <f>D47-D55</f>
        <v>35207.094769050338</v>
      </c>
      <c r="E56" s="558">
        <f>E47-E55</f>
        <v>37289.350811605284</v>
      </c>
      <c r="F56" s="558">
        <f>F47-F55</f>
        <v>39425.751264632105</v>
      </c>
      <c r="G56" s="559">
        <f>G47-G55</f>
        <v>41617.184758998592</v>
      </c>
      <c r="H56" s="309"/>
    </row>
    <row r="57" spans="2:8" ht="13">
      <c r="B57" s="444"/>
      <c r="C57" s="60"/>
      <c r="D57" s="60"/>
      <c r="E57" s="60"/>
      <c r="F57" s="60"/>
      <c r="G57" s="60"/>
      <c r="H57" s="309"/>
    </row>
    <row r="58" spans="2:8" ht="13" thickBot="1">
      <c r="B58" s="384"/>
      <c r="C58" s="57"/>
      <c r="D58" s="57"/>
      <c r="E58" s="57"/>
      <c r="H58" s="146"/>
    </row>
    <row r="59" spans="2:8" ht="13.5" thickBot="1">
      <c r="B59" s="1617" t="s">
        <v>443</v>
      </c>
      <c r="C59" s="1538"/>
      <c r="D59" s="1538"/>
      <c r="E59" s="1539"/>
      <c r="H59" s="146"/>
    </row>
    <row r="60" spans="2:8">
      <c r="B60" s="369" t="s">
        <v>61</v>
      </c>
      <c r="C60" s="57"/>
      <c r="D60" s="57"/>
      <c r="E60" s="370">
        <f>IF(C21&gt;0,(1-C23)*(F10*(1+C22)^C24),(1-C23)*(C9*(1+C22)^C24))</f>
        <v>405745.9260049999</v>
      </c>
      <c r="F60" s="57"/>
      <c r="G60" s="57"/>
      <c r="H60" s="146"/>
    </row>
    <row r="61" spans="2:8">
      <c r="B61" s="369" t="s">
        <v>396</v>
      </c>
      <c r="C61" s="57"/>
      <c r="D61" s="57"/>
      <c r="E61" s="370">
        <f>C25*E60</f>
        <v>0</v>
      </c>
      <c r="F61" s="57"/>
      <c r="G61" s="57"/>
      <c r="H61" s="146"/>
    </row>
    <row r="62" spans="2:8">
      <c r="B62" s="369" t="s">
        <v>383</v>
      </c>
      <c r="C62" s="57"/>
      <c r="D62" s="57"/>
      <c r="E62" s="560">
        <f>IF(C23&gt;0,0,G36)</f>
        <v>0</v>
      </c>
      <c r="F62" s="57"/>
      <c r="G62" s="57"/>
      <c r="H62" s="146"/>
    </row>
    <row r="63" spans="2:8">
      <c r="B63" s="369" t="s">
        <v>439</v>
      </c>
      <c r="C63" s="57"/>
      <c r="D63" s="57"/>
      <c r="E63" s="370">
        <f>E60-E61-E62</f>
        <v>405745.9260049999</v>
      </c>
      <c r="F63" s="57"/>
      <c r="G63" s="57"/>
      <c r="H63" s="146"/>
    </row>
    <row r="64" spans="2:8">
      <c r="B64" s="369" t="s">
        <v>445</v>
      </c>
      <c r="C64" s="57"/>
      <c r="D64" s="57"/>
      <c r="E64" s="560">
        <f>(E60-E61-C9)*C20</f>
        <v>0</v>
      </c>
      <c r="F64" s="57"/>
      <c r="G64" s="57"/>
      <c r="H64" s="146"/>
    </row>
    <row r="65" spans="2:8">
      <c r="B65" s="369" t="s">
        <v>397</v>
      </c>
      <c r="C65" s="57"/>
      <c r="D65" s="57"/>
      <c r="E65" s="370">
        <f>E63-E64</f>
        <v>405745.9260049999</v>
      </c>
      <c r="F65" s="57"/>
      <c r="G65" s="57"/>
      <c r="H65" s="146"/>
    </row>
    <row r="66" spans="2:8">
      <c r="B66" s="384"/>
      <c r="C66" s="57"/>
      <c r="D66" s="57"/>
      <c r="E66" s="370"/>
      <c r="F66" s="57"/>
      <c r="G66" s="57"/>
      <c r="H66" s="146"/>
    </row>
    <row r="67" spans="2:8">
      <c r="B67" s="369" t="s">
        <v>446</v>
      </c>
      <c r="C67" s="57"/>
      <c r="D67" s="57">
        <f>IF(C21&gt;0,F10*(1+C22)^C24,C9*(1+C22)^C24)</f>
        <v>1159274.0742999997</v>
      </c>
      <c r="E67" s="370"/>
      <c r="F67" s="57"/>
      <c r="G67" s="57"/>
      <c r="H67" s="146"/>
    </row>
    <row r="68" spans="2:8">
      <c r="B68" s="369" t="s">
        <v>447</v>
      </c>
      <c r="C68" s="57"/>
      <c r="D68" s="57">
        <f>E61</f>
        <v>0</v>
      </c>
      <c r="E68" s="370"/>
      <c r="F68" s="57"/>
      <c r="G68" s="57"/>
      <c r="H68" s="146"/>
    </row>
    <row r="69" spans="2:8">
      <c r="B69" s="369" t="s">
        <v>448</v>
      </c>
      <c r="C69" s="57"/>
      <c r="D69" s="57">
        <f>E64</f>
        <v>0</v>
      </c>
      <c r="E69" s="370"/>
      <c r="F69" s="57"/>
      <c r="G69" s="57"/>
      <c r="H69" s="146"/>
    </row>
    <row r="70" spans="2:8">
      <c r="B70" s="384"/>
      <c r="C70" s="57"/>
      <c r="D70" s="57"/>
      <c r="E70" s="370"/>
      <c r="F70" s="57"/>
      <c r="G70" s="57"/>
      <c r="H70" s="146"/>
    </row>
    <row r="71" spans="2:8">
      <c r="B71" s="369" t="s">
        <v>398</v>
      </c>
      <c r="C71" s="57">
        <f>IF(C21&gt;0,F10,C9)</f>
        <v>1000000</v>
      </c>
      <c r="D71" s="57"/>
      <c r="E71" s="370"/>
      <c r="F71" s="57"/>
      <c r="G71" s="57"/>
      <c r="H71" s="146"/>
    </row>
    <row r="72" spans="2:8">
      <c r="B72" s="369" t="s">
        <v>399</v>
      </c>
      <c r="C72" s="61">
        <f>C24*C51</f>
        <v>163636.36363636365</v>
      </c>
      <c r="D72" s="57"/>
      <c r="E72" s="370"/>
      <c r="F72" s="57"/>
      <c r="G72" s="57"/>
      <c r="H72" s="146"/>
    </row>
    <row r="73" spans="2:8">
      <c r="B73" s="369" t="s">
        <v>400</v>
      </c>
      <c r="C73" s="57"/>
      <c r="D73" s="61">
        <f>C71-C72</f>
        <v>836363.63636363635</v>
      </c>
      <c r="E73" s="370"/>
      <c r="F73" s="57"/>
      <c r="G73" s="57"/>
      <c r="H73" s="146"/>
    </row>
    <row r="74" spans="2:8">
      <c r="B74" s="384"/>
      <c r="C74" s="57"/>
      <c r="D74" s="57"/>
      <c r="E74" s="370"/>
      <c r="F74" s="57"/>
      <c r="G74" s="57"/>
      <c r="H74" s="146"/>
    </row>
    <row r="75" spans="2:8">
      <c r="B75" s="369" t="s">
        <v>401</v>
      </c>
      <c r="C75" s="57"/>
      <c r="D75" s="57">
        <f>D67-D68-D69-D73</f>
        <v>322910.43793636339</v>
      </c>
      <c r="E75" s="370"/>
      <c r="F75" s="57"/>
      <c r="G75" s="57"/>
      <c r="H75" s="146"/>
    </row>
    <row r="76" spans="2:8">
      <c r="B76" s="369" t="s">
        <v>449</v>
      </c>
      <c r="C76" s="57"/>
      <c r="D76" s="57"/>
      <c r="E76" s="560">
        <f>F12*D75</f>
        <v>90414.922622181752</v>
      </c>
      <c r="F76" s="57"/>
      <c r="G76" s="57"/>
      <c r="H76" s="146"/>
    </row>
    <row r="77" spans="2:8">
      <c r="B77" s="384"/>
      <c r="C77" s="57"/>
      <c r="D77" s="57"/>
      <c r="E77" s="370"/>
      <c r="F77" s="39"/>
      <c r="G77" s="39"/>
      <c r="H77" s="146"/>
    </row>
    <row r="78" spans="2:8" ht="13.5" thickBot="1">
      <c r="B78" s="557" t="s">
        <v>405</v>
      </c>
      <c r="C78" s="561"/>
      <c r="D78" s="561"/>
      <c r="E78" s="562">
        <f>E65-E76</f>
        <v>315331.00338281813</v>
      </c>
      <c r="F78" s="39"/>
      <c r="G78" s="39"/>
      <c r="H78" s="146"/>
    </row>
    <row r="79" spans="2:8" ht="13" thickBot="1">
      <c r="B79" s="384"/>
      <c r="C79" s="34"/>
      <c r="D79" s="34"/>
      <c r="E79" s="39"/>
      <c r="F79" s="39"/>
      <c r="G79" s="39"/>
      <c r="H79" s="146"/>
    </row>
    <row r="80" spans="2:8" ht="13.5" thickBot="1">
      <c r="B80" s="1547" t="s">
        <v>450</v>
      </c>
      <c r="C80" s="1538"/>
      <c r="D80" s="1538"/>
      <c r="E80" s="1538"/>
      <c r="F80" s="1538"/>
      <c r="G80" s="1538"/>
      <c r="H80" s="1539"/>
    </row>
    <row r="81" spans="2:8" ht="13.5" thickBot="1">
      <c r="B81" s="576" t="s">
        <v>262</v>
      </c>
      <c r="C81" s="576">
        <v>0</v>
      </c>
      <c r="D81" s="576">
        <v>1</v>
      </c>
      <c r="E81" s="576">
        <v>2</v>
      </c>
      <c r="F81" s="576">
        <v>3</v>
      </c>
      <c r="G81" s="576">
        <v>4</v>
      </c>
      <c r="H81" s="576">
        <v>5</v>
      </c>
    </row>
    <row r="82" spans="2:8" ht="13" thickBot="1">
      <c r="B82" s="369" t="s">
        <v>451</v>
      </c>
      <c r="C82" s="34">
        <f>-C27</f>
        <v>-300000.00000000006</v>
      </c>
      <c r="D82" s="57">
        <f>C47</f>
        <v>35411.267378915974</v>
      </c>
      <c r="E82" s="57">
        <f>D47</f>
        <v>38411.267378915974</v>
      </c>
      <c r="F82" s="57">
        <f>E47</f>
        <v>41501.267378915974</v>
      </c>
      <c r="G82" s="57">
        <f>F47</f>
        <v>44683.967378915971</v>
      </c>
      <c r="H82" s="370">
        <f>G47+E65</f>
        <v>453708.07438391587</v>
      </c>
    </row>
    <row r="83" spans="2:8" ht="13.5" thickBot="1">
      <c r="B83" s="563" t="s">
        <v>407</v>
      </c>
      <c r="C83" s="155">
        <f>IRR(C82:H82,0.1)</f>
        <v>0.18404099122377215</v>
      </c>
      <c r="D83" s="34"/>
      <c r="E83" s="34"/>
      <c r="F83" s="34"/>
      <c r="G83" s="39"/>
      <c r="H83" s="146"/>
    </row>
    <row r="84" spans="2:8" ht="13" thickBot="1">
      <c r="B84" s="384"/>
      <c r="C84" s="39"/>
      <c r="D84" s="39"/>
      <c r="E84" s="39"/>
      <c r="F84" s="39"/>
      <c r="G84" s="39"/>
      <c r="H84" s="146"/>
    </row>
    <row r="85" spans="2:8" ht="13.5" thickBot="1">
      <c r="B85" s="576" t="s">
        <v>262</v>
      </c>
      <c r="C85" s="576">
        <v>0</v>
      </c>
      <c r="D85" s="576">
        <v>1</v>
      </c>
      <c r="E85" s="576">
        <v>2</v>
      </c>
      <c r="F85" s="576">
        <v>3</v>
      </c>
      <c r="G85" s="576">
        <v>4</v>
      </c>
      <c r="H85" s="576">
        <v>5</v>
      </c>
    </row>
    <row r="86" spans="2:8" ht="13" thickBot="1">
      <c r="B86" s="369" t="s">
        <v>452</v>
      </c>
      <c r="C86" s="34">
        <f>-C27</f>
        <v>-300000.00000000006</v>
      </c>
      <c r="D86" s="57">
        <f>C56</f>
        <v>33178.062380662341</v>
      </c>
      <c r="E86" s="57">
        <f>D56</f>
        <v>35207.094769050338</v>
      </c>
      <c r="F86" s="57">
        <f>E56</f>
        <v>37289.350811605284</v>
      </c>
      <c r="G86" s="57">
        <f>F56</f>
        <v>39425.751264632105</v>
      </c>
      <c r="H86" s="370">
        <f>G56+E78</f>
        <v>356948.1881418167</v>
      </c>
    </row>
    <row r="87" spans="2:8" ht="13.5" thickBot="1">
      <c r="B87" s="563" t="s">
        <v>453</v>
      </c>
      <c r="C87" s="155">
        <f>IRR(C86:H86,0.1)</f>
        <v>0.13064042405148579</v>
      </c>
      <c r="D87" s="34"/>
      <c r="E87" s="34"/>
      <c r="F87" s="34"/>
      <c r="G87" s="34"/>
      <c r="H87" s="309"/>
    </row>
    <row r="88" spans="2:8" ht="13.5" thickBot="1">
      <c r="B88" s="444" t="s">
        <v>414</v>
      </c>
      <c r="C88" s="155">
        <f>(C83-C87)/C83</f>
        <v>0.29015583331301215</v>
      </c>
      <c r="D88" s="39"/>
      <c r="E88" s="39"/>
      <c r="F88" s="39"/>
      <c r="G88" s="39"/>
      <c r="H88" s="146"/>
    </row>
    <row r="89" spans="2:8" ht="13.5" thickBot="1">
      <c r="B89" s="557"/>
      <c r="C89" s="392"/>
      <c r="D89" s="63"/>
      <c r="E89" s="63"/>
      <c r="F89" s="63"/>
      <c r="G89" s="63"/>
      <c r="H89" s="149"/>
    </row>
    <row r="90" spans="2:8" ht="13.5" thickBot="1">
      <c r="B90" s="573"/>
      <c r="C90" s="1"/>
      <c r="D90" s="39"/>
      <c r="E90" s="39"/>
      <c r="F90" s="39"/>
      <c r="G90" s="39"/>
      <c r="H90" s="146"/>
    </row>
    <row r="91" spans="2:8" ht="13.5" thickBot="1">
      <c r="B91" s="1547" t="s">
        <v>454</v>
      </c>
      <c r="C91" s="1538"/>
      <c r="D91" s="1538"/>
      <c r="E91" s="1538"/>
      <c r="F91" s="1538"/>
      <c r="G91" s="1538"/>
      <c r="H91" s="1539"/>
    </row>
    <row r="92" spans="2:8" ht="13.5" thickBot="1">
      <c r="B92" s="576" t="s">
        <v>262</v>
      </c>
      <c r="C92" s="576">
        <v>0</v>
      </c>
      <c r="D92" s="576">
        <v>1</v>
      </c>
      <c r="E92" s="576">
        <v>2</v>
      </c>
      <c r="F92" s="576">
        <v>3</v>
      </c>
      <c r="G92" s="576">
        <v>4</v>
      </c>
      <c r="H92" s="576">
        <v>5</v>
      </c>
    </row>
    <row r="93" spans="2:8" ht="13" thickBot="1">
      <c r="B93" s="369" t="s">
        <v>335</v>
      </c>
      <c r="C93" s="34">
        <f>-C9</f>
        <v>-1000000</v>
      </c>
      <c r="D93" s="57">
        <f>C42</f>
        <v>100000</v>
      </c>
      <c r="E93" s="57">
        <f>D42</f>
        <v>103000</v>
      </c>
      <c r="F93" s="57">
        <f>E42</f>
        <v>106090</v>
      </c>
      <c r="G93" s="57">
        <f>F42</f>
        <v>109272.7</v>
      </c>
      <c r="H93" s="370">
        <f>G42+(C9*(1+C22)^C24)</f>
        <v>1271824.9552999998</v>
      </c>
    </row>
    <row r="94" spans="2:8" ht="13.5" thickBot="1">
      <c r="B94" s="563" t="s">
        <v>455</v>
      </c>
      <c r="C94" s="155">
        <f>IRR(C93:H93,0.1)</f>
        <v>0.12999999999999989</v>
      </c>
      <c r="D94" s="39"/>
      <c r="E94" s="39"/>
      <c r="F94" s="39"/>
      <c r="G94" s="39"/>
      <c r="H94" s="146"/>
    </row>
    <row r="95" spans="2:8" ht="13" thickBot="1">
      <c r="B95" s="384"/>
      <c r="C95" s="39"/>
      <c r="D95" s="39"/>
      <c r="E95" s="39"/>
      <c r="F95" s="39"/>
      <c r="G95" s="39"/>
      <c r="H95" s="146"/>
    </row>
    <row r="96" spans="2:8" ht="13.5" thickBot="1">
      <c r="B96" s="576" t="s">
        <v>262</v>
      </c>
      <c r="C96" s="576">
        <v>0</v>
      </c>
      <c r="D96" s="576">
        <v>1</v>
      </c>
      <c r="E96" s="576">
        <v>2</v>
      </c>
      <c r="F96" s="576">
        <v>3</v>
      </c>
      <c r="G96" s="576">
        <v>4</v>
      </c>
      <c r="H96" s="576">
        <v>5</v>
      </c>
    </row>
    <row r="97" spans="2:8" ht="13" thickBot="1">
      <c r="B97" s="369" t="s">
        <v>456</v>
      </c>
      <c r="C97" s="34">
        <f>-C9</f>
        <v>-1000000</v>
      </c>
      <c r="D97" s="57">
        <f>C42-((C42-C51)*$F$12)</f>
        <v>81163.636363636368</v>
      </c>
      <c r="E97" s="57">
        <f>D42-((D42-D51)*$F$12)</f>
        <v>83323.636363636368</v>
      </c>
      <c r="F97" s="57">
        <f>E42-((E42-E51)*$F$12)</f>
        <v>85548.436363636371</v>
      </c>
      <c r="G97" s="57">
        <f>F42-((F42-F51)*$F$12)</f>
        <v>87839.980363636365</v>
      </c>
      <c r="H97" s="370">
        <f>G42-((G42-G51)*$F$12)+(+(C9*(1+C22)^C24)-E61-E76)</f>
        <v>1159059.4223614545</v>
      </c>
    </row>
    <row r="98" spans="2:8" ht="13.5" thickBot="1">
      <c r="B98" s="563" t="s">
        <v>457</v>
      </c>
      <c r="C98" s="155">
        <f>IRR(C97:H97,0.1)</f>
        <v>9.6557208329354882E-2</v>
      </c>
      <c r="D98" s="39"/>
      <c r="E98" s="39"/>
      <c r="F98" s="39"/>
      <c r="G98" s="39"/>
      <c r="H98" s="146"/>
    </row>
    <row r="99" spans="2:8" ht="13.5" thickBot="1">
      <c r="B99" s="565"/>
      <c r="C99" s="566"/>
      <c r="D99" s="63"/>
      <c r="E99" s="63"/>
      <c r="F99" s="63"/>
      <c r="G99" s="63"/>
      <c r="H99" s="149"/>
    </row>
    <row r="100" spans="2:8" ht="13" thickBot="1">
      <c r="B100" s="171"/>
      <c r="C100" s="39"/>
      <c r="D100" s="34"/>
      <c r="E100" s="34"/>
      <c r="F100" s="34"/>
      <c r="G100" s="34"/>
      <c r="H100" s="309"/>
    </row>
    <row r="101" spans="2:8" ht="13.5" thickBot="1">
      <c r="B101" s="1547" t="s">
        <v>53</v>
      </c>
      <c r="C101" s="1538"/>
      <c r="D101" s="1538"/>
      <c r="E101" s="1538"/>
      <c r="F101" s="1538"/>
      <c r="G101" s="1538"/>
      <c r="H101" s="1539"/>
    </row>
    <row r="102" spans="2:8" ht="13.5" thickBot="1">
      <c r="B102" s="576" t="s">
        <v>262</v>
      </c>
      <c r="C102" s="576">
        <v>0</v>
      </c>
      <c r="D102" s="576">
        <v>1</v>
      </c>
      <c r="E102" s="576">
        <v>2</v>
      </c>
      <c r="F102" s="576">
        <v>3</v>
      </c>
      <c r="G102" s="576">
        <v>4</v>
      </c>
      <c r="H102" s="576">
        <v>5</v>
      </c>
    </row>
    <row r="103" spans="2:8">
      <c r="B103" s="171" t="s">
        <v>458</v>
      </c>
      <c r="D103" s="231">
        <f>+C43</f>
        <v>64588.732621084026</v>
      </c>
      <c r="E103" s="231">
        <f>+D43</f>
        <v>64588.732621084026</v>
      </c>
      <c r="F103" s="231">
        <f>+E43</f>
        <v>64588.732621084026</v>
      </c>
      <c r="G103" s="231">
        <f>+F43</f>
        <v>64588.732621084026</v>
      </c>
      <c r="H103" s="256">
        <f>+G43</f>
        <v>64588.732621084026</v>
      </c>
    </row>
    <row r="104" spans="2:8">
      <c r="B104" s="171" t="s">
        <v>459</v>
      </c>
      <c r="C104" s="39"/>
      <c r="D104" s="78"/>
      <c r="E104" s="78"/>
      <c r="F104" s="78"/>
      <c r="G104" s="78"/>
      <c r="H104" s="257">
        <f>+E62</f>
        <v>0</v>
      </c>
    </row>
    <row r="105" spans="2:8">
      <c r="B105" s="171" t="s">
        <v>62</v>
      </c>
      <c r="C105" s="39"/>
      <c r="D105" s="78"/>
      <c r="E105" s="78"/>
      <c r="F105" s="78"/>
      <c r="G105" s="78"/>
      <c r="H105" s="257">
        <f>C23*C9*(1+C22)^5</f>
        <v>753528.14829499985</v>
      </c>
    </row>
    <row r="106" spans="2:8">
      <c r="B106" s="171" t="s">
        <v>460</v>
      </c>
      <c r="C106" s="39">
        <f>-C28</f>
        <v>-700000</v>
      </c>
      <c r="D106" s="78"/>
      <c r="E106" s="78"/>
      <c r="F106" s="78"/>
      <c r="G106" s="78"/>
      <c r="H106" s="257"/>
    </row>
    <row r="107" spans="2:8" ht="13" thickBot="1">
      <c r="B107" s="171" t="s">
        <v>461</v>
      </c>
      <c r="C107" s="39">
        <f t="shared" ref="C107:H107" si="0">+C103+C104+C105+C106</f>
        <v>-700000</v>
      </c>
      <c r="D107" s="78">
        <f t="shared" si="0"/>
        <v>64588.732621084026</v>
      </c>
      <c r="E107" s="78">
        <f t="shared" si="0"/>
        <v>64588.732621084026</v>
      </c>
      <c r="F107" s="78">
        <f t="shared" si="0"/>
        <v>64588.732621084026</v>
      </c>
      <c r="G107" s="78">
        <f t="shared" si="0"/>
        <v>64588.732621084026</v>
      </c>
      <c r="H107" s="257">
        <f t="shared" si="0"/>
        <v>818116.88091608393</v>
      </c>
    </row>
    <row r="108" spans="2:8" ht="13.5" thickBot="1">
      <c r="B108" s="567" t="s">
        <v>462</v>
      </c>
      <c r="C108" s="155">
        <f>C176</f>
        <v>0.10399494385684172</v>
      </c>
      <c r="D108" s="260"/>
      <c r="E108" s="260"/>
      <c r="F108" s="260"/>
      <c r="G108" s="260"/>
      <c r="H108" s="261"/>
    </row>
    <row r="109" spans="2:8">
      <c r="B109" s="171"/>
      <c r="C109" s="39"/>
      <c r="D109" s="39"/>
      <c r="E109" s="39"/>
      <c r="F109" s="39"/>
      <c r="G109" s="39"/>
      <c r="H109" s="146"/>
    </row>
    <row r="110" spans="2:8" ht="13" thickBot="1">
      <c r="B110" s="171"/>
      <c r="C110" s="39"/>
      <c r="D110" s="39"/>
      <c r="E110" s="39"/>
      <c r="F110" s="39"/>
      <c r="G110" s="39"/>
      <c r="H110" s="146"/>
    </row>
    <row r="111" spans="2:8" ht="13.5" thickBot="1">
      <c r="B111" s="1531" t="s">
        <v>54</v>
      </c>
      <c r="C111" s="1533"/>
      <c r="D111" s="22"/>
      <c r="E111" s="22"/>
      <c r="F111" s="22"/>
      <c r="G111" s="22"/>
      <c r="H111" s="575"/>
    </row>
    <row r="112" spans="2:8" ht="13" thickBot="1">
      <c r="B112" s="124"/>
      <c r="C112" s="126"/>
      <c r="H112" s="126"/>
    </row>
    <row r="113" spans="2:8" ht="13.5" thickBot="1">
      <c r="B113" s="576" t="s">
        <v>216</v>
      </c>
      <c r="C113" s="576" t="s">
        <v>824</v>
      </c>
      <c r="D113" s="6"/>
      <c r="E113" s="6"/>
      <c r="F113" s="6"/>
      <c r="G113" s="6"/>
      <c r="H113" s="575"/>
    </row>
    <row r="114" spans="2:8">
      <c r="B114" s="124">
        <v>0</v>
      </c>
      <c r="C114" s="568">
        <f>C106</f>
        <v>-700000</v>
      </c>
      <c r="H114" s="126"/>
    </row>
    <row r="115" spans="2:8">
      <c r="B115" s="124">
        <v>1</v>
      </c>
      <c r="C115" s="271">
        <f>$D$107/12</f>
        <v>5382.3943850903352</v>
      </c>
      <c r="E115" s="160"/>
      <c r="F115" s="160"/>
      <c r="G115" s="160"/>
      <c r="H115" s="568"/>
    </row>
    <row r="116" spans="2:8">
      <c r="B116" s="124">
        <v>2</v>
      </c>
      <c r="C116" s="271">
        <f t="shared" ref="C116:C173" si="1">$D$107/12</f>
        <v>5382.3943850903352</v>
      </c>
      <c r="D116" s="79"/>
      <c r="E116" s="160"/>
      <c r="F116" s="160"/>
      <c r="G116" s="160"/>
      <c r="H116" s="568"/>
    </row>
    <row r="117" spans="2:8">
      <c r="B117" s="124">
        <v>3</v>
      </c>
      <c r="C117" s="271">
        <f t="shared" si="1"/>
        <v>5382.3943850903352</v>
      </c>
      <c r="D117" s="79"/>
      <c r="E117" s="160"/>
      <c r="F117" s="160"/>
      <c r="G117" s="160"/>
      <c r="H117" s="568"/>
    </row>
    <row r="118" spans="2:8">
      <c r="B118" s="124">
        <v>4</v>
      </c>
      <c r="C118" s="271">
        <f t="shared" si="1"/>
        <v>5382.3943850903352</v>
      </c>
      <c r="D118" s="79"/>
      <c r="E118" s="160"/>
      <c r="F118" s="160"/>
      <c r="G118" s="160"/>
      <c r="H118" s="568"/>
    </row>
    <row r="119" spans="2:8">
      <c r="B119" s="124">
        <v>5</v>
      </c>
      <c r="C119" s="271">
        <f t="shared" si="1"/>
        <v>5382.3943850903352</v>
      </c>
      <c r="D119" s="79"/>
      <c r="E119" s="160"/>
      <c r="F119" s="160"/>
      <c r="G119" s="160"/>
      <c r="H119" s="568"/>
    </row>
    <row r="120" spans="2:8">
      <c r="B120" s="124">
        <v>6</v>
      </c>
      <c r="C120" s="271">
        <f t="shared" si="1"/>
        <v>5382.3943850903352</v>
      </c>
      <c r="D120" s="79"/>
      <c r="E120" s="160"/>
      <c r="F120" s="160"/>
      <c r="G120" s="160"/>
      <c r="H120" s="568"/>
    </row>
    <row r="121" spans="2:8">
      <c r="B121" s="124">
        <v>7</v>
      </c>
      <c r="C121" s="271">
        <f t="shared" si="1"/>
        <v>5382.3943850903352</v>
      </c>
      <c r="D121" s="79"/>
      <c r="E121" s="160"/>
      <c r="F121" s="160"/>
      <c r="G121" s="160"/>
      <c r="H121" s="568"/>
    </row>
    <row r="122" spans="2:8">
      <c r="B122" s="124">
        <v>8</v>
      </c>
      <c r="C122" s="271">
        <f t="shared" si="1"/>
        <v>5382.3943850903352</v>
      </c>
      <c r="D122" s="79"/>
      <c r="E122" s="160"/>
      <c r="F122" s="160"/>
      <c r="G122" s="160"/>
      <c r="H122" s="568"/>
    </row>
    <row r="123" spans="2:8">
      <c r="B123" s="124">
        <v>9</v>
      </c>
      <c r="C123" s="271">
        <f t="shared" si="1"/>
        <v>5382.3943850903352</v>
      </c>
      <c r="D123" s="79"/>
      <c r="E123" s="160"/>
      <c r="F123" s="160"/>
      <c r="G123" s="160"/>
      <c r="H123" s="568"/>
    </row>
    <row r="124" spans="2:8">
      <c r="B124" s="124">
        <v>10</v>
      </c>
      <c r="C124" s="271">
        <f t="shared" si="1"/>
        <v>5382.3943850903352</v>
      </c>
      <c r="D124" s="79"/>
      <c r="E124" s="160"/>
      <c r="F124" s="160"/>
      <c r="G124" s="160"/>
      <c r="H124" s="568"/>
    </row>
    <row r="125" spans="2:8">
      <c r="B125" s="124">
        <v>11</v>
      </c>
      <c r="C125" s="271">
        <f t="shared" si="1"/>
        <v>5382.3943850903352</v>
      </c>
      <c r="D125" s="79"/>
      <c r="E125" s="160"/>
      <c r="F125" s="160"/>
      <c r="G125" s="160"/>
      <c r="H125" s="568"/>
    </row>
    <row r="126" spans="2:8">
      <c r="B126" s="124">
        <v>12</v>
      </c>
      <c r="C126" s="271">
        <f t="shared" si="1"/>
        <v>5382.3943850903352</v>
      </c>
      <c r="D126" s="79"/>
      <c r="E126" s="160"/>
      <c r="F126" s="160"/>
      <c r="G126" s="160"/>
      <c r="H126" s="568"/>
    </row>
    <row r="127" spans="2:8">
      <c r="B127" s="124">
        <v>13</v>
      </c>
      <c r="C127" s="271">
        <f t="shared" si="1"/>
        <v>5382.3943850903352</v>
      </c>
      <c r="D127" s="79"/>
      <c r="E127" s="160"/>
      <c r="F127" s="160"/>
      <c r="G127" s="160"/>
      <c r="H127" s="568"/>
    </row>
    <row r="128" spans="2:8">
      <c r="B128" s="124">
        <v>14</v>
      </c>
      <c r="C128" s="271">
        <f t="shared" si="1"/>
        <v>5382.3943850903352</v>
      </c>
      <c r="D128" s="79"/>
      <c r="E128" s="160"/>
      <c r="F128" s="160"/>
      <c r="G128" s="160"/>
      <c r="H128" s="568"/>
    </row>
    <row r="129" spans="2:8">
      <c r="B129" s="124">
        <v>15</v>
      </c>
      <c r="C129" s="271">
        <f t="shared" si="1"/>
        <v>5382.3943850903352</v>
      </c>
      <c r="D129" s="79"/>
      <c r="E129" s="160"/>
      <c r="F129" s="160"/>
      <c r="G129" s="160"/>
      <c r="H129" s="568"/>
    </row>
    <row r="130" spans="2:8">
      <c r="B130" s="124">
        <v>16</v>
      </c>
      <c r="C130" s="271">
        <f t="shared" si="1"/>
        <v>5382.3943850903352</v>
      </c>
      <c r="D130" s="79"/>
      <c r="E130" s="160"/>
      <c r="F130" s="160"/>
      <c r="G130" s="160"/>
      <c r="H130" s="568"/>
    </row>
    <row r="131" spans="2:8">
      <c r="B131" s="124">
        <v>17</v>
      </c>
      <c r="C131" s="271">
        <f t="shared" si="1"/>
        <v>5382.3943850903352</v>
      </c>
      <c r="D131" s="79"/>
      <c r="E131" s="160"/>
      <c r="F131" s="160"/>
      <c r="G131" s="160"/>
      <c r="H131" s="568"/>
    </row>
    <row r="132" spans="2:8">
      <c r="B132" s="124">
        <v>18</v>
      </c>
      <c r="C132" s="271">
        <f t="shared" si="1"/>
        <v>5382.3943850903352</v>
      </c>
      <c r="D132" s="79"/>
      <c r="E132" s="160"/>
      <c r="F132" s="160"/>
      <c r="G132" s="160"/>
      <c r="H132" s="568"/>
    </row>
    <row r="133" spans="2:8">
      <c r="B133" s="124">
        <v>19</v>
      </c>
      <c r="C133" s="271">
        <f t="shared" si="1"/>
        <v>5382.3943850903352</v>
      </c>
      <c r="D133" s="79"/>
      <c r="E133" s="160"/>
      <c r="F133" s="160"/>
      <c r="G133" s="160"/>
      <c r="H133" s="568"/>
    </row>
    <row r="134" spans="2:8">
      <c r="B134" s="124">
        <v>20</v>
      </c>
      <c r="C134" s="271">
        <f t="shared" si="1"/>
        <v>5382.3943850903352</v>
      </c>
      <c r="D134" s="79"/>
      <c r="E134" s="160"/>
      <c r="F134" s="160"/>
      <c r="G134" s="160"/>
      <c r="H134" s="568"/>
    </row>
    <row r="135" spans="2:8">
      <c r="B135" s="124">
        <v>21</v>
      </c>
      <c r="C135" s="271">
        <f t="shared" si="1"/>
        <v>5382.3943850903352</v>
      </c>
      <c r="D135" s="79"/>
      <c r="E135" s="160"/>
      <c r="F135" s="160"/>
      <c r="G135" s="160"/>
      <c r="H135" s="568"/>
    </row>
    <row r="136" spans="2:8">
      <c r="B136" s="124">
        <v>22</v>
      </c>
      <c r="C136" s="271">
        <f t="shared" si="1"/>
        <v>5382.3943850903352</v>
      </c>
      <c r="D136" s="79"/>
      <c r="E136" s="160"/>
      <c r="F136" s="160"/>
      <c r="G136" s="160"/>
      <c r="H136" s="568"/>
    </row>
    <row r="137" spans="2:8">
      <c r="B137" s="124">
        <v>23</v>
      </c>
      <c r="C137" s="271">
        <f t="shared" si="1"/>
        <v>5382.3943850903352</v>
      </c>
      <c r="D137" s="79"/>
      <c r="E137" s="160"/>
      <c r="F137" s="160"/>
      <c r="G137" s="160"/>
      <c r="H137" s="568"/>
    </row>
    <row r="138" spans="2:8">
      <c r="B138" s="124">
        <v>24</v>
      </c>
      <c r="C138" s="271">
        <f t="shared" si="1"/>
        <v>5382.3943850903352</v>
      </c>
      <c r="D138" s="79"/>
      <c r="E138" s="160"/>
      <c r="F138" s="160"/>
      <c r="G138" s="160"/>
      <c r="H138" s="568"/>
    </row>
    <row r="139" spans="2:8">
      <c r="B139" s="124">
        <v>25</v>
      </c>
      <c r="C139" s="271">
        <f t="shared" si="1"/>
        <v>5382.3943850903352</v>
      </c>
      <c r="D139" s="79"/>
      <c r="E139" s="160"/>
      <c r="F139" s="160"/>
      <c r="G139" s="160"/>
      <c r="H139" s="568"/>
    </row>
    <row r="140" spans="2:8">
      <c r="B140" s="124">
        <v>26</v>
      </c>
      <c r="C140" s="271">
        <f t="shared" si="1"/>
        <v>5382.3943850903352</v>
      </c>
      <c r="D140" s="79"/>
      <c r="E140" s="160"/>
      <c r="F140" s="160"/>
      <c r="G140" s="160"/>
      <c r="H140" s="568"/>
    </row>
    <row r="141" spans="2:8">
      <c r="B141" s="124">
        <v>27</v>
      </c>
      <c r="C141" s="271">
        <f t="shared" si="1"/>
        <v>5382.3943850903352</v>
      </c>
      <c r="D141" s="79"/>
      <c r="E141" s="160"/>
      <c r="F141" s="160"/>
      <c r="G141" s="160"/>
      <c r="H141" s="568"/>
    </row>
    <row r="142" spans="2:8">
      <c r="B142" s="124">
        <v>28</v>
      </c>
      <c r="C142" s="271">
        <f t="shared" si="1"/>
        <v>5382.3943850903352</v>
      </c>
      <c r="D142" s="79"/>
      <c r="E142" s="160"/>
      <c r="F142" s="160"/>
      <c r="G142" s="160"/>
      <c r="H142" s="568"/>
    </row>
    <row r="143" spans="2:8">
      <c r="B143" s="124">
        <v>29</v>
      </c>
      <c r="C143" s="271">
        <f t="shared" si="1"/>
        <v>5382.3943850903352</v>
      </c>
      <c r="D143" s="79"/>
      <c r="E143" s="160"/>
      <c r="F143" s="160"/>
      <c r="G143" s="160"/>
      <c r="H143" s="568"/>
    </row>
    <row r="144" spans="2:8">
      <c r="B144" s="124">
        <v>30</v>
      </c>
      <c r="C144" s="271">
        <f t="shared" si="1"/>
        <v>5382.3943850903352</v>
      </c>
      <c r="D144" s="79"/>
      <c r="E144" s="160"/>
      <c r="F144" s="160"/>
      <c r="G144" s="160"/>
      <c r="H144" s="568"/>
    </row>
    <row r="145" spans="2:8">
      <c r="B145" s="124">
        <v>31</v>
      </c>
      <c r="C145" s="271">
        <f t="shared" si="1"/>
        <v>5382.3943850903352</v>
      </c>
      <c r="D145" s="79"/>
      <c r="E145" s="160"/>
      <c r="F145" s="160"/>
      <c r="G145" s="160"/>
      <c r="H145" s="568"/>
    </row>
    <row r="146" spans="2:8">
      <c r="B146" s="124">
        <v>32</v>
      </c>
      <c r="C146" s="271">
        <f t="shared" si="1"/>
        <v>5382.3943850903352</v>
      </c>
      <c r="D146" s="79"/>
      <c r="E146" s="160"/>
      <c r="F146" s="160"/>
      <c r="G146" s="160"/>
      <c r="H146" s="568"/>
    </row>
    <row r="147" spans="2:8">
      <c r="B147" s="124">
        <v>33</v>
      </c>
      <c r="C147" s="271">
        <f t="shared" si="1"/>
        <v>5382.3943850903352</v>
      </c>
      <c r="D147" s="79"/>
      <c r="E147" s="160"/>
      <c r="F147" s="160"/>
      <c r="G147" s="160"/>
      <c r="H147" s="568"/>
    </row>
    <row r="148" spans="2:8">
      <c r="B148" s="124">
        <v>34</v>
      </c>
      <c r="C148" s="271">
        <f t="shared" si="1"/>
        <v>5382.3943850903352</v>
      </c>
      <c r="D148" s="79"/>
      <c r="E148" s="160"/>
      <c r="F148" s="160"/>
      <c r="G148" s="160"/>
      <c r="H148" s="568"/>
    </row>
    <row r="149" spans="2:8">
      <c r="B149" s="124">
        <v>35</v>
      </c>
      <c r="C149" s="271">
        <f t="shared" si="1"/>
        <v>5382.3943850903352</v>
      </c>
      <c r="D149" s="79"/>
      <c r="E149" s="160"/>
      <c r="F149" s="160"/>
      <c r="G149" s="160"/>
      <c r="H149" s="568"/>
    </row>
    <row r="150" spans="2:8">
      <c r="B150" s="124">
        <v>36</v>
      </c>
      <c r="C150" s="271">
        <f t="shared" si="1"/>
        <v>5382.3943850903352</v>
      </c>
      <c r="D150" s="79"/>
      <c r="E150" s="160"/>
      <c r="F150" s="160"/>
      <c r="G150" s="160"/>
      <c r="H150" s="568"/>
    </row>
    <row r="151" spans="2:8">
      <c r="B151" s="124">
        <v>37</v>
      </c>
      <c r="C151" s="271">
        <f t="shared" si="1"/>
        <v>5382.3943850903352</v>
      </c>
      <c r="D151" s="79"/>
      <c r="E151" s="160"/>
      <c r="F151" s="160"/>
      <c r="G151" s="160"/>
      <c r="H151" s="568"/>
    </row>
    <row r="152" spans="2:8">
      <c r="B152" s="124">
        <v>38</v>
      </c>
      <c r="C152" s="271">
        <f t="shared" si="1"/>
        <v>5382.3943850903352</v>
      </c>
      <c r="D152" s="79"/>
      <c r="E152" s="160"/>
      <c r="F152" s="160"/>
      <c r="G152" s="160"/>
      <c r="H152" s="568"/>
    </row>
    <row r="153" spans="2:8">
      <c r="B153" s="124">
        <v>39</v>
      </c>
      <c r="C153" s="271">
        <f t="shared" si="1"/>
        <v>5382.3943850903352</v>
      </c>
      <c r="D153" s="79"/>
      <c r="E153" s="160"/>
      <c r="F153" s="160"/>
      <c r="G153" s="160"/>
      <c r="H153" s="568"/>
    </row>
    <row r="154" spans="2:8">
      <c r="B154" s="124">
        <v>40</v>
      </c>
      <c r="C154" s="271">
        <f t="shared" si="1"/>
        <v>5382.3943850903352</v>
      </c>
      <c r="D154" s="79"/>
      <c r="E154" s="160"/>
      <c r="F154" s="160"/>
      <c r="G154" s="160"/>
      <c r="H154" s="568"/>
    </row>
    <row r="155" spans="2:8">
      <c r="B155" s="124">
        <v>41</v>
      </c>
      <c r="C155" s="271">
        <f t="shared" si="1"/>
        <v>5382.3943850903352</v>
      </c>
      <c r="D155" s="79"/>
      <c r="E155" s="160"/>
      <c r="F155" s="160"/>
      <c r="G155" s="160"/>
      <c r="H155" s="568"/>
    </row>
    <row r="156" spans="2:8">
      <c r="B156" s="124">
        <v>42</v>
      </c>
      <c r="C156" s="271">
        <f t="shared" si="1"/>
        <v>5382.3943850903352</v>
      </c>
      <c r="D156" s="79"/>
      <c r="E156" s="160"/>
      <c r="F156" s="160"/>
      <c r="G156" s="160"/>
      <c r="H156" s="568"/>
    </row>
    <row r="157" spans="2:8">
      <c r="B157" s="124">
        <v>43</v>
      </c>
      <c r="C157" s="271">
        <f t="shared" si="1"/>
        <v>5382.3943850903352</v>
      </c>
      <c r="D157" s="79"/>
      <c r="E157" s="160"/>
      <c r="F157" s="160"/>
      <c r="G157" s="160"/>
      <c r="H157" s="568"/>
    </row>
    <row r="158" spans="2:8">
      <c r="B158" s="124">
        <v>44</v>
      </c>
      <c r="C158" s="271">
        <f t="shared" si="1"/>
        <v>5382.3943850903352</v>
      </c>
      <c r="D158" s="79"/>
      <c r="E158" s="160"/>
      <c r="F158" s="160"/>
      <c r="G158" s="160"/>
      <c r="H158" s="568"/>
    </row>
    <row r="159" spans="2:8">
      <c r="B159" s="124">
        <v>45</v>
      </c>
      <c r="C159" s="271">
        <f t="shared" si="1"/>
        <v>5382.3943850903352</v>
      </c>
      <c r="D159" s="79"/>
      <c r="E159" s="160"/>
      <c r="F159" s="160"/>
      <c r="G159" s="160"/>
      <c r="H159" s="568"/>
    </row>
    <row r="160" spans="2:8">
      <c r="B160" s="124">
        <v>46</v>
      </c>
      <c r="C160" s="271">
        <f t="shared" si="1"/>
        <v>5382.3943850903352</v>
      </c>
      <c r="D160" s="79"/>
      <c r="E160" s="160"/>
      <c r="F160" s="160"/>
      <c r="G160" s="160"/>
      <c r="H160" s="568"/>
    </row>
    <row r="161" spans="2:8">
      <c r="B161" s="124">
        <v>47</v>
      </c>
      <c r="C161" s="271">
        <f t="shared" si="1"/>
        <v>5382.3943850903352</v>
      </c>
      <c r="D161" s="79"/>
      <c r="E161" s="160"/>
      <c r="F161" s="160"/>
      <c r="G161" s="160"/>
      <c r="H161" s="568"/>
    </row>
    <row r="162" spans="2:8">
      <c r="B162" s="124">
        <v>48</v>
      </c>
      <c r="C162" s="271">
        <f t="shared" si="1"/>
        <v>5382.3943850903352</v>
      </c>
      <c r="D162" s="79"/>
      <c r="E162" s="160"/>
      <c r="F162" s="160"/>
      <c r="G162" s="160"/>
      <c r="H162" s="568"/>
    </row>
    <row r="163" spans="2:8">
      <c r="B163" s="124">
        <v>49</v>
      </c>
      <c r="C163" s="271">
        <f t="shared" si="1"/>
        <v>5382.3943850903352</v>
      </c>
      <c r="D163" s="79"/>
      <c r="E163" s="160"/>
      <c r="F163" s="160"/>
      <c r="G163" s="160"/>
      <c r="H163" s="568"/>
    </row>
    <row r="164" spans="2:8">
      <c r="B164" s="124">
        <v>50</v>
      </c>
      <c r="C164" s="271">
        <f t="shared" si="1"/>
        <v>5382.3943850903352</v>
      </c>
      <c r="D164" s="79"/>
      <c r="E164" s="160"/>
      <c r="F164" s="160"/>
      <c r="G164" s="160"/>
      <c r="H164" s="568"/>
    </row>
    <row r="165" spans="2:8">
      <c r="B165" s="124">
        <v>51</v>
      </c>
      <c r="C165" s="271">
        <f t="shared" si="1"/>
        <v>5382.3943850903352</v>
      </c>
      <c r="D165" s="79"/>
      <c r="E165" s="160"/>
      <c r="F165" s="160"/>
      <c r="G165" s="160"/>
      <c r="H165" s="568"/>
    </row>
    <row r="166" spans="2:8">
      <c r="B166" s="124">
        <v>52</v>
      </c>
      <c r="C166" s="271">
        <f t="shared" si="1"/>
        <v>5382.3943850903352</v>
      </c>
      <c r="D166" s="79"/>
      <c r="E166" s="160"/>
      <c r="F166" s="160"/>
      <c r="G166" s="160"/>
      <c r="H166" s="568"/>
    </row>
    <row r="167" spans="2:8">
      <c r="B167" s="124">
        <v>53</v>
      </c>
      <c r="C167" s="271">
        <f t="shared" si="1"/>
        <v>5382.3943850903352</v>
      </c>
      <c r="D167" s="79"/>
      <c r="E167" s="160"/>
      <c r="F167" s="160"/>
      <c r="G167" s="160"/>
      <c r="H167" s="568"/>
    </row>
    <row r="168" spans="2:8">
      <c r="B168" s="124">
        <v>54</v>
      </c>
      <c r="C168" s="271">
        <f t="shared" si="1"/>
        <v>5382.3943850903352</v>
      </c>
      <c r="D168" s="79"/>
      <c r="E168" s="160"/>
      <c r="F168" s="160"/>
      <c r="G168" s="160"/>
      <c r="H168" s="568"/>
    </row>
    <row r="169" spans="2:8">
      <c r="B169" s="124">
        <v>55</v>
      </c>
      <c r="C169" s="271">
        <f t="shared" si="1"/>
        <v>5382.3943850903352</v>
      </c>
      <c r="D169" s="79"/>
      <c r="E169" s="160"/>
      <c r="F169" s="160"/>
      <c r="G169" s="160"/>
      <c r="H169" s="568"/>
    </row>
    <row r="170" spans="2:8">
      <c r="B170" s="124">
        <v>56</v>
      </c>
      <c r="C170" s="271">
        <f t="shared" si="1"/>
        <v>5382.3943850903352</v>
      </c>
      <c r="D170" s="79"/>
      <c r="E170" s="160"/>
      <c r="F170" s="160"/>
      <c r="G170" s="160"/>
      <c r="H170" s="568"/>
    </row>
    <row r="171" spans="2:8">
      <c r="B171" s="124">
        <v>57</v>
      </c>
      <c r="C171" s="271">
        <f t="shared" si="1"/>
        <v>5382.3943850903352</v>
      </c>
      <c r="D171" s="79"/>
      <c r="E171" s="160"/>
      <c r="F171" s="160"/>
      <c r="G171" s="160"/>
      <c r="H171" s="568"/>
    </row>
    <row r="172" spans="2:8">
      <c r="B172" s="124">
        <v>58</v>
      </c>
      <c r="C172" s="271">
        <f t="shared" si="1"/>
        <v>5382.3943850903352</v>
      </c>
      <c r="D172" s="79"/>
      <c r="E172" s="160"/>
      <c r="F172" s="160"/>
      <c r="G172" s="160"/>
      <c r="H172" s="568"/>
    </row>
    <row r="173" spans="2:8">
      <c r="B173" s="124">
        <v>59</v>
      </c>
      <c r="C173" s="271">
        <f t="shared" si="1"/>
        <v>5382.3943850903352</v>
      </c>
      <c r="D173" s="79"/>
      <c r="E173" s="160"/>
      <c r="F173" s="160"/>
      <c r="G173" s="160"/>
      <c r="H173" s="568"/>
    </row>
    <row r="174" spans="2:8">
      <c r="B174" s="124">
        <v>60</v>
      </c>
      <c r="C174" s="271">
        <f>$D$107/12+H105</f>
        <v>758910.54268009018</v>
      </c>
      <c r="D174" s="79"/>
      <c r="E174" s="160"/>
      <c r="F174" s="160"/>
      <c r="G174" s="160"/>
      <c r="H174" s="568"/>
    </row>
    <row r="175" spans="2:8" ht="13" thickBot="1">
      <c r="B175" s="124"/>
      <c r="C175" s="126"/>
      <c r="H175" s="126"/>
    </row>
    <row r="176" spans="2:8" ht="13.5" thickBot="1">
      <c r="B176" s="170" t="s">
        <v>903</v>
      </c>
      <c r="C176" s="155">
        <f>IRR(C114:C174,0.1/12)*12</f>
        <v>0.10399494385684172</v>
      </c>
      <c r="D176" s="4"/>
      <c r="E176" s="4"/>
      <c r="F176" s="4"/>
      <c r="G176" s="4"/>
      <c r="H176" s="135"/>
    </row>
  </sheetData>
  <mergeCells count="12">
    <mergeCell ref="B111:C111"/>
    <mergeCell ref="B101:H101"/>
    <mergeCell ref="B91:H91"/>
    <mergeCell ref="B80:H80"/>
    <mergeCell ref="B59:E59"/>
    <mergeCell ref="B40:G40"/>
    <mergeCell ref="B33:G33"/>
    <mergeCell ref="B2:H2"/>
    <mergeCell ref="B3:H3"/>
    <mergeCell ref="B5:H5"/>
    <mergeCell ref="B6:H6"/>
    <mergeCell ref="B8:G8"/>
  </mergeCells>
  <phoneticPr fontId="0" type="noConversion"/>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2">
    <tabColor rgb="FFEBB901"/>
  </sheetPr>
  <dimension ref="A1:N31"/>
  <sheetViews>
    <sheetView zoomScale="110" zoomScaleNormal="110" workbookViewId="0"/>
  </sheetViews>
  <sheetFormatPr defaultRowHeight="12.5"/>
  <cols>
    <col min="2" max="2" width="20" customWidth="1"/>
    <col min="3" max="3" width="17.26953125" customWidth="1"/>
    <col min="4" max="4" width="15.26953125" customWidth="1"/>
    <col min="5" max="5" width="21" customWidth="1"/>
    <col min="6" max="6" width="18" customWidth="1"/>
    <col min="7" max="7" width="12.26953125" customWidth="1"/>
    <col min="8" max="8" width="6.7265625" customWidth="1"/>
    <col min="9" max="9" width="15.1796875" customWidth="1"/>
    <col min="10" max="10" width="15.54296875" customWidth="1"/>
    <col min="11" max="11" width="17.81640625" customWidth="1"/>
    <col min="12" max="12" width="17.26953125" customWidth="1"/>
    <col min="13" max="13" width="14.1796875" customWidth="1"/>
  </cols>
  <sheetData>
    <row r="1" spans="1:14" ht="13" thickBot="1"/>
    <row r="2" spans="1:14" ht="18.5" thickBot="1">
      <c r="B2" s="1525" t="s">
        <v>1746</v>
      </c>
      <c r="C2" s="1557"/>
      <c r="D2" s="1557"/>
      <c r="E2" s="1557"/>
      <c r="F2" s="1557"/>
      <c r="G2" s="1558"/>
      <c r="H2" s="327"/>
      <c r="I2" s="1525" t="s">
        <v>1747</v>
      </c>
      <c r="J2" s="1557"/>
      <c r="K2" s="1557"/>
      <c r="L2" s="1557"/>
      <c r="M2" s="1557"/>
      <c r="N2" s="1558"/>
    </row>
    <row r="3" spans="1:14" ht="16" thickBot="1">
      <c r="A3" s="39"/>
      <c r="B3" s="1528" t="s">
        <v>1723</v>
      </c>
      <c r="C3" s="1540"/>
      <c r="D3" s="1540"/>
      <c r="E3" s="1540"/>
      <c r="F3" s="1540"/>
      <c r="G3" s="1541"/>
      <c r="H3" s="582"/>
      <c r="I3" s="1528" t="s">
        <v>1723</v>
      </c>
      <c r="J3" s="1540"/>
      <c r="K3" s="1540"/>
      <c r="L3" s="1540"/>
      <c r="M3" s="1540"/>
      <c r="N3" s="1541"/>
    </row>
    <row r="4" spans="1:14" ht="15.5">
      <c r="B4" s="611"/>
      <c r="C4" s="582"/>
      <c r="D4" s="582"/>
      <c r="E4" s="582"/>
      <c r="F4" s="582"/>
      <c r="G4" s="612"/>
      <c r="H4" s="582"/>
      <c r="I4" s="611"/>
      <c r="J4" s="582"/>
      <c r="K4" s="582"/>
      <c r="L4" s="582"/>
      <c r="M4" s="582"/>
      <c r="N4" s="612"/>
    </row>
    <row r="5" spans="1:14" ht="13">
      <c r="A5" s="1" t="s">
        <v>1228</v>
      </c>
      <c r="B5" s="171" t="s">
        <v>1227</v>
      </c>
      <c r="C5" s="868">
        <v>0.20080000000000001</v>
      </c>
      <c r="D5" s="28" t="s">
        <v>1745</v>
      </c>
      <c r="G5" s="126"/>
      <c r="I5" s="171" t="s">
        <v>1227</v>
      </c>
      <c r="J5" s="868">
        <v>0.17157600000000001</v>
      </c>
      <c r="K5" s="28" t="s">
        <v>1744</v>
      </c>
      <c r="N5" s="126"/>
    </row>
    <row r="6" spans="1:14" ht="13" thickBot="1">
      <c r="B6" s="124"/>
      <c r="G6" s="126"/>
      <c r="I6" s="124"/>
      <c r="N6" s="126"/>
    </row>
    <row r="7" spans="1:14" ht="13.5" thickBot="1">
      <c r="B7" s="1639" t="s">
        <v>339</v>
      </c>
      <c r="C7" s="1542"/>
      <c r="D7" s="1542"/>
      <c r="E7" s="1543"/>
      <c r="G7" s="126"/>
      <c r="I7" s="1639" t="s">
        <v>339</v>
      </c>
      <c r="J7" s="1542"/>
      <c r="K7" s="1542"/>
      <c r="L7" s="1543"/>
      <c r="N7" s="126"/>
    </row>
    <row r="8" spans="1:14" ht="13" thickBot="1">
      <c r="B8" s="124"/>
      <c r="E8" s="126"/>
      <c r="G8" s="126"/>
      <c r="I8" s="124"/>
      <c r="L8" s="126"/>
      <c r="N8" s="126"/>
    </row>
    <row r="9" spans="1:14" ht="15.5" thickBot="1">
      <c r="B9" s="1547" t="s">
        <v>1108</v>
      </c>
      <c r="C9" s="1536"/>
      <c r="D9" s="1536"/>
      <c r="E9" s="1534"/>
      <c r="G9" s="126"/>
      <c r="I9" s="1547" t="s">
        <v>1108</v>
      </c>
      <c r="J9" s="1536"/>
      <c r="K9" s="1536"/>
      <c r="L9" s="1534"/>
      <c r="N9" s="126"/>
    </row>
    <row r="10" spans="1:14" ht="13.5" thickBot="1">
      <c r="B10" s="157" t="s">
        <v>262</v>
      </c>
      <c r="C10" s="580" t="s">
        <v>281</v>
      </c>
      <c r="D10" s="1531" t="s">
        <v>263</v>
      </c>
      <c r="E10" s="1593"/>
      <c r="G10" s="126"/>
      <c r="I10" s="157" t="s">
        <v>262</v>
      </c>
      <c r="J10" s="580" t="s">
        <v>281</v>
      </c>
      <c r="K10" s="1531" t="s">
        <v>263</v>
      </c>
      <c r="L10" s="1593"/>
      <c r="N10" s="126"/>
    </row>
    <row r="11" spans="1:14">
      <c r="B11" s="140">
        <v>1</v>
      </c>
      <c r="C11" s="598">
        <v>233725</v>
      </c>
      <c r="D11" s="1637">
        <f>PV($C$5,B11,,-C11)</f>
        <v>194641.07261825449</v>
      </c>
      <c r="E11" s="1638"/>
      <c r="G11" s="126"/>
      <c r="I11" s="140">
        <v>1</v>
      </c>
      <c r="J11" s="598">
        <v>277187</v>
      </c>
      <c r="K11" s="1637">
        <f>PV($J$5,I11,,-J11)</f>
        <v>236593.27265153948</v>
      </c>
      <c r="L11" s="1638"/>
      <c r="N11" s="126"/>
    </row>
    <row r="12" spans="1:14">
      <c r="B12" s="140">
        <v>2</v>
      </c>
      <c r="C12" s="581">
        <v>259542</v>
      </c>
      <c r="D12" s="1637">
        <f>PV($C$5,B12,,-C12)</f>
        <v>179997.42343656303</v>
      </c>
      <c r="E12" s="1638"/>
      <c r="G12" s="126"/>
      <c r="I12" s="140">
        <v>2</v>
      </c>
      <c r="J12" s="581">
        <v>276493</v>
      </c>
      <c r="K12" s="1637">
        <f t="shared" ref="K12:K15" si="0">PV($J$5,I12,,-J12)</f>
        <v>201438.83809363231</v>
      </c>
      <c r="L12" s="1638"/>
      <c r="N12" s="126"/>
    </row>
    <row r="13" spans="1:14">
      <c r="B13" s="140">
        <v>3</v>
      </c>
      <c r="C13" s="581">
        <v>285121</v>
      </c>
      <c r="D13" s="1637">
        <f>PV($C$5,B13,,-C13)</f>
        <v>164671.01705943729</v>
      </c>
      <c r="E13" s="1638"/>
      <c r="G13" s="126"/>
      <c r="I13" s="140">
        <v>3</v>
      </c>
      <c r="J13" s="581">
        <v>275774</v>
      </c>
      <c r="K13" s="1637">
        <f t="shared" si="0"/>
        <v>171491.23146943728</v>
      </c>
      <c r="L13" s="1638"/>
      <c r="N13" s="126"/>
    </row>
    <row r="14" spans="1:14">
      <c r="B14" s="140">
        <v>4</v>
      </c>
      <c r="C14" s="581">
        <v>286054</v>
      </c>
      <c r="D14" s="1637">
        <f>PV($C$5,B14,,-C14)</f>
        <v>137583.16888082807</v>
      </c>
      <c r="E14" s="1638"/>
      <c r="G14" s="126"/>
      <c r="I14" s="140">
        <v>4</v>
      </c>
      <c r="J14" s="581">
        <v>319512</v>
      </c>
      <c r="K14" s="1637">
        <f t="shared" si="0"/>
        <v>169591.97889354438</v>
      </c>
      <c r="L14" s="1638"/>
      <c r="N14" s="126"/>
    </row>
    <row r="15" spans="1:14">
      <c r="B15" s="140">
        <v>5</v>
      </c>
      <c r="C15" s="581">
        <v>319925</v>
      </c>
      <c r="D15" s="1637">
        <f>PV($C$5,B15,,-C15)</f>
        <v>128142.96909293988</v>
      </c>
      <c r="E15" s="1638"/>
      <c r="G15" s="126"/>
      <c r="I15" s="140">
        <v>5</v>
      </c>
      <c r="J15" s="581">
        <v>337666</v>
      </c>
      <c r="K15" s="1637">
        <f t="shared" si="0"/>
        <v>152980.12124872615</v>
      </c>
      <c r="L15" s="1638"/>
      <c r="N15" s="126"/>
    </row>
    <row r="16" spans="1:14" ht="13.5" thickBot="1">
      <c r="B16" s="400" t="s">
        <v>292</v>
      </c>
      <c r="C16" s="65"/>
      <c r="D16" s="1640">
        <f>SUM(D11:D15)</f>
        <v>805035.65108802274</v>
      </c>
      <c r="E16" s="1641"/>
      <c r="G16" s="126"/>
      <c r="I16" s="400" t="s">
        <v>292</v>
      </c>
      <c r="J16" s="65"/>
      <c r="K16" s="1640">
        <f>SUM(K11:K15)</f>
        <v>932095.44235687959</v>
      </c>
      <c r="L16" s="1641"/>
      <c r="N16" s="126"/>
    </row>
    <row r="17" spans="2:14" ht="13" thickBot="1">
      <c r="B17" s="124"/>
      <c r="E17" s="126"/>
      <c r="G17" s="126"/>
      <c r="I17" s="124"/>
      <c r="L17" s="126"/>
      <c r="N17" s="126"/>
    </row>
    <row r="18" spans="2:14" ht="15.5" thickBot="1">
      <c r="B18" s="1547" t="s">
        <v>1109</v>
      </c>
      <c r="C18" s="1536"/>
      <c r="D18" s="1536"/>
      <c r="E18" s="1534"/>
      <c r="G18" s="126"/>
      <c r="I18" s="1547" t="s">
        <v>1109</v>
      </c>
      <c r="J18" s="1536"/>
      <c r="K18" s="1536"/>
      <c r="L18" s="1534"/>
      <c r="N18" s="126"/>
    </row>
    <row r="19" spans="2:14" ht="13.5" thickBot="1">
      <c r="B19" s="157" t="s">
        <v>262</v>
      </c>
      <c r="C19" s="580" t="s">
        <v>281</v>
      </c>
      <c r="D19" s="1531" t="s">
        <v>263</v>
      </c>
      <c r="E19" s="1593"/>
      <c r="G19" s="126"/>
      <c r="I19" s="157" t="s">
        <v>262</v>
      </c>
      <c r="J19" s="580" t="s">
        <v>281</v>
      </c>
      <c r="K19" s="1531" t="s">
        <v>263</v>
      </c>
      <c r="L19" s="1593"/>
      <c r="N19" s="126"/>
    </row>
    <row r="20" spans="2:14">
      <c r="B20" s="402">
        <v>5</v>
      </c>
      <c r="C20" s="763">
        <v>4356755</v>
      </c>
      <c r="D20" s="1637">
        <f>PV($C$5,B20,,-C20)</f>
        <v>1745057.5019473666</v>
      </c>
      <c r="E20" s="1638"/>
      <c r="G20" s="126"/>
      <c r="I20" s="402">
        <v>5</v>
      </c>
      <c r="J20" s="763">
        <v>5888744</v>
      </c>
      <c r="K20" s="1637">
        <f>PV($J$5,I20,,-J20)</f>
        <v>2667904.8856642619</v>
      </c>
      <c r="L20" s="1638"/>
      <c r="N20" s="126"/>
    </row>
    <row r="21" spans="2:14">
      <c r="B21" s="140"/>
      <c r="C21" s="608"/>
      <c r="D21" s="608"/>
      <c r="E21" s="126"/>
      <c r="G21" s="613"/>
      <c r="H21" s="45"/>
      <c r="I21" s="140"/>
      <c r="J21" s="608"/>
      <c r="K21" s="608"/>
      <c r="L21" s="126"/>
      <c r="N21" s="613"/>
    </row>
    <row r="22" spans="2:14" ht="13" thickBot="1">
      <c r="B22" s="140"/>
      <c r="C22" s="608"/>
      <c r="D22" s="608"/>
      <c r="E22" s="126"/>
      <c r="G22" s="613"/>
      <c r="H22" s="45"/>
      <c r="I22" s="140"/>
      <c r="J22" s="608"/>
      <c r="K22" s="608"/>
      <c r="L22" s="126"/>
      <c r="N22" s="613"/>
    </row>
    <row r="23" spans="2:14" ht="13.5" thickBot="1">
      <c r="B23" s="1547" t="s">
        <v>1320</v>
      </c>
      <c r="C23" s="1536"/>
      <c r="D23" s="1536"/>
      <c r="E23" s="1534"/>
      <c r="G23" s="613"/>
      <c r="H23" s="45"/>
      <c r="I23" s="1547" t="s">
        <v>1320</v>
      </c>
      <c r="J23" s="1536"/>
      <c r="K23" s="1536"/>
      <c r="L23" s="1534"/>
      <c r="N23" s="613"/>
    </row>
    <row r="24" spans="2:14">
      <c r="B24" s="230"/>
      <c r="C24" s="122"/>
      <c r="D24" s="122"/>
      <c r="E24" s="123"/>
      <c r="G24" s="126"/>
      <c r="I24" s="230"/>
      <c r="J24" s="122"/>
      <c r="K24" s="122"/>
      <c r="L24" s="123"/>
      <c r="N24" s="126"/>
    </row>
    <row r="25" spans="2:14" ht="15.5">
      <c r="B25" s="124" t="s">
        <v>340</v>
      </c>
      <c r="C25" s="1184">
        <f>D16</f>
        <v>805035.65108802274</v>
      </c>
      <c r="D25" s="902">
        <f>C25/$C$27</f>
        <v>0.31568872302950368</v>
      </c>
      <c r="E25" s="126"/>
      <c r="G25" s="126"/>
      <c r="I25" s="124" t="s">
        <v>340</v>
      </c>
      <c r="J25" s="1184">
        <f>K16</f>
        <v>932095.44235687959</v>
      </c>
      <c r="K25" s="902">
        <f>J25/$J$27</f>
        <v>0.25891537706310058</v>
      </c>
      <c r="L25" s="126"/>
      <c r="N25" s="126"/>
    </row>
    <row r="26" spans="2:14" ht="15.5">
      <c r="B26" s="124" t="s">
        <v>341</v>
      </c>
      <c r="C26" s="583">
        <f>D20</f>
        <v>1745057.5019473666</v>
      </c>
      <c r="D26" s="903">
        <f>C26/$C$27</f>
        <v>0.68431127697049632</v>
      </c>
      <c r="E26" s="126"/>
      <c r="G26" s="126"/>
      <c r="I26" s="124" t="s">
        <v>341</v>
      </c>
      <c r="J26" s="583">
        <f>K20</f>
        <v>2667904.8856642619</v>
      </c>
      <c r="K26" s="903">
        <f>J26/$J$27</f>
        <v>0.74108462293689936</v>
      </c>
      <c r="L26" s="126"/>
      <c r="N26" s="126"/>
    </row>
    <row r="27" spans="2:14" ht="13.5" thickBot="1">
      <c r="B27" s="375" t="s">
        <v>342</v>
      </c>
      <c r="C27" s="1185">
        <f>SUM(C25:C26)</f>
        <v>2550093.1530353893</v>
      </c>
      <c r="D27" s="1193">
        <f>C27/$C$27</f>
        <v>1</v>
      </c>
      <c r="E27" s="135"/>
      <c r="G27" s="126"/>
      <c r="I27" s="375" t="s">
        <v>342</v>
      </c>
      <c r="J27" s="1185">
        <f>SUM(J25:J26)</f>
        <v>3600000.3280211417</v>
      </c>
      <c r="K27" s="1193">
        <f>J27/$J$27</f>
        <v>1</v>
      </c>
      <c r="L27" s="135"/>
      <c r="N27" s="126"/>
    </row>
    <row r="28" spans="2:14" ht="13" thickBot="1">
      <c r="B28" s="124"/>
      <c r="E28" s="126"/>
      <c r="G28" s="126"/>
      <c r="I28" s="124"/>
      <c r="L28" s="126"/>
      <c r="N28" s="126"/>
    </row>
    <row r="29" spans="2:14" ht="13.5" thickBot="1">
      <c r="B29" s="1547" t="s">
        <v>343</v>
      </c>
      <c r="C29" s="1536"/>
      <c r="D29" s="1536"/>
      <c r="E29" s="1534"/>
      <c r="G29" s="126"/>
      <c r="I29" s="1547" t="s">
        <v>343</v>
      </c>
      <c r="J29" s="1536"/>
      <c r="K29" s="1536"/>
      <c r="L29" s="1534"/>
      <c r="N29" s="126"/>
    </row>
    <row r="30" spans="2:14" ht="15">
      <c r="B30" s="1633" t="s">
        <v>344</v>
      </c>
      <c r="C30" s="1634"/>
      <c r="D30" s="386"/>
      <c r="E30" s="866">
        <f>C25/C27</f>
        <v>0.31568872302950368</v>
      </c>
      <c r="G30" s="126"/>
      <c r="I30" s="1633" t="s">
        <v>344</v>
      </c>
      <c r="J30" s="1634"/>
      <c r="K30" s="386"/>
      <c r="L30" s="866">
        <f>J25/J27</f>
        <v>0.25891537706310058</v>
      </c>
      <c r="N30" s="126"/>
    </row>
    <row r="31" spans="2:14" ht="15.5" thickBot="1">
      <c r="B31" s="1635" t="s">
        <v>345</v>
      </c>
      <c r="C31" s="1636"/>
      <c r="D31" s="65"/>
      <c r="E31" s="764">
        <f>C26/C27</f>
        <v>0.68431127697049632</v>
      </c>
      <c r="F31" s="375"/>
      <c r="G31" s="135"/>
      <c r="I31" s="1635" t="s">
        <v>345</v>
      </c>
      <c r="J31" s="1636"/>
      <c r="K31" s="65"/>
      <c r="L31" s="764">
        <f>J26/J27</f>
        <v>0.74108462293689936</v>
      </c>
      <c r="M31" s="375"/>
      <c r="N31" s="135"/>
    </row>
  </sheetData>
  <mergeCells count="36">
    <mergeCell ref="I31:J31"/>
    <mergeCell ref="K19:L19"/>
    <mergeCell ref="K20:L20"/>
    <mergeCell ref="I23:L23"/>
    <mergeCell ref="I29:L29"/>
    <mergeCell ref="I30:J30"/>
    <mergeCell ref="K13:L13"/>
    <mergeCell ref="K14:L14"/>
    <mergeCell ref="K15:L15"/>
    <mergeCell ref="K16:L16"/>
    <mergeCell ref="I18:L18"/>
    <mergeCell ref="D11:E11"/>
    <mergeCell ref="D12:E12"/>
    <mergeCell ref="I2:N2"/>
    <mergeCell ref="I3:N3"/>
    <mergeCell ref="I7:L7"/>
    <mergeCell ref="I9:L9"/>
    <mergeCell ref="K10:L10"/>
    <mergeCell ref="K11:L11"/>
    <mergeCell ref="K12:L12"/>
    <mergeCell ref="B30:C30"/>
    <mergeCell ref="B29:E29"/>
    <mergeCell ref="B23:E23"/>
    <mergeCell ref="B31:C31"/>
    <mergeCell ref="B2:G2"/>
    <mergeCell ref="B3:G3"/>
    <mergeCell ref="D10:E10"/>
    <mergeCell ref="B9:E9"/>
    <mergeCell ref="D20:E20"/>
    <mergeCell ref="B7:E7"/>
    <mergeCell ref="D14:E14"/>
    <mergeCell ref="D15:E15"/>
    <mergeCell ref="D16:E16"/>
    <mergeCell ref="D19:E19"/>
    <mergeCell ref="B18:E18"/>
    <mergeCell ref="D13:E13"/>
  </mergeCells>
  <phoneticPr fontId="4" type="noConversion"/>
  <pageMargins left="0.75" right="0.75" top="1" bottom="1" header="0.5" footer="0.5"/>
  <pageSetup orientation="portrait" r:id="rId1"/>
  <headerFooter alignWithMargins="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EBB901"/>
  </sheetPr>
  <dimension ref="A1:I40"/>
  <sheetViews>
    <sheetView zoomScaleNormal="100" workbookViewId="0">
      <selection activeCell="B3" sqref="B3:G3"/>
    </sheetView>
  </sheetViews>
  <sheetFormatPr defaultRowHeight="12.5"/>
  <cols>
    <col min="2" max="2" width="20" customWidth="1"/>
    <col min="3" max="3" width="17.26953125" customWidth="1"/>
    <col min="4" max="4" width="15.26953125" customWidth="1"/>
    <col min="5" max="5" width="21" customWidth="1"/>
    <col min="6" max="6" width="18" customWidth="1"/>
    <col min="7" max="7" width="18.81640625" customWidth="1"/>
    <col min="8" max="8" width="21.54296875" customWidth="1"/>
    <col min="9" max="9" width="11" customWidth="1"/>
  </cols>
  <sheetData>
    <row r="1" spans="1:9" ht="13" thickBot="1"/>
    <row r="2" spans="1:9" ht="18.5" thickBot="1">
      <c r="B2" s="1525" t="s">
        <v>1749</v>
      </c>
      <c r="C2" s="1557"/>
      <c r="D2" s="1557"/>
      <c r="E2" s="1557"/>
      <c r="F2" s="1557"/>
      <c r="G2" s="1558"/>
      <c r="H2" s="327"/>
      <c r="I2" s="327"/>
    </row>
    <row r="3" spans="1:9" ht="16" thickBot="1">
      <c r="A3" s="1" t="s">
        <v>1229</v>
      </c>
      <c r="B3" s="1528" t="s">
        <v>1748</v>
      </c>
      <c r="C3" s="1540"/>
      <c r="D3" s="1540"/>
      <c r="E3" s="1540"/>
      <c r="F3" s="1540"/>
      <c r="G3" s="1541"/>
    </row>
    <row r="4" spans="1:9" ht="13" thickBot="1">
      <c r="B4" s="433"/>
      <c r="G4" s="126"/>
    </row>
    <row r="5" spans="1:9" ht="13.5" thickBot="1">
      <c r="B5" s="1547" t="s">
        <v>358</v>
      </c>
      <c r="C5" s="1536"/>
      <c r="D5" s="1536"/>
      <c r="E5" s="1536"/>
      <c r="F5" s="1536"/>
      <c r="G5" s="1534"/>
    </row>
    <row r="6" spans="1:9" ht="15.5" thickBot="1">
      <c r="B6" s="157" t="s">
        <v>347</v>
      </c>
      <c r="C6" s="157" t="s">
        <v>348</v>
      </c>
      <c r="D6" s="157" t="s">
        <v>349</v>
      </c>
      <c r="E6" s="157" t="s">
        <v>350</v>
      </c>
      <c r="F6" s="157" t="s">
        <v>351</v>
      </c>
      <c r="G6" s="157" t="s">
        <v>1394</v>
      </c>
    </row>
    <row r="7" spans="1:9">
      <c r="B7" s="124" t="s">
        <v>352</v>
      </c>
      <c r="C7" s="601">
        <v>0.1</v>
      </c>
      <c r="D7" s="601">
        <v>0.25</v>
      </c>
      <c r="E7" s="602">
        <f>C7*D7</f>
        <v>2.5000000000000001E-2</v>
      </c>
      <c r="F7" s="602">
        <f>C7-$E$10</f>
        <v>-5.0000000000000017E-2</v>
      </c>
      <c r="G7" s="603">
        <f>D7*(F7)^2</f>
        <v>6.2500000000000045E-4</v>
      </c>
    </row>
    <row r="8" spans="1:9">
      <c r="B8" s="124" t="s">
        <v>353</v>
      </c>
      <c r="C8" s="604">
        <v>0.15</v>
      </c>
      <c r="D8" s="601">
        <v>0.5</v>
      </c>
      <c r="E8" s="602">
        <f>C8*D8</f>
        <v>7.4999999999999997E-2</v>
      </c>
      <c r="F8" s="602">
        <f>C8-$E$10</f>
        <v>0</v>
      </c>
      <c r="G8" s="603">
        <f>D8*(F8)^2</f>
        <v>0</v>
      </c>
    </row>
    <row r="9" spans="1:9" ht="13" thickBot="1">
      <c r="B9" s="134" t="s">
        <v>354</v>
      </c>
      <c r="C9" s="605">
        <v>0.2</v>
      </c>
      <c r="D9" s="605">
        <v>0.25</v>
      </c>
      <c r="E9" s="606">
        <f>C9*D9</f>
        <v>0.05</v>
      </c>
      <c r="F9" s="606">
        <f>C9-$E$10</f>
        <v>4.9999999999999989E-2</v>
      </c>
      <c r="G9" s="607">
        <f>D9*(F9)^2</f>
        <v>6.2499999999999969E-4</v>
      </c>
    </row>
    <row r="10" spans="1:9" ht="13.5" thickBot="1">
      <c r="B10" s="1642" t="s">
        <v>359</v>
      </c>
      <c r="C10" s="1643"/>
      <c r="D10" s="1643"/>
      <c r="E10" s="1349">
        <f>SUM(E7:E9)</f>
        <v>0.15000000000000002</v>
      </c>
      <c r="G10" s="126"/>
    </row>
    <row r="11" spans="1:9" ht="13">
      <c r="B11" s="124"/>
      <c r="F11" s="585"/>
      <c r="G11" s="126"/>
    </row>
    <row r="12" spans="1:9" ht="13.5" thickBot="1">
      <c r="B12" s="1642" t="s">
        <v>356</v>
      </c>
      <c r="C12" s="1643"/>
      <c r="D12" s="1643"/>
      <c r="F12" s="974"/>
      <c r="G12" s="977">
        <f>SUM(G7:G9)</f>
        <v>1.2500000000000002E-3</v>
      </c>
    </row>
    <row r="13" spans="1:9" ht="13.5" thickBot="1">
      <c r="B13" s="1642" t="s">
        <v>357</v>
      </c>
      <c r="C13" s="1643"/>
      <c r="D13" s="1643"/>
      <c r="F13" s="972"/>
      <c r="G13" s="1350">
        <f>SQRT(G12)</f>
        <v>3.5355339059327383E-2</v>
      </c>
    </row>
    <row r="14" spans="1:9" ht="13" thickBot="1">
      <c r="B14" s="433"/>
      <c r="G14" s="126"/>
    </row>
    <row r="15" spans="1:9" ht="13.5" thickBot="1">
      <c r="B15" s="1547" t="s">
        <v>346</v>
      </c>
      <c r="C15" s="1536"/>
      <c r="D15" s="1536"/>
      <c r="E15" s="1536"/>
      <c r="F15" s="1536"/>
      <c r="G15" s="1534"/>
    </row>
    <row r="16" spans="1:9" ht="15.5" thickBot="1">
      <c r="B16" s="157" t="s">
        <v>347</v>
      </c>
      <c r="C16" s="157" t="s">
        <v>348</v>
      </c>
      <c r="D16" s="157" t="s">
        <v>349</v>
      </c>
      <c r="E16" s="157" t="s">
        <v>350</v>
      </c>
      <c r="F16" s="157" t="s">
        <v>351</v>
      </c>
      <c r="G16" s="157" t="s">
        <v>1394</v>
      </c>
    </row>
    <row r="17" spans="2:8">
      <c r="B17" s="124" t="s">
        <v>352</v>
      </c>
      <c r="C17" s="600">
        <v>6.1699999999999998E-2</v>
      </c>
      <c r="D17" s="601">
        <v>0.25</v>
      </c>
      <c r="E17" s="602">
        <f>C17*D17</f>
        <v>1.5424999999999999E-2</v>
      </c>
      <c r="F17" s="602">
        <f>C17-$E$20</f>
        <v>-0.12352499999999997</v>
      </c>
      <c r="G17" s="603">
        <f>D17*(F17)^2</f>
        <v>3.814606406249998E-3</v>
      </c>
    </row>
    <row r="18" spans="2:8">
      <c r="B18" s="124" t="s">
        <v>353</v>
      </c>
      <c r="C18" s="609">
        <v>0.19639999999999999</v>
      </c>
      <c r="D18" s="601">
        <v>0.5</v>
      </c>
      <c r="E18" s="602">
        <f>C18*D18</f>
        <v>9.8199999999999996E-2</v>
      </c>
      <c r="F18" s="602">
        <f>C18-$E$20</f>
        <v>1.1175000000000018E-2</v>
      </c>
      <c r="G18" s="603">
        <f>D18*(F18)^2</f>
        <v>6.2440312500000207E-5</v>
      </c>
    </row>
    <row r="19" spans="2:8" ht="13" thickBot="1">
      <c r="B19" s="134" t="s">
        <v>354</v>
      </c>
      <c r="C19" s="610">
        <v>0.28639999999999999</v>
      </c>
      <c r="D19" s="605">
        <v>0.25</v>
      </c>
      <c r="E19" s="606">
        <f>C19*D19</f>
        <v>7.1599999999999997E-2</v>
      </c>
      <c r="F19" s="606">
        <f>C19-$E$20</f>
        <v>0.10117500000000001</v>
      </c>
      <c r="G19" s="607">
        <f>D19*(F19)^2</f>
        <v>2.5590951562500007E-3</v>
      </c>
    </row>
    <row r="20" spans="2:8" ht="13.5" thickBot="1">
      <c r="B20" s="1642" t="s">
        <v>355</v>
      </c>
      <c r="C20" s="1643"/>
      <c r="D20" s="1643"/>
      <c r="E20" s="1349">
        <f>SUM(E17:E19)</f>
        <v>0.18522499999999997</v>
      </c>
      <c r="G20" s="126"/>
    </row>
    <row r="21" spans="2:8" ht="13">
      <c r="B21" s="124"/>
      <c r="F21" s="585"/>
      <c r="G21" s="126"/>
    </row>
    <row r="22" spans="2:8" ht="13.5" thickBot="1">
      <c r="B22" s="1642" t="s">
        <v>356</v>
      </c>
      <c r="C22" s="1643"/>
      <c r="D22" s="1643"/>
      <c r="F22" s="973"/>
      <c r="G22" s="976">
        <f>SUM(G17:G19)</f>
        <v>6.4361418749999989E-3</v>
      </c>
    </row>
    <row r="23" spans="2:8" ht="13.5" thickBot="1">
      <c r="B23" s="1642" t="s">
        <v>357</v>
      </c>
      <c r="C23" s="1643"/>
      <c r="D23" s="1643"/>
      <c r="F23" s="972"/>
      <c r="G23" s="1350">
        <f>SQRT(G22)</f>
        <v>8.0225568710978912E-2</v>
      </c>
    </row>
    <row r="24" spans="2:8" ht="13" thickBot="1">
      <c r="B24" s="124"/>
      <c r="G24" s="126"/>
    </row>
    <row r="25" spans="2:8" ht="13.5" thickBot="1">
      <c r="B25" s="1547" t="s">
        <v>360</v>
      </c>
      <c r="C25" s="1536"/>
      <c r="D25" s="1536"/>
      <c r="E25" s="1536"/>
      <c r="F25" s="1536"/>
      <c r="G25" s="1534"/>
    </row>
    <row r="26" spans="2:8" ht="15.5" thickBot="1">
      <c r="B26" s="157" t="s">
        <v>347</v>
      </c>
      <c r="C26" s="157" t="s">
        <v>348</v>
      </c>
      <c r="D26" s="157" t="s">
        <v>349</v>
      </c>
      <c r="E26" s="157" t="s">
        <v>350</v>
      </c>
      <c r="F26" s="157" t="s">
        <v>351</v>
      </c>
      <c r="G26" s="157" t="s">
        <v>1394</v>
      </c>
    </row>
    <row r="27" spans="2:8">
      <c r="B27" s="124" t="s">
        <v>352</v>
      </c>
      <c r="C27" s="601">
        <v>0.05</v>
      </c>
      <c r="D27" s="601">
        <v>0.25</v>
      </c>
      <c r="E27" s="602">
        <f>C27*D27</f>
        <v>1.2500000000000001E-2</v>
      </c>
      <c r="F27" s="602">
        <f>C27-$E$30</f>
        <v>-0.15000000000000002</v>
      </c>
      <c r="G27" s="603">
        <f>D27*(F27)^2</f>
        <v>5.6250000000000015E-3</v>
      </c>
    </row>
    <row r="28" spans="2:8">
      <c r="B28" s="124" t="s">
        <v>353</v>
      </c>
      <c r="C28" s="604">
        <v>0.2</v>
      </c>
      <c r="D28" s="601">
        <v>0.5</v>
      </c>
      <c r="E28" s="602">
        <f>C28*D28</f>
        <v>0.1</v>
      </c>
      <c r="F28" s="602">
        <f>C28-$E$30</f>
        <v>0</v>
      </c>
      <c r="G28" s="603">
        <f>D28*(F28)^2</f>
        <v>0</v>
      </c>
    </row>
    <row r="29" spans="2:8" ht="13" thickBot="1">
      <c r="B29" s="134" t="s">
        <v>354</v>
      </c>
      <c r="C29" s="605">
        <v>0.35</v>
      </c>
      <c r="D29" s="605">
        <v>0.25</v>
      </c>
      <c r="E29" s="606">
        <f>C29*D29</f>
        <v>8.7499999999999994E-2</v>
      </c>
      <c r="F29" s="606">
        <f>C29-$E$30</f>
        <v>0.14999999999999997</v>
      </c>
      <c r="G29" s="607">
        <f>D29*(F29)^2</f>
        <v>5.6249999999999972E-3</v>
      </c>
      <c r="H29" s="584"/>
    </row>
    <row r="30" spans="2:8" ht="13.5" thickBot="1">
      <c r="B30" s="1642" t="s">
        <v>359</v>
      </c>
      <c r="C30" s="1643"/>
      <c r="D30" s="1643"/>
      <c r="E30" s="1349">
        <f>SUM(E27:E29)</f>
        <v>0.2</v>
      </c>
      <c r="F30" s="122"/>
      <c r="G30" s="123"/>
    </row>
    <row r="31" spans="2:8" ht="13">
      <c r="B31" s="124"/>
      <c r="F31" s="585"/>
      <c r="G31" s="126"/>
    </row>
    <row r="32" spans="2:8" ht="13.5" thickBot="1">
      <c r="B32" s="1642" t="s">
        <v>356</v>
      </c>
      <c r="C32" s="1643"/>
      <c r="D32" s="1643"/>
      <c r="F32" s="973"/>
      <c r="G32" s="976">
        <f>SUM(G27:G29)</f>
        <v>1.125E-2</v>
      </c>
    </row>
    <row r="33" spans="2:9" ht="13.5" thickBot="1">
      <c r="B33" s="1642" t="s">
        <v>357</v>
      </c>
      <c r="C33" s="1643"/>
      <c r="D33" s="1643"/>
      <c r="F33" s="972"/>
      <c r="G33" s="1350">
        <f>SQRT(G32)</f>
        <v>0.10606601717798213</v>
      </c>
    </row>
    <row r="34" spans="2:9" ht="13" thickBot="1">
      <c r="B34" s="124"/>
      <c r="G34" s="126"/>
    </row>
    <row r="35" spans="2:9" ht="13.5" thickBot="1">
      <c r="B35" s="1547" t="s">
        <v>361</v>
      </c>
      <c r="C35" s="1542"/>
      <c r="D35" s="1543"/>
      <c r="G35" s="126"/>
      <c r="I35" s="380"/>
    </row>
    <row r="36" spans="2:9" ht="13.5" thickBot="1">
      <c r="B36" s="197" t="s">
        <v>362</v>
      </c>
      <c r="C36" s="1183" t="s">
        <v>359</v>
      </c>
      <c r="D36" s="157" t="s">
        <v>1582</v>
      </c>
      <c r="E36" s="197" t="s">
        <v>1337</v>
      </c>
      <c r="F36" s="197" t="s">
        <v>1562</v>
      </c>
      <c r="G36" s="126"/>
    </row>
    <row r="37" spans="2:9" ht="13.5" thickBot="1">
      <c r="B37" s="1191" t="s">
        <v>251</v>
      </c>
      <c r="C37" s="1349">
        <f>E10</f>
        <v>0.15000000000000002</v>
      </c>
      <c r="D37" s="1350">
        <f>G13</f>
        <v>3.5355339059327383E-2</v>
      </c>
      <c r="E37" s="1151">
        <f>D37/C37</f>
        <v>0.23570226039551584</v>
      </c>
      <c r="F37" s="1151">
        <f>(C37-0.04)/D37</f>
        <v>3.1112698372208087</v>
      </c>
      <c r="G37" s="126"/>
    </row>
    <row r="38" spans="2:9" ht="13.5" thickBot="1">
      <c r="B38" s="1191" t="s">
        <v>249</v>
      </c>
      <c r="C38" s="1349">
        <f>E20</f>
        <v>0.18522499999999997</v>
      </c>
      <c r="D38" s="1350">
        <f>G23</f>
        <v>8.0225568710978912E-2</v>
      </c>
      <c r="E38" s="1151">
        <f>D38/C38</f>
        <v>0.43312494917521349</v>
      </c>
      <c r="F38" s="1151">
        <f t="shared" ref="F38:F39" si="0">(C38-0.04)/D38</f>
        <v>1.8102084202505111</v>
      </c>
      <c r="G38" s="126"/>
    </row>
    <row r="39" spans="2:9" ht="13.5" thickBot="1">
      <c r="B39" s="1192" t="s">
        <v>360</v>
      </c>
      <c r="C39" s="1349">
        <f>E30</f>
        <v>0.2</v>
      </c>
      <c r="D39" s="1350">
        <f>G33</f>
        <v>0.10606601717798213</v>
      </c>
      <c r="E39" s="1151">
        <f>D39/C39</f>
        <v>0.5303300858899106</v>
      </c>
      <c r="F39" s="1151">
        <f t="shared" si="0"/>
        <v>1.5084944665313014</v>
      </c>
      <c r="G39" s="126"/>
    </row>
    <row r="40" spans="2:9" ht="13" thickBot="1">
      <c r="B40" s="134"/>
      <c r="C40" s="4"/>
      <c r="D40" s="4"/>
      <c r="E40" s="1284" t="s">
        <v>1338</v>
      </c>
      <c r="F40" s="1284" t="s">
        <v>1563</v>
      </c>
      <c r="G40" s="135"/>
    </row>
  </sheetData>
  <mergeCells count="15">
    <mergeCell ref="B33:D33"/>
    <mergeCell ref="B35:D35"/>
    <mergeCell ref="B10:D10"/>
    <mergeCell ref="B12:D12"/>
    <mergeCell ref="B13:D13"/>
    <mergeCell ref="B25:G25"/>
    <mergeCell ref="B30:D30"/>
    <mergeCell ref="B32:D32"/>
    <mergeCell ref="B22:D22"/>
    <mergeCell ref="B23:D23"/>
    <mergeCell ref="B5:G5"/>
    <mergeCell ref="B2:G2"/>
    <mergeCell ref="B3:G3"/>
    <mergeCell ref="B15:G15"/>
    <mergeCell ref="B20:D20"/>
  </mergeCells>
  <pageMargins left="0.75" right="0.75" top="1" bottom="1" header="0.5" footer="0.5"/>
  <pageSetup orientation="portrait" r:id="rId1"/>
  <headerFooter alignWithMargins="0"/>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K109"/>
  <sheetViews>
    <sheetView workbookViewId="0"/>
  </sheetViews>
  <sheetFormatPr defaultRowHeight="12.5"/>
  <cols>
    <col min="2" max="2" width="12.7265625" customWidth="1"/>
    <col min="3" max="3" width="14.26953125" customWidth="1"/>
    <col min="4" max="4" width="16.26953125" customWidth="1"/>
    <col min="5" max="5" width="15.1796875" customWidth="1"/>
    <col min="6" max="6" width="11.81640625" customWidth="1"/>
    <col min="7" max="7" width="15.26953125" customWidth="1"/>
    <col min="8" max="8" width="20.1796875" customWidth="1"/>
    <col min="9" max="9" width="10.1796875" bestFit="1" customWidth="1"/>
    <col min="10" max="10" width="9.26953125" bestFit="1" customWidth="1"/>
    <col min="11" max="11" width="11.26953125" bestFit="1" customWidth="1"/>
  </cols>
  <sheetData>
    <row r="1" spans="2:10" ht="13" thickBot="1"/>
    <row r="2" spans="2:10" ht="18.5" thickBot="1">
      <c r="B2" s="1525" t="s">
        <v>1007</v>
      </c>
      <c r="C2" s="1557"/>
      <c r="D2" s="1557"/>
      <c r="E2" s="1557"/>
      <c r="F2" s="1557"/>
      <c r="G2" s="1557"/>
      <c r="H2" s="1536"/>
      <c r="I2" s="1536"/>
      <c r="J2" s="1534"/>
    </row>
    <row r="3" spans="2:10" ht="16" thickBot="1">
      <c r="B3" s="1528" t="s">
        <v>1336</v>
      </c>
      <c r="C3" s="1540"/>
      <c r="D3" s="1540"/>
      <c r="E3" s="1540"/>
      <c r="F3" s="1540"/>
      <c r="G3" s="1540"/>
      <c r="H3" s="1540"/>
      <c r="I3" s="1540"/>
      <c r="J3" s="1541"/>
    </row>
    <row r="4" spans="2:10" ht="16" thickBot="1">
      <c r="B4" s="871"/>
      <c r="C4" s="872"/>
      <c r="D4" s="872"/>
      <c r="E4" s="872"/>
      <c r="F4" s="872"/>
      <c r="G4" s="872"/>
      <c r="H4" s="872"/>
      <c r="I4" s="872"/>
      <c r="J4" s="873"/>
    </row>
    <row r="5" spans="2:10" ht="16" thickBot="1">
      <c r="B5" s="1528" t="s">
        <v>1321</v>
      </c>
      <c r="C5" s="1540"/>
      <c r="D5" s="1540"/>
      <c r="E5" s="1540"/>
      <c r="F5" s="1540"/>
      <c r="G5" s="1540"/>
      <c r="H5" s="1540"/>
      <c r="I5" s="1540"/>
      <c r="J5" s="1541"/>
    </row>
    <row r="6" spans="2:10" ht="13" thickBot="1">
      <c r="B6" s="124"/>
      <c r="J6" s="126"/>
    </row>
    <row r="7" spans="2:10" ht="13.5" thickBot="1">
      <c r="B7" s="1547" t="s">
        <v>352</v>
      </c>
      <c r="C7" s="1538"/>
      <c r="D7" s="1538"/>
      <c r="E7" s="1538"/>
      <c r="F7" s="1538"/>
      <c r="G7" s="1538"/>
      <c r="H7" s="1538"/>
      <c r="I7" s="1539"/>
      <c r="J7" s="126"/>
    </row>
    <row r="8" spans="2:10" ht="13.5" thickBot="1">
      <c r="B8" s="157" t="s">
        <v>262</v>
      </c>
      <c r="C8" s="157">
        <v>0</v>
      </c>
      <c r="D8" s="157">
        <f t="shared" ref="D8:I8" si="0">1+C8</f>
        <v>1</v>
      </c>
      <c r="E8" s="157">
        <f t="shared" si="0"/>
        <v>2</v>
      </c>
      <c r="F8" s="157">
        <f t="shared" si="0"/>
        <v>3</v>
      </c>
      <c r="G8" s="157">
        <f t="shared" si="0"/>
        <v>4</v>
      </c>
      <c r="H8" s="157">
        <f t="shared" si="0"/>
        <v>5</v>
      </c>
      <c r="I8" s="157">
        <f t="shared" si="0"/>
        <v>6</v>
      </c>
      <c r="J8" s="126"/>
    </row>
    <row r="9" spans="2:10">
      <c r="B9" s="124" t="s">
        <v>48</v>
      </c>
      <c r="C9" s="231">
        <v>-100000</v>
      </c>
      <c r="D9" s="231"/>
      <c r="E9" s="231"/>
      <c r="F9" s="231"/>
      <c r="G9" s="231"/>
      <c r="H9" s="231"/>
      <c r="I9" s="256"/>
      <c r="J9" s="126"/>
    </row>
    <row r="10" spans="2:10">
      <c r="B10" s="124" t="s">
        <v>335</v>
      </c>
      <c r="C10" s="231"/>
      <c r="D10" s="231">
        <v>9000</v>
      </c>
      <c r="E10" s="231">
        <f>D10*(1-0.03)</f>
        <v>8730</v>
      </c>
      <c r="F10" s="231">
        <f>E10*(1-0.03)</f>
        <v>8468.1</v>
      </c>
      <c r="G10" s="231">
        <f>F10*(1-0.03)</f>
        <v>8214.0570000000007</v>
      </c>
      <c r="H10" s="231">
        <f>G10*(1-0.03)</f>
        <v>7967.6352900000002</v>
      </c>
      <c r="I10" s="256">
        <f>H10*(1-0.03)</f>
        <v>7728.6062313000002</v>
      </c>
      <c r="J10" s="126"/>
    </row>
    <row r="11" spans="2:10">
      <c r="B11" s="124" t="s">
        <v>655</v>
      </c>
      <c r="C11" s="231"/>
      <c r="D11" s="231"/>
      <c r="E11" s="231"/>
      <c r="F11" s="231"/>
      <c r="G11" s="231"/>
      <c r="H11" s="231">
        <f>I10/0.1</f>
        <v>77286.062313000002</v>
      </c>
      <c r="I11" s="256"/>
      <c r="J11" s="126"/>
    </row>
    <row r="12" spans="2:10">
      <c r="B12" s="124" t="s">
        <v>49</v>
      </c>
      <c r="C12" s="231">
        <f>C9</f>
        <v>-100000</v>
      </c>
      <c r="D12" s="231">
        <f>D10</f>
        <v>9000</v>
      </c>
      <c r="E12" s="231">
        <f>E10</f>
        <v>8730</v>
      </c>
      <c r="F12" s="231">
        <f>F10</f>
        <v>8468.1</v>
      </c>
      <c r="G12" s="231">
        <f>G10</f>
        <v>8214.0570000000007</v>
      </c>
      <c r="H12" s="231">
        <f>H10+H11</f>
        <v>85253.697603000008</v>
      </c>
      <c r="I12" s="256"/>
      <c r="J12" s="126"/>
    </row>
    <row r="13" spans="2:10">
      <c r="B13" s="124"/>
      <c r="I13" s="126"/>
      <c r="J13" s="126"/>
    </row>
    <row r="14" spans="2:10" ht="13" thickBot="1">
      <c r="B14" s="134" t="s">
        <v>903</v>
      </c>
      <c r="C14" s="867">
        <f>IRR(C12:H12)</f>
        <v>4.3319570662779805E-2</v>
      </c>
      <c r="D14" s="4"/>
      <c r="E14" s="4"/>
      <c r="F14" s="4"/>
      <c r="G14" s="4"/>
      <c r="H14" s="4"/>
      <c r="I14" s="135"/>
      <c r="J14" s="126"/>
    </row>
    <row r="15" spans="2:10" ht="13" thickBot="1">
      <c r="B15" s="124"/>
      <c r="J15" s="126"/>
    </row>
    <row r="16" spans="2:10" ht="13.5" thickBot="1">
      <c r="B16" s="1547" t="s">
        <v>353</v>
      </c>
      <c r="C16" s="1538"/>
      <c r="D16" s="1538"/>
      <c r="E16" s="1538"/>
      <c r="F16" s="1538"/>
      <c r="G16" s="1538"/>
      <c r="H16" s="1538"/>
      <c r="I16" s="1539"/>
      <c r="J16" s="126"/>
    </row>
    <row r="17" spans="2:10" ht="13.5" thickBot="1">
      <c r="B17" s="157" t="s">
        <v>262</v>
      </c>
      <c r="C17" s="157">
        <v>0</v>
      </c>
      <c r="D17" s="157">
        <f t="shared" ref="D17:I17" si="1">1+C17</f>
        <v>1</v>
      </c>
      <c r="E17" s="157">
        <f t="shared" si="1"/>
        <v>2</v>
      </c>
      <c r="F17" s="157">
        <f t="shared" si="1"/>
        <v>3</v>
      </c>
      <c r="G17" s="157">
        <f t="shared" si="1"/>
        <v>4</v>
      </c>
      <c r="H17" s="157">
        <f t="shared" si="1"/>
        <v>5</v>
      </c>
      <c r="I17" s="157">
        <f t="shared" si="1"/>
        <v>6</v>
      </c>
      <c r="J17" s="126"/>
    </row>
    <row r="18" spans="2:10">
      <c r="B18" s="124" t="s">
        <v>48</v>
      </c>
      <c r="C18" s="231">
        <v>-100000</v>
      </c>
      <c r="D18" s="231"/>
      <c r="E18" s="231"/>
      <c r="F18" s="231"/>
      <c r="G18" s="231"/>
      <c r="H18" s="231"/>
      <c r="I18" s="256"/>
      <c r="J18" s="126"/>
    </row>
    <row r="19" spans="2:10">
      <c r="B19" s="124" t="s">
        <v>335</v>
      </c>
      <c r="C19" s="231"/>
      <c r="D19" s="231">
        <v>9000</v>
      </c>
      <c r="E19" s="231">
        <f>D19*1</f>
        <v>9000</v>
      </c>
      <c r="F19" s="231">
        <f>E19*1</f>
        <v>9000</v>
      </c>
      <c r="G19" s="231">
        <f>F19*1</f>
        <v>9000</v>
      </c>
      <c r="H19" s="231">
        <f>G19*1</f>
        <v>9000</v>
      </c>
      <c r="I19" s="256">
        <f>H19*1</f>
        <v>9000</v>
      </c>
      <c r="J19" s="126"/>
    </row>
    <row r="20" spans="2:10">
      <c r="B20" s="124" t="s">
        <v>655</v>
      </c>
      <c r="C20" s="231"/>
      <c r="D20" s="231"/>
      <c r="E20" s="231"/>
      <c r="F20" s="231"/>
      <c r="G20" s="231"/>
      <c r="H20" s="231">
        <f>I19/0.1</f>
        <v>90000</v>
      </c>
      <c r="I20" s="256"/>
      <c r="J20" s="126"/>
    </row>
    <row r="21" spans="2:10">
      <c r="B21" s="124" t="s">
        <v>49</v>
      </c>
      <c r="C21" s="231">
        <f>C18</f>
        <v>-100000</v>
      </c>
      <c r="D21" s="231">
        <f>D19</f>
        <v>9000</v>
      </c>
      <c r="E21" s="231">
        <f>E19</f>
        <v>9000</v>
      </c>
      <c r="F21" s="231">
        <f>F19</f>
        <v>9000</v>
      </c>
      <c r="G21" s="231">
        <f>G19</f>
        <v>9000</v>
      </c>
      <c r="H21" s="231">
        <f>H19+H20</f>
        <v>99000</v>
      </c>
      <c r="I21" s="256"/>
      <c r="J21" s="126"/>
    </row>
    <row r="22" spans="2:10">
      <c r="B22" s="124"/>
      <c r="I22" s="126"/>
      <c r="J22" s="126"/>
    </row>
    <row r="23" spans="2:10" ht="13" thickBot="1">
      <c r="B23" s="134" t="s">
        <v>903</v>
      </c>
      <c r="C23" s="867">
        <f>IRR(C21:H21)</f>
        <v>7.2704509832818287E-2</v>
      </c>
      <c r="D23" s="4"/>
      <c r="E23" s="4"/>
      <c r="F23" s="4"/>
      <c r="G23" s="4"/>
      <c r="H23" s="4"/>
      <c r="I23" s="135"/>
      <c r="J23" s="126"/>
    </row>
    <row r="24" spans="2:10" ht="13" thickBot="1">
      <c r="B24" s="124"/>
      <c r="J24" s="126"/>
    </row>
    <row r="25" spans="2:10" ht="13.5" thickBot="1">
      <c r="B25" s="1547" t="s">
        <v>354</v>
      </c>
      <c r="C25" s="1538"/>
      <c r="D25" s="1538"/>
      <c r="E25" s="1538"/>
      <c r="F25" s="1538"/>
      <c r="G25" s="1538"/>
      <c r="H25" s="1538"/>
      <c r="I25" s="1539"/>
      <c r="J25" s="126"/>
    </row>
    <row r="26" spans="2:10" ht="13.5" thickBot="1">
      <c r="B26" s="157" t="s">
        <v>262</v>
      </c>
      <c r="C26" s="157">
        <v>0</v>
      </c>
      <c r="D26" s="157">
        <f t="shared" ref="D26:I26" si="2">1+C26</f>
        <v>1</v>
      </c>
      <c r="E26" s="157">
        <f t="shared" si="2"/>
        <v>2</v>
      </c>
      <c r="F26" s="157">
        <f t="shared" si="2"/>
        <v>3</v>
      </c>
      <c r="G26" s="157">
        <f t="shared" si="2"/>
        <v>4</v>
      </c>
      <c r="H26" s="157">
        <f t="shared" si="2"/>
        <v>5</v>
      </c>
      <c r="I26" s="157">
        <f t="shared" si="2"/>
        <v>6</v>
      </c>
      <c r="J26" s="126"/>
    </row>
    <row r="27" spans="2:10">
      <c r="B27" s="124" t="s">
        <v>48</v>
      </c>
      <c r="C27" s="231">
        <v>-100000</v>
      </c>
      <c r="D27" s="231"/>
      <c r="E27" s="231"/>
      <c r="F27" s="231"/>
      <c r="G27" s="231"/>
      <c r="H27" s="231"/>
      <c r="I27" s="256"/>
      <c r="J27" s="126"/>
    </row>
    <row r="28" spans="2:10">
      <c r="B28" s="124" t="s">
        <v>335</v>
      </c>
      <c r="C28" s="231"/>
      <c r="D28" s="231">
        <v>9000</v>
      </c>
      <c r="E28" s="231">
        <f>D28*1.03</f>
        <v>9270</v>
      </c>
      <c r="F28" s="231">
        <f>E28*1.03</f>
        <v>9548.1</v>
      </c>
      <c r="G28" s="231">
        <f>F28*1.03</f>
        <v>9834.5430000000015</v>
      </c>
      <c r="H28" s="231">
        <f>G28*1.03</f>
        <v>10129.579290000001</v>
      </c>
      <c r="I28" s="256">
        <f>H28*1.03</f>
        <v>10433.466668700003</v>
      </c>
      <c r="J28" s="126"/>
    </row>
    <row r="29" spans="2:10">
      <c r="B29" s="124" t="s">
        <v>655</v>
      </c>
      <c r="C29" s="231"/>
      <c r="D29" s="231"/>
      <c r="E29" s="231"/>
      <c r="F29" s="231"/>
      <c r="G29" s="231"/>
      <c r="H29" s="231">
        <f>I28/0.1</f>
        <v>104334.66668700002</v>
      </c>
      <c r="I29" s="256"/>
      <c r="J29" s="126"/>
    </row>
    <row r="30" spans="2:10">
      <c r="B30" s="124" t="s">
        <v>49</v>
      </c>
      <c r="C30" s="231">
        <f>C27</f>
        <v>-100000</v>
      </c>
      <c r="D30" s="231">
        <f>D28</f>
        <v>9000</v>
      </c>
      <c r="E30" s="231">
        <f>E28</f>
        <v>9270</v>
      </c>
      <c r="F30" s="231">
        <f>F28</f>
        <v>9548.1</v>
      </c>
      <c r="G30" s="231">
        <f>G28</f>
        <v>9834.5430000000015</v>
      </c>
      <c r="H30" s="231">
        <f>H28+H29</f>
        <v>114464.24597700001</v>
      </c>
      <c r="I30" s="256"/>
      <c r="J30" s="126"/>
    </row>
    <row r="31" spans="2:10">
      <c r="B31" s="124"/>
      <c r="I31" s="126"/>
      <c r="J31" s="126"/>
    </row>
    <row r="32" spans="2:10" ht="13" thickBot="1">
      <c r="B32" s="134" t="s">
        <v>903</v>
      </c>
      <c r="C32" s="867">
        <f>IRR(C30:H30)</f>
        <v>0.10208887236504038</v>
      </c>
      <c r="D32" s="4"/>
      <c r="E32" s="4"/>
      <c r="F32" s="4"/>
      <c r="G32" s="4"/>
      <c r="H32" s="4"/>
      <c r="I32" s="135"/>
      <c r="J32" s="126"/>
    </row>
    <row r="33" spans="2:10">
      <c r="B33" s="124"/>
      <c r="J33" s="126"/>
    </row>
    <row r="34" spans="2:10">
      <c r="B34" s="124"/>
      <c r="J34" s="126"/>
    </row>
    <row r="35" spans="2:10" ht="13" thickBot="1">
      <c r="B35" s="433"/>
      <c r="J35" s="126"/>
    </row>
    <row r="36" spans="2:10" ht="13.5" thickBot="1">
      <c r="B36" s="1547" t="s">
        <v>1583</v>
      </c>
      <c r="C36" s="1584"/>
      <c r="D36" s="1584"/>
      <c r="E36" s="1584"/>
      <c r="F36" s="1584"/>
      <c r="G36" s="1584"/>
      <c r="H36" s="1585"/>
      <c r="I36" s="380"/>
      <c r="J36" s="126"/>
    </row>
    <row r="37" spans="2:10" ht="15.5" thickBot="1">
      <c r="B37" s="196" t="s">
        <v>347</v>
      </c>
      <c r="C37" s="196" t="s">
        <v>348</v>
      </c>
      <c r="D37" s="196" t="s">
        <v>349</v>
      </c>
      <c r="E37" s="1562" t="s">
        <v>350</v>
      </c>
      <c r="F37" s="1563"/>
      <c r="G37" s="196" t="s">
        <v>351</v>
      </c>
      <c r="H37" s="196" t="s">
        <v>50</v>
      </c>
      <c r="I37" s="10"/>
      <c r="J37" s="616"/>
    </row>
    <row r="38" spans="2:10">
      <c r="B38" s="124" t="s">
        <v>352</v>
      </c>
      <c r="C38" s="868">
        <f>C14</f>
        <v>4.3319570662779805E-2</v>
      </c>
      <c r="D38" s="601">
        <v>0.3</v>
      </c>
      <c r="E38" s="1644">
        <f>C38*D38</f>
        <v>1.2995871198833941E-2</v>
      </c>
      <c r="F38" s="1644"/>
      <c r="G38" s="602">
        <f>C38-$E$42</f>
        <v>-2.6446329925471357E-2</v>
      </c>
      <c r="H38" s="614">
        <f>D38*(G38)^2</f>
        <v>2.0982250995806454E-4</v>
      </c>
      <c r="I38" s="602"/>
      <c r="J38" s="126"/>
    </row>
    <row r="39" spans="2:10">
      <c r="B39" s="124" t="s">
        <v>353</v>
      </c>
      <c r="C39" s="869">
        <f>C23</f>
        <v>7.2704509832818287E-2</v>
      </c>
      <c r="D39" s="601">
        <v>0.5</v>
      </c>
      <c r="E39" s="1644">
        <f>C39*D39</f>
        <v>3.6352254916409144E-2</v>
      </c>
      <c r="F39" s="1644"/>
      <c r="G39" s="602">
        <f>C39-$E$42</f>
        <v>2.9386092445671252E-3</v>
      </c>
      <c r="H39" s="614">
        <f>D39*(G39)^2</f>
        <v>4.3177121461276851E-6</v>
      </c>
      <c r="I39" s="602"/>
      <c r="J39" s="126"/>
    </row>
    <row r="40" spans="2:10" ht="13" thickBot="1">
      <c r="B40" s="134" t="s">
        <v>354</v>
      </c>
      <c r="C40" s="870">
        <f>C32</f>
        <v>0.10208887236504038</v>
      </c>
      <c r="D40" s="605">
        <v>0.2</v>
      </c>
      <c r="E40" s="1645">
        <f>C40*D40</f>
        <v>2.0417774473008077E-2</v>
      </c>
      <c r="F40" s="1645"/>
      <c r="G40" s="606">
        <f>C40-$E$42</f>
        <v>3.2322971776789222E-2</v>
      </c>
      <c r="H40" s="615">
        <f>D40*(G40)^2</f>
        <v>2.0895490089662254E-4</v>
      </c>
      <c r="I40" s="602"/>
      <c r="J40" s="126"/>
    </row>
    <row r="41" spans="2:10" ht="13" thickBot="1">
      <c r="B41" s="124"/>
      <c r="J41" s="126"/>
    </row>
    <row r="42" spans="2:10" ht="13.5" thickBot="1">
      <c r="B42" s="1642" t="s">
        <v>355</v>
      </c>
      <c r="C42" s="1643"/>
      <c r="D42" s="1643"/>
      <c r="E42" s="269">
        <f>SUM(E38:F40)</f>
        <v>6.9765900588251162E-2</v>
      </c>
      <c r="J42" s="126"/>
    </row>
    <row r="43" spans="2:10" ht="13.5" thickBot="1">
      <c r="B43" s="1642" t="s">
        <v>356</v>
      </c>
      <c r="C43" s="1643"/>
      <c r="D43" s="1643"/>
      <c r="E43" s="269">
        <f>SUM(H38:I40)</f>
        <v>4.2309512300081479E-4</v>
      </c>
      <c r="J43" s="126"/>
    </row>
    <row r="44" spans="2:10" ht="13.5" thickBot="1">
      <c r="B44" s="1642" t="s">
        <v>357</v>
      </c>
      <c r="C44" s="1643"/>
      <c r="D44" s="1643"/>
      <c r="E44" s="269">
        <f>SQRT(E43)</f>
        <v>2.0569276190493792E-2</v>
      </c>
      <c r="J44" s="126"/>
    </row>
    <row r="45" spans="2:10" ht="13" thickBot="1">
      <c r="B45" s="124"/>
      <c r="J45" s="126"/>
    </row>
    <row r="46" spans="2:10" ht="16" thickBot="1">
      <c r="B46" s="1528" t="s">
        <v>1234</v>
      </c>
      <c r="C46" s="1540"/>
      <c r="D46" s="1540"/>
      <c r="E46" s="1540"/>
      <c r="F46" s="1540"/>
      <c r="G46" s="1540"/>
      <c r="H46" s="1540"/>
      <c r="I46" s="1540"/>
      <c r="J46" s="1541"/>
    </row>
    <row r="47" spans="2:10">
      <c r="B47" s="230" t="s">
        <v>51</v>
      </c>
      <c r="C47" s="617">
        <v>0.7</v>
      </c>
      <c r="D47" s="123"/>
      <c r="J47" s="126"/>
    </row>
    <row r="48" spans="2:10">
      <c r="B48" s="124" t="s">
        <v>571</v>
      </c>
      <c r="C48" s="285">
        <v>0.06</v>
      </c>
      <c r="D48" s="126"/>
      <c r="J48" s="126"/>
    </row>
    <row r="49" spans="2:11" ht="13" thickBot="1">
      <c r="B49" s="134" t="s">
        <v>371</v>
      </c>
      <c r="C49" s="286">
        <v>25</v>
      </c>
      <c r="D49" s="135" t="s">
        <v>52</v>
      </c>
      <c r="J49" s="126"/>
    </row>
    <row r="50" spans="2:11">
      <c r="B50" s="124"/>
      <c r="J50" s="126"/>
    </row>
    <row r="51" spans="2:11" ht="13" thickBot="1">
      <c r="B51" s="124"/>
      <c r="J51" s="126"/>
    </row>
    <row r="52" spans="2:11" ht="13.5" thickBot="1">
      <c r="B52" s="1547" t="s">
        <v>352</v>
      </c>
      <c r="C52" s="1538"/>
      <c r="D52" s="1538"/>
      <c r="E52" s="1538"/>
      <c r="F52" s="1538"/>
      <c r="G52" s="1538"/>
      <c r="H52" s="1538"/>
      <c r="I52" s="1539"/>
      <c r="J52" s="126"/>
    </row>
    <row r="53" spans="2:11" ht="13.5" thickBot="1">
      <c r="B53" s="157" t="s">
        <v>262</v>
      </c>
      <c r="C53" s="157">
        <v>0</v>
      </c>
      <c r="D53" s="157">
        <f t="shared" ref="D53:I53" si="3">1+C53</f>
        <v>1</v>
      </c>
      <c r="E53" s="157">
        <f t="shared" si="3"/>
        <v>2</v>
      </c>
      <c r="F53" s="157">
        <f t="shared" si="3"/>
        <v>3</v>
      </c>
      <c r="G53" s="157">
        <f t="shared" si="3"/>
        <v>4</v>
      </c>
      <c r="H53" s="157">
        <f t="shared" si="3"/>
        <v>5</v>
      </c>
      <c r="I53" s="157">
        <f t="shared" si="3"/>
        <v>6</v>
      </c>
      <c r="J53" s="126"/>
    </row>
    <row r="54" spans="2:11">
      <c r="B54" s="124" t="s">
        <v>48</v>
      </c>
      <c r="C54" s="231">
        <v>-100000</v>
      </c>
      <c r="D54" s="231"/>
      <c r="E54" s="231"/>
      <c r="F54" s="231"/>
      <c r="G54" s="231"/>
      <c r="H54" s="231"/>
      <c r="I54" s="126"/>
      <c r="J54" s="126"/>
    </row>
    <row r="55" spans="2:11">
      <c r="B55" s="124" t="s">
        <v>381</v>
      </c>
      <c r="C55" s="231">
        <f>-C47*C9</f>
        <v>70000</v>
      </c>
      <c r="D55" s="231"/>
      <c r="E55" s="231"/>
      <c r="F55" s="231"/>
      <c r="G55" s="231"/>
      <c r="H55" s="231"/>
      <c r="I55" s="126"/>
      <c r="J55" s="126"/>
    </row>
    <row r="56" spans="2:11">
      <c r="B56" s="124" t="s">
        <v>335</v>
      </c>
      <c r="C56" s="231"/>
      <c r="D56" s="231">
        <f>D10</f>
        <v>9000</v>
      </c>
      <c r="E56" s="231">
        <f>D56*(1-0.03)</f>
        <v>8730</v>
      </c>
      <c r="F56" s="231">
        <f>E56*(1-0.03)</f>
        <v>8468.1</v>
      </c>
      <c r="G56" s="231">
        <f>F56*(1-0.03)</f>
        <v>8214.0570000000007</v>
      </c>
      <c r="H56" s="231">
        <f>G56*(1-0.03)</f>
        <v>7967.6352900000002</v>
      </c>
      <c r="I56" s="256">
        <f>H56*(1-0.03)</f>
        <v>7728.6062313000002</v>
      </c>
      <c r="J56" s="126"/>
    </row>
    <row r="57" spans="2:11">
      <c r="B57" s="124" t="s">
        <v>209</v>
      </c>
      <c r="C57" s="231"/>
      <c r="D57" s="231">
        <f>PMT(C48,C49,C55)</f>
        <v>-5475.8702748591795</v>
      </c>
      <c r="E57" s="231">
        <f>D57</f>
        <v>-5475.8702748591795</v>
      </c>
      <c r="F57" s="231">
        <f>E57</f>
        <v>-5475.8702748591795</v>
      </c>
      <c r="G57" s="231">
        <f>F57</f>
        <v>-5475.8702748591795</v>
      </c>
      <c r="H57" s="231">
        <f>G57</f>
        <v>-5475.8702748591795</v>
      </c>
      <c r="I57" s="126"/>
      <c r="J57" s="126"/>
    </row>
    <row r="58" spans="2:11">
      <c r="B58" s="124" t="s">
        <v>655</v>
      </c>
      <c r="C58" s="231"/>
      <c r="D58" s="231"/>
      <c r="E58" s="231"/>
      <c r="F58" s="231"/>
      <c r="G58" s="231"/>
      <c r="H58" s="231">
        <f>I56/0.1</f>
        <v>77286.062313000002</v>
      </c>
      <c r="I58" s="126"/>
      <c r="J58" s="126"/>
      <c r="K58" s="54" t="s">
        <v>1235</v>
      </c>
    </row>
    <row r="59" spans="2:11">
      <c r="B59" s="124" t="s">
        <v>459</v>
      </c>
      <c r="C59" s="231"/>
      <c r="D59" s="231"/>
      <c r="E59" s="231"/>
      <c r="F59" s="231"/>
      <c r="G59" s="231"/>
      <c r="H59" s="231">
        <f>-D57/PMT(C48,C49-H53,1)</f>
        <v>-62807.800655718071</v>
      </c>
      <c r="I59" s="126"/>
      <c r="J59" s="126"/>
      <c r="K59" s="139">
        <f>PV(C$48,C49-H53,-D57)</f>
        <v>-62807.800655718107</v>
      </c>
    </row>
    <row r="60" spans="2:11">
      <c r="B60" s="124" t="s">
        <v>49</v>
      </c>
      <c r="C60" s="231">
        <f>C54+C55</f>
        <v>-30000</v>
      </c>
      <c r="D60" s="231">
        <f>D56+D57</f>
        <v>3524.1297251408205</v>
      </c>
      <c r="E60" s="231">
        <f>E56+E57</f>
        <v>3254.1297251408205</v>
      </c>
      <c r="F60" s="231">
        <f>F56+F57</f>
        <v>2992.2297251408208</v>
      </c>
      <c r="G60" s="231">
        <f>G56+G57</f>
        <v>2738.1867251408212</v>
      </c>
      <c r="H60" s="231">
        <f>H56+H57+H58+H59</f>
        <v>16970.026672422748</v>
      </c>
      <c r="I60" s="126"/>
      <c r="J60" s="126"/>
    </row>
    <row r="61" spans="2:11">
      <c r="B61" s="124"/>
      <c r="I61" s="126"/>
      <c r="J61" s="126"/>
    </row>
    <row r="62" spans="2:11" ht="13" thickBot="1">
      <c r="B62" s="134" t="s">
        <v>903</v>
      </c>
      <c r="C62" s="867">
        <f>IRR(C60:H60)</f>
        <v>-4.4850254746943152E-3</v>
      </c>
      <c r="D62" s="4"/>
      <c r="E62" s="4"/>
      <c r="F62" s="4"/>
      <c r="G62" s="4"/>
      <c r="H62" s="4"/>
      <c r="I62" s="135"/>
      <c r="J62" s="126"/>
    </row>
    <row r="63" spans="2:11" ht="13" thickBot="1">
      <c r="B63" s="124"/>
      <c r="J63" s="126"/>
    </row>
    <row r="64" spans="2:11" ht="13.5" thickBot="1">
      <c r="B64" s="1547" t="s">
        <v>353</v>
      </c>
      <c r="C64" s="1538"/>
      <c r="D64" s="1538"/>
      <c r="E64" s="1538"/>
      <c r="F64" s="1538"/>
      <c r="G64" s="1538"/>
      <c r="H64" s="1538"/>
      <c r="I64" s="1539"/>
      <c r="J64" s="126"/>
    </row>
    <row r="65" spans="2:10" ht="13.5" thickBot="1">
      <c r="B65" s="157" t="s">
        <v>262</v>
      </c>
      <c r="C65" s="157">
        <v>0</v>
      </c>
      <c r="D65" s="157">
        <f t="shared" ref="D65:I65" si="4">1+C65</f>
        <v>1</v>
      </c>
      <c r="E65" s="157">
        <f t="shared" si="4"/>
        <v>2</v>
      </c>
      <c r="F65" s="157">
        <f t="shared" si="4"/>
        <v>3</v>
      </c>
      <c r="G65" s="157">
        <f t="shared" si="4"/>
        <v>4</v>
      </c>
      <c r="H65" s="157">
        <f t="shared" si="4"/>
        <v>5</v>
      </c>
      <c r="I65" s="157">
        <f t="shared" si="4"/>
        <v>6</v>
      </c>
      <c r="J65" s="126"/>
    </row>
    <row r="66" spans="2:10">
      <c r="B66" s="124" t="s">
        <v>48</v>
      </c>
      <c r="C66" s="231">
        <v>-100000</v>
      </c>
      <c r="D66" s="231"/>
      <c r="E66" s="231"/>
      <c r="F66" s="231"/>
      <c r="G66" s="231"/>
      <c r="H66" s="231"/>
      <c r="I66" s="126"/>
      <c r="J66" s="126"/>
    </row>
    <row r="67" spans="2:10">
      <c r="B67" s="124" t="s">
        <v>381</v>
      </c>
      <c r="C67" s="231">
        <f>C55</f>
        <v>70000</v>
      </c>
      <c r="D67" s="231"/>
      <c r="E67" s="231"/>
      <c r="F67" s="231"/>
      <c r="G67" s="231"/>
      <c r="H67" s="231"/>
      <c r="I67" s="126"/>
      <c r="J67" s="126"/>
    </row>
    <row r="68" spans="2:10">
      <c r="B68" s="124" t="s">
        <v>335</v>
      </c>
      <c r="C68" s="231"/>
      <c r="D68" s="231">
        <f t="shared" ref="D68:I68" si="5">D19</f>
        <v>9000</v>
      </c>
      <c r="E68" s="231">
        <f t="shared" si="5"/>
        <v>9000</v>
      </c>
      <c r="F68" s="231">
        <f t="shared" si="5"/>
        <v>9000</v>
      </c>
      <c r="G68" s="231">
        <f t="shared" si="5"/>
        <v>9000</v>
      </c>
      <c r="H68" s="231">
        <f t="shared" si="5"/>
        <v>9000</v>
      </c>
      <c r="I68" s="256">
        <f t="shared" si="5"/>
        <v>9000</v>
      </c>
      <c r="J68" s="126"/>
    </row>
    <row r="69" spans="2:10">
      <c r="B69" s="124" t="s">
        <v>209</v>
      </c>
      <c r="C69" s="231"/>
      <c r="D69" s="231">
        <f>D57</f>
        <v>-5475.8702748591795</v>
      </c>
      <c r="E69" s="231">
        <f>D69</f>
        <v>-5475.8702748591795</v>
      </c>
      <c r="F69" s="231">
        <f>E69</f>
        <v>-5475.8702748591795</v>
      </c>
      <c r="G69" s="231">
        <f>F69</f>
        <v>-5475.8702748591795</v>
      </c>
      <c r="H69" s="231">
        <f>G69</f>
        <v>-5475.8702748591795</v>
      </c>
      <c r="I69" s="126"/>
      <c r="J69" s="126"/>
    </row>
    <row r="70" spans="2:10">
      <c r="B70" s="124" t="s">
        <v>655</v>
      </c>
      <c r="C70" s="231"/>
      <c r="D70" s="231"/>
      <c r="E70" s="231"/>
      <c r="F70" s="231"/>
      <c r="G70" s="231"/>
      <c r="H70" s="231">
        <f>I68/0.1</f>
        <v>90000</v>
      </c>
      <c r="I70" s="126"/>
      <c r="J70" s="126"/>
    </row>
    <row r="71" spans="2:10">
      <c r="B71" s="124" t="s">
        <v>459</v>
      </c>
      <c r="C71" s="231"/>
      <c r="D71" s="231"/>
      <c r="E71" s="231"/>
      <c r="F71" s="231"/>
      <c r="G71" s="231"/>
      <c r="H71" s="231">
        <f>H59</f>
        <v>-62807.800655718071</v>
      </c>
      <c r="I71" s="126"/>
      <c r="J71" s="126"/>
    </row>
    <row r="72" spans="2:10">
      <c r="B72" s="124" t="s">
        <v>49</v>
      </c>
      <c r="C72" s="231">
        <f>C66+C67</f>
        <v>-30000</v>
      </c>
      <c r="D72" s="231">
        <f>D68+D69</f>
        <v>3524.1297251408205</v>
      </c>
      <c r="E72" s="231">
        <f>E68+E69</f>
        <v>3524.1297251408205</v>
      </c>
      <c r="F72" s="231">
        <f>F68+F69</f>
        <v>3524.1297251408205</v>
      </c>
      <c r="G72" s="231">
        <f>G68+G69</f>
        <v>3524.1297251408205</v>
      </c>
      <c r="H72" s="231">
        <f>H68+H69+H70+H71</f>
        <v>30716.329069422754</v>
      </c>
      <c r="I72" s="126"/>
      <c r="J72" s="126"/>
    </row>
    <row r="73" spans="2:10">
      <c r="B73" s="124"/>
      <c r="I73" s="126"/>
      <c r="J73" s="126"/>
    </row>
    <row r="74" spans="2:10" ht="13" thickBot="1">
      <c r="B74" s="134" t="s">
        <v>903</v>
      </c>
      <c r="C74" s="867">
        <f>IRR(C72:H72)</f>
        <v>0.10220786366041779</v>
      </c>
      <c r="D74" s="4"/>
      <c r="E74" s="4"/>
      <c r="F74" s="4"/>
      <c r="G74" s="4"/>
      <c r="H74" s="4"/>
      <c r="I74" s="135"/>
      <c r="J74" s="126"/>
    </row>
    <row r="75" spans="2:10" ht="13" thickBot="1">
      <c r="B75" s="124"/>
      <c r="J75" s="126"/>
    </row>
    <row r="76" spans="2:10" ht="13.5" thickBot="1">
      <c r="B76" s="1547" t="s">
        <v>354</v>
      </c>
      <c r="C76" s="1538"/>
      <c r="D76" s="1538"/>
      <c r="E76" s="1538"/>
      <c r="F76" s="1538"/>
      <c r="G76" s="1538"/>
      <c r="H76" s="1538"/>
      <c r="I76" s="1539"/>
      <c r="J76" s="126"/>
    </row>
    <row r="77" spans="2:10" ht="13.5" thickBot="1">
      <c r="B77" s="157" t="s">
        <v>262</v>
      </c>
      <c r="C77" s="157">
        <v>0</v>
      </c>
      <c r="D77" s="157">
        <f t="shared" ref="D77:I77" si="6">1+C77</f>
        <v>1</v>
      </c>
      <c r="E77" s="157">
        <f t="shared" si="6"/>
        <v>2</v>
      </c>
      <c r="F77" s="157">
        <f t="shared" si="6"/>
        <v>3</v>
      </c>
      <c r="G77" s="157">
        <f t="shared" si="6"/>
        <v>4</v>
      </c>
      <c r="H77" s="157">
        <f t="shared" si="6"/>
        <v>5</v>
      </c>
      <c r="I77" s="157">
        <f t="shared" si="6"/>
        <v>6</v>
      </c>
      <c r="J77" s="126"/>
    </row>
    <row r="78" spans="2:10">
      <c r="B78" s="124" t="s">
        <v>48</v>
      </c>
      <c r="C78" s="231">
        <v>-100000</v>
      </c>
      <c r="D78" s="231"/>
      <c r="E78" s="231"/>
      <c r="F78" s="231"/>
      <c r="G78" s="231"/>
      <c r="H78" s="231"/>
      <c r="I78" s="126"/>
      <c r="J78" s="126"/>
    </row>
    <row r="79" spans="2:10">
      <c r="B79" s="124" t="s">
        <v>381</v>
      </c>
      <c r="C79" s="231">
        <f>C67</f>
        <v>70000</v>
      </c>
      <c r="D79" s="231"/>
      <c r="E79" s="231"/>
      <c r="F79" s="231"/>
      <c r="G79" s="231"/>
      <c r="H79" s="231"/>
      <c r="I79" s="126"/>
      <c r="J79" s="126"/>
    </row>
    <row r="80" spans="2:10">
      <c r="B80" s="124" t="s">
        <v>335</v>
      </c>
      <c r="C80" s="231"/>
      <c r="D80" s="231">
        <f t="shared" ref="D80:I80" si="7">D28</f>
        <v>9000</v>
      </c>
      <c r="E80" s="231">
        <f t="shared" si="7"/>
        <v>9270</v>
      </c>
      <c r="F80" s="231">
        <f t="shared" si="7"/>
        <v>9548.1</v>
      </c>
      <c r="G80" s="231">
        <f t="shared" si="7"/>
        <v>9834.5430000000015</v>
      </c>
      <c r="H80" s="231">
        <f t="shared" si="7"/>
        <v>10129.579290000001</v>
      </c>
      <c r="I80" s="256">
        <f t="shared" si="7"/>
        <v>10433.466668700003</v>
      </c>
      <c r="J80" s="126"/>
    </row>
    <row r="81" spans="2:10">
      <c r="B81" s="124" t="s">
        <v>209</v>
      </c>
      <c r="C81" s="231"/>
      <c r="D81" s="231">
        <f>D69</f>
        <v>-5475.8702748591795</v>
      </c>
      <c r="E81" s="231">
        <f>D81</f>
        <v>-5475.8702748591795</v>
      </c>
      <c r="F81" s="231">
        <f>E81</f>
        <v>-5475.8702748591795</v>
      </c>
      <c r="G81" s="231">
        <f>F81</f>
        <v>-5475.8702748591795</v>
      </c>
      <c r="H81" s="231">
        <f>G81</f>
        <v>-5475.8702748591795</v>
      </c>
      <c r="I81" s="126"/>
      <c r="J81" s="126"/>
    </row>
    <row r="82" spans="2:10">
      <c r="B82" s="124" t="s">
        <v>655</v>
      </c>
      <c r="C82" s="231"/>
      <c r="D82" s="231"/>
      <c r="E82" s="231"/>
      <c r="F82" s="231"/>
      <c r="G82" s="231"/>
      <c r="H82" s="231">
        <f>I80/0.1</f>
        <v>104334.66668700002</v>
      </c>
      <c r="I82" s="126"/>
      <c r="J82" s="126"/>
    </row>
    <row r="83" spans="2:10">
      <c r="B83" s="124" t="s">
        <v>459</v>
      </c>
      <c r="C83" s="231"/>
      <c r="D83" s="231"/>
      <c r="E83" s="231"/>
      <c r="F83" s="231"/>
      <c r="G83" s="231"/>
      <c r="H83" s="231">
        <f>H71</f>
        <v>-62807.800655718071</v>
      </c>
      <c r="I83" s="126"/>
      <c r="J83" s="126"/>
    </row>
    <row r="84" spans="2:10">
      <c r="B84" s="124" t="s">
        <v>49</v>
      </c>
      <c r="C84" s="231">
        <f>C78+C79</f>
        <v>-30000</v>
      </c>
      <c r="D84" s="231">
        <f>D80+D81</f>
        <v>3524.1297251408205</v>
      </c>
      <c r="E84" s="231">
        <f>E80+E81</f>
        <v>3794.1297251408205</v>
      </c>
      <c r="F84" s="231">
        <f>F80+F81</f>
        <v>4072.2297251408208</v>
      </c>
      <c r="G84" s="231">
        <f>G80+G81</f>
        <v>4358.672725140822</v>
      </c>
      <c r="H84" s="231">
        <f>H80+H81+H82+H83</f>
        <v>46180.575046422768</v>
      </c>
      <c r="I84" s="126"/>
      <c r="J84" s="126"/>
    </row>
    <row r="85" spans="2:10">
      <c r="B85" s="124"/>
      <c r="I85" s="126"/>
      <c r="J85" s="126"/>
    </row>
    <row r="86" spans="2:10" ht="13" thickBot="1">
      <c r="B86" s="134" t="s">
        <v>903</v>
      </c>
      <c r="C86" s="867">
        <f>IRR(C84:H84)</f>
        <v>0.18593611522597842</v>
      </c>
      <c r="D86" s="4"/>
      <c r="E86" s="4"/>
      <c r="F86" s="4"/>
      <c r="G86" s="4"/>
      <c r="H86" s="4"/>
      <c r="I86" s="135"/>
      <c r="J86" s="126"/>
    </row>
    <row r="87" spans="2:10">
      <c r="B87" s="124"/>
      <c r="D87" s="43"/>
      <c r="E87" s="43"/>
      <c r="F87" s="43"/>
      <c r="G87" s="43"/>
      <c r="H87" s="43"/>
      <c r="I87" s="43"/>
      <c r="J87" s="126"/>
    </row>
    <row r="88" spans="2:10" ht="13" thickBot="1">
      <c r="B88" s="124"/>
      <c r="J88" s="126"/>
    </row>
    <row r="89" spans="2:10" ht="13.5" thickBot="1">
      <c r="B89" s="1547" t="s">
        <v>1584</v>
      </c>
      <c r="C89" s="1584"/>
      <c r="D89" s="1584"/>
      <c r="E89" s="1584"/>
      <c r="F89" s="1584"/>
      <c r="G89" s="1584"/>
      <c r="H89" s="1585"/>
      <c r="I89" s="380"/>
      <c r="J89" s="126"/>
    </row>
    <row r="90" spans="2:10" ht="15.5" thickBot="1">
      <c r="B90" s="196" t="s">
        <v>347</v>
      </c>
      <c r="C90" s="196" t="s">
        <v>348</v>
      </c>
      <c r="D90" s="196" t="s">
        <v>349</v>
      </c>
      <c r="E90" s="1562" t="s">
        <v>350</v>
      </c>
      <c r="F90" s="1563"/>
      <c r="G90" s="196" t="s">
        <v>351</v>
      </c>
      <c r="H90" s="196" t="s">
        <v>50</v>
      </c>
      <c r="I90" s="10"/>
      <c r="J90" s="616"/>
    </row>
    <row r="91" spans="2:10">
      <c r="B91" s="124" t="s">
        <v>352</v>
      </c>
      <c r="C91" s="868">
        <f>C62</f>
        <v>-4.4850254746943152E-3</v>
      </c>
      <c r="D91" s="601">
        <v>0.3</v>
      </c>
      <c r="E91" s="1644">
        <f>C91*D91</f>
        <v>-1.3455076424082944E-3</v>
      </c>
      <c r="F91" s="1644"/>
      <c r="G91" s="602">
        <f>C91-$E$95</f>
        <v>-9.1430672707690591E-2</v>
      </c>
      <c r="H91" s="614">
        <f>D91*(G91)^2</f>
        <v>2.507870373534251E-3</v>
      </c>
      <c r="I91" s="602"/>
      <c r="J91" s="126"/>
    </row>
    <row r="92" spans="2:10">
      <c r="B92" s="124" t="s">
        <v>353</v>
      </c>
      <c r="C92" s="869">
        <f>C74</f>
        <v>0.10220786366041779</v>
      </c>
      <c r="D92" s="601">
        <v>0.5</v>
      </c>
      <c r="E92" s="1644">
        <f>C92*D92</f>
        <v>5.1103931830208893E-2</v>
      </c>
      <c r="F92" s="1644"/>
      <c r="G92" s="602">
        <f>C92-$E$95</f>
        <v>1.526221642742151E-2</v>
      </c>
      <c r="H92" s="614">
        <f>D92*(G92)^2</f>
        <v>1.1646762513872749E-4</v>
      </c>
      <c r="I92" s="602"/>
      <c r="J92" s="126"/>
    </row>
    <row r="93" spans="2:10" ht="13" thickBot="1">
      <c r="B93" s="134" t="s">
        <v>354</v>
      </c>
      <c r="C93" s="870">
        <f>C86</f>
        <v>0.18593611522597842</v>
      </c>
      <c r="D93" s="605">
        <v>0.2</v>
      </c>
      <c r="E93" s="1645">
        <f>C93*D93</f>
        <v>3.7187223045195686E-2</v>
      </c>
      <c r="F93" s="1645"/>
      <c r="G93" s="606">
        <f>C93-$E$95</f>
        <v>9.899046799298214E-2</v>
      </c>
      <c r="H93" s="615">
        <f>D93*(G93)^2</f>
        <v>1.9598225506939244E-3</v>
      </c>
      <c r="I93" s="602"/>
      <c r="J93" s="126"/>
    </row>
    <row r="94" spans="2:10" ht="13" thickBot="1">
      <c r="B94" s="124"/>
      <c r="J94" s="126"/>
    </row>
    <row r="95" spans="2:10" ht="13.5" thickBot="1">
      <c r="B95" s="1642" t="s">
        <v>355</v>
      </c>
      <c r="C95" s="1643"/>
      <c r="D95" s="1643"/>
      <c r="E95" s="269">
        <f>SUM(E91:F93)</f>
        <v>8.6945647232996276E-2</v>
      </c>
      <c r="F95" s="585"/>
      <c r="J95" s="126"/>
    </row>
    <row r="96" spans="2:10" ht="13.5" thickBot="1">
      <c r="B96" s="1642" t="s">
        <v>356</v>
      </c>
      <c r="C96" s="1643"/>
      <c r="D96" s="1643"/>
      <c r="E96" s="269">
        <f>SUM(H91:I93)</f>
        <v>4.584160549366903E-3</v>
      </c>
      <c r="F96" s="585"/>
      <c r="J96" s="126"/>
    </row>
    <row r="97" spans="2:10" ht="13.5" thickBot="1">
      <c r="B97" s="1642" t="s">
        <v>357</v>
      </c>
      <c r="C97" s="1643"/>
      <c r="D97" s="1643"/>
      <c r="E97" s="269">
        <f>SQRT(E96)</f>
        <v>6.7706429158292669E-2</v>
      </c>
      <c r="F97" s="585"/>
      <c r="J97" s="126"/>
    </row>
    <row r="98" spans="2:10" ht="13" thickBot="1">
      <c r="B98" s="134"/>
      <c r="C98" s="4"/>
      <c r="D98" s="4"/>
      <c r="E98" s="4"/>
      <c r="F98" s="4"/>
      <c r="G98" s="4"/>
      <c r="H98" s="4"/>
      <c r="I98" s="4"/>
      <c r="J98" s="135"/>
    </row>
    <row r="106" spans="2:10" ht="13">
      <c r="C106" s="10"/>
      <c r="D106" s="10"/>
      <c r="E106" s="10"/>
    </row>
    <row r="107" spans="2:10">
      <c r="D107" s="33"/>
      <c r="E107" s="46"/>
    </row>
    <row r="108" spans="2:10">
      <c r="D108" s="47"/>
      <c r="E108" s="46"/>
    </row>
    <row r="109" spans="2:10">
      <c r="D109" s="33"/>
      <c r="E109" s="46"/>
    </row>
  </sheetData>
  <mergeCells count="26">
    <mergeCell ref="E37:F37"/>
    <mergeCell ref="E38:F38"/>
    <mergeCell ref="B36:H36"/>
    <mergeCell ref="E39:F39"/>
    <mergeCell ref="E40:F40"/>
    <mergeCell ref="B42:D42"/>
    <mergeCell ref="E92:F92"/>
    <mergeCell ref="E93:F93"/>
    <mergeCell ref="E90:F90"/>
    <mergeCell ref="E91:F91"/>
    <mergeCell ref="B52:I52"/>
    <mergeCell ref="B2:J2"/>
    <mergeCell ref="B3:J3"/>
    <mergeCell ref="B7:I7"/>
    <mergeCell ref="B16:I16"/>
    <mergeCell ref="B25:I25"/>
    <mergeCell ref="B5:J5"/>
    <mergeCell ref="B97:D97"/>
    <mergeCell ref="B43:D43"/>
    <mergeCell ref="B44:D44"/>
    <mergeCell ref="B95:D95"/>
    <mergeCell ref="B96:D96"/>
    <mergeCell ref="B89:H89"/>
    <mergeCell ref="B64:I64"/>
    <mergeCell ref="B76:I76"/>
    <mergeCell ref="B46:J46"/>
  </mergeCells>
  <phoneticPr fontId="0" type="noConversion"/>
  <pageMargins left="0.75" right="0.75" top="1" bottom="1" header="0.5" footer="0.5"/>
  <pageSetup orientation="portrait" r:id="rId1"/>
  <headerFooter alignWithMargins="0"/>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EBB901"/>
  </sheetPr>
  <dimension ref="B1:P126"/>
  <sheetViews>
    <sheetView zoomScaleNormal="100" workbookViewId="0">
      <selection activeCell="B3" sqref="B3:J3"/>
    </sheetView>
  </sheetViews>
  <sheetFormatPr defaultRowHeight="12.5"/>
  <cols>
    <col min="2" max="2" width="25.26953125" customWidth="1"/>
    <col min="3" max="3" width="25" customWidth="1"/>
    <col min="4" max="4" width="10.7265625" bestFit="1" customWidth="1"/>
    <col min="5" max="5" width="11.453125" bestFit="1" customWidth="1"/>
    <col min="6" max="7" width="10.7265625" bestFit="1" customWidth="1"/>
    <col min="8" max="8" width="15.1796875" customWidth="1"/>
    <col min="9" max="9" width="13" customWidth="1"/>
    <col min="10" max="10" width="11.7265625" customWidth="1"/>
    <col min="12" max="16" width="13.7265625" customWidth="1"/>
  </cols>
  <sheetData>
    <row r="1" spans="2:10" ht="13" thickBot="1"/>
    <row r="2" spans="2:10" ht="18.5" thickBot="1">
      <c r="B2" s="1525" t="s">
        <v>1749</v>
      </c>
      <c r="C2" s="1557"/>
      <c r="D2" s="1557"/>
      <c r="E2" s="1557"/>
      <c r="F2" s="1557"/>
      <c r="G2" s="1557"/>
      <c r="H2" s="1536"/>
      <c r="I2" s="1536"/>
      <c r="J2" s="1534"/>
    </row>
    <row r="3" spans="2:10" ht="16" thickBot="1">
      <c r="B3" s="1528" t="s">
        <v>1718</v>
      </c>
      <c r="C3" s="1529"/>
      <c r="D3" s="1529"/>
      <c r="E3" s="1529"/>
      <c r="F3" s="1529"/>
      <c r="G3" s="1529"/>
      <c r="H3" s="1529"/>
      <c r="I3" s="1529"/>
      <c r="J3" s="1530"/>
    </row>
    <row r="4" spans="2:10" ht="18.5" thickBot="1">
      <c r="B4" s="124"/>
      <c r="C4" s="19"/>
      <c r="J4" s="126"/>
    </row>
    <row r="5" spans="2:10" ht="13.5" thickBot="1">
      <c r="B5" s="1547" t="s">
        <v>827</v>
      </c>
      <c r="C5" s="1538"/>
      <c r="D5" s="1538"/>
      <c r="E5" s="1538"/>
      <c r="F5" s="1538"/>
      <c r="G5" s="1538"/>
      <c r="H5" s="1538"/>
      <c r="I5" s="1538"/>
      <c r="J5" s="1539"/>
    </row>
    <row r="6" spans="2:10" ht="13">
      <c r="B6" s="124" t="s">
        <v>64</v>
      </c>
      <c r="C6" s="911" t="s">
        <v>1350</v>
      </c>
      <c r="J6" s="126"/>
    </row>
    <row r="7" spans="2:10" ht="13">
      <c r="B7" s="124"/>
      <c r="C7" s="497"/>
      <c r="J7" s="126"/>
    </row>
    <row r="8" spans="2:10">
      <c r="B8" s="124" t="s">
        <v>957</v>
      </c>
      <c r="C8" s="650">
        <v>8500000</v>
      </c>
      <c r="J8" s="126"/>
    </row>
    <row r="9" spans="2:10">
      <c r="B9" s="124" t="s">
        <v>70</v>
      </c>
      <c r="C9" s="910" t="s">
        <v>71</v>
      </c>
      <c r="J9" s="126"/>
    </row>
    <row r="10" spans="2:10">
      <c r="B10" s="124" t="s">
        <v>74</v>
      </c>
      <c r="C10" s="650">
        <v>100000</v>
      </c>
      <c r="J10" s="126"/>
    </row>
    <row r="11" spans="2:10" ht="13">
      <c r="B11" s="124"/>
      <c r="C11" s="497"/>
      <c r="J11" s="126"/>
    </row>
    <row r="12" spans="2:10">
      <c r="B12" s="124" t="s">
        <v>75</v>
      </c>
      <c r="C12" s="498">
        <v>36708</v>
      </c>
      <c r="J12" s="126"/>
    </row>
    <row r="13" spans="2:10">
      <c r="B13" s="124" t="s">
        <v>376</v>
      </c>
      <c r="C13" s="248">
        <v>5</v>
      </c>
      <c r="J13" s="126"/>
    </row>
    <row r="14" spans="2:10">
      <c r="B14" s="171" t="s">
        <v>76</v>
      </c>
      <c r="C14" s="1259">
        <v>0.11</v>
      </c>
      <c r="J14" s="126"/>
    </row>
    <row r="15" spans="2:10">
      <c r="B15" s="171" t="s">
        <v>268</v>
      </c>
      <c r="C15" s="499">
        <v>0.105</v>
      </c>
      <c r="J15" s="126"/>
    </row>
    <row r="16" spans="2:10" ht="13" thickBot="1">
      <c r="B16" s="228" t="s">
        <v>77</v>
      </c>
      <c r="C16" s="500">
        <v>0.03</v>
      </c>
      <c r="J16" s="126"/>
    </row>
    <row r="17" spans="2:10" ht="13" thickBot="1">
      <c r="B17" s="124"/>
      <c r="J17" s="126"/>
    </row>
    <row r="18" spans="2:10" ht="13.5" thickBot="1">
      <c r="B18" s="599"/>
      <c r="C18" s="157" t="s">
        <v>312</v>
      </c>
      <c r="D18" s="122"/>
      <c r="E18" s="157" t="s">
        <v>313</v>
      </c>
      <c r="F18" s="277"/>
      <c r="G18" s="157" t="s">
        <v>314</v>
      </c>
      <c r="H18" s="122"/>
      <c r="I18" s="157" t="s">
        <v>121</v>
      </c>
      <c r="J18" s="123"/>
    </row>
    <row r="19" spans="2:10" ht="13.5" thickBot="1">
      <c r="B19" s="124" t="s">
        <v>80</v>
      </c>
      <c r="C19" s="651" t="s">
        <v>122</v>
      </c>
      <c r="D19" s="39"/>
      <c r="E19" s="651" t="s">
        <v>1398</v>
      </c>
      <c r="F19" s="39"/>
      <c r="G19" s="651" t="s">
        <v>123</v>
      </c>
      <c r="H19" s="54" t="s">
        <v>124</v>
      </c>
      <c r="I19" s="152">
        <v>2</v>
      </c>
      <c r="J19" s="157" t="s">
        <v>1457</v>
      </c>
    </row>
    <row r="20" spans="2:10">
      <c r="B20" s="171" t="s">
        <v>112</v>
      </c>
      <c r="C20" s="652">
        <v>25000</v>
      </c>
      <c r="D20" s="39"/>
      <c r="E20" s="422">
        <v>60000</v>
      </c>
      <c r="F20" s="39"/>
      <c r="G20" s="422">
        <v>5000</v>
      </c>
      <c r="H20" s="83" t="s">
        <v>125</v>
      </c>
      <c r="I20" s="422">
        <f>J20/I19</f>
        <v>5000</v>
      </c>
      <c r="J20" s="1067">
        <v>10000</v>
      </c>
    </row>
    <row r="21" spans="2:10">
      <c r="B21" s="171" t="s">
        <v>113</v>
      </c>
      <c r="C21" s="491">
        <v>12</v>
      </c>
      <c r="D21" s="39"/>
      <c r="E21" s="491">
        <v>8.5</v>
      </c>
      <c r="F21" s="39"/>
      <c r="G21" s="491">
        <v>15</v>
      </c>
      <c r="H21" s="54" t="s">
        <v>113</v>
      </c>
      <c r="I21" s="653">
        <v>16</v>
      </c>
      <c r="J21" s="126"/>
    </row>
    <row r="22" spans="2:10">
      <c r="B22" s="171" t="s">
        <v>1345</v>
      </c>
      <c r="C22" s="654">
        <v>5</v>
      </c>
      <c r="D22" s="39"/>
      <c r="E22" s="654">
        <v>14</v>
      </c>
      <c r="F22" s="39"/>
      <c r="G22" s="654">
        <v>2</v>
      </c>
      <c r="H22" s="54" t="s">
        <v>83</v>
      </c>
      <c r="I22" s="152">
        <v>3</v>
      </c>
      <c r="J22" s="126"/>
    </row>
    <row r="23" spans="2:10">
      <c r="B23" s="171" t="s">
        <v>114</v>
      </c>
      <c r="C23" s="655">
        <v>12</v>
      </c>
      <c r="D23" s="39"/>
      <c r="E23" s="655">
        <v>9</v>
      </c>
      <c r="F23" s="39"/>
      <c r="G23" s="655">
        <v>16</v>
      </c>
      <c r="H23" s="54" t="s">
        <v>114</v>
      </c>
      <c r="I23" s="653">
        <v>16</v>
      </c>
      <c r="J23" s="126"/>
    </row>
    <row r="24" spans="2:10">
      <c r="B24" s="171" t="s">
        <v>85</v>
      </c>
      <c r="C24" s="364">
        <v>0.03</v>
      </c>
      <c r="D24" s="39"/>
      <c r="E24" s="364">
        <v>0.03</v>
      </c>
      <c r="F24" s="39"/>
      <c r="G24" s="364">
        <v>0.03</v>
      </c>
      <c r="H24" s="54" t="s">
        <v>85</v>
      </c>
      <c r="I24" s="151">
        <v>0.03</v>
      </c>
      <c r="J24" s="126"/>
    </row>
    <row r="25" spans="2:10">
      <c r="B25" s="171" t="s">
        <v>126</v>
      </c>
      <c r="C25" s="656"/>
      <c r="D25" s="39"/>
      <c r="E25" s="656"/>
      <c r="F25" s="39"/>
      <c r="G25" s="657">
        <v>250</v>
      </c>
      <c r="H25" s="83" t="s">
        <v>127</v>
      </c>
      <c r="I25" s="152">
        <v>1</v>
      </c>
      <c r="J25" s="126"/>
    </row>
    <row r="26" spans="2:10">
      <c r="B26" s="171" t="s">
        <v>128</v>
      </c>
      <c r="C26" s="656"/>
      <c r="D26" s="39"/>
      <c r="E26" s="656"/>
      <c r="F26" s="39"/>
      <c r="G26" s="364">
        <v>0.03</v>
      </c>
      <c r="J26" s="126"/>
    </row>
    <row r="27" spans="2:10">
      <c r="B27" s="171" t="s">
        <v>129</v>
      </c>
      <c r="C27" s="656"/>
      <c r="D27" s="39"/>
      <c r="E27" s="656"/>
      <c r="F27" s="39"/>
      <c r="G27" s="657">
        <v>225</v>
      </c>
      <c r="H27" s="658"/>
      <c r="J27" s="126"/>
    </row>
    <row r="28" spans="2:10">
      <c r="B28" s="124" t="s">
        <v>130</v>
      </c>
      <c r="G28" s="364">
        <v>0.05</v>
      </c>
      <c r="J28" s="126"/>
    </row>
    <row r="29" spans="2:10" ht="13">
      <c r="B29" s="374" t="s">
        <v>1344</v>
      </c>
      <c r="J29" s="126"/>
    </row>
    <row r="30" spans="2:10">
      <c r="B30" s="171" t="s">
        <v>131</v>
      </c>
      <c r="C30" s="422">
        <v>5</v>
      </c>
      <c r="D30" s="39"/>
      <c r="E30" s="422">
        <v>10</v>
      </c>
      <c r="F30" s="39"/>
      <c r="G30" s="422">
        <v>3</v>
      </c>
      <c r="H30" s="39"/>
      <c r="I30" s="39"/>
      <c r="J30" s="146"/>
    </row>
    <row r="31" spans="2:10">
      <c r="B31" s="171" t="s">
        <v>132</v>
      </c>
      <c r="C31" s="653">
        <v>0</v>
      </c>
      <c r="D31" s="659"/>
      <c r="E31" s="653">
        <v>0</v>
      </c>
      <c r="F31" s="659"/>
      <c r="G31" s="653">
        <v>5</v>
      </c>
      <c r="H31" s="39"/>
      <c r="I31" s="1089">
        <v>10</v>
      </c>
      <c r="J31" s="146"/>
    </row>
    <row r="32" spans="2:10">
      <c r="B32" s="171" t="s">
        <v>133</v>
      </c>
      <c r="C32" s="151">
        <v>0</v>
      </c>
      <c r="D32" s="55"/>
      <c r="E32" s="151">
        <v>0</v>
      </c>
      <c r="F32" s="55"/>
      <c r="G32" s="151">
        <v>0.04</v>
      </c>
      <c r="H32" s="39"/>
      <c r="I32" s="1090">
        <v>0.05</v>
      </c>
      <c r="J32" s="146"/>
    </row>
    <row r="33" spans="2:10">
      <c r="B33" s="171" t="s">
        <v>134</v>
      </c>
      <c r="C33" s="151">
        <v>0</v>
      </c>
      <c r="D33" s="55"/>
      <c r="E33" s="151">
        <v>0</v>
      </c>
      <c r="F33" s="55"/>
      <c r="G33" s="151">
        <v>0.03</v>
      </c>
      <c r="H33" s="55"/>
      <c r="I33" s="1091">
        <v>0.03</v>
      </c>
      <c r="J33" s="146"/>
    </row>
    <row r="34" spans="2:10">
      <c r="B34" s="171" t="s">
        <v>115</v>
      </c>
      <c r="C34" s="39"/>
      <c r="D34" s="39"/>
      <c r="E34" s="39"/>
      <c r="F34" s="39"/>
      <c r="G34" s="39"/>
      <c r="H34" s="39"/>
      <c r="I34" s="39"/>
      <c r="J34" s="146"/>
    </row>
    <row r="35" spans="2:10">
      <c r="B35" s="171" t="s">
        <v>116</v>
      </c>
      <c r="C35" s="39"/>
      <c r="D35" s="39"/>
      <c r="E35" s="39"/>
      <c r="F35" s="39"/>
      <c r="G35" s="39"/>
      <c r="H35" s="39"/>
      <c r="I35" s="39"/>
      <c r="J35" s="146"/>
    </row>
    <row r="36" spans="2:10">
      <c r="B36" s="171" t="s">
        <v>117</v>
      </c>
      <c r="C36" s="1086" t="s">
        <v>375</v>
      </c>
      <c r="D36" s="653">
        <v>0</v>
      </c>
      <c r="E36" s="1086" t="s">
        <v>375</v>
      </c>
      <c r="F36" s="653">
        <v>0</v>
      </c>
      <c r="G36" s="1086" t="s">
        <v>375</v>
      </c>
      <c r="H36" s="653">
        <v>0</v>
      </c>
      <c r="I36" s="1086" t="s">
        <v>375</v>
      </c>
      <c r="J36" s="660">
        <v>0</v>
      </c>
    </row>
    <row r="37" spans="2:10">
      <c r="B37" s="171" t="s">
        <v>276</v>
      </c>
      <c r="C37" s="1086" t="s">
        <v>375</v>
      </c>
      <c r="D37" s="653">
        <v>0</v>
      </c>
      <c r="E37" s="1086" t="s">
        <v>375</v>
      </c>
      <c r="F37" s="653">
        <v>0</v>
      </c>
      <c r="G37" s="1086" t="s">
        <v>375</v>
      </c>
      <c r="H37" s="653">
        <v>0</v>
      </c>
      <c r="I37" s="1086" t="s">
        <v>375</v>
      </c>
      <c r="J37" s="660">
        <v>0</v>
      </c>
    </row>
    <row r="38" spans="2:10">
      <c r="B38" s="171" t="s">
        <v>325</v>
      </c>
      <c r="C38" s="1086" t="s">
        <v>375</v>
      </c>
      <c r="D38" s="653">
        <v>0</v>
      </c>
      <c r="E38" s="1086" t="s">
        <v>375</v>
      </c>
      <c r="F38" s="653">
        <v>0</v>
      </c>
      <c r="G38" s="1086" t="s">
        <v>375</v>
      </c>
      <c r="H38" s="653">
        <v>0</v>
      </c>
      <c r="I38" s="1086" t="s">
        <v>375</v>
      </c>
      <c r="J38" s="660">
        <v>0</v>
      </c>
    </row>
    <row r="39" spans="2:10" ht="13">
      <c r="B39" s="171"/>
      <c r="C39" s="477"/>
      <c r="D39" s="484"/>
      <c r="E39" s="477"/>
      <c r="F39" s="484"/>
      <c r="G39" s="477"/>
      <c r="H39" s="484"/>
      <c r="J39" s="126"/>
    </row>
    <row r="40" spans="2:10" ht="13" thickBot="1">
      <c r="B40" s="228" t="s">
        <v>88</v>
      </c>
      <c r="C40" s="915">
        <v>0.05</v>
      </c>
      <c r="D40" s="63"/>
      <c r="E40" s="4"/>
      <c r="F40" s="4"/>
      <c r="G40" s="4"/>
      <c r="H40" s="4"/>
      <c r="I40" s="4"/>
      <c r="J40" s="135"/>
    </row>
    <row r="41" spans="2:10" ht="13" thickBot="1">
      <c r="B41" s="124"/>
      <c r="J41" s="126"/>
    </row>
    <row r="42" spans="2:10" ht="13.5" thickBot="1">
      <c r="B42" s="230"/>
      <c r="C42" s="157" t="s">
        <v>90</v>
      </c>
      <c r="D42" s="157" t="s">
        <v>91</v>
      </c>
      <c r="E42" s="157" t="s">
        <v>118</v>
      </c>
      <c r="F42" s="157" t="s">
        <v>93</v>
      </c>
      <c r="J42" s="126"/>
    </row>
    <row r="43" spans="2:10">
      <c r="B43" s="171" t="s">
        <v>273</v>
      </c>
      <c r="C43" s="663">
        <v>0.06</v>
      </c>
      <c r="D43" s="665">
        <v>0</v>
      </c>
      <c r="E43" s="666">
        <v>0</v>
      </c>
      <c r="F43" s="499">
        <v>0</v>
      </c>
      <c r="G43" s="39"/>
      <c r="H43" s="39"/>
      <c r="J43" s="126"/>
    </row>
    <row r="44" spans="2:10">
      <c r="B44" s="171" t="s">
        <v>117</v>
      </c>
      <c r="C44" s="663">
        <v>0</v>
      </c>
      <c r="D44" s="665">
        <v>40000</v>
      </c>
      <c r="E44" s="666">
        <v>0</v>
      </c>
      <c r="F44" s="499">
        <v>2.5000000000000001E-2</v>
      </c>
      <c r="G44" s="39"/>
      <c r="H44" s="39"/>
      <c r="J44" s="126"/>
    </row>
    <row r="45" spans="2:10">
      <c r="B45" s="171" t="s">
        <v>276</v>
      </c>
      <c r="C45" s="663">
        <v>0</v>
      </c>
      <c r="D45" s="665">
        <v>0</v>
      </c>
      <c r="E45" s="666">
        <v>0.18</v>
      </c>
      <c r="F45" s="499">
        <v>0.03</v>
      </c>
      <c r="G45" s="39"/>
      <c r="H45" s="39"/>
      <c r="J45" s="126"/>
    </row>
    <row r="46" spans="2:10" ht="13" thickBot="1">
      <c r="B46" s="228" t="s">
        <v>1469</v>
      </c>
      <c r="C46" s="664">
        <v>0</v>
      </c>
      <c r="D46" s="667">
        <v>0</v>
      </c>
      <c r="E46" s="668">
        <v>0.75</v>
      </c>
      <c r="F46" s="500">
        <v>0.03</v>
      </c>
      <c r="G46" s="39"/>
      <c r="H46" s="669"/>
      <c r="J46" s="126"/>
    </row>
    <row r="47" spans="2:10">
      <c r="B47" s="124"/>
      <c r="C47" s="39"/>
      <c r="D47" s="39"/>
      <c r="E47" s="39"/>
      <c r="F47" s="39"/>
      <c r="G47" s="37"/>
      <c r="H47" s="669"/>
      <c r="J47" s="126"/>
    </row>
    <row r="48" spans="2:10">
      <c r="B48" s="124"/>
      <c r="C48" s="39"/>
      <c r="D48" s="39"/>
      <c r="E48" s="39"/>
      <c r="F48" s="39"/>
      <c r="G48" s="37"/>
      <c r="H48" s="669"/>
      <c r="J48" s="126"/>
    </row>
    <row r="49" spans="2:10">
      <c r="B49" s="171"/>
      <c r="C49" s="487"/>
      <c r="D49" s="661"/>
      <c r="E49" s="662"/>
      <c r="F49" s="487"/>
      <c r="G49" s="39"/>
      <c r="H49" s="669"/>
      <c r="J49" s="126"/>
    </row>
    <row r="50" spans="2:10">
      <c r="B50" s="171" t="s">
        <v>135</v>
      </c>
      <c r="C50" s="670">
        <f>G25</f>
        <v>250</v>
      </c>
      <c r="D50" s="666">
        <f>IF($G$22&gt;=D54,C50*(1+$G$26),0)</f>
        <v>257.5</v>
      </c>
      <c r="E50" s="666">
        <f>IF($G$22&gt;=E54,D50*(1+$G$26),0)</f>
        <v>0</v>
      </c>
      <c r="F50" s="666">
        <f>IF($G$22&gt;=F54,E50*(1+$G$26),0)</f>
        <v>0</v>
      </c>
      <c r="G50" s="666">
        <f>IF($G$22&gt;=G54,F50*(1+$G$26),0)</f>
        <v>0</v>
      </c>
      <c r="H50" s="666">
        <f>IF($G$22&gt;=H54,G50*(1+$G$26),0)</f>
        <v>0</v>
      </c>
      <c r="J50" s="126"/>
    </row>
    <row r="51" spans="2:10" ht="13" thickBot="1">
      <c r="B51" s="134"/>
      <c r="C51" s="4"/>
      <c r="D51" s="4"/>
      <c r="E51" s="4"/>
      <c r="F51" s="4"/>
      <c r="G51" s="4"/>
      <c r="H51" s="4"/>
      <c r="I51" s="4"/>
      <c r="J51" s="135"/>
    </row>
    <row r="52" spans="2:10" ht="13" thickBot="1">
      <c r="B52" s="768" t="s">
        <v>1339</v>
      </c>
      <c r="C52" s="769"/>
      <c r="D52" s="768"/>
      <c r="E52" s="768"/>
      <c r="F52" s="768"/>
      <c r="G52" s="768"/>
      <c r="H52" s="171"/>
      <c r="J52" s="126"/>
    </row>
    <row r="53" spans="2:10" ht="13.5" thickBot="1">
      <c r="B53" s="1547" t="s">
        <v>97</v>
      </c>
      <c r="C53" s="1584"/>
      <c r="D53" s="1584"/>
      <c r="E53" s="1584"/>
      <c r="F53" s="1584"/>
      <c r="G53" s="1584"/>
      <c r="H53" s="1585"/>
      <c r="J53" s="126"/>
    </row>
    <row r="54" spans="2:10" ht="13.5" thickBot="1">
      <c r="B54" s="157" t="s">
        <v>262</v>
      </c>
      <c r="C54" s="157">
        <v>1</v>
      </c>
      <c r="D54" s="157">
        <f>C$54+1</f>
        <v>2</v>
      </c>
      <c r="E54" s="157">
        <f>D$54+1</f>
        <v>3</v>
      </c>
      <c r="F54" s="157">
        <f>E$54+1</f>
        <v>4</v>
      </c>
      <c r="G54" s="157">
        <f>F$54+1</f>
        <v>5</v>
      </c>
      <c r="H54" s="157">
        <f>G$54+1</f>
        <v>6</v>
      </c>
      <c r="J54" s="126"/>
    </row>
    <row r="55" spans="2:10" ht="13">
      <c r="B55" s="168" t="s">
        <v>136</v>
      </c>
      <c r="C55" s="677"/>
      <c r="D55" s="677"/>
      <c r="E55" s="677"/>
      <c r="F55" s="677"/>
      <c r="G55" s="677"/>
      <c r="H55" s="678"/>
      <c r="J55" s="126"/>
    </row>
    <row r="56" spans="2:10">
      <c r="B56" s="171" t="s">
        <v>137</v>
      </c>
      <c r="C56" s="486">
        <f t="shared" ref="C56:H56" si="0">IF($C$22&gt;=C$54,$C$21*$C$20,0)</f>
        <v>300000</v>
      </c>
      <c r="D56" s="486">
        <f t="shared" si="0"/>
        <v>300000</v>
      </c>
      <c r="E56" s="486">
        <f t="shared" si="0"/>
        <v>300000</v>
      </c>
      <c r="F56" s="486">
        <f t="shared" si="0"/>
        <v>300000</v>
      </c>
      <c r="G56" s="486">
        <f t="shared" si="0"/>
        <v>300000</v>
      </c>
      <c r="H56" s="506">
        <f t="shared" si="0"/>
        <v>0</v>
      </c>
      <c r="I56" s="8"/>
      <c r="J56" s="126"/>
    </row>
    <row r="57" spans="2:10">
      <c r="B57" s="171" t="s">
        <v>138</v>
      </c>
      <c r="C57" s="116">
        <f t="shared" ref="C57:H57" si="1">IF(C$54&gt;$C$22,$C$23*$C$20*((1+$C$24)^(C$54-1)),0)</f>
        <v>0</v>
      </c>
      <c r="D57" s="116">
        <f t="shared" si="1"/>
        <v>0</v>
      </c>
      <c r="E57" s="116">
        <f t="shared" si="1"/>
        <v>0</v>
      </c>
      <c r="F57" s="116">
        <f t="shared" si="1"/>
        <v>0</v>
      </c>
      <c r="G57" s="116">
        <f t="shared" si="1"/>
        <v>0</v>
      </c>
      <c r="H57" s="507">
        <f t="shared" si="1"/>
        <v>347782.22228999995</v>
      </c>
      <c r="I57" s="40"/>
      <c r="J57" s="126"/>
    </row>
    <row r="58" spans="2:10">
      <c r="B58" s="171" t="s">
        <v>139</v>
      </c>
      <c r="C58" s="814">
        <f t="shared" ref="C58:H58" si="2">IF(AND($C$22&gt;=C$54,$C$36="Net"),((C79)/$C$10)*$C$20,IF(AND($C$22&gt;=C$54,$C$36="Over Base",$D$36&lt;((C79)/$C$10)),(((C79)/$C$10)-$D$36)*$C$20,IF(AND($C$22&gt;=C$54,$C$36="Fixed"),$D$36*$C$20,0)))+IF(AND($C$22&gt;=C$54,$C$37="Net"),((C80)/$C$10)*$C$20,IF(AND($C$22&gt;=C$54,$C$37="Over Base",$D$37&gt;((C80)/$C$10)),(((C80)/$C$10)-$D$37)*$C$20,IF(AND($C$22&gt;=C$54,$C$37="Fixed"),$D$37*$C$20,0)))+IF(AND($C$22&gt;=C$54,$C$38="Net"),((C81)/$C$10)*$C$20,IF(AND($C$22&gt;=C$54,$C$38="Over Base",$D$38&lt;((C81)/$C$10)),(((C81)/$C$10)-$D$38)*$C$20,IF(AND($C$22&gt;=C$54,$C$38="Fixed"),$D$38*$C$20,0)))</f>
        <v>33250</v>
      </c>
      <c r="D58" s="814">
        <f t="shared" si="2"/>
        <v>34197.5</v>
      </c>
      <c r="E58" s="814">
        <f t="shared" si="2"/>
        <v>35172.175000000003</v>
      </c>
      <c r="F58" s="814">
        <f t="shared" si="2"/>
        <v>36174.808999999994</v>
      </c>
      <c r="G58" s="814">
        <f t="shared" si="2"/>
        <v>37206.208738749992</v>
      </c>
      <c r="H58" s="815">
        <f t="shared" si="2"/>
        <v>0</v>
      </c>
      <c r="J58" s="126"/>
    </row>
    <row r="59" spans="2:10">
      <c r="B59" s="171" t="s">
        <v>140</v>
      </c>
      <c r="C59" s="486">
        <f t="shared" ref="C59:H59" si="3">IF($E$22&gt;=C$54,$E$21*$E$20,0)</f>
        <v>510000</v>
      </c>
      <c r="D59" s="486">
        <f t="shared" si="3"/>
        <v>510000</v>
      </c>
      <c r="E59" s="486">
        <f t="shared" si="3"/>
        <v>510000</v>
      </c>
      <c r="F59" s="486">
        <f t="shared" si="3"/>
        <v>510000</v>
      </c>
      <c r="G59" s="486">
        <f t="shared" si="3"/>
        <v>510000</v>
      </c>
      <c r="H59" s="506">
        <f t="shared" si="3"/>
        <v>510000</v>
      </c>
      <c r="J59" s="126"/>
    </row>
    <row r="60" spans="2:10">
      <c r="B60" s="171" t="s">
        <v>141</v>
      </c>
      <c r="C60" s="116">
        <f t="shared" ref="C60:H60" si="4">IF(C$54&gt;$E$22,$E$23*$E$20*((1+$E$24)^(C$54-1)),0)</f>
        <v>0</v>
      </c>
      <c r="D60" s="116">
        <f t="shared" si="4"/>
        <v>0</v>
      </c>
      <c r="E60" s="116">
        <f t="shared" si="4"/>
        <v>0</v>
      </c>
      <c r="F60" s="116">
        <f t="shared" si="4"/>
        <v>0</v>
      </c>
      <c r="G60" s="116">
        <f t="shared" si="4"/>
        <v>0</v>
      </c>
      <c r="H60" s="507">
        <f t="shared" si="4"/>
        <v>0</v>
      </c>
      <c r="J60" s="126"/>
    </row>
    <row r="61" spans="2:10">
      <c r="B61" s="171" t="s">
        <v>142</v>
      </c>
      <c r="C61" s="40">
        <f t="shared" ref="C61:H61" si="5">IF(AND($E$22&gt;=C$54,$E$36="Net"),((C79)/$C$10)*$E$20,IF(AND($E$22&gt;=C$54,$E$36="Over Base",$F$36&lt;((C79)/$C$10)),(((C79)/$C$10)-$F$36)*$E$20,IF(AND($E$22&gt;=C$54,$E$36="Fixed"),$F$36*$E$20,0)))+IF(AND($E$22&gt;=C$54,$E$37="Net"),((C80)/$C$10)*$E$20,IF(AND($E$22&gt;=C$54,$E$37="Over Base",$F$37&gt;((C80)/$C$10)),(((C80)/$C$10)-$F$37)*$E$20,IF(AND($E$22&gt;=C$54,$E$37="Fixed"),$F$37*$E$20,0)))+IF(AND($E$22&gt;=C$54,$E$38="Net"),((C81)/$C$10)*$E$20,IF(AND($E$22&gt;=C$54,$E$38="Over Base",$F$38&lt;((C81)/$C$10)),(((C81)/$C$10)-$F$38)*$E$20,IF(AND($E$22&gt;=C$54,$E$38="Fixed"),$F$38*$E$20,0)))</f>
        <v>79800</v>
      </c>
      <c r="D61" s="40">
        <f t="shared" si="5"/>
        <v>82074</v>
      </c>
      <c r="E61" s="40">
        <f t="shared" si="5"/>
        <v>84413.22</v>
      </c>
      <c r="F61" s="40">
        <f t="shared" si="5"/>
        <v>86819.541599999997</v>
      </c>
      <c r="G61" s="40">
        <f t="shared" si="5"/>
        <v>89294.900972999982</v>
      </c>
      <c r="H61" s="244">
        <f t="shared" si="5"/>
        <v>91841.290455314986</v>
      </c>
      <c r="J61" s="126"/>
    </row>
    <row r="62" spans="2:10">
      <c r="B62" s="171" t="s">
        <v>143</v>
      </c>
      <c r="C62" s="486">
        <f t="shared" ref="C62:H62" si="6">IF($G$22&gt;=C$54,$G$21*$G$20,0)</f>
        <v>75000</v>
      </c>
      <c r="D62" s="486">
        <f t="shared" si="6"/>
        <v>75000</v>
      </c>
      <c r="E62" s="486">
        <f t="shared" si="6"/>
        <v>0</v>
      </c>
      <c r="F62" s="486">
        <f t="shared" si="6"/>
        <v>0</v>
      </c>
      <c r="G62" s="486">
        <f t="shared" si="6"/>
        <v>0</v>
      </c>
      <c r="H62" s="506">
        <f t="shared" si="6"/>
        <v>0</v>
      </c>
      <c r="J62" s="126"/>
    </row>
    <row r="63" spans="2:10">
      <c r="B63" s="171" t="s">
        <v>144</v>
      </c>
      <c r="C63" s="116">
        <f t="shared" ref="C63:H63" si="7">IF(C$54&gt;$G$22,$G$23*$G$20*((1+$G$24)^(C$54-1)),0)</f>
        <v>0</v>
      </c>
      <c r="D63" s="116">
        <f t="shared" si="7"/>
        <v>0</v>
      </c>
      <c r="E63" s="766">
        <f t="shared" si="7"/>
        <v>84872</v>
      </c>
      <c r="F63" s="766">
        <f t="shared" si="7"/>
        <v>87418.16</v>
      </c>
      <c r="G63" s="766">
        <f t="shared" si="7"/>
        <v>90040.704799999992</v>
      </c>
      <c r="H63" s="767">
        <f t="shared" si="7"/>
        <v>92741.925943999988</v>
      </c>
      <c r="J63" s="126"/>
    </row>
    <row r="64" spans="2:10">
      <c r="B64" s="171" t="s">
        <v>145</v>
      </c>
      <c r="C64" s="40">
        <f t="shared" ref="C64:H64" si="8">IF(AND($G$22&gt;=C$54,$G$36="Net"),((C79)/$C$10)*$G$20,IF(AND($G$22&gt;=C$54,$G$36="Over Base",$H$36&lt;((C79)/$C$10)),(((C79)/$C$10)-$H$36)*$G$20,IF(AND($G$22&gt;=C$54,$G$36="Fixed"),$H$36*$G$20,0)))+IF(AND($G$22&gt;=C$54,$G$37="Net"),((C80)/$C$10)*$G$20,IF(AND($G$22&gt;=C$54,$G$37="Over Base",$H$37&gt;((C80)/$C$10)),(((C80)/$C$10)-$H$37)*$G$20,IF(AND($G$22&gt;=C$54,$G$37="Fixed"),$H$37*$G$20,0)))+IF(AND($G$22&gt;=C$54,$G$38="Net"),((C81)/$C$10)*$G$20,IF(AND($G$22&gt;=C$54,$G$38="Over Base",$H$38&lt;((C81)/$C$10)),(((C81)/$C$10)-$H$38)*$G$20,IF(AND($G$22&gt;=C$54,$G$38="Fixed"),$H$38*$G$20,0)))</f>
        <v>6650</v>
      </c>
      <c r="D64" s="40">
        <f t="shared" si="8"/>
        <v>6839.5</v>
      </c>
      <c r="E64" s="40">
        <f t="shared" si="8"/>
        <v>0</v>
      </c>
      <c r="F64" s="40">
        <f t="shared" si="8"/>
        <v>0</v>
      </c>
      <c r="G64" s="40">
        <f t="shared" si="8"/>
        <v>0</v>
      </c>
      <c r="H64" s="244">
        <f t="shared" si="8"/>
        <v>0</v>
      </c>
      <c r="J64" s="126"/>
    </row>
    <row r="65" spans="2:10">
      <c r="B65" s="171" t="s">
        <v>1470</v>
      </c>
      <c r="C65" s="661">
        <f t="shared" ref="C65:H65" si="9">IF(AND($G$22&gt;=C54,(C50-$G$27)&gt;0),(C50-$G$27)*$G$28*$G$20,0)</f>
        <v>6250</v>
      </c>
      <c r="D65" s="661">
        <f t="shared" si="9"/>
        <v>8125</v>
      </c>
      <c r="E65" s="661">
        <f t="shared" si="9"/>
        <v>0</v>
      </c>
      <c r="F65" s="661">
        <f t="shared" si="9"/>
        <v>0</v>
      </c>
      <c r="G65" s="661">
        <f t="shared" si="9"/>
        <v>0</v>
      </c>
      <c r="H65" s="679">
        <f t="shared" si="9"/>
        <v>0</v>
      </c>
      <c r="J65" s="126"/>
    </row>
    <row r="66" spans="2:10">
      <c r="B66" s="171" t="s">
        <v>146</v>
      </c>
      <c r="C66" s="486">
        <f t="shared" ref="C66:H66" si="10">IF($I$22&gt;=C$54,$I$21*$I$20,0)</f>
        <v>80000</v>
      </c>
      <c r="D66" s="486">
        <f t="shared" si="10"/>
        <v>80000</v>
      </c>
      <c r="E66" s="486">
        <f t="shared" si="10"/>
        <v>80000</v>
      </c>
      <c r="F66" s="486">
        <f t="shared" si="10"/>
        <v>0</v>
      </c>
      <c r="G66" s="486">
        <f t="shared" si="10"/>
        <v>0</v>
      </c>
      <c r="H66" s="506">
        <f t="shared" si="10"/>
        <v>0</v>
      </c>
      <c r="J66" s="126"/>
    </row>
    <row r="67" spans="2:10">
      <c r="B67" s="171" t="s">
        <v>147</v>
      </c>
      <c r="C67" s="116">
        <f t="shared" ref="C67:H67" si="11">IF(C$54&gt;$I$22,$I$23*$I$20*((1+$I$24)^(C$54-1)),0)</f>
        <v>0</v>
      </c>
      <c r="D67" s="116">
        <f t="shared" si="11"/>
        <v>0</v>
      </c>
      <c r="E67" s="116">
        <f t="shared" si="11"/>
        <v>0</v>
      </c>
      <c r="F67" s="116">
        <f t="shared" si="11"/>
        <v>87418.16</v>
      </c>
      <c r="G67" s="116">
        <f t="shared" si="11"/>
        <v>90040.704799999992</v>
      </c>
      <c r="H67" s="507">
        <f t="shared" si="11"/>
        <v>92741.925943999988</v>
      </c>
      <c r="J67" s="126"/>
    </row>
    <row r="68" spans="2:10">
      <c r="B68" s="171" t="s">
        <v>148</v>
      </c>
      <c r="C68" s="40">
        <f t="shared" ref="C68:H68" si="12">IF(AND($I$22&gt;=C$54,$I$36="Net"),((C79)/$C$10)*$I$20,IF(AND($I$22&gt;=C$54,$I$36="Over Base",$J$36&lt;((C79)/$C$10)),(((C79)/$C$10)-$J$36)*$I$20,IF(AND($I$22&gt;=C$54,$I$36="Fixed"),$J$36*$I$20,0)))+IF(AND($I$22&gt;=C$54,$I$37="Net"),((C80)/$C$10)*$I$20,IF(AND($I$22&gt;=C$54,$I$37="Over Base",$J$37&gt;((C80)/$C$10)),(((C80)/$C$10)-$J$37)*$I$20,IF(AND($I$22&gt;=C$54,$I$37="Fixed"),$J$37*$I$20,0)))+IF(AND($I$22&gt;=C$54,$I$38="Net"),((C81)/$C$10)*$I$20,IF(AND($I$22&gt;=C$54,$I$38="Over Base",$J$38&lt;((C81)/$C$10)),(((C81)/$C$10)-$J$38)*$I$20,IF(AND($I$22&gt;=C$54,$I$38="Fixed"),$J$38*$I$20,0)))</f>
        <v>6650</v>
      </c>
      <c r="D68" s="40">
        <f t="shared" si="12"/>
        <v>6839.5</v>
      </c>
      <c r="E68" s="40">
        <f t="shared" si="12"/>
        <v>7034.4349999999995</v>
      </c>
      <c r="F68" s="40">
        <f t="shared" si="12"/>
        <v>0</v>
      </c>
      <c r="G68" s="40">
        <f t="shared" si="12"/>
        <v>0</v>
      </c>
      <c r="H68" s="244">
        <f t="shared" si="12"/>
        <v>0</v>
      </c>
      <c r="J68" s="126"/>
    </row>
    <row r="69" spans="2:10">
      <c r="B69" s="171" t="s">
        <v>149</v>
      </c>
      <c r="C69" s="765">
        <f t="shared" ref="C69:H69" si="13">IF(($I$25+$I$22)&gt;=C$54,$I$21*$I$20,0)</f>
        <v>80000</v>
      </c>
      <c r="D69" s="486">
        <f t="shared" si="13"/>
        <v>80000</v>
      </c>
      <c r="E69" s="486">
        <f t="shared" si="13"/>
        <v>80000</v>
      </c>
      <c r="F69" s="486">
        <f t="shared" si="13"/>
        <v>80000</v>
      </c>
      <c r="G69" s="486">
        <f t="shared" si="13"/>
        <v>0</v>
      </c>
      <c r="H69" s="506">
        <f t="shared" si="13"/>
        <v>0</v>
      </c>
      <c r="J69" s="126"/>
    </row>
    <row r="70" spans="2:10">
      <c r="B70" s="171" t="s">
        <v>150</v>
      </c>
      <c r="C70" s="116">
        <f t="shared" ref="C70:H70" si="14">IF(C$54&gt;($I$22+$I$25),$I$23*$I$20*((1+$I$24)^(C$54-1)),0)</f>
        <v>0</v>
      </c>
      <c r="D70" s="116">
        <f t="shared" si="14"/>
        <v>0</v>
      </c>
      <c r="E70" s="116">
        <f t="shared" si="14"/>
        <v>0</v>
      </c>
      <c r="F70" s="116">
        <f t="shared" si="14"/>
        <v>0</v>
      </c>
      <c r="G70" s="116">
        <f t="shared" si="14"/>
        <v>90040.704799999992</v>
      </c>
      <c r="H70" s="507">
        <f t="shared" si="14"/>
        <v>92741.925943999988</v>
      </c>
      <c r="J70" s="126"/>
    </row>
    <row r="71" spans="2:10">
      <c r="B71" s="171" t="s">
        <v>151</v>
      </c>
      <c r="C71" s="40">
        <f t="shared" ref="C71:H71" si="15">IF(AND($I$25&lt;C54,($I$25+$I$22)&gt;=C$54,$I$36="Net"),((C79)/$C$10)*$I$20,IF(AND(I$25&lt;C54,($I$25+$I$22)&gt;=C$54,$I$36="Over Base",$J$36&lt;((C79)/$C$10)),(((C79)/$C$10)-$J$36)*$I$20,IF(AND(I$25&lt;C54,($I$25+$I$22)&gt;=C$54,$I$36="Fixed"),$J$36*$I$20,0)))+IF(AND(I$25&lt;C54,($I$25+$I$22)&gt;=C$54,$I$37="Net"),((C80)/$C$10)*$I$20,IF(AND(I$25&lt;C54,($I$25+$I$22)&gt;=C$54,$I$37="Over Base",$J$37&gt;((C80)/$C$10)),(((C80)/$C$10)-$J$37)*$I$20,IF(AND(I$25&lt;C54,($I$25+$I$22)&gt;=C$54,$I$37="Fixed"),$J$37*$I$20,0)))+IF(AND(I$25&lt;C54,($I$25+$I$22)&gt;=C$54,$I$38="Net"),((C81)/$C$10)*$I$20,IF(AND(I$25&lt;C54,($I$25+$I$22)&gt;=C$54,$I$38="Over Base",$J$38&lt;((C81)/$C$10)),(((C81)/$C$10)-$J$38)*$I$20,IF(AND(I$25&lt;C54,($I$25+$I$22)&gt;=C$54,$I$38="Fixed"),$J$38*$I$20,0)))</f>
        <v>0</v>
      </c>
      <c r="D71" s="40">
        <f t="shared" si="15"/>
        <v>6839.5</v>
      </c>
      <c r="E71" s="40">
        <f t="shared" si="15"/>
        <v>7034.4349999999995</v>
      </c>
      <c r="F71" s="40">
        <f t="shared" si="15"/>
        <v>7234.9617999999991</v>
      </c>
      <c r="G71" s="40">
        <f t="shared" si="15"/>
        <v>0</v>
      </c>
      <c r="H71" s="244">
        <f t="shared" si="15"/>
        <v>0</v>
      </c>
      <c r="J71" s="126"/>
    </row>
    <row r="72" spans="2:10">
      <c r="B72" s="171" t="s">
        <v>119</v>
      </c>
      <c r="C72" s="8">
        <f t="shared" ref="C72:H72" si="16">SUM(C56:C71)</f>
        <v>1177600</v>
      </c>
      <c r="D72" s="8">
        <f t="shared" si="16"/>
        <v>1189915</v>
      </c>
      <c r="E72" s="8">
        <f t="shared" si="16"/>
        <v>1188526.2650000001</v>
      </c>
      <c r="F72" s="8">
        <f t="shared" si="16"/>
        <v>1195065.6324</v>
      </c>
      <c r="G72" s="8">
        <f t="shared" si="16"/>
        <v>1206623.2241117498</v>
      </c>
      <c r="H72" s="158">
        <f t="shared" si="16"/>
        <v>1227849.290577315</v>
      </c>
      <c r="J72" s="126"/>
    </row>
    <row r="73" spans="2:10" ht="13">
      <c r="B73" s="168"/>
      <c r="C73" s="8"/>
      <c r="D73" s="8"/>
      <c r="E73" s="8"/>
      <c r="F73" s="8"/>
      <c r="G73" s="8"/>
      <c r="H73" s="158"/>
      <c r="J73" s="126"/>
    </row>
    <row r="74" spans="2:10">
      <c r="B74" s="171" t="s">
        <v>152</v>
      </c>
      <c r="C74" s="486">
        <f>IF($I$25&gt;=C$54,$I$21*$I$20,0)</f>
        <v>80000</v>
      </c>
      <c r="D74" s="486">
        <f t="shared" ref="D74:H74" si="17">IF($I$25&gt;=D$54,$I$21*$I$20,0)</f>
        <v>0</v>
      </c>
      <c r="E74" s="486">
        <f t="shared" si="17"/>
        <v>0</v>
      </c>
      <c r="F74" s="486">
        <f t="shared" si="17"/>
        <v>0</v>
      </c>
      <c r="G74" s="486">
        <f t="shared" si="17"/>
        <v>0</v>
      </c>
      <c r="H74" s="506">
        <f t="shared" si="17"/>
        <v>0</v>
      </c>
      <c r="J74" s="126"/>
    </row>
    <row r="75" spans="2:10">
      <c r="B75" s="171" t="s">
        <v>153</v>
      </c>
      <c r="C75" s="874">
        <f t="shared" ref="C75:H75" si="18">(C72*$C$40)</f>
        <v>58880</v>
      </c>
      <c r="D75" s="874">
        <f t="shared" si="18"/>
        <v>59495.75</v>
      </c>
      <c r="E75" s="874">
        <f t="shared" si="18"/>
        <v>59426.313250000007</v>
      </c>
      <c r="F75" s="874">
        <f t="shared" si="18"/>
        <v>59753.281620000002</v>
      </c>
      <c r="G75" s="874">
        <f t="shared" si="18"/>
        <v>60331.161205587494</v>
      </c>
      <c r="H75" s="916">
        <f t="shared" si="18"/>
        <v>61392.464528865756</v>
      </c>
      <c r="J75" s="126"/>
    </row>
    <row r="76" spans="2:10" ht="13">
      <c r="B76" s="168" t="s">
        <v>485</v>
      </c>
      <c r="C76" s="486">
        <f>C72-C74-C75</f>
        <v>1038720</v>
      </c>
      <c r="D76" s="486">
        <f>D72-D75</f>
        <v>1130419.25</v>
      </c>
      <c r="E76" s="486">
        <f>E72-E75</f>
        <v>1129099.95175</v>
      </c>
      <c r="F76" s="486">
        <f>F72-F75</f>
        <v>1135312.35078</v>
      </c>
      <c r="G76" s="486">
        <f>G72-G75</f>
        <v>1146292.0629061623</v>
      </c>
      <c r="H76" s="506">
        <f>H72-H75</f>
        <v>1166456.8260484494</v>
      </c>
      <c r="J76" s="126"/>
    </row>
    <row r="77" spans="2:10">
      <c r="B77" s="171"/>
      <c r="C77" s="486"/>
      <c r="D77" s="486"/>
      <c r="E77" s="486"/>
      <c r="F77" s="486"/>
      <c r="G77" s="486"/>
      <c r="H77" s="506"/>
      <c r="J77" s="126"/>
    </row>
    <row r="78" spans="2:10">
      <c r="B78" s="171" t="s">
        <v>273</v>
      </c>
      <c r="C78" s="1087">
        <f>IF($C$43&gt;0,$C$43*C76,IF($D$43&gt;0,$D$43,IF($E$43&gt;0,$E$43*$C$10,0)))</f>
        <v>62323.199999999997</v>
      </c>
      <c r="D78" s="486">
        <f>IF($C$43&gt;0,$C$43*D76,IF($D$43&gt;0,$D$43*((1+$F$43)^C54),IF($E$43&gt;0,$E$43*$C$10*((1+$F$43)^C54),0)))</f>
        <v>67825.154999999999</v>
      </c>
      <c r="E78" s="486">
        <f>IF($C$43&gt;0,$C$43*E76,IF($D$43&gt;0,$D$43*((1+$F$43)^D54),IF($E$43&gt;0,$E$43*$C$10*((1+$F$43)^D54),0)))</f>
        <v>67745.997105000002</v>
      </c>
      <c r="F78" s="486">
        <f>IF($C$43&gt;0,$C$43*F76,IF($D$43&gt;0,$D$43*((1+$F$43)^E54),IF($E$43&gt;0,$E$43*$C$10*((1+$F$43)^E54),0)))</f>
        <v>68118.741046800002</v>
      </c>
      <c r="G78" s="486">
        <f>IF($C$43&gt;0,$C$43*G76,IF($D$43&gt;0,$D$43*((1+$F$43)^F54),IF($E$43&gt;0,$E$43*$C$10*((1+$F$43)^F54),0)))</f>
        <v>68777.523774369736</v>
      </c>
      <c r="H78" s="506">
        <f>IF($C$43&gt;0,$C$43*H76,IF($D$43&gt;0,$D$43*((1+$F$43)^G54),IF($E$43&gt;0,$E$43*$C$10*((1+$F$43)^G54),0)))</f>
        <v>69987.409562906963</v>
      </c>
      <c r="J78" s="126"/>
    </row>
    <row r="79" spans="2:10">
      <c r="B79" s="171" t="s">
        <v>117</v>
      </c>
      <c r="C79" s="1087">
        <f>IF($C$44&gt;0,$C$44*C76,IF($D$44&gt;0,$D$44,IF($E$44&gt;0,$E$44*$C$10,0)))</f>
        <v>40000</v>
      </c>
      <c r="D79" s="486">
        <f>IF($C$44&gt;0,$C$44*D76,IF($D$44&gt;0,$D$44*((1+$F$44)^C54),IF($E$44&gt;0,$E$44*$C$10*((1+$F$44)^C54),0)))</f>
        <v>41000</v>
      </c>
      <c r="E79" s="486">
        <f>IF($C$44&gt;0,$C$44*E76,IF($D$44&gt;0,$D$44*((1+$F$44)^D54),IF($E$44&gt;0,$E$44*$C$10*((1+$F$44)^D54),0)))</f>
        <v>42025</v>
      </c>
      <c r="F79" s="486">
        <f>IF($C$44&gt;0,$C$44*F76,IF($D$44&gt;0,$D$44*((1+$F$44)^E54),IF($E$44&gt;0,$E$44*$C$10*((1+$F$44)^E54),0)))</f>
        <v>43075.624999999993</v>
      </c>
      <c r="G79" s="486">
        <f>IF($C$44&gt;0,$C$44*G76,IF($D$44&gt;0,$D$44*((1+$F$44)^F54),IF($E$44&gt;0,$E$44*$C$10*((1+$F$44)^F54),0)))</f>
        <v>44152.515624999993</v>
      </c>
      <c r="H79" s="506">
        <f>IF($C$44&gt;0,$C$44*H76,IF($D$44&gt;0,$D$44*((1+$F$44)^G54),IF($E$44&gt;0,$E$44*$C$10*((1+$F$44)^G54),0)))</f>
        <v>45256.328515624984</v>
      </c>
      <c r="J79" s="126"/>
    </row>
    <row r="80" spans="2:10">
      <c r="B80" s="171" t="s">
        <v>276</v>
      </c>
      <c r="C80" s="1087">
        <f>IF($C$45&gt;0,$C$45*C76,IF($D$45&gt;0,$D$45,IF($E$45&gt;0,$E$45*$C$10,0)))</f>
        <v>18000</v>
      </c>
      <c r="D80" s="486">
        <f>IF($C$45&gt;0,$C$45*D76,IF($D$45&gt;0,$D$45*((1+$F$45)^C54),IF($E$45&gt;0,$E$45*$C$10*((1+$F$45)^C54),0)))</f>
        <v>18540</v>
      </c>
      <c r="E80" s="486">
        <f>IF($C$45&gt;0,$C$45*E76,IF($D$45&gt;0,$D$45*((1+$F$45)^D54),IF($E$45&gt;0,$E$45*$C$10*((1+$F$45)^D54),0)))</f>
        <v>19096.2</v>
      </c>
      <c r="F80" s="486">
        <f>IF($C$45&gt;0,$C$45*F76,IF($D$45&gt;0,$D$45*((1+$F$45)^E54),IF($E$45&gt;0,$E$45*$C$10*((1+$F$45)^E54),0)))</f>
        <v>19669.085999999999</v>
      </c>
      <c r="G80" s="486">
        <f>IF($C$45&gt;0,$C$45*G76,IF($D$45&gt;0,$D$45*((1+$F$45)^F54),IF($E$45&gt;0,$E$45*$C$10*((1+$F$45)^F54),0)))</f>
        <v>20259.158579999999</v>
      </c>
      <c r="H80" s="506">
        <f>IF($C$45&gt;0,$C$45*H76,IF($D$45&gt;0,$D$45*((1+$F$45)^G54),IF($E$45&gt;0,$E$45*$C$10*((1+$F$45)^G54),0)))</f>
        <v>20866.933337399998</v>
      </c>
      <c r="J80" s="126"/>
    </row>
    <row r="81" spans="2:10">
      <c r="B81" s="171" t="s">
        <v>154</v>
      </c>
      <c r="C81" s="1087">
        <f>IF($C$46&gt;0,$C$46*C76,IF($D$46&gt;0,$D$46,IF($E$46&gt;0,$E$46*$C$10,0)))</f>
        <v>75000</v>
      </c>
      <c r="D81" s="486">
        <f>IF($C$46&gt;0,$C$46*D76,IF($D$46&gt;0,$D$46*((1+$F$46)^C54),IF($E$46&gt;0,$E$46*$C$10*((1+$F$46)^C54),0)))</f>
        <v>77250</v>
      </c>
      <c r="E81" s="486">
        <f>IF($C$46&gt;0,$C$46*E76,IF($D$46&gt;0,$D$46*((1+$F$46)^D54),IF($E$46&gt;0,$E$46*$C$10*((1+$F$46)^D54),0)))</f>
        <v>79567.5</v>
      </c>
      <c r="F81" s="486">
        <f>IF($C$46&gt;0,$C$46*F76,IF($D$46&gt;0,$D$46*((1+$F$46)^E54),IF($E$46&gt;0,$E$46*$C$10*((1+$F$46)^E54),0)))</f>
        <v>81954.524999999994</v>
      </c>
      <c r="G81" s="486">
        <f>IF($C$46&gt;0,$C$46*G76,IF($D$46&gt;0,$D$46*((1+$F$46)^F54),IF($E$46&gt;0,$E$46*$C$10*((1+$F$46)^F54),0)))</f>
        <v>84413.160749999995</v>
      </c>
      <c r="H81" s="506">
        <f>IF($C$46&gt;0,$C$46*H76,IF($D$46&gt;0,$D$46*((1+$F$46)^G54),IF($E$46&gt;0,$E$46*$C$10*((1+$F$46)^G54),0)))</f>
        <v>86945.555572499987</v>
      </c>
      <c r="J81" s="126"/>
    </row>
    <row r="82" spans="2:10">
      <c r="B82" s="171" t="s">
        <v>278</v>
      </c>
      <c r="C82" s="1088">
        <f t="shared" ref="C82:H82" si="19">SUM(C78:C81)</f>
        <v>195323.2</v>
      </c>
      <c r="D82" s="914">
        <f t="shared" si="19"/>
        <v>204615.155</v>
      </c>
      <c r="E82" s="914">
        <f t="shared" si="19"/>
        <v>208434.697105</v>
      </c>
      <c r="F82" s="914">
        <f t="shared" si="19"/>
        <v>212817.97704679996</v>
      </c>
      <c r="G82" s="914">
        <f t="shared" si="19"/>
        <v>217602.35872936971</v>
      </c>
      <c r="H82" s="907">
        <f t="shared" si="19"/>
        <v>223056.22698843194</v>
      </c>
      <c r="J82" s="126"/>
    </row>
    <row r="83" spans="2:10" ht="13">
      <c r="B83" s="780" t="s">
        <v>335</v>
      </c>
      <c r="C83" s="912">
        <f t="shared" ref="C83:H83" si="20">C76-C82</f>
        <v>843396.8</v>
      </c>
      <c r="D83" s="912">
        <f t="shared" si="20"/>
        <v>925804.09499999997</v>
      </c>
      <c r="E83" s="912">
        <f t="shared" si="20"/>
        <v>920665.25464499998</v>
      </c>
      <c r="F83" s="912">
        <f t="shared" si="20"/>
        <v>922494.37373320002</v>
      </c>
      <c r="G83" s="912">
        <f t="shared" si="20"/>
        <v>928689.70417679264</v>
      </c>
      <c r="H83" s="913">
        <f t="shared" si="20"/>
        <v>943400.59906001738</v>
      </c>
      <c r="J83" s="126"/>
    </row>
    <row r="84" spans="2:10">
      <c r="B84" s="171"/>
      <c r="C84" s="8"/>
      <c r="D84" s="8"/>
      <c r="E84" s="8"/>
      <c r="F84" s="8"/>
      <c r="G84" s="8"/>
      <c r="H84" s="158"/>
      <c r="J84" s="126"/>
    </row>
    <row r="85" spans="2:10">
      <c r="B85" s="171" t="s">
        <v>155</v>
      </c>
      <c r="C85" s="116">
        <f>IF(OR(C54=1,($I$25+1)=C54),$I$31*$I$20,0)</f>
        <v>50000</v>
      </c>
      <c r="D85" s="116">
        <f>IF(OR(D54=1,($I$25+1)=D54),$I$31*$I$20,0)</f>
        <v>50000</v>
      </c>
      <c r="E85" s="116">
        <f>IF(OR(E54=1,($I$25+1)=E54),$I$31*$I$20,0)</f>
        <v>0</v>
      </c>
      <c r="F85" s="116">
        <f>IF(OR(F54=1,($I$25+1)=F54),$I$31*$I$20,0)</f>
        <v>0</v>
      </c>
      <c r="G85" s="116">
        <f>IF(OR(G54=1,($I$25+1)=G54),$I$31*$I$20,0)</f>
        <v>0</v>
      </c>
      <c r="H85" s="507"/>
      <c r="J85" s="126"/>
    </row>
    <row r="86" spans="2:10">
      <c r="B86" s="171" t="s">
        <v>156</v>
      </c>
      <c r="C86" s="40">
        <f>IF(OR(($G$22+1)=C54,($G$22+1+$G$30)=C54,($G$22+1+(2*$G$30))=C54),$G$31*$G$20*((1+$G$33)^(C54-1)),0)+IF(OR(($I$22+1)=C54,($I$22+1+$G$30)=C54,($I$22+1+(2*$G$30))=C54),$G$31*$I$20*((1+$G$33)^(C54-1)),0)+IF(OR(($I$22+$I$25+1)=C54,($I$22+$I$25+1+$G$30)=C54,($I$22+1+$I$25+(2*$G$30))=C54),$G$31*$I$20*((1+$G$33)^(C54-1)),0)</f>
        <v>0</v>
      </c>
      <c r="D86" s="40">
        <f>IF(OR(($G$22+1)=D54,($G$22+1+$G$30)=D54,($G$22+1+(2*$G$30))=D54),$G$31*$G$20*((1+$G$33)^(D54-1)),0)+IF(OR(($I$22+1)=D54,($I$22+1+$G$30)=D54,($I$22+1+(2*$G$30))=D54),$G$31*$I$20*((1+$G$33)^(D54-1)),0)+IF(OR(($I$22+$I$25+1)=D54,($I$22+$I$25+1+$G$30)=D54,($I$22+1+$I$25+(2*$G$30))=D54),$G$31*$I$20*((1+$G$33)^(D54-1)),0)</f>
        <v>0</v>
      </c>
      <c r="E86" s="1085">
        <f>IF(OR(($G$22+1)=E54,($G$22+1+$G$30)=E54,($G$22+1+(2*$G$30))=E54),$G$31*$G$20*((1+$G$33)^(E54-1)),0)+IF(OR(($I$22+1)=E54,($I$22+1+$G$30)=E54,($I$22+1+(2*$G$30))=E54),$G$31*$I$20*((1+$G$33)^(E54-1)),0)+IF(OR(($I$22+$I$25+1)=E54,($I$22+$I$25+1+$G$30)=E54,($I$22+1+$I$25+(2*$G$30))=E54),$G$31*$I$20*((1+$G$33)^(E54-1)),0)</f>
        <v>26522.5</v>
      </c>
      <c r="F86" s="1085">
        <f>IF(OR(($G$22+1)=F54,($G$22+1+$G$30)=F54,($G$22+1+(2*$G$30))=F54),$G$31*$G$20*((1+$G$33)^(F54-1)),0)+IF(OR(($I$22+1)=F54,($I$22+1+$G$30)=F54,($I$22+1+(2*$G$30))=F54),$G$31*$I$20*((1+$G$33)^(F54-1)),0)+IF(OR(($I$22+$I$25+1)=F54,($I$22+$I$25+1+$G$30)=F54,($I$22+1+$I$25+(2*$G$30))=F54),$G$31*$I$20*((1+$G$33)^(F54-1)),0)</f>
        <v>27318.174999999999</v>
      </c>
      <c r="G86" s="1085">
        <f>IF(OR(($G$22+1)=G54,($G$22+1+$G$30)=G54,($G$22+1+(2*$G$30))=G54),$G$31*$G$20*((1+$G$33)^(G54-1)),0)+IF(OR(($I$22+1)=G54,($I$22+1+$G$30)=G54,($I$22+1+(2*$G$30))=G54),$G$31*$I$20*((1+$G$33)^(G54-1)),0)+IF(OR(($I$22+$I$25+1)=G54,($I$22+$I$25+1+$G$30)=G54,($I$22+1+$I$25+(2*$G$30))=G54),$G$31*$I$20*((1+$G$33)^(G54-1)),0)</f>
        <v>28137.720249999998</v>
      </c>
      <c r="H86" s="510"/>
      <c r="J86" s="126"/>
    </row>
    <row r="87" spans="2:10" ht="13">
      <c r="B87" s="171" t="s">
        <v>157</v>
      </c>
      <c r="C87" s="40">
        <f>C85+C86</f>
        <v>50000</v>
      </c>
      <c r="D87" s="40">
        <f>D85+D86</f>
        <v>50000</v>
      </c>
      <c r="E87" s="40">
        <f>E85+E86</f>
        <v>26522.5</v>
      </c>
      <c r="F87" s="40">
        <f>F85+F86</f>
        <v>27318.174999999999</v>
      </c>
      <c r="G87" s="40">
        <f>G85+G86</f>
        <v>28137.720249999998</v>
      </c>
      <c r="H87" s="509"/>
      <c r="J87" s="126"/>
    </row>
    <row r="88" spans="2:10" ht="13">
      <c r="B88" s="171"/>
      <c r="C88" s="40"/>
      <c r="D88" s="40"/>
      <c r="E88" s="40"/>
      <c r="F88" s="40"/>
      <c r="G88" s="40"/>
      <c r="H88" s="509"/>
      <c r="J88" s="126"/>
    </row>
    <row r="89" spans="2:10">
      <c r="B89" s="171" t="s">
        <v>158</v>
      </c>
      <c r="C89" s="116">
        <f>IF(OR(C54=1,($I$25+1)=C54),$I$21*$I$22*$I$20*$I$32,0)</f>
        <v>12000</v>
      </c>
      <c r="D89" s="116">
        <f>IF(OR(D54=1,($I$25+1)=D54),$I$21*$I$22*$I$20*$I$32,0)</f>
        <v>12000</v>
      </c>
      <c r="E89" s="116">
        <f>IF(OR(E54=1,($I$25+1)=E54),$I$21*$I$22*$I$20*$I$32,0)</f>
        <v>0</v>
      </c>
      <c r="F89" s="116">
        <f>IF(OR(F54=1,($I$25+1)=F54),$I$21*$I$22*$I$20*$I$32,0)</f>
        <v>0</v>
      </c>
      <c r="G89" s="116">
        <f>IF(OR(G54=1,($I$25+1)=G54),$I$21*$I$22*$I$20*$I$32,0)</f>
        <v>0</v>
      </c>
      <c r="H89" s="507"/>
      <c r="J89" s="126"/>
    </row>
    <row r="90" spans="2:10">
      <c r="B90" s="171" t="s">
        <v>159</v>
      </c>
      <c r="C90" s="40">
        <f>IF(OR(($G$22+1)=C54,($G$22+1+$G$30)=C54,($G$22+1+(2*$G$30))=C54),$G$23*$G$20*$G$30*$G$32*((1+$G$24)^(C54-1)),0)+IF(OR(($I$22+1)=C54,($I$22+1+$G$30)=C54,($I$22+1+(2*$G$30))=C54),$G$23*$I$20*$G$30*$G$32*((1+$G$24)^(C54-1)),0)+IF(OR(($I$22+$I$25+1)=C54,($I$22+$I$25+1+$G$30)=C54,($I$22+1+$I$25+(2*$G$30))=C54),$G$23*$I$20*$G$30*$G$32*((1+$G$24)^(C54-1)),0)</f>
        <v>0</v>
      </c>
      <c r="D90" s="40">
        <f>IF(OR(($G$22+1)=D54,($G$22+1+$G$30)=D54,($G$22+1+(2*$G$30))=D54),$G$23*$G$20*$G$30*$G$32*((1+$G$24)^(D54-1)),0)+IF(OR(($I$22+1)=D54,($I$22+1+$G$30)=D54,($I$22+1+(2*$G$30))=D54),$G$23*$I$20*$G$30*$G$32*((1+$G$24)^(D54-1)),0)+IF(OR(($I$22+$I$25+1)=D54,($I$22+$I$25+1+$G$30)=D54,($I$22+1+$I$25+(2*$G$30))=D54),$G$23*$I$20*$G$30*$G$32*((1+$G$24)^(D54-1)),0)</f>
        <v>0</v>
      </c>
      <c r="E90" s="814">
        <f>IF(OR(($G$22+1)=E54,($G$22+1+$G$30)=E54,($G$22+1+(2*$G$30))=E54),$G$23*$G$20*$G$30*$G$32*((1+$G$24)^(E54-1)),0)+IF(OR(($I$22+1)=E54,($I$22+1+$G$30)=E54,($I$22+1+(2*$G$30))=E54),$G$23*$I$20*$G$30*$G$32*((1+$G$24)^(E54-1)),0)+IF(OR(($I$22+$I$25+1)=E54,($I$22+$I$25+1+$G$30)=E54,($I$22+1+$I$25+(2*$G$30))=E54),$G$23*$I$20*$G$30*$G$32*((1+$G$24)^(E54-1)),0)</f>
        <v>10184.64</v>
      </c>
      <c r="F90" s="814">
        <f>IF(OR(($G$22+1)=F54,($G$22+1+$G$30)=F54,($G$22+1+(2*$G$30))=F54),$G$23*$G$20*$G$30*$G$32*((1+$G$24)^(F54-1)),0)+IF(OR(($I$22+1)=F54,($I$22+1+$G$30)=F54,($I$22+1+(2*$G$30))=F54),$G$23*$I$20*$G$30*$G$32*((1+$G$24)^(F54-1)),0)+IF(OR(($I$22+$I$25+1)=F54,($I$22+$I$25+1+$G$30)=F54,($I$22+1+$I$25+(2*$G$30))=F54),$G$23*$I$20*$G$30*$G$32*((1+$G$24)^(F54-1)),0)</f>
        <v>10490.1792</v>
      </c>
      <c r="G90" s="814">
        <f>IF(OR(($G$22+1)=G54,($G$22+1+$G$30)=G54,($G$22+1+(2*$G$30))=G54),$G$23*$G$20*$G$30*$G$32*((1+$G$24)^(G54-1)),0)+IF(OR(($I$22+1)=G54,($I$22+1+$G$30)=G54,($I$22+1+(2*$G$30))=G54),$G$23*$I$20*$G$30*$G$32*((1+$G$24)^(G54-1)),0)+IF(OR(($I$22+$I$25+1)=G54,($I$22+$I$25+1+$G$30)=G54,($I$22+1+$I$25+(2*$G$30))=G54),$G$23*$I$20*$G$30*$G$32*((1+$G$24)^(G54-1)),0)</f>
        <v>10804.884575999999</v>
      </c>
      <c r="H90" s="508"/>
      <c r="J90" s="126"/>
    </row>
    <row r="91" spans="2:10">
      <c r="B91" s="171" t="s">
        <v>160</v>
      </c>
      <c r="C91" s="40">
        <f>C89+C90</f>
        <v>12000</v>
      </c>
      <c r="D91" s="40">
        <f>D89+D90</f>
        <v>12000</v>
      </c>
      <c r="E91" s="40">
        <f>E89+E90</f>
        <v>10184.64</v>
      </c>
      <c r="F91" s="40">
        <f>F89+F90</f>
        <v>10490.1792</v>
      </c>
      <c r="G91" s="40">
        <f>G89+G90</f>
        <v>10804.884575999999</v>
      </c>
      <c r="H91" s="508"/>
      <c r="J91" s="126"/>
    </row>
    <row r="92" spans="2:10" ht="13" thickBot="1">
      <c r="B92" s="171"/>
      <c r="C92" s="40"/>
      <c r="D92" s="40"/>
      <c r="E92" s="40"/>
      <c r="F92" s="40"/>
      <c r="G92" s="40"/>
      <c r="H92" s="508"/>
      <c r="J92" s="126"/>
    </row>
    <row r="93" spans="2:10" ht="13.5" thickBot="1">
      <c r="B93" s="157" t="s">
        <v>161</v>
      </c>
      <c r="C93" s="672">
        <f>C83-C87-C91</f>
        <v>781396.8</v>
      </c>
      <c r="D93" s="672">
        <f>D83-D87-D91</f>
        <v>863804.09499999997</v>
      </c>
      <c r="E93" s="672">
        <f>E83-E87-E91</f>
        <v>883958.11464499997</v>
      </c>
      <c r="F93" s="672">
        <f>F83-F87-F91</f>
        <v>884686.01953319996</v>
      </c>
      <c r="G93" s="673">
        <f>G83-G87-G91</f>
        <v>889747.09935079259</v>
      </c>
      <c r="H93" s="508"/>
      <c r="J93" s="126"/>
    </row>
    <row r="94" spans="2:10" ht="13" thickBot="1">
      <c r="B94" s="171"/>
      <c r="C94" s="488"/>
      <c r="D94" s="488"/>
      <c r="E94" s="488"/>
      <c r="F94" s="488"/>
      <c r="G94" s="488"/>
      <c r="H94" s="508"/>
      <c r="J94" s="126"/>
    </row>
    <row r="95" spans="2:10" ht="13">
      <c r="B95" s="1653" t="s">
        <v>162</v>
      </c>
      <c r="C95" s="1654"/>
      <c r="D95" s="1602"/>
      <c r="E95" s="1646"/>
      <c r="F95" s="1602"/>
      <c r="G95" s="1647"/>
      <c r="H95" s="126"/>
      <c r="J95" s="126"/>
    </row>
    <row r="96" spans="2:10">
      <c r="B96" s="171" t="s">
        <v>1342</v>
      </c>
      <c r="D96" s="54"/>
      <c r="E96" s="113"/>
      <c r="F96" s="113"/>
      <c r="G96" s="674">
        <f>$H$83/$C$15</f>
        <v>8984767.6100954041</v>
      </c>
      <c r="H96" s="126"/>
      <c r="J96" s="126"/>
    </row>
    <row r="97" spans="2:10">
      <c r="B97" s="171" t="s">
        <v>77</v>
      </c>
      <c r="D97" s="54"/>
      <c r="E97" s="113"/>
      <c r="F97" s="113"/>
      <c r="G97" s="907">
        <f>$G$96*$C$16</f>
        <v>269543.02830286213</v>
      </c>
      <c r="H97" s="126"/>
      <c r="J97" s="126"/>
    </row>
    <row r="98" spans="2:10" ht="13.5" thickBot="1">
      <c r="B98" s="228" t="s">
        <v>1343</v>
      </c>
      <c r="C98" s="4"/>
      <c r="D98" s="536"/>
      <c r="E98" s="623"/>
      <c r="F98" s="906"/>
      <c r="G98" s="675">
        <f>G96-G97</f>
        <v>8715224.5817925427</v>
      </c>
      <c r="H98" s="126"/>
      <c r="J98" s="126"/>
    </row>
    <row r="99" spans="2:10" ht="13">
      <c r="B99" s="171"/>
      <c r="C99" s="489"/>
      <c r="D99" s="54"/>
      <c r="E99" s="113"/>
      <c r="F99" s="113"/>
      <c r="G99" s="490"/>
      <c r="H99" s="126"/>
      <c r="J99" s="126"/>
    </row>
    <row r="100" spans="2:10" ht="13" thickBot="1">
      <c r="B100" s="124"/>
      <c r="H100" s="126"/>
      <c r="J100" s="126"/>
    </row>
    <row r="101" spans="2:10" ht="13.5" thickBot="1">
      <c r="B101" s="1531" t="s">
        <v>1340</v>
      </c>
      <c r="C101" s="1536"/>
      <c r="D101" s="1536"/>
      <c r="E101" s="1536"/>
      <c r="F101" s="1536"/>
      <c r="G101" s="1536"/>
      <c r="H101" s="1534"/>
      <c r="J101" s="126"/>
    </row>
    <row r="102" spans="2:10" ht="13.5" thickBot="1">
      <c r="B102" s="157" t="s">
        <v>262</v>
      </c>
      <c r="C102" s="157">
        <v>0</v>
      </c>
      <c r="D102" s="157">
        <f>C102+1</f>
        <v>1</v>
      </c>
      <c r="E102" s="157">
        <f>D102+1</f>
        <v>2</v>
      </c>
      <c r="F102" s="157">
        <f>E102+1</f>
        <v>3</v>
      </c>
      <c r="G102" s="157">
        <f>F102+1</f>
        <v>4</v>
      </c>
      <c r="H102" s="157">
        <f>G102+1</f>
        <v>5</v>
      </c>
      <c r="J102" s="126"/>
    </row>
    <row r="103" spans="2:10">
      <c r="B103" s="276" t="s">
        <v>824</v>
      </c>
      <c r="C103" s="1189">
        <f>-C8</f>
        <v>-8500000</v>
      </c>
      <c r="D103" s="1189">
        <f>C93</f>
        <v>781396.8</v>
      </c>
      <c r="E103" s="1189">
        <f>D93</f>
        <v>863804.09499999997</v>
      </c>
      <c r="F103" s="1189">
        <f>E93</f>
        <v>883958.11464499997</v>
      </c>
      <c r="G103" s="1189">
        <f>F93</f>
        <v>884686.01953319996</v>
      </c>
      <c r="H103" s="1190">
        <f>G93+G98</f>
        <v>9604971.681143336</v>
      </c>
      <c r="J103" s="126"/>
    </row>
    <row r="104" spans="2:10" ht="13" thickBot="1">
      <c r="B104" s="134"/>
      <c r="C104" s="4"/>
      <c r="D104" s="4"/>
      <c r="E104" s="4"/>
      <c r="F104" s="4"/>
      <c r="G104" s="4"/>
      <c r="H104" s="135"/>
      <c r="J104" s="126"/>
    </row>
    <row r="105" spans="2:10" ht="13.5" thickBot="1">
      <c r="B105" s="676" t="s">
        <v>903</v>
      </c>
      <c r="C105" s="1407">
        <f>IRR(C103:H103)</f>
        <v>0.10479379457838811</v>
      </c>
      <c r="H105" s="126"/>
      <c r="J105" s="126"/>
    </row>
    <row r="106" spans="2:10" ht="13.5" thickBot="1">
      <c r="B106" s="676" t="s">
        <v>1258</v>
      </c>
      <c r="C106" s="825">
        <f>NPV($C$14,D103:H103)</f>
        <v>8334239.7009695461</v>
      </c>
      <c r="H106" s="126"/>
      <c r="J106" s="126"/>
    </row>
    <row r="107" spans="2:10" ht="13.5" thickBot="1">
      <c r="B107" s="676" t="s">
        <v>1259</v>
      </c>
      <c r="C107" s="826">
        <f>C106-C8</f>
        <v>-165760.2990304539</v>
      </c>
      <c r="H107" s="126"/>
      <c r="J107" s="126"/>
    </row>
    <row r="108" spans="2:10" ht="13.5" thickBot="1">
      <c r="B108" s="216"/>
      <c r="C108" s="23"/>
      <c r="H108" s="126"/>
      <c r="J108" s="126"/>
    </row>
    <row r="109" spans="2:10" ht="13.5" thickBot="1">
      <c r="B109" s="1531" t="s">
        <v>163</v>
      </c>
      <c r="C109" s="1532"/>
      <c r="D109" s="1533"/>
      <c r="H109" s="126"/>
      <c r="J109" s="126"/>
    </row>
    <row r="110" spans="2:10">
      <c r="B110" s="124" t="s">
        <v>164</v>
      </c>
      <c r="C110" s="8"/>
      <c r="D110" s="126"/>
      <c r="H110" s="126"/>
      <c r="J110" s="126"/>
    </row>
    <row r="111" spans="2:10">
      <c r="B111" s="124" t="s">
        <v>165</v>
      </c>
      <c r="C111" s="40">
        <f>NPV(C105,C93:G93)</f>
        <v>3204920.9049048075</v>
      </c>
      <c r="D111" s="252">
        <f>C111/C113</f>
        <v>0.37704951822409499</v>
      </c>
      <c r="H111" s="126"/>
      <c r="J111" s="126"/>
    </row>
    <row r="112" spans="2:10">
      <c r="B112" s="124" t="s">
        <v>166</v>
      </c>
      <c r="C112" s="908">
        <f>G98/(1+C105)^5</f>
        <v>5295079.0950951921</v>
      </c>
      <c r="D112" s="909">
        <f>C112/C113</f>
        <v>0.62295048177590495</v>
      </c>
      <c r="F112" s="39" t="s">
        <v>1341</v>
      </c>
      <c r="H112" s="436">
        <f>-PV(C105,H102,0,G98)</f>
        <v>5295079.0950951921</v>
      </c>
      <c r="J112" s="126"/>
    </row>
    <row r="113" spans="2:16" ht="13" thickBot="1">
      <c r="B113" s="134" t="s">
        <v>889</v>
      </c>
      <c r="C113" s="671">
        <f>SUM(C111:C112)</f>
        <v>8500000</v>
      </c>
      <c r="D113" s="143">
        <f>SUM(D111:D112)</f>
        <v>1</v>
      </c>
      <c r="H113" s="126"/>
      <c r="J113" s="126"/>
    </row>
    <row r="114" spans="2:16" ht="13" thickBot="1">
      <c r="B114" s="134"/>
      <c r="C114" s="4"/>
      <c r="D114" s="4"/>
      <c r="E114" s="4"/>
      <c r="F114" s="4"/>
      <c r="G114" s="4"/>
      <c r="H114" s="135"/>
      <c r="I114" s="4"/>
      <c r="J114" s="135"/>
    </row>
    <row r="118" spans="2:16" ht="13.5" thickBot="1">
      <c r="J118" s="986" t="s">
        <v>1397</v>
      </c>
    </row>
    <row r="119" spans="2:16" ht="13.5" thickBot="1">
      <c r="L119" s="1648" t="s">
        <v>284</v>
      </c>
      <c r="M119" s="1649"/>
      <c r="N119" s="1649"/>
      <c r="O119" s="1649"/>
      <c r="P119" s="1649"/>
    </row>
    <row r="120" spans="2:16" ht="13" thickBot="1">
      <c r="K120" s="978">
        <f>C105</f>
        <v>0.10479379457838811</v>
      </c>
      <c r="L120" s="980">
        <v>8100000</v>
      </c>
      <c r="M120" s="980">
        <v>8300000</v>
      </c>
      <c r="N120" s="980">
        <v>8500000</v>
      </c>
      <c r="O120" s="980">
        <v>8700000</v>
      </c>
      <c r="P120" s="981">
        <v>8800000</v>
      </c>
    </row>
    <row r="121" spans="2:16" ht="12.75" customHeight="1">
      <c r="J121" s="1650" t="s">
        <v>1396</v>
      </c>
      <c r="K121" s="982">
        <v>9.5000000000000001E-2</v>
      </c>
      <c r="L121" s="600">
        <f t="dataTable" ref="L121:P126" dt2D="1" dtr="0" r1="C8" r2="C15"/>
        <v>0.13443448926736234</v>
      </c>
      <c r="M121" s="600">
        <v>0.12786706705059303</v>
      </c>
      <c r="N121" s="984">
        <v>0.12150831076147406</v>
      </c>
      <c r="O121" s="600">
        <v>0.11534659825353932</v>
      </c>
      <c r="P121" s="834">
        <v>0.11233625264300895</v>
      </c>
    </row>
    <row r="122" spans="2:16">
      <c r="J122" s="1651"/>
      <c r="K122" s="982">
        <v>0.1</v>
      </c>
      <c r="L122" s="600">
        <v>0.12573336696820303</v>
      </c>
      <c r="M122" s="600">
        <v>0.11919771211314756</v>
      </c>
      <c r="N122" s="984">
        <v>0.11287000739435271</v>
      </c>
      <c r="O122" s="600">
        <v>0.10673865875494659</v>
      </c>
      <c r="P122" s="834">
        <v>0.10374324556583958</v>
      </c>
    </row>
    <row r="123" spans="2:16">
      <c r="J123" s="1651"/>
      <c r="K123" s="982">
        <v>0.105</v>
      </c>
      <c r="L123" s="984">
        <v>0.1175989886471358</v>
      </c>
      <c r="M123" s="984">
        <v>0.11109274466361074</v>
      </c>
      <c r="N123" s="985">
        <v>0.10479379457838811</v>
      </c>
      <c r="O123" s="600">
        <v>9.8690569732939659E-2</v>
      </c>
      <c r="P123" s="834">
        <v>9.5708989457422566E-2</v>
      </c>
    </row>
    <row r="124" spans="2:16">
      <c r="J124" s="1651"/>
      <c r="K124" s="982">
        <v>0.11</v>
      </c>
      <c r="L124" s="600">
        <v>0.1099718739304385</v>
      </c>
      <c r="M124" s="600">
        <v>0.1034929439680996</v>
      </c>
      <c r="N124" s="600">
        <v>9.7220704390047263E-2</v>
      </c>
      <c r="O124" s="600">
        <v>9.1143609567253314E-2</v>
      </c>
      <c r="P124" s="834">
        <v>8.8174883503781887E-2</v>
      </c>
    </row>
    <row r="125" spans="2:16">
      <c r="J125" s="1651"/>
      <c r="K125" s="982">
        <v>0.115</v>
      </c>
      <c r="L125" s="600">
        <v>0.10280107137477135</v>
      </c>
      <c r="M125" s="600">
        <v>9.6347580151937118E-2</v>
      </c>
      <c r="N125" s="600">
        <v>9.0100222713286993E-2</v>
      </c>
      <c r="O125" s="600">
        <v>8.4047474363829089E-2</v>
      </c>
      <c r="P125" s="834">
        <v>8.1090726925997947E-2</v>
      </c>
    </row>
    <row r="126" spans="2:16" ht="13" thickBot="1">
      <c r="J126" s="1652"/>
      <c r="K126" s="983">
        <v>0.12</v>
      </c>
      <c r="L126" s="610">
        <v>9.6042629638625865E-2</v>
      </c>
      <c r="M126" s="610">
        <v>8.9612892281226708E-2</v>
      </c>
      <c r="N126" s="610">
        <v>8.3388774044410585E-2</v>
      </c>
      <c r="O126" s="610">
        <v>7.7358769305167385E-2</v>
      </c>
      <c r="P126" s="979">
        <v>7.4413213539349599E-2</v>
      </c>
    </row>
  </sheetData>
  <mergeCells count="11">
    <mergeCell ref="L119:P119"/>
    <mergeCell ref="J121:J126"/>
    <mergeCell ref="B109:D109"/>
    <mergeCell ref="B101:H101"/>
    <mergeCell ref="B95:C95"/>
    <mergeCell ref="B2:J2"/>
    <mergeCell ref="B3:J3"/>
    <mergeCell ref="B5:J5"/>
    <mergeCell ref="B53:H53"/>
    <mergeCell ref="D95:E95"/>
    <mergeCell ref="F95:G95"/>
  </mergeCells>
  <phoneticPr fontId="0" type="noConversion"/>
  <pageMargins left="0.75" right="0.75" top="1" bottom="1" header="0.5" footer="0.5"/>
  <pageSetup orientation="portrait" r:id="rId1"/>
  <headerFooter alignWithMargins="0"/>
  <drawing r:id="rId2"/>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M93"/>
  <sheetViews>
    <sheetView zoomScaleNormal="100" workbookViewId="0">
      <selection activeCell="N28" sqref="N28"/>
    </sheetView>
  </sheetViews>
  <sheetFormatPr defaultRowHeight="12.5"/>
  <cols>
    <col min="2" max="2" width="28.7265625" customWidth="1"/>
    <col min="3" max="3" width="27" customWidth="1"/>
    <col min="4" max="4" width="13.26953125" customWidth="1"/>
    <col min="5" max="5" width="16.453125" customWidth="1"/>
    <col min="6" max="6" width="11.81640625" bestFit="1" customWidth="1"/>
    <col min="7" max="7" width="16" bestFit="1" customWidth="1"/>
    <col min="8" max="8" width="16.1796875" bestFit="1" customWidth="1"/>
    <col min="9" max="9" width="8.54296875" bestFit="1" customWidth="1"/>
  </cols>
  <sheetData>
    <row r="1" spans="2:10" ht="13" thickBot="1"/>
    <row r="2" spans="2:10" ht="18.5" thickBot="1">
      <c r="B2" s="1525" t="s">
        <v>1007</v>
      </c>
      <c r="C2" s="1557"/>
      <c r="D2" s="1557"/>
      <c r="E2" s="1557"/>
      <c r="F2" s="1557"/>
      <c r="G2" s="1557"/>
      <c r="H2" s="1536"/>
      <c r="I2" s="1536"/>
      <c r="J2" s="1534"/>
    </row>
    <row r="3" spans="2:10" ht="16" thickBot="1">
      <c r="B3" s="1528" t="s">
        <v>1595</v>
      </c>
      <c r="C3" s="1529"/>
      <c r="D3" s="1529"/>
      <c r="E3" s="1529"/>
      <c r="F3" s="1529"/>
      <c r="G3" s="1529"/>
      <c r="H3" s="1529"/>
      <c r="I3" s="1529"/>
      <c r="J3" s="1530"/>
    </row>
    <row r="4" spans="2:10" ht="18.5" thickBot="1">
      <c r="B4" s="168"/>
      <c r="C4" s="19"/>
      <c r="J4" s="126"/>
    </row>
    <row r="5" spans="2:10" ht="13.5" thickBot="1">
      <c r="B5" s="1547" t="s">
        <v>78</v>
      </c>
      <c r="C5" s="1584"/>
      <c r="D5" s="1584"/>
      <c r="E5" s="1584"/>
      <c r="F5" s="1584"/>
      <c r="G5" s="1584"/>
      <c r="H5" s="1584"/>
      <c r="I5" s="1584"/>
      <c r="J5" s="1585"/>
    </row>
    <row r="6" spans="2:10">
      <c r="B6" s="124" t="s">
        <v>64</v>
      </c>
      <c r="C6" s="248" t="s">
        <v>167</v>
      </c>
      <c r="D6" s="39"/>
      <c r="J6" s="126"/>
    </row>
    <row r="7" spans="2:10">
      <c r="B7" s="124" t="s">
        <v>66</v>
      </c>
      <c r="C7" s="146"/>
      <c r="D7" s="39"/>
      <c r="J7" s="126"/>
    </row>
    <row r="8" spans="2:10">
      <c r="B8" s="124" t="s">
        <v>68</v>
      </c>
      <c r="C8" s="248" t="s">
        <v>111</v>
      </c>
      <c r="D8" s="39"/>
      <c r="J8" s="126"/>
    </row>
    <row r="9" spans="2:10">
      <c r="B9" s="124" t="s">
        <v>70</v>
      </c>
      <c r="C9" s="248" t="s">
        <v>71</v>
      </c>
      <c r="D9" s="39"/>
      <c r="J9" s="126"/>
    </row>
    <row r="10" spans="2:10">
      <c r="B10" s="124" t="s">
        <v>74</v>
      </c>
      <c r="C10" s="496">
        <v>140000</v>
      </c>
      <c r="D10" s="39"/>
      <c r="J10" s="126"/>
    </row>
    <row r="11" spans="2:10">
      <c r="B11" s="124"/>
      <c r="C11" s="146"/>
      <c r="D11" s="39"/>
      <c r="J11" s="126"/>
    </row>
    <row r="12" spans="2:10">
      <c r="B12" s="124" t="s">
        <v>75</v>
      </c>
      <c r="C12" s="498">
        <v>36678</v>
      </c>
      <c r="D12" s="39"/>
      <c r="J12" s="126"/>
    </row>
    <row r="13" spans="2:10">
      <c r="B13" s="124" t="s">
        <v>376</v>
      </c>
      <c r="C13" s="248">
        <v>5</v>
      </c>
      <c r="D13" s="39"/>
      <c r="J13" s="126"/>
    </row>
    <row r="14" spans="2:10">
      <c r="B14" s="171" t="s">
        <v>76</v>
      </c>
      <c r="C14" s="823">
        <v>0.105</v>
      </c>
      <c r="D14" s="39"/>
      <c r="J14" s="126"/>
    </row>
    <row r="15" spans="2:10">
      <c r="B15" s="171" t="s">
        <v>268</v>
      </c>
      <c r="C15" s="823">
        <v>9.7500000000000003E-2</v>
      </c>
      <c r="D15" s="39"/>
      <c r="J15" s="126"/>
    </row>
    <row r="16" spans="2:10" ht="13" thickBot="1">
      <c r="B16" s="228" t="s">
        <v>77</v>
      </c>
      <c r="C16" s="500">
        <v>0.03</v>
      </c>
      <c r="D16" s="39"/>
      <c r="J16" s="126"/>
    </row>
    <row r="17" spans="2:11" ht="13.5" thickBot="1">
      <c r="B17" s="124"/>
      <c r="I17" s="1"/>
      <c r="J17" s="126"/>
    </row>
    <row r="18" spans="2:11" ht="13.5" thickBot="1">
      <c r="B18" s="230"/>
      <c r="C18" s="157" t="s">
        <v>312</v>
      </c>
      <c r="D18" s="122"/>
      <c r="E18" s="157" t="s">
        <v>313</v>
      </c>
      <c r="F18" s="277"/>
      <c r="G18" s="157" t="s">
        <v>314</v>
      </c>
      <c r="I18" s="477"/>
      <c r="J18" s="126"/>
    </row>
    <row r="19" spans="2:11">
      <c r="B19" s="124" t="s">
        <v>80</v>
      </c>
      <c r="C19" s="651" t="s">
        <v>168</v>
      </c>
      <c r="D19" s="39"/>
      <c r="E19" s="651" t="s">
        <v>169</v>
      </c>
      <c r="F19" s="39"/>
      <c r="G19" s="501" t="s">
        <v>170</v>
      </c>
      <c r="H19" s="39"/>
      <c r="I19" s="92"/>
      <c r="J19" s="440"/>
      <c r="K19" s="39"/>
    </row>
    <row r="20" spans="2:11">
      <c r="B20" s="171" t="s">
        <v>112</v>
      </c>
      <c r="C20" s="652">
        <v>50000</v>
      </c>
      <c r="D20" s="39"/>
      <c r="E20" s="422">
        <v>42500</v>
      </c>
      <c r="F20" s="39"/>
      <c r="G20" s="496">
        <v>47500</v>
      </c>
      <c r="H20" s="39"/>
      <c r="I20" s="659"/>
      <c r="J20" s="146"/>
      <c r="K20" s="39"/>
    </row>
    <row r="21" spans="2:11">
      <c r="B21" s="171" t="s">
        <v>113</v>
      </c>
      <c r="C21" s="491">
        <v>6</v>
      </c>
      <c r="D21" s="39"/>
      <c r="E21" s="491">
        <v>6.5</v>
      </c>
      <c r="F21" s="39"/>
      <c r="G21" s="503">
        <v>5.75</v>
      </c>
      <c r="H21" s="39"/>
      <c r="I21" s="39"/>
      <c r="J21" s="146"/>
      <c r="K21" s="39"/>
    </row>
    <row r="22" spans="2:11">
      <c r="B22" s="171" t="s">
        <v>83</v>
      </c>
      <c r="C22" s="654">
        <v>3</v>
      </c>
      <c r="D22" s="39"/>
      <c r="E22" s="654">
        <v>2</v>
      </c>
      <c r="F22" s="39"/>
      <c r="G22" s="504">
        <v>4</v>
      </c>
      <c r="H22" s="39"/>
      <c r="I22" s="659"/>
      <c r="J22" s="146"/>
      <c r="K22" s="39"/>
    </row>
    <row r="23" spans="2:11">
      <c r="B23" s="171" t="s">
        <v>171</v>
      </c>
      <c r="C23" s="827" t="s">
        <v>172</v>
      </c>
      <c r="D23" s="39"/>
      <c r="E23" s="827" t="s">
        <v>173</v>
      </c>
      <c r="F23" s="39"/>
      <c r="G23" s="772" t="s">
        <v>174</v>
      </c>
      <c r="H23" s="39"/>
      <c r="I23" s="55"/>
      <c r="J23" s="146"/>
      <c r="K23" s="39"/>
    </row>
    <row r="24" spans="2:11">
      <c r="B24" s="171"/>
      <c r="C24" s="39"/>
      <c r="D24" s="39"/>
      <c r="E24" s="39"/>
      <c r="F24" s="39"/>
      <c r="G24" s="146"/>
      <c r="H24" s="39"/>
      <c r="I24" s="659"/>
      <c r="J24" s="146"/>
      <c r="K24" s="39"/>
    </row>
    <row r="25" spans="2:11">
      <c r="B25" s="124" t="s">
        <v>175</v>
      </c>
      <c r="C25" s="39"/>
      <c r="D25" s="39"/>
      <c r="E25" s="687"/>
      <c r="F25" s="55"/>
      <c r="G25" s="548"/>
      <c r="H25" s="659"/>
      <c r="I25" s="656"/>
      <c r="J25" s="146"/>
      <c r="K25" s="39"/>
    </row>
    <row r="26" spans="2:11" ht="13" thickBot="1">
      <c r="B26" s="134" t="s">
        <v>176</v>
      </c>
      <c r="C26" s="367">
        <v>0.03</v>
      </c>
      <c r="D26" s="63" t="s">
        <v>177</v>
      </c>
      <c r="E26" s="63"/>
      <c r="F26" s="63"/>
      <c r="G26" s="494">
        <v>0.03</v>
      </c>
      <c r="H26" s="39"/>
      <c r="I26" s="55"/>
      <c r="J26" s="146"/>
      <c r="K26" s="39"/>
    </row>
    <row r="27" spans="2:11" ht="13" thickBot="1">
      <c r="B27" s="124"/>
      <c r="C27" s="656"/>
      <c r="D27" s="39"/>
      <c r="E27" s="39"/>
      <c r="F27" s="39"/>
      <c r="G27" s="656"/>
      <c r="H27" s="39"/>
      <c r="I27" s="39"/>
      <c r="J27" s="146"/>
      <c r="K27" s="39"/>
    </row>
    <row r="28" spans="2:11" ht="13">
      <c r="B28" s="773" t="s">
        <v>1346</v>
      </c>
      <c r="C28" s="1655" t="s">
        <v>630</v>
      </c>
      <c r="D28" s="1655" t="s">
        <v>1594</v>
      </c>
      <c r="E28" s="1655" t="s">
        <v>180</v>
      </c>
      <c r="F28" s="1655" t="s">
        <v>114</v>
      </c>
      <c r="G28" s="680" t="s">
        <v>178</v>
      </c>
      <c r="H28" s="680" t="s">
        <v>179</v>
      </c>
      <c r="I28" s="39"/>
      <c r="J28" s="146"/>
      <c r="K28" s="39"/>
    </row>
    <row r="29" spans="2:11" ht="13.5" thickBot="1">
      <c r="B29" s="450"/>
      <c r="C29" s="1656"/>
      <c r="D29" s="1656"/>
      <c r="E29" s="1656"/>
      <c r="F29" s="1656"/>
      <c r="G29" s="681" t="s">
        <v>181</v>
      </c>
      <c r="H29" s="681" t="s">
        <v>465</v>
      </c>
      <c r="I29" s="39"/>
      <c r="J29" s="686"/>
      <c r="K29" s="39"/>
    </row>
    <row r="30" spans="2:11">
      <c r="B30" s="171" t="s">
        <v>1231</v>
      </c>
      <c r="C30" s="152">
        <v>5</v>
      </c>
      <c r="D30" s="961">
        <v>0.3</v>
      </c>
      <c r="E30" s="778">
        <v>10</v>
      </c>
      <c r="F30" s="653">
        <v>7</v>
      </c>
      <c r="G30" s="364">
        <v>0.03</v>
      </c>
      <c r="H30" s="660">
        <v>5</v>
      </c>
      <c r="I30" s="39"/>
      <c r="J30" s="686"/>
      <c r="K30" s="39"/>
    </row>
    <row r="31" spans="2:11">
      <c r="B31" s="171" t="s">
        <v>1232</v>
      </c>
      <c r="C31" s="152">
        <v>5</v>
      </c>
      <c r="D31" s="961">
        <v>0.7</v>
      </c>
      <c r="E31" s="179">
        <v>0</v>
      </c>
      <c r="F31" s="917">
        <v>6.5</v>
      </c>
      <c r="G31" s="918">
        <v>0.01</v>
      </c>
      <c r="H31" s="919">
        <v>2</v>
      </c>
      <c r="I31" s="39"/>
      <c r="J31" s="686"/>
      <c r="K31" s="39"/>
    </row>
    <row r="32" spans="2:11" ht="13" thickBot="1">
      <c r="B32" s="228" t="s">
        <v>1233</v>
      </c>
      <c r="C32" s="153">
        <v>5</v>
      </c>
      <c r="D32" s="153"/>
      <c r="E32" s="774">
        <f>$D$30*E30+$D$31*E31</f>
        <v>3</v>
      </c>
      <c r="F32" s="775">
        <f>$D$30*F30+$D$31*F31</f>
        <v>6.65</v>
      </c>
      <c r="G32" s="776">
        <f>$D$30*G30+$D$31*G31</f>
        <v>1.6E-2</v>
      </c>
      <c r="H32" s="777">
        <f>$D$30*H30+$D$31*H31</f>
        <v>2.9</v>
      </c>
      <c r="I32" s="39"/>
      <c r="J32" s="146"/>
      <c r="K32" s="39"/>
    </row>
    <row r="33" spans="2:13">
      <c r="B33" s="171"/>
      <c r="C33" s="39"/>
      <c r="D33" s="39"/>
      <c r="E33" s="39"/>
      <c r="F33" s="659"/>
      <c r="G33" s="656"/>
      <c r="H33" s="659"/>
      <c r="I33" s="39"/>
      <c r="J33" s="146"/>
      <c r="K33" s="39"/>
    </row>
    <row r="34" spans="2:13">
      <c r="B34" s="171"/>
      <c r="C34" s="796" t="s">
        <v>1347</v>
      </c>
      <c r="D34" s="921" t="s">
        <v>114</v>
      </c>
      <c r="E34" s="796" t="s">
        <v>1230</v>
      </c>
      <c r="F34" s="922"/>
      <c r="G34" s="921" t="s">
        <v>182</v>
      </c>
      <c r="H34" s="921" t="s">
        <v>183</v>
      </c>
      <c r="I34" s="921" t="s">
        <v>184</v>
      </c>
      <c r="J34" s="927" t="s">
        <v>185</v>
      </c>
      <c r="K34" s="191" t="s">
        <v>1256</v>
      </c>
    </row>
    <row r="35" spans="2:13">
      <c r="B35" s="171" t="s">
        <v>186</v>
      </c>
      <c r="C35" s="1321">
        <f>IF($C$23="Market",$F$32*((1+$C$26)^$C$22),IF($C$23="Renew",$F$31*((1+$C$26)^$C$22),IF($C$23="Vacate",$F$30*((1+$C$26)^$C$22),0)))</f>
        <v>7.1027255</v>
      </c>
      <c r="D35" s="229">
        <f>C35*$C$20</f>
        <v>355136.27500000002</v>
      </c>
      <c r="E35" s="422">
        <f>$C$22+1</f>
        <v>4</v>
      </c>
      <c r="F35" s="925"/>
      <c r="G35" s="229">
        <f>D35*($E$32/12)</f>
        <v>88784.068750000006</v>
      </c>
      <c r="H35" s="229">
        <f>D35*($E$30/12)</f>
        <v>295946.89583333337</v>
      </c>
      <c r="I35" s="229">
        <f>IF($C$23="Market",$H$32*((1+$G$26)^$C$22)*$C$20,IF($C$23="Renew",$H$31*((1+$G$26)^$C$22)*$C$20,IF($C$23="Vacate",$H$30*((1+$G$26)^$C$22)*$C$20,0)))</f>
        <v>109272.7</v>
      </c>
      <c r="J35" s="250">
        <f>IF($C$23="Market",$F$32*((1+$C$26)^$C$22)*$C$30*$G$32*$C$20,IF($C$23="Renew",$F$31*((1+$C$26)^$C$22)*$C$30*$G$31*$C$20,IF($C$23="Vacate",$F$30*((1+$C$26)^$C$22)*$C$30*$G$30*$C$20,0)))</f>
        <v>17756.813750000001</v>
      </c>
      <c r="K35" s="593">
        <f>I35+J35</f>
        <v>127029.51375</v>
      </c>
    </row>
    <row r="36" spans="2:13">
      <c r="B36" s="171" t="s">
        <v>187</v>
      </c>
      <c r="C36" s="1321">
        <f>IF($E$23="Market",$F$32*((1+$C$26)^$E$22),IF($E$23="Renew",$F$31*((1+$C$26)^$E$22),IF($E$23="Vacate",$F$30*((1+$C$26)^$E$22),0)))</f>
        <v>7.4262999999999995</v>
      </c>
      <c r="D36" s="229">
        <f>C36*$E$20</f>
        <v>315617.75</v>
      </c>
      <c r="E36" s="422">
        <f>$E$22+1</f>
        <v>3</v>
      </c>
      <c r="F36" s="925"/>
      <c r="G36" s="229">
        <f>D36*($E$32/12)</f>
        <v>78904.4375</v>
      </c>
      <c r="H36" s="771">
        <f>D36*($E$30/12)</f>
        <v>263014.79166666669</v>
      </c>
      <c r="I36" s="229">
        <f>IF($E$23="Market",$H$32*((1+$G$26)^$E$22)*$E$20,IF($E$23="Renew",$H$31*((1+$G$26)^$E$22)*$E$20,IF($E$23="Vacate",$H$30*((1+$G$26)^$E$22)*$E$20,0)))</f>
        <v>225441.25</v>
      </c>
      <c r="J36" s="250">
        <f>IF($E$23="Market",$F$32*((1+$C$26)^$E$22)*$C$30*$G$32*$E$20,IF($E$23="Renew",$F$31*((1+$C$26)^$E$22)*$C$30*$G$31*$E$20,IF($E$23="Vacate",$F$30*((1+$C$26)^$E$22)*$C$30*$G$30*$E$20,0)))</f>
        <v>47342.662499999991</v>
      </c>
      <c r="K36" s="822">
        <f>I36+J36</f>
        <v>272783.91249999998</v>
      </c>
    </row>
    <row r="37" spans="2:13">
      <c r="B37" s="171" t="s">
        <v>188</v>
      </c>
      <c r="C37" s="1321">
        <f>IF($G$23="Market",$F$32*((1+$C$26)^$G$22),IF($G$23="Renew",$F$31*((1+$C$26)^$G$22),IF($G$23="Vacate",$F$30*((1+$C$26)^$G$22),0)))</f>
        <v>7.4846335865000002</v>
      </c>
      <c r="D37" s="229">
        <f>C37*$G$20</f>
        <v>355520.09535875003</v>
      </c>
      <c r="E37" s="422">
        <f>$G$22+1</f>
        <v>5</v>
      </c>
      <c r="F37" s="925"/>
      <c r="G37" s="771">
        <f>D37*($E$32/12)</f>
        <v>88880.023839687507</v>
      </c>
      <c r="H37" s="229">
        <f>D37*($E$30/12)</f>
        <v>296266.74613229168</v>
      </c>
      <c r="I37" s="229">
        <f>IF($G$23="Market",$H$32*((1+$G$26)^$G$22)*$G$20,IF($G$23="Renew",$H$31*((1+$G$26)^$G$22)*$G$20,IF($G$23="Vacate",$H$30*((1+$G$26)^$G$22)*$G$20,0)))</f>
        <v>155038.83857749999</v>
      </c>
      <c r="J37" s="250">
        <f>IF($G$23="Market",$F$32*((1+$C$26)^$G$22)*$C$30*$G$32*$G$20,IF($G$23="Renew",$F$31*((1+$C$26)^$G$22)*$C$30*$G$31*$G$20,IF($G$23="Vacate",$F$30*((1+$C$26)^$G$22)*$C$30*$G$30*$G$20,0)))</f>
        <v>28441.6076287</v>
      </c>
      <c r="K37" s="822">
        <f>I37+J37</f>
        <v>183480.44620619999</v>
      </c>
    </row>
    <row r="38" spans="2:13">
      <c r="B38" s="450"/>
      <c r="C38" s="659"/>
      <c r="D38" s="593"/>
      <c r="E38" s="688"/>
      <c r="F38" s="688"/>
      <c r="G38" s="593"/>
      <c r="H38" s="593"/>
      <c r="I38" s="39"/>
      <c r="J38" s="146"/>
      <c r="K38" s="39"/>
    </row>
    <row r="39" spans="2:13">
      <c r="B39" s="450"/>
      <c r="C39" s="659"/>
      <c r="D39" s="593"/>
      <c r="E39" s="688"/>
      <c r="F39" s="688"/>
      <c r="G39" s="593"/>
      <c r="H39" s="593"/>
      <c r="I39" s="39"/>
      <c r="J39" s="146"/>
      <c r="K39" s="39"/>
    </row>
    <row r="40" spans="2:13" ht="13" thickBot="1">
      <c r="B40" s="124"/>
      <c r="J40" s="126"/>
      <c r="K40" s="115"/>
      <c r="L40" s="115"/>
      <c r="M40" s="115"/>
    </row>
    <row r="41" spans="2:13" ht="13.5" thickBot="1">
      <c r="B41" s="230"/>
      <c r="C41" s="157" t="s">
        <v>90</v>
      </c>
      <c r="D41" s="157" t="s">
        <v>91</v>
      </c>
      <c r="E41" s="157" t="s">
        <v>118</v>
      </c>
      <c r="F41" s="157" t="s">
        <v>93</v>
      </c>
      <c r="G41" s="677"/>
      <c r="H41" s="677"/>
      <c r="J41" s="126"/>
      <c r="K41" s="116"/>
      <c r="L41" s="116"/>
      <c r="M41" s="116"/>
    </row>
    <row r="42" spans="2:13">
      <c r="B42" s="171" t="s">
        <v>273</v>
      </c>
      <c r="C42" s="663">
        <v>0.05</v>
      </c>
      <c r="D42" s="665">
        <v>0</v>
      </c>
      <c r="E42" s="666">
        <v>0</v>
      </c>
      <c r="F42" s="499">
        <v>0</v>
      </c>
      <c r="G42" s="8"/>
      <c r="H42" s="8"/>
      <c r="I42" s="8"/>
      <c r="J42" s="126"/>
      <c r="K42" s="40"/>
      <c r="L42" s="40"/>
      <c r="M42" s="40"/>
    </row>
    <row r="43" spans="2:13">
      <c r="B43" s="171" t="s">
        <v>117</v>
      </c>
      <c r="C43" s="663">
        <v>0</v>
      </c>
      <c r="D43" s="665">
        <v>23000</v>
      </c>
      <c r="E43" s="666">
        <v>0</v>
      </c>
      <c r="F43" s="499">
        <v>2.5000000000000001E-2</v>
      </c>
      <c r="G43" s="40"/>
      <c r="H43" s="40"/>
      <c r="I43" s="40"/>
      <c r="J43" s="126"/>
      <c r="K43" s="115"/>
      <c r="L43" s="115"/>
      <c r="M43" s="115"/>
    </row>
    <row r="44" spans="2:13">
      <c r="B44" s="171" t="s">
        <v>276</v>
      </c>
      <c r="C44" s="663">
        <v>0</v>
      </c>
      <c r="D44" s="665">
        <v>0</v>
      </c>
      <c r="E44" s="666">
        <v>0.15</v>
      </c>
      <c r="F44" s="499">
        <v>0.04</v>
      </c>
      <c r="G44" s="8"/>
      <c r="H44" s="8"/>
      <c r="J44" s="126"/>
      <c r="K44" s="116"/>
      <c r="L44" s="116"/>
      <c r="M44" s="116"/>
    </row>
    <row r="45" spans="2:13">
      <c r="B45" s="171" t="s">
        <v>325</v>
      </c>
      <c r="C45" s="663">
        <v>0</v>
      </c>
      <c r="D45" s="665">
        <v>0</v>
      </c>
      <c r="E45" s="666">
        <v>0.2</v>
      </c>
      <c r="F45" s="499">
        <v>0.03</v>
      </c>
      <c r="G45" s="40"/>
      <c r="H45" s="40"/>
      <c r="J45" s="126"/>
      <c r="K45" s="40"/>
      <c r="L45" s="40"/>
      <c r="M45" s="40"/>
    </row>
    <row r="46" spans="2:13" ht="13" thickBot="1">
      <c r="B46" s="228" t="s">
        <v>189</v>
      </c>
      <c r="C46" s="689">
        <v>45000</v>
      </c>
      <c r="D46" s="923"/>
      <c r="E46" s="923"/>
      <c r="F46" s="924"/>
      <c r="G46" s="8"/>
      <c r="H46" s="8"/>
      <c r="J46" s="126"/>
      <c r="K46" s="8"/>
      <c r="L46" s="8"/>
      <c r="M46" s="8"/>
    </row>
    <row r="47" spans="2:13" ht="13" thickBot="1">
      <c r="B47" s="134"/>
      <c r="C47" s="63"/>
      <c r="D47" s="63"/>
      <c r="E47" s="63"/>
      <c r="F47" s="63"/>
      <c r="G47" s="671"/>
      <c r="H47" s="671"/>
      <c r="I47" s="4"/>
      <c r="J47" s="135"/>
      <c r="K47" s="119"/>
      <c r="L47" s="119"/>
      <c r="M47" s="119"/>
    </row>
    <row r="48" spans="2:13">
      <c r="B48" s="171"/>
      <c r="C48" s="8"/>
      <c r="D48" s="8"/>
      <c r="E48" s="8"/>
      <c r="F48" s="8"/>
      <c r="G48" s="8"/>
      <c r="H48" s="8"/>
      <c r="J48" s="126"/>
      <c r="K48" s="119"/>
      <c r="L48" s="119"/>
      <c r="M48" s="119"/>
    </row>
    <row r="49" spans="2:13">
      <c r="B49" s="171"/>
      <c r="C49" s="8"/>
      <c r="D49" s="8"/>
      <c r="E49" s="8"/>
      <c r="F49" s="8"/>
      <c r="G49" s="8"/>
      <c r="H49" s="8"/>
      <c r="J49" s="126"/>
      <c r="K49" s="119"/>
      <c r="L49" s="119"/>
      <c r="M49" s="119"/>
    </row>
    <row r="50" spans="2:13" ht="13" thickBot="1">
      <c r="B50" s="124"/>
      <c r="C50" s="8"/>
      <c r="D50" s="8"/>
      <c r="E50" s="8"/>
      <c r="F50" s="8"/>
      <c r="G50" s="8"/>
      <c r="H50" s="8"/>
      <c r="J50" s="126"/>
      <c r="K50" s="119"/>
      <c r="L50" s="119"/>
      <c r="M50" s="119"/>
    </row>
    <row r="51" spans="2:13" ht="13.5" thickBot="1">
      <c r="B51" s="1547" t="s">
        <v>97</v>
      </c>
      <c r="C51" s="1538"/>
      <c r="D51" s="1538"/>
      <c r="E51" s="1538"/>
      <c r="F51" s="1538"/>
      <c r="G51" s="1538"/>
      <c r="H51" s="1539"/>
      <c r="J51" s="126"/>
      <c r="K51" s="119"/>
      <c r="L51" s="119"/>
      <c r="M51" s="119"/>
    </row>
    <row r="52" spans="2:13" ht="13.5" thickBot="1">
      <c r="B52" s="157" t="s">
        <v>262</v>
      </c>
      <c r="C52" s="157">
        <v>1</v>
      </c>
      <c r="D52" s="157">
        <f>C$52+1</f>
        <v>2</v>
      </c>
      <c r="E52" s="157">
        <f>D$52+1</f>
        <v>3</v>
      </c>
      <c r="F52" s="157">
        <f>E$52+1</f>
        <v>4</v>
      </c>
      <c r="G52" s="157">
        <f>F$52+1</f>
        <v>5</v>
      </c>
      <c r="H52" s="157">
        <f>G$52+1</f>
        <v>6</v>
      </c>
      <c r="J52" s="126"/>
      <c r="K52" s="119"/>
      <c r="L52" s="119"/>
      <c r="M52" s="119"/>
    </row>
    <row r="53" spans="2:13" ht="13.5" thickBot="1">
      <c r="B53" s="1531" t="s">
        <v>269</v>
      </c>
      <c r="C53" s="1532"/>
      <c r="D53" s="1532"/>
      <c r="E53" s="1532"/>
      <c r="F53" s="1532"/>
      <c r="G53" s="1532"/>
      <c r="H53" s="1533"/>
      <c r="J53" s="126"/>
      <c r="K53" s="119"/>
      <c r="L53" s="119"/>
      <c r="M53" s="119"/>
    </row>
    <row r="54" spans="2:13">
      <c r="B54" s="171" t="s">
        <v>190</v>
      </c>
      <c r="C54" s="486">
        <f t="shared" ref="C54:H54" si="0">IF($C$22&gt;=C$52,$C$21*$C$20,0)</f>
        <v>300000</v>
      </c>
      <c r="D54" s="486">
        <f t="shared" si="0"/>
        <v>300000</v>
      </c>
      <c r="E54" s="486">
        <f t="shared" si="0"/>
        <v>300000</v>
      </c>
      <c r="F54" s="486">
        <f t="shared" si="0"/>
        <v>0</v>
      </c>
      <c r="G54" s="486">
        <f t="shared" si="0"/>
        <v>0</v>
      </c>
      <c r="H54" s="506">
        <f t="shared" si="0"/>
        <v>0</v>
      </c>
      <c r="J54" s="126"/>
      <c r="K54" s="119"/>
      <c r="L54" s="119"/>
      <c r="M54" s="119"/>
    </row>
    <row r="55" spans="2:13">
      <c r="B55" s="171" t="s">
        <v>191</v>
      </c>
      <c r="C55" s="116">
        <f t="shared" ref="C55:H55" si="1">IF(C$52&gt;$C$22,$D$35,0)</f>
        <v>0</v>
      </c>
      <c r="D55" s="116">
        <f t="shared" si="1"/>
        <v>0</v>
      </c>
      <c r="E55" s="116">
        <f t="shared" si="1"/>
        <v>0</v>
      </c>
      <c r="F55" s="920">
        <f t="shared" si="1"/>
        <v>355136.27500000002</v>
      </c>
      <c r="G55" s="116">
        <f t="shared" si="1"/>
        <v>355136.27500000002</v>
      </c>
      <c r="H55" s="507">
        <f t="shared" si="1"/>
        <v>355136.27500000002</v>
      </c>
      <c r="J55" s="126"/>
      <c r="K55" s="119"/>
      <c r="L55" s="119"/>
      <c r="M55" s="119"/>
    </row>
    <row r="56" spans="2:13" ht="13">
      <c r="B56" s="171" t="s">
        <v>192</v>
      </c>
      <c r="C56" s="486">
        <f t="shared" ref="C56:H56" si="2">IF($E$22&gt;=C$52,$E$21*$E$20,0)</f>
        <v>276250</v>
      </c>
      <c r="D56" s="486">
        <f t="shared" si="2"/>
        <v>276250</v>
      </c>
      <c r="E56" s="486">
        <f t="shared" si="2"/>
        <v>0</v>
      </c>
      <c r="F56" s="486">
        <f t="shared" si="2"/>
        <v>0</v>
      </c>
      <c r="G56" s="486">
        <f t="shared" si="2"/>
        <v>0</v>
      </c>
      <c r="H56" s="506">
        <f t="shared" si="2"/>
        <v>0</v>
      </c>
      <c r="J56" s="126"/>
      <c r="K56" s="117"/>
      <c r="L56" s="117"/>
      <c r="M56" s="117"/>
    </row>
    <row r="57" spans="2:13">
      <c r="B57" s="171" t="s">
        <v>193</v>
      </c>
      <c r="C57" s="116">
        <f t="shared" ref="C57:H57" si="3">IF(C$52&gt;$E$22,$D$36,0)</f>
        <v>0</v>
      </c>
      <c r="D57" s="116">
        <f t="shared" si="3"/>
        <v>0</v>
      </c>
      <c r="E57" s="920">
        <f t="shared" si="3"/>
        <v>315617.75</v>
      </c>
      <c r="F57" s="116">
        <f t="shared" si="3"/>
        <v>315617.75</v>
      </c>
      <c r="G57" s="116">
        <f t="shared" si="3"/>
        <v>315617.75</v>
      </c>
      <c r="H57" s="507">
        <f t="shared" si="3"/>
        <v>315617.75</v>
      </c>
      <c r="J57" s="126"/>
    </row>
    <row r="58" spans="2:13">
      <c r="B58" s="171" t="s">
        <v>194</v>
      </c>
      <c r="C58" s="486">
        <f t="shared" ref="C58:H58" si="4">IF($G$22&gt;=C$52,$G$21*$G$20,0)</f>
        <v>273125</v>
      </c>
      <c r="D58" s="486">
        <f t="shared" si="4"/>
        <v>273125</v>
      </c>
      <c r="E58" s="486">
        <f t="shared" si="4"/>
        <v>273125</v>
      </c>
      <c r="F58" s="486">
        <f t="shared" si="4"/>
        <v>273125</v>
      </c>
      <c r="G58" s="486">
        <f t="shared" si="4"/>
        <v>0</v>
      </c>
      <c r="H58" s="506">
        <f t="shared" si="4"/>
        <v>0</v>
      </c>
      <c r="J58" s="126"/>
      <c r="K58" s="118"/>
      <c r="L58" s="118"/>
      <c r="M58" s="118"/>
    </row>
    <row r="59" spans="2:13" ht="13">
      <c r="B59" s="171" t="s">
        <v>195</v>
      </c>
      <c r="C59" s="816">
        <f t="shared" ref="C59:H59" si="5">IF(C$52&gt;$G$22,$D$37,0)</f>
        <v>0</v>
      </c>
      <c r="D59" s="816">
        <f t="shared" si="5"/>
        <v>0</v>
      </c>
      <c r="E59" s="816">
        <f t="shared" si="5"/>
        <v>0</v>
      </c>
      <c r="F59" s="816">
        <f t="shared" si="5"/>
        <v>0</v>
      </c>
      <c r="G59" s="926">
        <f t="shared" si="5"/>
        <v>355520.09535875003</v>
      </c>
      <c r="H59" s="817">
        <f t="shared" si="5"/>
        <v>355520.09535875003</v>
      </c>
      <c r="J59" s="126"/>
      <c r="K59" s="117"/>
      <c r="L59" s="117"/>
      <c r="M59" s="115"/>
    </row>
    <row r="60" spans="2:13">
      <c r="B60" s="171" t="s">
        <v>119</v>
      </c>
      <c r="C60" s="8">
        <f t="shared" ref="C60:H60" si="6">SUM(C54:C59)</f>
        <v>849375</v>
      </c>
      <c r="D60" s="8">
        <f t="shared" si="6"/>
        <v>849375</v>
      </c>
      <c r="E60" s="8">
        <f t="shared" si="6"/>
        <v>888742.75</v>
      </c>
      <c r="F60" s="8">
        <f t="shared" si="6"/>
        <v>943879.02500000002</v>
      </c>
      <c r="G60" s="8">
        <f t="shared" si="6"/>
        <v>1026274.12035875</v>
      </c>
      <c r="H60" s="158">
        <f t="shared" si="6"/>
        <v>1026274.12035875</v>
      </c>
      <c r="J60" s="126"/>
    </row>
    <row r="61" spans="2:13">
      <c r="B61" s="171" t="s">
        <v>196</v>
      </c>
      <c r="C61" s="818">
        <f t="shared" ref="C61:H61" si="7">IF(AND(($C$22+1)=C52,$C$23="Market"),$G$35,IF(AND(($C$22+1)=C52,$C$23="Vacate"),$H$35,0))+IF(AND(($E$22+1)=C52,$E$23="Market"),$G$36,IF(AND(($E$22+1)=C52,$E$23="Vacate"),$H$36,0))+IF(AND(($G$22+1)=C52,$G$23="Market"),$G$37,IF(AND(($G$22+1)=C52,$G$23="Vacate"),$H$37,0))</f>
        <v>0</v>
      </c>
      <c r="D61" s="818">
        <f t="shared" si="7"/>
        <v>0</v>
      </c>
      <c r="E61" s="819">
        <f t="shared" si="7"/>
        <v>263014.79166666669</v>
      </c>
      <c r="F61" s="818">
        <f t="shared" si="7"/>
        <v>0</v>
      </c>
      <c r="G61" s="819">
        <f t="shared" si="7"/>
        <v>88880.023839687507</v>
      </c>
      <c r="H61" s="820">
        <f t="shared" si="7"/>
        <v>0</v>
      </c>
      <c r="J61" s="126"/>
    </row>
    <row r="62" spans="2:13">
      <c r="B62" s="171" t="s">
        <v>485</v>
      </c>
      <c r="C62" s="486">
        <f t="shared" ref="C62:H62" si="8">C60-C61</f>
        <v>849375</v>
      </c>
      <c r="D62" s="486">
        <f t="shared" si="8"/>
        <v>849375</v>
      </c>
      <c r="E62" s="486">
        <f t="shared" si="8"/>
        <v>625727.95833333326</v>
      </c>
      <c r="F62" s="486">
        <f t="shared" si="8"/>
        <v>943879.02500000002</v>
      </c>
      <c r="G62" s="486">
        <f t="shared" si="8"/>
        <v>937394.09651906253</v>
      </c>
      <c r="H62" s="506">
        <f t="shared" si="8"/>
        <v>1026274.12035875</v>
      </c>
      <c r="J62" s="126"/>
    </row>
    <row r="63" spans="2:13" ht="13" thickBot="1">
      <c r="B63" s="171"/>
      <c r="C63" s="486"/>
      <c r="D63" s="486"/>
      <c r="E63" s="486"/>
      <c r="F63" s="486"/>
      <c r="G63" s="486"/>
      <c r="H63" s="506"/>
      <c r="J63" s="126"/>
    </row>
    <row r="64" spans="2:13" ht="13.5" thickBot="1">
      <c r="B64" s="1531" t="s">
        <v>272</v>
      </c>
      <c r="C64" s="1532"/>
      <c r="D64" s="1532"/>
      <c r="E64" s="1532"/>
      <c r="F64" s="1532"/>
      <c r="G64" s="1532"/>
      <c r="H64" s="1533"/>
      <c r="J64" s="126"/>
    </row>
    <row r="65" spans="2:10">
      <c r="B65" s="171" t="s">
        <v>273</v>
      </c>
      <c r="C65" s="486">
        <f>IF($C$42&gt;0,$C$42*C62,IF($D$42&gt;0,$D$42,IF($E$42&gt;0,$E$42*$C$10,0)))</f>
        <v>42468.75</v>
      </c>
      <c r="D65" s="486">
        <f>IF($C$42&gt;0,$C$42*D62,IF($D$42&gt;0,$D$42*((1+$F$42)^C52),IF($E$42&gt;0,$E$42*$C$10*((1+$F$42)^C52),0)))</f>
        <v>42468.75</v>
      </c>
      <c r="E65" s="486">
        <f>IF($C$42&gt;0,$C$42*E62,IF($D$42&gt;0,$D$42*((1+$F$42)^D52),IF($E$42&gt;0,$E$42*$C$10*((1+$F$42)^D52),0)))</f>
        <v>31286.397916666665</v>
      </c>
      <c r="F65" s="486">
        <f>IF($C$42&gt;0,$C$42*F62,IF($D$42&gt;0,$D$42*((1+$F$42)^E52),IF($E$42&gt;0,$E$42*$C$10*((1+$F$42)^E52),0)))</f>
        <v>47193.951250000006</v>
      </c>
      <c r="G65" s="486">
        <f>IF($C$42&gt;0,$C$42*G62,IF($D$42&gt;0,$D$42*((1+$F$42)^F52),IF($E$42&gt;0,$E$42*$C$10*((1+$F$42)^F52),0)))</f>
        <v>46869.704825953129</v>
      </c>
      <c r="H65" s="506">
        <f>IF($C$42&gt;0,$C$42*H62,IF($D$42&gt;0,$D$42*((1+$F$42)^G52),IF($E$42&gt;0,$E$42*$C$10*((1+$F$42)^G52),0)))</f>
        <v>51313.706017937504</v>
      </c>
      <c r="J65" s="126"/>
    </row>
    <row r="66" spans="2:10">
      <c r="B66" s="171" t="s">
        <v>117</v>
      </c>
      <c r="C66" s="486">
        <f>IF($C$43&gt;0,$C$43*C62,IF($D$43&gt;0,$D$43,IF($E$43&gt;0,$E$43*$C$10,0)))</f>
        <v>23000</v>
      </c>
      <c r="D66" s="486">
        <f>IF($C$43&gt;0,$C$43*D62,IF($D$43&gt;0,$D$43*((1+$F$43)^C52),IF($E$43&gt;0,$E$43*$C$10*((1+$F$43)^C52),0)))</f>
        <v>23574.999999999996</v>
      </c>
      <c r="E66" s="486">
        <f>IF($C$43&gt;0,$C$43*E62,IF($D$43&gt;0,$D$43*((1+$F$43)^D52),IF($E$43&gt;0,$E$43*$C$10*((1+$F$43)^D52),0)))</f>
        <v>24164.374999999996</v>
      </c>
      <c r="F66" s="486">
        <f>IF($C$43&gt;0,$C$43*F62,IF($D$43&gt;0,$D$43*((1+$F$43)^E52),IF($E$43&gt;0,$E$43*$C$10*((1+$F$43)^E52),0)))</f>
        <v>24768.484374999996</v>
      </c>
      <c r="G66" s="486">
        <f>IF($C$43&gt;0,$C$43*G62,IF($D$43&gt;0,$D$43*((1+$F$43)^F52),IF($E$43&gt;0,$E$43*$C$10*((1+$F$43)^F52),0)))</f>
        <v>25387.696484374996</v>
      </c>
      <c r="H66" s="506">
        <f>IF($C$43&gt;0,$C$43*H62,IF($D$43&gt;0,$D$43*((1+$F$43)^G52),IF($E$43&gt;0,$E$43*$C$10*((1+$F$43)^G52),0)))</f>
        <v>26022.388896484368</v>
      </c>
      <c r="J66" s="126"/>
    </row>
    <row r="67" spans="2:10">
      <c r="B67" s="171" t="s">
        <v>276</v>
      </c>
      <c r="C67" s="486">
        <f>IF($C$44&gt;0,$C$44*C62,IF($D$44&gt;0,$D$44,IF($E$44&gt;0,$E$44*$C$10,0)))</f>
        <v>21000</v>
      </c>
      <c r="D67" s="486">
        <f>IF($C$44&gt;0,$C$44*D62,IF($D$44&gt;0,$D$44*((1+$F$44)^C52),IF($E$44&gt;0,$E$44*$C$10*((1+$F$44)^C52),0)))</f>
        <v>21840</v>
      </c>
      <c r="E67" s="486">
        <f>IF($C$44&gt;0,$C$44*E62,IF($D$44&gt;0,$D$44*((1+$F$44)^D52),IF($E$44&gt;0,$E$44*$C$10*((1+$F$44)^D52),0)))</f>
        <v>22713.600000000002</v>
      </c>
      <c r="F67" s="486">
        <f>IF($C$44&gt;0,$C$44*F62,IF($D$44&gt;0,$D$44*((1+$F$44)^E52),IF($E$44&gt;0,$E$44*$C$10*((1+$F$44)^E52),0)))</f>
        <v>23622.144</v>
      </c>
      <c r="G67" s="486">
        <f>IF($C$44&gt;0,$C$44*G62,IF($D$44&gt;0,$D$44*((1+$F$44)^F52),IF($E$44&gt;0,$E$44*$C$10*((1+$F$44)^F52),0)))</f>
        <v>24567.029760000005</v>
      </c>
      <c r="H67" s="506">
        <f>IF($C$44&gt;0,$C$44*H62,IF($D$44&gt;0,$D$44*((1+$F$44)^G52),IF($E$44&gt;0,$E$44*$C$10*((1+$F$44)^G52),0)))</f>
        <v>25549.710950400007</v>
      </c>
      <c r="J67" s="126"/>
    </row>
    <row r="68" spans="2:10">
      <c r="B68" s="171" t="s">
        <v>154</v>
      </c>
      <c r="C68" s="874">
        <f>IF($C$45&gt;0,$C$45*C62,IF($D$45&gt;0,$D$45,IF($E$45&gt;0,$E$45*$C$10,0)))</f>
        <v>28000</v>
      </c>
      <c r="D68" s="874">
        <f>IF($C$45&gt;0,$C$45*D62,IF($D$45&gt;0,$D$45*((1+$F$45)^C52),IF($E$45&gt;0,$E$45*$C$10*((1+$F$45)^C52),0)))</f>
        <v>28840</v>
      </c>
      <c r="E68" s="874">
        <f>IF($C$45&gt;0,$C$45*E62,IF($D$45&gt;0,$D$45*((1+$F$45)^D52),IF($E$45&gt;0,$E$45*$C$10*((1+$F$45)^D52),0)))</f>
        <v>29705.199999999997</v>
      </c>
      <c r="F68" s="874">
        <f>IF($C$45&gt;0,$C$45*F62,IF($D$45&gt;0,$D$45*((1+$F$45)^E52),IF($E$45&gt;0,$E$45*$C$10*((1+$F$45)^E52),0)))</f>
        <v>30596.356</v>
      </c>
      <c r="G68" s="874">
        <f>IF($C$45&gt;0,$C$45*G62,IF($D$45&gt;0,$D$45*((1+$F$45)^F52),IF($E$45&gt;0,$E$45*$C$10*((1+$F$45)^F52),0)))</f>
        <v>31514.246679999997</v>
      </c>
      <c r="H68" s="916">
        <f>IF($C$45&gt;0,$C$45*H62,IF($D$45&gt;0,$D$45*((1+$F$45)^G52),IF($E$45&gt;0,$E$45*$C$10*((1+$F$45)^G52),0)))</f>
        <v>32459.674080399996</v>
      </c>
      <c r="J68" s="126"/>
    </row>
    <row r="69" spans="2:10">
      <c r="B69" s="171" t="s">
        <v>120</v>
      </c>
      <c r="C69" s="476">
        <f t="shared" ref="C69:H69" si="9">SUM(C65:C68)</f>
        <v>114468.75</v>
      </c>
      <c r="D69" s="476">
        <f t="shared" si="9"/>
        <v>116723.75</v>
      </c>
      <c r="E69" s="476">
        <f t="shared" si="9"/>
        <v>107869.57291666666</v>
      </c>
      <c r="F69" s="476">
        <f t="shared" si="9"/>
        <v>126180.935625</v>
      </c>
      <c r="G69" s="476">
        <f t="shared" si="9"/>
        <v>128338.67775032813</v>
      </c>
      <c r="H69" s="684">
        <f t="shared" si="9"/>
        <v>135345.47994522189</v>
      </c>
      <c r="J69" s="126"/>
    </row>
    <row r="70" spans="2:10" ht="13" thickBot="1">
      <c r="B70" s="171"/>
      <c r="C70" s="476"/>
      <c r="D70" s="476"/>
      <c r="E70" s="476"/>
      <c r="F70" s="476"/>
      <c r="G70" s="476"/>
      <c r="H70" s="684"/>
      <c r="J70" s="126"/>
    </row>
    <row r="71" spans="2:10" ht="13.5" thickBot="1">
      <c r="B71" s="1531" t="s">
        <v>197</v>
      </c>
      <c r="C71" s="1532"/>
      <c r="D71" s="1532"/>
      <c r="E71" s="1532"/>
      <c r="F71" s="1532"/>
      <c r="G71" s="1532"/>
      <c r="H71" s="1533"/>
      <c r="J71" s="126"/>
    </row>
    <row r="72" spans="2:10" ht="13">
      <c r="B72" s="168" t="s">
        <v>335</v>
      </c>
      <c r="C72" s="368">
        <f t="shared" ref="C72:H72" si="10">C62-C69</f>
        <v>734906.25</v>
      </c>
      <c r="D72" s="368">
        <f t="shared" si="10"/>
        <v>732651.25</v>
      </c>
      <c r="E72" s="368">
        <f t="shared" si="10"/>
        <v>517858.38541666663</v>
      </c>
      <c r="F72" s="368">
        <f t="shared" si="10"/>
        <v>817698.08937499998</v>
      </c>
      <c r="G72" s="368">
        <f t="shared" si="10"/>
        <v>809055.41876873444</v>
      </c>
      <c r="H72" s="409">
        <f t="shared" si="10"/>
        <v>890928.64041352808</v>
      </c>
      <c r="J72" s="126"/>
    </row>
    <row r="73" spans="2:10">
      <c r="B73" s="171"/>
      <c r="C73" s="8"/>
      <c r="D73" s="8"/>
      <c r="E73" s="8"/>
      <c r="F73" s="8"/>
      <c r="G73" s="8"/>
      <c r="H73" s="158"/>
      <c r="J73" s="126"/>
    </row>
    <row r="74" spans="2:10">
      <c r="B74" s="171" t="s">
        <v>710</v>
      </c>
      <c r="C74" s="40">
        <f>IF(($C$22+1)=C52,$I$35,0)+IF(($E$22+1)=C52,$I$36,0)+IF(($G$22+1)=C52,$I$37,0)</f>
        <v>0</v>
      </c>
      <c r="D74" s="40">
        <f>IF(($C$22+1)=D52,$I$35,0)+IF(($E$22+1)=D52,$I$36,0)+IF(($G$22+1)=D52,$I$37,0)</f>
        <v>0</v>
      </c>
      <c r="E74" s="40">
        <f>IF(($C$22+1)=E52,$I$35,0)+IF(($E$22+1)=E52,$I$36,0)+IF(($G$22+1)=E52,$I$37,0)</f>
        <v>225441.25</v>
      </c>
      <c r="F74" s="40">
        <f>IF(($C$22+1)=F52,$I$35,0)+IF(($E$22+1)=F52,$I$36,0)+IF(($G$22+1)=F52,$I$37,0)</f>
        <v>109272.7</v>
      </c>
      <c r="G74" s="40">
        <f>IF(($C$22+1)=G52,$I$35,0)+IF(($E$22+1)=G52,$I$36,0)+IF(($G$22+1)=G52,$I$37,0)</f>
        <v>155038.83857749999</v>
      </c>
      <c r="H74" s="507"/>
      <c r="J74" s="126"/>
    </row>
    <row r="75" spans="2:10">
      <c r="B75" s="171" t="s">
        <v>198</v>
      </c>
      <c r="C75" s="818">
        <f>IF(($C$22+1)=C52,$J$35,0)+IF(($E$22+1)=C52,$J$36,0)+IF(($G$22+1)=C52,$J$37,0)</f>
        <v>0</v>
      </c>
      <c r="D75" s="818">
        <f>IF(($C$22+1)=D52,$J$35,0)+IF(($E$22+1)=D52,$J$36,0)+IF(($G$22+1)=D52,$J$37,0)</f>
        <v>0</v>
      </c>
      <c r="E75" s="818">
        <f>IF(($C$22+1)=E52,$J$35,0)+IF(($E$22+1)=E52,$J$36,0)+IF(($G$22+1)=E52,$J$37,0)</f>
        <v>47342.662499999991</v>
      </c>
      <c r="F75" s="818">
        <f>IF(($C$22+1)=F52,$J$35,0)+IF(($E$22+1)=F52,$J$36,0)+IF(($G$22+1)=F52,$J$37,0)</f>
        <v>17756.813750000001</v>
      </c>
      <c r="G75" s="818">
        <f>IF(($C$22+1)=G52,$J$35,0)+IF(($E$22+1)=G52,$J$36,0)+IF(($G$22+1)=G52,$J$37,0)</f>
        <v>28441.6076287</v>
      </c>
      <c r="H75" s="510"/>
      <c r="J75" s="126"/>
    </row>
    <row r="76" spans="2:10" ht="13">
      <c r="B76" s="171" t="s">
        <v>199</v>
      </c>
      <c r="C76" s="40">
        <f>C74+C75</f>
        <v>0</v>
      </c>
      <c r="D76" s="40">
        <f>D74+D75</f>
        <v>0</v>
      </c>
      <c r="E76" s="821">
        <f>E74+E75</f>
        <v>272783.91249999998</v>
      </c>
      <c r="F76" s="40">
        <f>F74+F75</f>
        <v>127029.51375</v>
      </c>
      <c r="G76" s="821">
        <f>G74+G75</f>
        <v>183480.44620619999</v>
      </c>
      <c r="H76" s="509"/>
      <c r="J76" s="126"/>
    </row>
    <row r="77" spans="2:10" ht="13">
      <c r="B77" s="171"/>
      <c r="C77" s="40"/>
      <c r="D77" s="40"/>
      <c r="E77" s="40"/>
      <c r="F77" s="40"/>
      <c r="G77" s="40"/>
      <c r="H77" s="509"/>
      <c r="J77" s="126"/>
    </row>
    <row r="78" spans="2:10" ht="13" thickBot="1">
      <c r="B78" s="171" t="s">
        <v>200</v>
      </c>
      <c r="C78" s="40">
        <f>C46</f>
        <v>45000</v>
      </c>
      <c r="D78">
        <v>0</v>
      </c>
      <c r="E78">
        <v>0</v>
      </c>
      <c r="F78">
        <v>0</v>
      </c>
      <c r="G78">
        <v>0</v>
      </c>
      <c r="H78" s="507"/>
      <c r="J78" s="126"/>
    </row>
    <row r="79" spans="2:10" ht="13.5" thickBot="1">
      <c r="B79" s="243" t="s">
        <v>281</v>
      </c>
      <c r="C79" s="672">
        <f>C72-C76-C78</f>
        <v>689906.25</v>
      </c>
      <c r="D79" s="672">
        <f>D72-D76-D78</f>
        <v>732651.25</v>
      </c>
      <c r="E79" s="932">
        <f>E72-E76-E78</f>
        <v>245074.47291666665</v>
      </c>
      <c r="F79" s="672">
        <f>F72-F76-F78</f>
        <v>690668.57562499994</v>
      </c>
      <c r="G79" s="933">
        <f>G72-G76-G78</f>
        <v>625574.9725625345</v>
      </c>
      <c r="H79" s="508"/>
      <c r="J79" s="126"/>
    </row>
    <row r="80" spans="2:10" ht="13">
      <c r="B80" s="685"/>
      <c r="C80" s="8"/>
      <c r="D80" s="8"/>
      <c r="E80" s="8"/>
      <c r="F80" s="8"/>
      <c r="G80" s="8"/>
      <c r="H80" s="508"/>
      <c r="J80" s="126"/>
    </row>
    <row r="81" spans="2:10">
      <c r="B81" s="171" t="s">
        <v>103</v>
      </c>
      <c r="C81" s="488">
        <f>(1/((1+$C$14)^C52))</f>
        <v>0.90497737556561086</v>
      </c>
      <c r="D81" s="488">
        <f>(1/((1+$C$14)^D52))</f>
        <v>0.81898405028562071</v>
      </c>
      <c r="E81" s="488">
        <f>(1/((1+$C$14)^E52))</f>
        <v>0.74116203645757528</v>
      </c>
      <c r="F81" s="488">
        <f>(1/((1+$C$14)^F52))</f>
        <v>0.67073487462224002</v>
      </c>
      <c r="G81" s="488">
        <f>(1/((1+$C$14)^G52))</f>
        <v>0.60699988653596382</v>
      </c>
      <c r="H81" s="508"/>
      <c r="J81" s="126"/>
    </row>
    <row r="82" spans="2:10" ht="13.5" thickBot="1">
      <c r="B82" s="228" t="s">
        <v>201</v>
      </c>
      <c r="C82" s="691">
        <f>C79*C81</f>
        <v>624349.54751131218</v>
      </c>
      <c r="D82" s="691">
        <f>D79*D81</f>
        <v>600029.68817182293</v>
      </c>
      <c r="E82" s="691">
        <f>E79*E81</f>
        <v>181639.89543068354</v>
      </c>
      <c r="F82" s="691">
        <f>F79*F81</f>
        <v>463255.50047735544</v>
      </c>
      <c r="G82" s="691">
        <f>G79*G81</f>
        <v>379723.93736519711</v>
      </c>
      <c r="H82" s="692"/>
      <c r="J82" s="126"/>
    </row>
    <row r="83" spans="2:10" ht="13" thickBot="1">
      <c r="B83" s="124"/>
      <c r="H83" s="508"/>
      <c r="J83" s="126"/>
    </row>
    <row r="84" spans="2:10" ht="13.5" thickBot="1">
      <c r="B84" s="1531" t="s">
        <v>202</v>
      </c>
      <c r="C84" s="1533"/>
      <c r="E84" s="1531" t="s">
        <v>203</v>
      </c>
      <c r="F84" s="1533"/>
      <c r="H84" s="508"/>
      <c r="J84" s="126"/>
    </row>
    <row r="85" spans="2:10" ht="13">
      <c r="B85" s="276" t="s">
        <v>1348</v>
      </c>
      <c r="C85" s="929">
        <f>$H$72/$C$15</f>
        <v>9137729.6452669539</v>
      </c>
      <c r="D85" s="54"/>
      <c r="E85" s="541" t="s">
        <v>105</v>
      </c>
      <c r="F85" s="682">
        <f>C89</f>
        <v>5380202.8321371535</v>
      </c>
      <c r="H85" s="508"/>
      <c r="J85" s="126"/>
    </row>
    <row r="86" spans="2:10" ht="13">
      <c r="B86" s="171" t="s">
        <v>77</v>
      </c>
      <c r="C86" s="928">
        <f>$C$85*$C$16</f>
        <v>274131.88935800863</v>
      </c>
      <c r="D86" s="54"/>
      <c r="E86" s="541" t="s">
        <v>204</v>
      </c>
      <c r="F86" s="928">
        <f>C82+D82+E82+F82+G82</f>
        <v>2248998.5689563714</v>
      </c>
      <c r="H86" s="508"/>
      <c r="J86" s="126"/>
    </row>
    <row r="87" spans="2:10" ht="13.5" thickBot="1">
      <c r="B87" s="171" t="s">
        <v>106</v>
      </c>
      <c r="C87" s="682">
        <f>C85-C86</f>
        <v>8863597.7559089456</v>
      </c>
      <c r="D87" s="54"/>
      <c r="E87" s="770" t="s">
        <v>263</v>
      </c>
      <c r="F87" s="931">
        <f>F85+F86</f>
        <v>7629201.4010935249</v>
      </c>
      <c r="H87" s="126"/>
      <c r="J87" s="126"/>
    </row>
    <row r="88" spans="2:10" ht="26.5" thickBot="1">
      <c r="B88" s="171" t="s">
        <v>108</v>
      </c>
      <c r="C88" s="930">
        <f>(1/((1+$C$14)^$C$13))</f>
        <v>0.60699988653596382</v>
      </c>
      <c r="D88" s="54"/>
      <c r="E88" s="690" t="s">
        <v>110</v>
      </c>
      <c r="F88" s="514">
        <f>(C85/F87)-1</f>
        <v>0.19773081936953529</v>
      </c>
      <c r="G88" s="490"/>
      <c r="H88" s="126"/>
      <c r="J88" s="126"/>
    </row>
    <row r="89" spans="2:10" ht="15.75" customHeight="1" thickBot="1">
      <c r="B89" s="228" t="s">
        <v>109</v>
      </c>
      <c r="C89" s="683">
        <f>C87*C88</f>
        <v>5380202.8321371535</v>
      </c>
      <c r="D89" s="83"/>
      <c r="E89" s="690" t="s">
        <v>1351</v>
      </c>
      <c r="F89" s="514">
        <f>(C85/F87)^(1/5)-1</f>
        <v>3.6744750335601317E-2</v>
      </c>
      <c r="H89" s="126"/>
      <c r="J89" s="126"/>
    </row>
    <row r="90" spans="2:10" ht="13" thickBot="1">
      <c r="B90" s="134"/>
      <c r="C90" s="511"/>
      <c r="D90" s="4"/>
      <c r="E90" s="4"/>
      <c r="F90" s="4"/>
      <c r="G90" s="4"/>
      <c r="H90" s="135"/>
      <c r="J90" s="126"/>
    </row>
    <row r="91" spans="2:10" ht="13.5" thickBot="1">
      <c r="B91" s="375" t="s">
        <v>1257</v>
      </c>
      <c r="C91" s="4"/>
      <c r="D91" s="4"/>
      <c r="E91" s="4"/>
      <c r="F91" s="824">
        <f>C72/F87</f>
        <v>9.6328070444524225E-2</v>
      </c>
      <c r="G91" s="4"/>
      <c r="H91" s="4"/>
      <c r="I91" s="4"/>
      <c r="J91" s="135"/>
    </row>
    <row r="93" spans="2:10" ht="13">
      <c r="B93" s="1" t="s">
        <v>1349</v>
      </c>
    </row>
  </sheetData>
  <mergeCells count="13">
    <mergeCell ref="B53:H53"/>
    <mergeCell ref="B84:C84"/>
    <mergeCell ref="E84:F84"/>
    <mergeCell ref="B71:H71"/>
    <mergeCell ref="B64:H64"/>
    <mergeCell ref="B51:H51"/>
    <mergeCell ref="C28:C29"/>
    <mergeCell ref="B5:J5"/>
    <mergeCell ref="B2:J2"/>
    <mergeCell ref="B3:J3"/>
    <mergeCell ref="D28:D29"/>
    <mergeCell ref="E28:E29"/>
    <mergeCell ref="F28:F29"/>
  </mergeCells>
  <phoneticPr fontId="0" type="noConversion"/>
  <pageMargins left="0.75" right="0.75" top="1" bottom="1" header="0.5" footer="0.5"/>
  <pageSetup orientation="portrait" r:id="rId1"/>
  <headerFooter alignWithMargins="0"/>
  <drawing r:id="rId2"/>
  <legacy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6"/>
  <dimension ref="B1:AV537"/>
  <sheetViews>
    <sheetView workbookViewId="0">
      <selection activeCell="I76" sqref="I76:O81"/>
    </sheetView>
  </sheetViews>
  <sheetFormatPr defaultRowHeight="12.5"/>
  <cols>
    <col min="2" max="2" width="21.26953125" customWidth="1"/>
    <col min="3" max="3" width="11.453125" customWidth="1"/>
    <col min="5" max="5" width="18.54296875" customWidth="1"/>
    <col min="9" max="9" width="22.26953125" customWidth="1"/>
    <col min="10" max="10" width="12.7265625" customWidth="1"/>
    <col min="12" max="12" width="20" customWidth="1"/>
    <col min="14" max="16" width="12.26953125" customWidth="1"/>
    <col min="17" max="17" width="16.26953125" customWidth="1"/>
  </cols>
  <sheetData>
    <row r="1" spans="2:48" ht="13" thickBot="1"/>
    <row r="2" spans="2:48" ht="18.5" thickBot="1">
      <c r="B2" s="1525" t="s">
        <v>206</v>
      </c>
      <c r="C2" s="1557"/>
      <c r="D2" s="1557"/>
      <c r="E2" s="1557"/>
      <c r="F2" s="1557"/>
      <c r="G2" s="1557"/>
      <c r="H2" s="1557"/>
      <c r="I2" s="1657"/>
      <c r="J2" s="1657"/>
      <c r="K2" s="1657"/>
      <c r="L2" s="1657"/>
      <c r="M2" s="1657"/>
      <c r="N2" s="1657"/>
      <c r="O2" s="1657"/>
      <c r="P2" s="1657"/>
      <c r="Q2" s="1657"/>
      <c r="R2" s="1657"/>
      <c r="S2" s="1657"/>
      <c r="T2" s="1657"/>
      <c r="U2" s="1657"/>
      <c r="V2" s="1657"/>
      <c r="W2" s="1657"/>
      <c r="X2" s="1658"/>
      <c r="Y2" s="39"/>
      <c r="Z2" s="39"/>
      <c r="AA2" s="39"/>
      <c r="AB2" s="39"/>
      <c r="AC2" s="39"/>
      <c r="AD2" s="39"/>
      <c r="AE2" s="39"/>
      <c r="AF2" s="39"/>
      <c r="AG2" s="39"/>
      <c r="AH2" s="39"/>
      <c r="AI2" s="39"/>
      <c r="AJ2" s="39"/>
      <c r="AK2" s="39"/>
      <c r="AL2" s="39"/>
      <c r="AM2" s="39"/>
      <c r="AN2" s="39"/>
      <c r="AO2" s="39"/>
      <c r="AP2" s="39"/>
      <c r="AQ2" s="39"/>
      <c r="AR2" s="39"/>
      <c r="AS2" s="39"/>
      <c r="AT2" s="39"/>
      <c r="AU2" s="39"/>
      <c r="AV2" s="39"/>
    </row>
    <row r="3" spans="2:48" ht="16" thickBot="1">
      <c r="B3" s="1528" t="s">
        <v>505</v>
      </c>
      <c r="C3" s="1540"/>
      <c r="D3" s="1540"/>
      <c r="E3" s="1540"/>
      <c r="F3" s="1540"/>
      <c r="G3" s="1540"/>
      <c r="H3" s="1540"/>
      <c r="I3" s="1659"/>
      <c r="J3" s="1659"/>
      <c r="K3" s="1659"/>
      <c r="L3" s="1659"/>
      <c r="M3" s="1659"/>
      <c r="N3" s="1659"/>
      <c r="O3" s="1659"/>
      <c r="P3" s="1659"/>
      <c r="Q3" s="1659"/>
      <c r="R3" s="1659"/>
      <c r="S3" s="1659"/>
      <c r="T3" s="1659"/>
      <c r="U3" s="1659"/>
      <c r="V3" s="1659"/>
      <c r="W3" s="1659"/>
      <c r="X3" s="1660"/>
      <c r="Y3" s="39"/>
      <c r="Z3" s="39"/>
      <c r="AA3" s="39"/>
      <c r="AB3" s="39"/>
      <c r="AC3" s="39"/>
      <c r="AD3" s="39"/>
      <c r="AE3" s="39"/>
      <c r="AF3" s="39"/>
      <c r="AG3" s="39"/>
      <c r="AH3" s="39"/>
      <c r="AI3" s="39"/>
      <c r="AJ3" s="39"/>
      <c r="AK3" s="39"/>
      <c r="AL3" s="39"/>
      <c r="AM3" s="39"/>
      <c r="AN3" s="39"/>
      <c r="AO3" s="39"/>
      <c r="AP3" s="39"/>
      <c r="AQ3" s="39"/>
      <c r="AR3" s="39"/>
      <c r="AS3" s="39"/>
      <c r="AT3" s="39"/>
      <c r="AU3" s="39"/>
      <c r="AV3" s="39"/>
    </row>
    <row r="4" spans="2:48">
      <c r="B4" s="124"/>
      <c r="I4" s="39"/>
      <c r="J4" s="39"/>
      <c r="K4" s="39"/>
      <c r="L4" s="39"/>
      <c r="M4" s="39"/>
      <c r="N4" s="39"/>
      <c r="O4" s="39"/>
      <c r="P4" s="39"/>
      <c r="Q4" s="39"/>
      <c r="R4" s="39"/>
      <c r="S4" s="39"/>
      <c r="T4" s="39"/>
      <c r="U4" s="39"/>
      <c r="V4" s="39"/>
      <c r="W4" s="39"/>
      <c r="X4" s="146"/>
      <c r="Y4" s="39"/>
      <c r="Z4" s="39"/>
      <c r="AA4" s="39"/>
      <c r="AB4" s="39"/>
      <c r="AC4" s="39"/>
      <c r="AD4" s="39"/>
      <c r="AE4" s="39"/>
      <c r="AF4" s="39"/>
      <c r="AG4" s="39"/>
      <c r="AH4" s="39"/>
      <c r="AI4" s="39"/>
      <c r="AJ4" s="39"/>
      <c r="AK4" s="39"/>
      <c r="AL4" s="39"/>
      <c r="AM4" s="39"/>
      <c r="AN4" s="39"/>
      <c r="AO4" s="39"/>
      <c r="AP4" s="39"/>
      <c r="AQ4" s="39"/>
      <c r="AR4" s="39"/>
      <c r="AS4" s="39"/>
      <c r="AT4" s="39"/>
      <c r="AU4" s="39"/>
      <c r="AV4" s="39"/>
    </row>
    <row r="5" spans="2:48" ht="13">
      <c r="B5" s="1661" t="s">
        <v>1106</v>
      </c>
      <c r="C5" s="1662"/>
      <c r="D5" s="1662"/>
      <c r="E5" s="1662"/>
      <c r="F5" s="1662"/>
      <c r="G5" s="1662"/>
      <c r="H5" s="1662"/>
      <c r="I5" s="39"/>
      <c r="J5" s="39"/>
      <c r="K5" s="39"/>
      <c r="L5" s="39"/>
      <c r="M5" s="39"/>
      <c r="N5" s="39"/>
      <c r="O5" s="39"/>
      <c r="P5" s="39"/>
      <c r="Q5" s="39"/>
      <c r="R5" s="39"/>
      <c r="S5" s="39"/>
      <c r="T5" s="39"/>
      <c r="U5" s="39"/>
      <c r="V5" s="39"/>
      <c r="W5" s="39"/>
      <c r="X5" s="146"/>
      <c r="Y5" s="39"/>
      <c r="Z5" s="39"/>
      <c r="AA5" s="39"/>
      <c r="AB5" s="39"/>
      <c r="AC5" s="39"/>
      <c r="AD5" s="39"/>
      <c r="AE5" s="39"/>
      <c r="AF5" s="39"/>
      <c r="AG5" s="39"/>
      <c r="AH5" s="39"/>
      <c r="AI5" s="39"/>
      <c r="AJ5" s="39"/>
      <c r="AK5" s="39"/>
      <c r="AL5" s="39"/>
      <c r="AM5" s="39"/>
      <c r="AN5" s="39"/>
      <c r="AO5" s="39"/>
      <c r="AP5" s="39"/>
      <c r="AQ5" s="39"/>
      <c r="AR5" s="39"/>
      <c r="AS5" s="39"/>
      <c r="AT5" s="39"/>
      <c r="AU5" s="39"/>
      <c r="AV5" s="39"/>
    </row>
    <row r="6" spans="2:48" ht="13" thickBot="1">
      <c r="B6" s="223"/>
      <c r="C6" s="212"/>
      <c r="D6" s="212"/>
      <c r="E6" s="212"/>
      <c r="F6" s="212"/>
      <c r="G6" s="212"/>
      <c r="H6" s="212"/>
      <c r="I6" s="39"/>
      <c r="J6" s="39"/>
      <c r="K6" s="39"/>
      <c r="L6" s="39"/>
      <c r="M6" s="39"/>
      <c r="N6" s="39"/>
      <c r="O6" s="39"/>
      <c r="P6" s="39"/>
      <c r="Q6" s="39"/>
      <c r="R6" s="39"/>
      <c r="S6" s="39"/>
      <c r="T6" s="39"/>
      <c r="U6" s="39"/>
      <c r="V6" s="39"/>
      <c r="W6" s="39"/>
      <c r="X6" s="146"/>
      <c r="Y6" s="39"/>
      <c r="Z6" s="39"/>
      <c r="AA6" s="39"/>
      <c r="AB6" s="39"/>
      <c r="AC6" s="39"/>
      <c r="AD6" s="39"/>
      <c r="AE6" s="39"/>
      <c r="AF6" s="39"/>
      <c r="AG6" s="39"/>
      <c r="AH6" s="39"/>
      <c r="AI6" s="39"/>
      <c r="AJ6" s="39"/>
      <c r="AK6" s="39"/>
      <c r="AL6" s="39"/>
      <c r="AM6" s="39"/>
      <c r="AN6" s="39"/>
      <c r="AO6" s="39"/>
      <c r="AP6" s="39"/>
      <c r="AQ6" s="39"/>
      <c r="AR6" s="39"/>
      <c r="AS6" s="39"/>
      <c r="AT6" s="39"/>
      <c r="AU6" s="39"/>
      <c r="AV6" s="39"/>
    </row>
    <row r="7" spans="2:48" ht="13.5" thickBot="1">
      <c r="B7" s="1617" t="s">
        <v>506</v>
      </c>
      <c r="C7" s="1538"/>
      <c r="D7" s="1538"/>
      <c r="E7" s="1538"/>
      <c r="F7" s="1538"/>
      <c r="G7" s="1539"/>
      <c r="H7" s="39"/>
      <c r="I7" s="1617" t="s">
        <v>507</v>
      </c>
      <c r="J7" s="1538"/>
      <c r="K7" s="1538"/>
      <c r="L7" s="1538"/>
      <c r="M7" s="1538"/>
      <c r="N7" s="1539"/>
      <c r="O7" s="708"/>
      <c r="P7" s="39"/>
      <c r="Q7" s="39"/>
      <c r="R7" s="39"/>
      <c r="S7" s="39"/>
      <c r="T7" s="39"/>
      <c r="U7" s="39"/>
      <c r="V7" s="39"/>
      <c r="W7" s="39"/>
      <c r="X7" s="146"/>
      <c r="Y7" s="39"/>
      <c r="Z7" s="39"/>
      <c r="AA7" s="39"/>
      <c r="AB7" s="39"/>
      <c r="AC7" s="39"/>
      <c r="AD7" s="39"/>
      <c r="AE7" s="39"/>
      <c r="AF7" s="39"/>
      <c r="AG7" s="39"/>
      <c r="AH7" s="39"/>
      <c r="AI7" s="39"/>
      <c r="AJ7" s="39"/>
      <c r="AK7" s="39"/>
      <c r="AL7" s="39"/>
      <c r="AM7" s="39"/>
      <c r="AN7" s="39"/>
      <c r="AO7" s="39"/>
      <c r="AP7" s="39"/>
      <c r="AQ7" s="39"/>
      <c r="AR7" s="39"/>
      <c r="AS7" s="39"/>
      <c r="AT7" s="39"/>
      <c r="AU7" s="39"/>
      <c r="AV7" s="39"/>
    </row>
    <row r="8" spans="2:48" ht="13" thickBot="1">
      <c r="B8" s="171"/>
      <c r="C8" s="39"/>
      <c r="D8" s="39"/>
      <c r="E8" s="39"/>
      <c r="F8" s="39"/>
      <c r="G8" s="146"/>
      <c r="H8" s="39"/>
      <c r="I8" s="228"/>
      <c r="J8" s="63"/>
      <c r="K8" s="63"/>
      <c r="L8" s="63"/>
      <c r="M8" s="63"/>
      <c r="N8" s="149"/>
      <c r="O8" s="39"/>
      <c r="P8" s="39"/>
      <c r="Q8" s="39"/>
      <c r="R8" s="39"/>
      <c r="S8" s="39"/>
      <c r="T8" s="39"/>
      <c r="U8" s="39"/>
      <c r="V8" s="39"/>
      <c r="W8" s="39"/>
      <c r="X8" s="146"/>
      <c r="Y8" s="39"/>
      <c r="Z8" s="39"/>
      <c r="AA8" s="39"/>
      <c r="AB8" s="39"/>
      <c r="AC8" s="39"/>
      <c r="AD8" s="39"/>
      <c r="AE8" s="39"/>
      <c r="AF8" s="39"/>
      <c r="AG8" s="39"/>
      <c r="AH8" s="39"/>
      <c r="AI8" s="39"/>
      <c r="AJ8" s="39"/>
      <c r="AK8" s="39"/>
      <c r="AL8" s="39"/>
      <c r="AM8" s="39"/>
      <c r="AN8" s="39"/>
      <c r="AO8" s="39"/>
      <c r="AP8" s="39"/>
      <c r="AQ8" s="39"/>
      <c r="AR8" s="39"/>
      <c r="AS8" s="39"/>
      <c r="AT8" s="39"/>
      <c r="AU8" s="39"/>
      <c r="AV8" s="39"/>
    </row>
    <row r="9" spans="2:48" ht="13.5" thickBot="1">
      <c r="B9" s="1531" t="s">
        <v>207</v>
      </c>
      <c r="C9" s="1592"/>
      <c r="D9" s="1592"/>
      <c r="E9" s="1592"/>
      <c r="F9" s="1592"/>
      <c r="G9" s="1593"/>
      <c r="H9" s="39"/>
      <c r="I9" s="1531" t="s">
        <v>508</v>
      </c>
      <c r="J9" s="1592"/>
      <c r="K9" s="1592"/>
      <c r="L9" s="1592"/>
      <c r="M9" s="1592"/>
      <c r="N9" s="1593"/>
      <c r="O9" s="709"/>
      <c r="P9" s="39"/>
      <c r="Q9" s="39"/>
      <c r="R9" s="39"/>
      <c r="S9" s="39"/>
      <c r="T9" s="39"/>
      <c r="U9" s="39"/>
      <c r="V9" s="39"/>
      <c r="W9" s="39"/>
      <c r="X9" s="146"/>
      <c r="Y9" s="39"/>
      <c r="Z9" s="39"/>
      <c r="AA9" s="39"/>
      <c r="AB9" s="39"/>
      <c r="AC9" s="39"/>
      <c r="AD9" s="39"/>
      <c r="AE9" s="39"/>
      <c r="AF9" s="39"/>
      <c r="AG9" s="39"/>
      <c r="AH9" s="39"/>
      <c r="AI9" s="39"/>
      <c r="AJ9" s="39"/>
      <c r="AK9" s="39"/>
      <c r="AL9" s="39"/>
      <c r="AM9" s="39"/>
      <c r="AN9" s="39"/>
      <c r="AO9" s="39"/>
      <c r="AP9" s="39"/>
      <c r="AQ9" s="39"/>
      <c r="AR9" s="39"/>
      <c r="AS9" s="39"/>
      <c r="AT9" s="39"/>
      <c r="AU9" s="39"/>
      <c r="AV9" s="39"/>
    </row>
    <row r="10" spans="2:48" ht="13.5" thickBot="1">
      <c r="B10" s="171" t="s">
        <v>509</v>
      </c>
      <c r="C10" s="39"/>
      <c r="D10" s="152">
        <v>200000</v>
      </c>
      <c r="E10" s="243" t="s">
        <v>363</v>
      </c>
      <c r="F10" s="39"/>
      <c r="G10" s="146"/>
      <c r="H10" s="39"/>
      <c r="I10" s="171" t="s">
        <v>510</v>
      </c>
      <c r="J10" s="39"/>
      <c r="K10" s="152">
        <v>250000</v>
      </c>
      <c r="L10" s="243" t="s">
        <v>363</v>
      </c>
      <c r="M10" s="39"/>
      <c r="N10" s="146"/>
      <c r="O10" s="39"/>
      <c r="P10" s="39"/>
      <c r="Q10" s="1531" t="s">
        <v>511</v>
      </c>
      <c r="R10" s="1592"/>
      <c r="S10" s="1593"/>
      <c r="T10" s="39"/>
      <c r="U10" s="39"/>
      <c r="V10" s="39"/>
      <c r="W10" s="39"/>
      <c r="X10" s="146"/>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row>
    <row r="11" spans="2:48">
      <c r="B11" s="171" t="s">
        <v>512</v>
      </c>
      <c r="C11" s="39"/>
      <c r="D11" s="152">
        <f>0.2*D10</f>
        <v>40000</v>
      </c>
      <c r="E11" s="39" t="s">
        <v>513</v>
      </c>
      <c r="F11" s="39"/>
      <c r="G11" s="248">
        <v>19</v>
      </c>
      <c r="H11" s="39"/>
      <c r="I11" s="171" t="s">
        <v>398</v>
      </c>
      <c r="J11" s="39"/>
      <c r="K11" s="152">
        <v>200000</v>
      </c>
      <c r="L11" s="39" t="s">
        <v>514</v>
      </c>
      <c r="M11" s="39"/>
      <c r="N11" s="146">
        <v>0.28000000000000003</v>
      </c>
      <c r="O11" s="39"/>
      <c r="P11" s="39"/>
      <c r="Q11" s="171" t="s">
        <v>515</v>
      </c>
      <c r="R11" s="39"/>
      <c r="S11" s="248">
        <v>45000</v>
      </c>
      <c r="T11" s="39"/>
      <c r="U11" s="39"/>
      <c r="V11" s="39"/>
      <c r="W11" s="39"/>
      <c r="X11" s="146"/>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row>
    <row r="12" spans="2:48">
      <c r="B12" s="171" t="s">
        <v>516</v>
      </c>
      <c r="C12" s="39"/>
      <c r="D12" s="152">
        <f>0.8*D10</f>
        <v>160000</v>
      </c>
      <c r="E12" s="39" t="s">
        <v>517</v>
      </c>
      <c r="F12" s="39"/>
      <c r="G12" s="248">
        <v>0.28000000000000003</v>
      </c>
      <c r="H12" s="39"/>
      <c r="I12" s="171" t="s">
        <v>518</v>
      </c>
      <c r="J12" s="39"/>
      <c r="K12" s="152">
        <f>0.8*K11</f>
        <v>160000</v>
      </c>
      <c r="L12" s="39" t="s">
        <v>517</v>
      </c>
      <c r="M12" s="39"/>
      <c r="N12" s="146">
        <v>0.28000000000000003</v>
      </c>
      <c r="O12" s="39"/>
      <c r="P12" s="39"/>
      <c r="Q12" s="171" t="s">
        <v>519</v>
      </c>
      <c r="R12" s="39"/>
      <c r="S12" s="248">
        <v>0.04</v>
      </c>
      <c r="T12" s="39"/>
      <c r="U12" s="39"/>
      <c r="V12" s="39"/>
      <c r="W12" s="39"/>
      <c r="X12" s="146"/>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row>
    <row r="13" spans="2:48">
      <c r="B13" s="171" t="s">
        <v>520</v>
      </c>
      <c r="C13" s="39"/>
      <c r="D13" s="152">
        <v>0.5</v>
      </c>
      <c r="E13" s="39" t="s">
        <v>521</v>
      </c>
      <c r="F13" s="39"/>
      <c r="G13" s="248">
        <v>0.28000000000000003</v>
      </c>
      <c r="H13" s="39"/>
      <c r="I13" s="171" t="s">
        <v>522</v>
      </c>
      <c r="J13" s="39"/>
      <c r="K13" s="152">
        <f>0.2*K11</f>
        <v>40000</v>
      </c>
      <c r="L13" s="39" t="s">
        <v>523</v>
      </c>
      <c r="M13" s="39"/>
      <c r="N13" s="146">
        <v>19</v>
      </c>
      <c r="O13" s="39"/>
      <c r="P13" s="39"/>
      <c r="Q13" s="171" t="s">
        <v>268</v>
      </c>
      <c r="R13" s="39"/>
      <c r="S13" s="248">
        <v>0.1</v>
      </c>
      <c r="T13" s="39"/>
      <c r="U13" s="39"/>
      <c r="V13" s="39"/>
      <c r="W13" s="39"/>
      <c r="X13" s="146"/>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row>
    <row r="14" spans="2:48">
      <c r="B14" s="171" t="s">
        <v>524</v>
      </c>
      <c r="C14" s="39"/>
      <c r="D14" s="152">
        <v>0.04</v>
      </c>
      <c r="E14" s="39"/>
      <c r="F14" s="39"/>
      <c r="G14" s="146"/>
      <c r="H14" s="39"/>
      <c r="I14" s="171" t="s">
        <v>524</v>
      </c>
      <c r="J14" s="39"/>
      <c r="K14" s="152">
        <v>0.03</v>
      </c>
      <c r="L14" s="39"/>
      <c r="M14" s="39"/>
      <c r="N14" s="146"/>
      <c r="O14" s="39"/>
      <c r="P14" s="39"/>
      <c r="Q14" s="171" t="s">
        <v>525</v>
      </c>
      <c r="R14" s="39"/>
      <c r="S14" s="248">
        <v>200000</v>
      </c>
      <c r="T14" s="39"/>
      <c r="U14" s="39"/>
      <c r="V14" s="39"/>
      <c r="W14" s="39"/>
      <c r="X14" s="146"/>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row>
    <row r="15" spans="2:48">
      <c r="B15" s="171" t="s">
        <v>526</v>
      </c>
      <c r="C15" s="39"/>
      <c r="D15" s="152">
        <v>0.03</v>
      </c>
      <c r="E15" s="39"/>
      <c r="F15" s="39"/>
      <c r="G15" s="146"/>
      <c r="H15" s="39"/>
      <c r="I15" s="171" t="s">
        <v>520</v>
      </c>
      <c r="J15" s="39"/>
      <c r="K15" s="152">
        <v>0.5</v>
      </c>
      <c r="L15" s="39"/>
      <c r="M15" s="39"/>
      <c r="N15" s="146"/>
      <c r="O15" s="39"/>
      <c r="P15" s="39"/>
      <c r="Q15" s="171" t="s">
        <v>527</v>
      </c>
      <c r="R15" s="39"/>
      <c r="S15" s="248">
        <v>200000</v>
      </c>
      <c r="T15" s="39"/>
      <c r="U15" s="39"/>
      <c r="V15" s="39"/>
      <c r="W15" s="39"/>
      <c r="X15" s="146"/>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row>
    <row r="16" spans="2:48">
      <c r="B16" s="171" t="s">
        <v>368</v>
      </c>
      <c r="C16" s="39"/>
      <c r="D16" s="152">
        <v>0.75</v>
      </c>
      <c r="E16" s="39"/>
      <c r="F16" s="39"/>
      <c r="G16" s="146"/>
      <c r="H16" s="39"/>
      <c r="I16" s="171" t="s">
        <v>526</v>
      </c>
      <c r="J16" s="39"/>
      <c r="K16" s="152">
        <v>0.03</v>
      </c>
      <c r="L16" s="39"/>
      <c r="M16" s="39"/>
      <c r="N16" s="146"/>
      <c r="O16" s="39"/>
      <c r="P16" s="39"/>
      <c r="Q16" s="171" t="s">
        <v>528</v>
      </c>
      <c r="R16" s="39"/>
      <c r="S16" s="248">
        <f>IF(S14=S15,0.75*(K10+S14),K19+S15)</f>
        <v>337500</v>
      </c>
      <c r="T16" s="39"/>
      <c r="U16" s="39"/>
      <c r="V16" s="39"/>
      <c r="W16" s="39"/>
      <c r="X16" s="146"/>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row>
    <row r="17" spans="2:48">
      <c r="B17" s="171" t="s">
        <v>529</v>
      </c>
      <c r="C17" s="39"/>
      <c r="D17" s="152">
        <f>D16*D10</f>
        <v>150000</v>
      </c>
      <c r="E17" s="39"/>
      <c r="F17" s="39"/>
      <c r="G17" s="146"/>
      <c r="H17" s="39"/>
      <c r="I17" s="171" t="s">
        <v>530</v>
      </c>
      <c r="J17" s="39"/>
      <c r="K17" s="152">
        <v>289819</v>
      </c>
      <c r="L17" s="39"/>
      <c r="M17" s="39"/>
      <c r="N17" s="146"/>
      <c r="O17" s="39"/>
      <c r="P17" s="39"/>
      <c r="Q17" s="171" t="s">
        <v>212</v>
      </c>
      <c r="R17" s="39"/>
      <c r="S17" s="248">
        <v>0.11</v>
      </c>
      <c r="T17" s="39"/>
      <c r="U17" s="39"/>
      <c r="V17" s="39"/>
      <c r="W17" s="39"/>
      <c r="X17" s="146"/>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row>
    <row r="18" spans="2:48">
      <c r="B18" s="171" t="s">
        <v>212</v>
      </c>
      <c r="C18" s="39"/>
      <c r="D18" s="152">
        <v>0.11</v>
      </c>
      <c r="E18" s="39"/>
      <c r="F18" s="39"/>
      <c r="G18" s="146"/>
      <c r="H18" s="39"/>
      <c r="I18" s="171" t="s">
        <v>477</v>
      </c>
      <c r="J18" s="39"/>
      <c r="K18" s="152">
        <v>0.06</v>
      </c>
      <c r="L18" s="39"/>
      <c r="M18" s="39"/>
      <c r="N18" s="146"/>
      <c r="O18" s="39"/>
      <c r="P18" s="39"/>
      <c r="Q18" s="171" t="s">
        <v>531</v>
      </c>
      <c r="R18" s="39"/>
      <c r="S18" s="248">
        <v>15</v>
      </c>
      <c r="T18" s="39"/>
      <c r="U18" s="39"/>
      <c r="V18" s="39"/>
      <c r="W18" s="39"/>
      <c r="X18" s="146"/>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row>
    <row r="19" spans="2:48">
      <c r="B19" s="171" t="s">
        <v>532</v>
      </c>
      <c r="C19" s="39"/>
      <c r="D19" s="152">
        <v>25</v>
      </c>
      <c r="E19" s="39"/>
      <c r="F19" s="39"/>
      <c r="G19" s="146"/>
      <c r="H19" s="39"/>
      <c r="I19" s="171" t="s">
        <v>529</v>
      </c>
      <c r="J19" s="39"/>
      <c r="K19" s="152">
        <f>142432</f>
        <v>142432</v>
      </c>
      <c r="L19" s="39"/>
      <c r="M19" s="39"/>
      <c r="N19" s="146"/>
      <c r="O19" s="39"/>
      <c r="P19" s="39"/>
      <c r="Q19" s="171" t="s">
        <v>470</v>
      </c>
      <c r="R19" s="39"/>
      <c r="S19" s="248">
        <v>12</v>
      </c>
      <c r="T19" s="39"/>
      <c r="U19" s="39"/>
      <c r="V19" s="39"/>
      <c r="W19" s="39"/>
      <c r="X19" s="146"/>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row>
    <row r="20" spans="2:48">
      <c r="B20" s="171" t="s">
        <v>470</v>
      </c>
      <c r="C20" s="39"/>
      <c r="D20" s="152">
        <v>12</v>
      </c>
      <c r="E20" s="39"/>
      <c r="F20" s="39"/>
      <c r="G20" s="146"/>
      <c r="H20" s="39"/>
      <c r="I20" s="171" t="s">
        <v>212</v>
      </c>
      <c r="J20" s="39"/>
      <c r="K20" s="152">
        <v>0.11</v>
      </c>
      <c r="L20" s="39"/>
      <c r="M20" s="39"/>
      <c r="N20" s="146"/>
      <c r="O20" s="39"/>
      <c r="P20" s="39"/>
      <c r="Q20" s="171" t="s">
        <v>533</v>
      </c>
      <c r="R20" s="39"/>
      <c r="S20" s="248">
        <v>31.5</v>
      </c>
      <c r="T20" s="39"/>
      <c r="U20" s="39"/>
      <c r="V20" s="39"/>
      <c r="W20" s="39"/>
      <c r="X20" s="146"/>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row>
    <row r="21" spans="2:48">
      <c r="B21" s="171" t="s">
        <v>534</v>
      </c>
      <c r="C21" s="39"/>
      <c r="D21" s="152">
        <v>5</v>
      </c>
      <c r="E21" s="39"/>
      <c r="F21" s="39"/>
      <c r="G21" s="146"/>
      <c r="H21" s="39"/>
      <c r="I21" s="171" t="s">
        <v>532</v>
      </c>
      <c r="J21" s="39"/>
      <c r="K21" s="152">
        <f>D19-D21</f>
        <v>20</v>
      </c>
      <c r="L21" s="39"/>
      <c r="M21" s="39"/>
      <c r="N21" s="146"/>
      <c r="O21" s="39"/>
      <c r="P21" s="39"/>
      <c r="Q21" s="171" t="s">
        <v>376</v>
      </c>
      <c r="R21" s="39"/>
      <c r="S21" s="248">
        <v>5</v>
      </c>
      <c r="T21" s="39"/>
      <c r="U21" s="39"/>
      <c r="V21" s="39"/>
      <c r="W21" s="39"/>
      <c r="X21" s="146"/>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row>
    <row r="22" spans="2:48">
      <c r="B22" s="171" t="s">
        <v>477</v>
      </c>
      <c r="C22" s="39"/>
      <c r="D22" s="152">
        <v>0.06</v>
      </c>
      <c r="E22" s="39"/>
      <c r="F22" s="39"/>
      <c r="G22" s="146"/>
      <c r="H22" s="39"/>
      <c r="I22" s="171" t="s">
        <v>470</v>
      </c>
      <c r="J22" s="39"/>
      <c r="K22" s="152">
        <v>12</v>
      </c>
      <c r="L22" s="39"/>
      <c r="M22" s="39"/>
      <c r="N22" s="146"/>
      <c r="O22" s="39"/>
      <c r="P22" s="39"/>
      <c r="Q22" s="171" t="s">
        <v>535</v>
      </c>
      <c r="R22" s="39"/>
      <c r="S22" s="248">
        <v>5</v>
      </c>
      <c r="T22" s="39"/>
      <c r="U22" s="39"/>
      <c r="V22" s="39"/>
      <c r="W22" s="39"/>
      <c r="X22" s="146"/>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row>
    <row r="23" spans="2:48" ht="13" thickBot="1">
      <c r="B23" s="171" t="s">
        <v>536</v>
      </c>
      <c r="C23" s="39"/>
      <c r="D23" s="152">
        <v>250000</v>
      </c>
      <c r="E23" s="39"/>
      <c r="F23" s="39"/>
      <c r="G23" s="146"/>
      <c r="H23" s="39"/>
      <c r="I23" s="171" t="s">
        <v>537</v>
      </c>
      <c r="J23" s="39"/>
      <c r="K23" s="152">
        <v>10</v>
      </c>
      <c r="L23" s="39"/>
      <c r="M23" s="39"/>
      <c r="N23" s="146"/>
      <c r="O23" s="39"/>
      <c r="P23" s="39"/>
      <c r="Q23" s="171"/>
      <c r="R23" s="39"/>
      <c r="S23" s="146"/>
      <c r="T23" s="39"/>
      <c r="U23" s="39"/>
      <c r="V23" s="39"/>
      <c r="W23" s="39"/>
      <c r="X23" s="146"/>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row>
    <row r="24" spans="2:48" ht="13.5" thickBot="1">
      <c r="B24" s="171"/>
      <c r="C24" s="39"/>
      <c r="D24" s="39"/>
      <c r="E24" s="39"/>
      <c r="F24" s="39"/>
      <c r="G24" s="146"/>
      <c r="H24" s="39"/>
      <c r="I24" s="243" t="s">
        <v>538</v>
      </c>
      <c r="J24" s="39"/>
      <c r="K24" s="39"/>
      <c r="L24" s="39"/>
      <c r="M24" s="39"/>
      <c r="N24" s="146"/>
      <c r="O24" s="39"/>
      <c r="P24" s="39"/>
      <c r="Q24" s="243" t="s">
        <v>539</v>
      </c>
      <c r="R24" s="39"/>
      <c r="S24" s="146"/>
      <c r="T24" s="39"/>
      <c r="U24" s="39"/>
      <c r="V24" s="39"/>
      <c r="W24" s="39"/>
      <c r="X24" s="146"/>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row>
    <row r="25" spans="2:48">
      <c r="B25" s="171" t="s">
        <v>291</v>
      </c>
      <c r="C25" s="152">
        <f>D11+D12-D17</f>
        <v>50000</v>
      </c>
      <c r="D25" s="39"/>
      <c r="E25" s="39"/>
      <c r="F25" s="39"/>
      <c r="G25" s="146"/>
      <c r="H25" s="39"/>
      <c r="I25" s="171" t="s">
        <v>291</v>
      </c>
      <c r="J25" s="152">
        <f>K11-K19</f>
        <v>57568</v>
      </c>
      <c r="K25" s="39"/>
      <c r="L25" s="39"/>
      <c r="M25" s="39"/>
      <c r="N25" s="146"/>
      <c r="O25" s="39"/>
      <c r="P25" s="39"/>
      <c r="Q25" s="171" t="s">
        <v>540</v>
      </c>
      <c r="R25" s="152">
        <f>IF(S14&gt;S15,S14-S15,S14-(S16-K19))</f>
        <v>4932</v>
      </c>
      <c r="S25" s="146"/>
      <c r="T25" s="39"/>
      <c r="U25" s="39"/>
      <c r="V25" s="39"/>
      <c r="W25" s="39"/>
      <c r="X25" s="146"/>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row>
    <row r="26" spans="2:48">
      <c r="B26" s="171" t="s">
        <v>381</v>
      </c>
      <c r="C26" s="152">
        <f>D17</f>
        <v>150000</v>
      </c>
      <c r="D26" s="39"/>
      <c r="E26" s="39"/>
      <c r="F26" s="39"/>
      <c r="G26" s="146"/>
      <c r="H26" s="39"/>
      <c r="I26" s="171" t="s">
        <v>381</v>
      </c>
      <c r="J26" s="152">
        <f>K19</f>
        <v>142432</v>
      </c>
      <c r="K26" s="39"/>
      <c r="L26" s="39"/>
      <c r="M26" s="39"/>
      <c r="N26" s="146"/>
      <c r="O26" s="39"/>
      <c r="P26" s="39"/>
      <c r="Q26" s="171" t="s">
        <v>381</v>
      </c>
      <c r="R26" s="152">
        <f>S16</f>
        <v>337500</v>
      </c>
      <c r="S26" s="146"/>
      <c r="T26" s="39"/>
      <c r="U26" s="39"/>
      <c r="V26" s="39"/>
      <c r="W26" s="39"/>
      <c r="X26" s="146"/>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row>
    <row r="27" spans="2:48">
      <c r="B27" s="171" t="s">
        <v>382</v>
      </c>
      <c r="C27" s="152">
        <f>PMT(D18/D20,D19*D20,-C26)*D20</f>
        <v>17642.035384501487</v>
      </c>
      <c r="D27" s="39"/>
      <c r="E27" s="39"/>
      <c r="F27" s="39"/>
      <c r="G27" s="146"/>
      <c r="H27" s="39"/>
      <c r="I27" s="171" t="s">
        <v>541</v>
      </c>
      <c r="J27" s="152">
        <f>PMT(K20/K22,K21*K22,-K19)*K22</f>
        <v>17641.998852348781</v>
      </c>
      <c r="K27" s="39"/>
      <c r="L27" s="39"/>
      <c r="M27" s="39"/>
      <c r="N27" s="146"/>
      <c r="O27" s="39"/>
      <c r="P27" s="39"/>
      <c r="Q27" s="171" t="s">
        <v>541</v>
      </c>
      <c r="R27" s="152">
        <f>PMT(S17/S19,S18*S19,-R26)*S19</f>
        <v>46032.175849521591</v>
      </c>
      <c r="S27" s="146"/>
      <c r="T27" s="39"/>
      <c r="U27" s="39"/>
      <c r="V27" s="39"/>
      <c r="W27" s="39"/>
      <c r="X27" s="146"/>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row>
    <row r="28" spans="2:48" ht="13" thickBot="1">
      <c r="B28" s="371" t="s">
        <v>383</v>
      </c>
      <c r="C28" s="621">
        <f>PV($D$18/$D$20,($D$19-D21)*$D$20,-($C$27/$D$20))</f>
        <v>142432.29494093184</v>
      </c>
      <c r="D28" s="372" t="s">
        <v>542</v>
      </c>
      <c r="E28" s="372"/>
      <c r="F28" s="372"/>
      <c r="G28" s="373"/>
      <c r="H28" s="34"/>
      <c r="I28" s="371" t="s">
        <v>543</v>
      </c>
      <c r="J28" s="621">
        <f>PV(K20/K22,(K21-K23)*K22,-(J27/K22))</f>
        <v>106727.14704273001</v>
      </c>
      <c r="K28" s="622" t="s">
        <v>544</v>
      </c>
      <c r="L28" s="623">
        <f>K23</f>
        <v>10</v>
      </c>
      <c r="M28" s="63"/>
      <c r="N28" s="149"/>
      <c r="O28" s="39"/>
      <c r="P28" s="39"/>
      <c r="Q28" s="371" t="s">
        <v>543</v>
      </c>
      <c r="R28" s="621">
        <f>PV($S$17/$S$19,($S$18-S21)*$S$19,-($R$27/$S$19))</f>
        <v>278476.54008517379</v>
      </c>
      <c r="S28" s="647" t="s">
        <v>1113</v>
      </c>
      <c r="T28" s="113"/>
      <c r="U28" s="39"/>
      <c r="V28" s="39"/>
      <c r="W28" s="39"/>
      <c r="X28" s="146"/>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row>
    <row r="29" spans="2:48">
      <c r="B29" s="171"/>
      <c r="C29" s="39"/>
      <c r="D29" s="57"/>
      <c r="E29" s="57"/>
      <c r="F29" s="57"/>
      <c r="G29" s="57"/>
      <c r="H29" s="34"/>
      <c r="I29" s="39"/>
      <c r="J29" s="39"/>
      <c r="K29" s="39"/>
      <c r="L29" s="39"/>
      <c r="M29" s="39"/>
      <c r="N29" s="39"/>
      <c r="O29" s="39"/>
      <c r="P29" s="39"/>
      <c r="Q29" s="39"/>
      <c r="R29" s="39"/>
      <c r="S29" s="39"/>
      <c r="T29" s="39"/>
      <c r="U29" s="39"/>
      <c r="V29" s="39"/>
      <c r="W29" s="39"/>
      <c r="X29" s="146"/>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row>
    <row r="30" spans="2:48" ht="13" thickBot="1">
      <c r="B30" s="369"/>
      <c r="C30" s="57"/>
      <c r="D30" s="57"/>
      <c r="E30" s="57"/>
      <c r="F30" s="57"/>
      <c r="G30" s="57"/>
      <c r="H30" s="39"/>
      <c r="I30" s="39"/>
      <c r="J30" s="34"/>
      <c r="K30" s="34"/>
      <c r="L30" s="34"/>
      <c r="M30" s="34"/>
      <c r="N30" s="39"/>
      <c r="O30" s="39"/>
      <c r="P30" s="39"/>
      <c r="Q30" s="51"/>
      <c r="R30" s="52"/>
      <c r="S30" s="52"/>
      <c r="T30" s="52"/>
      <c r="U30" s="52"/>
      <c r="V30" s="39"/>
      <c r="W30" s="39"/>
      <c r="X30" s="146"/>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row>
    <row r="31" spans="2:48" ht="13.5" thickBot="1">
      <c r="B31" s="1617" t="s">
        <v>385</v>
      </c>
      <c r="C31" s="1538"/>
      <c r="D31" s="1538"/>
      <c r="E31" s="1538"/>
      <c r="F31" s="1538"/>
      <c r="G31" s="1539"/>
      <c r="H31" s="39"/>
      <c r="J31" s="633"/>
      <c r="K31" s="277"/>
      <c r="L31" s="277"/>
      <c r="M31" s="277"/>
      <c r="N31" s="277"/>
      <c r="O31" s="39"/>
      <c r="P31" s="28"/>
      <c r="Q31" s="576">
        <v>1</v>
      </c>
      <c r="R31" s="576">
        <v>2</v>
      </c>
      <c r="S31" s="576">
        <v>3</v>
      </c>
      <c r="T31" s="576">
        <v>4</v>
      </c>
      <c r="U31" s="576">
        <v>5</v>
      </c>
      <c r="V31" s="39"/>
      <c r="W31" s="39"/>
      <c r="X31" s="146"/>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row>
    <row r="32" spans="2:48" ht="13.5" thickBot="1">
      <c r="B32" s="576" t="s">
        <v>386</v>
      </c>
      <c r="C32" s="576">
        <v>1</v>
      </c>
      <c r="D32" s="576">
        <f>(1+C32)</f>
        <v>2</v>
      </c>
      <c r="E32" s="576">
        <f>(1+D32)</f>
        <v>3</v>
      </c>
      <c r="F32" s="576">
        <f>(1+E32)</f>
        <v>4</v>
      </c>
      <c r="G32" s="576">
        <f>(1+F32)</f>
        <v>5</v>
      </c>
      <c r="H32" s="39"/>
      <c r="I32" s="576" t="s">
        <v>386</v>
      </c>
      <c r="J32" s="576">
        <v>6</v>
      </c>
      <c r="K32" s="576">
        <v>7</v>
      </c>
      <c r="L32" s="576">
        <v>8</v>
      </c>
      <c r="M32" s="576">
        <v>9</v>
      </c>
      <c r="N32" s="576">
        <v>10</v>
      </c>
      <c r="O32" s="39"/>
      <c r="P32" s="39"/>
      <c r="Q32" s="576">
        <v>6</v>
      </c>
      <c r="R32" s="576">
        <v>7</v>
      </c>
      <c r="S32" s="576">
        <v>8</v>
      </c>
      <c r="T32" s="576">
        <v>9</v>
      </c>
      <c r="U32" s="576">
        <v>10</v>
      </c>
      <c r="V32" s="39"/>
      <c r="W32" s="39"/>
      <c r="X32" s="146"/>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row>
    <row r="33" spans="2:48">
      <c r="B33" s="369" t="s">
        <v>209</v>
      </c>
      <c r="C33" s="57">
        <f>$C$27</f>
        <v>17642.035384501487</v>
      </c>
      <c r="D33" s="57">
        <f>$C$27</f>
        <v>17642.035384501487</v>
      </c>
      <c r="E33" s="57">
        <f>$C$27</f>
        <v>17642.035384501487</v>
      </c>
      <c r="F33" s="57">
        <f>$C$27</f>
        <v>17642.035384501487</v>
      </c>
      <c r="G33" s="370">
        <f>$C$27</f>
        <v>17642.035384501487</v>
      </c>
      <c r="H33" s="39"/>
      <c r="I33" s="369" t="s">
        <v>209</v>
      </c>
      <c r="J33" s="619">
        <f>$C$27</f>
        <v>17642.035384501487</v>
      </c>
      <c r="K33" s="57">
        <f>$C$27</f>
        <v>17642.035384501487</v>
      </c>
      <c r="L33" s="57">
        <f>$C$27</f>
        <v>17642.035384501487</v>
      </c>
      <c r="M33" s="57">
        <f>$C$27</f>
        <v>17642.035384501487</v>
      </c>
      <c r="N33" s="57">
        <f>$C$27</f>
        <v>17642.035384501487</v>
      </c>
      <c r="O33" s="39"/>
      <c r="P33" s="39"/>
      <c r="Q33" s="619">
        <f>$R$27</f>
        <v>46032.175849521591</v>
      </c>
      <c r="R33" s="57">
        <f>$R$27</f>
        <v>46032.175849521591</v>
      </c>
      <c r="S33" s="57">
        <f>$R$27</f>
        <v>46032.175849521591</v>
      </c>
      <c r="T33" s="57">
        <f>$R$27</f>
        <v>46032.175849521591</v>
      </c>
      <c r="U33" s="370">
        <f>$R$27</f>
        <v>46032.175849521591</v>
      </c>
      <c r="V33" s="39"/>
      <c r="W33" s="39"/>
      <c r="X33" s="146"/>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row>
    <row r="34" spans="2:48">
      <c r="B34" s="369" t="s">
        <v>383</v>
      </c>
      <c r="C34" s="57">
        <f>PV($D$18/$D$20,($D$19-C32)*$D$20,-($C$27/$D$20))</f>
        <v>148798.59085828881</v>
      </c>
      <c r="D34" s="57">
        <f>PV($D$18/$D$20,($D$19-D32)*$D$20,-($C$27/$D$20))</f>
        <v>147458.1560489042</v>
      </c>
      <c r="E34" s="57">
        <f>PV($D$18/$D$20,($D$19-E32)*$D$20,-($C$27/$D$20))</f>
        <v>145962.60768338203</v>
      </c>
      <c r="F34" s="57">
        <f>PV($D$18/$D$20,($D$19-F32)*$D$20,-($C$27/$D$20))</f>
        <v>144293.996201528</v>
      </c>
      <c r="G34" s="370">
        <f>PV($D$18/$D$20,($D$19-G32)*$D$20,-($C$27/$D$20))</f>
        <v>142432.29494093184</v>
      </c>
      <c r="H34" s="39"/>
      <c r="I34" s="369" t="s">
        <v>383</v>
      </c>
      <c r="J34" s="619">
        <f>PV($D$18/$D$20,($D$19-J32)*$D$20,-($C$27/$D$20))</f>
        <v>140355.15977711632</v>
      </c>
      <c r="K34" s="57">
        <f>PV($D$18/$D$20,($D$19-K32)*$D$20,-($C$27/$D$20))</f>
        <v>138037.66094952388</v>
      </c>
      <c r="L34" s="57">
        <f>PV($D$18/$D$20,($D$19-L32)*$D$20,-($C$27/$D$20))</f>
        <v>135451.98385471874</v>
      </c>
      <c r="M34" s="57">
        <f>PV($D$18/$D$20,($D$19-M32)*$D$20,-($C$27/$D$20))</f>
        <v>132567.09521572609</v>
      </c>
      <c r="N34" s="57">
        <f>PV($D$18/$D$20,($D$19-N32)*$D$20,-($C$27/$D$20))</f>
        <v>129348.37062087639</v>
      </c>
      <c r="O34" s="39"/>
      <c r="P34" s="39"/>
      <c r="Q34" s="619">
        <f>PV($S$17/$S$19,($S$18-Q31)*$S$19,-($R$27/$S$19))</f>
        <v>328129.74524461263</v>
      </c>
      <c r="R34" s="57">
        <f>PV($S$17/$S$19,($S$18-R31)*$S$19,-($R$27/$S$19))</f>
        <v>317675.17551407788</v>
      </c>
      <c r="S34" s="57">
        <f>PV($S$17/$S$19,($S$18-S31)*$S$19,-($R$27/$S$19))</f>
        <v>306010.81514140376</v>
      </c>
      <c r="T34" s="57">
        <f>PV($S$17/$S$19,($S$18-T31)*$S$19,-($R$27/$S$19))</f>
        <v>292996.66856144235</v>
      </c>
      <c r="U34" s="370">
        <f>PV($S$17/$S$19,($S$18-U31)*$S$19,-($R$27/$S$19))</f>
        <v>278476.54008517379</v>
      </c>
      <c r="V34" s="39"/>
      <c r="W34" s="39"/>
      <c r="X34" s="146"/>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row>
    <row r="35" spans="2:48">
      <c r="B35" s="369" t="s">
        <v>210</v>
      </c>
      <c r="C35" s="57">
        <f>($C$27-(C26-C34))</f>
        <v>16440.626242790295</v>
      </c>
      <c r="D35" s="57">
        <f>IF(C34&gt;0,($C$27-((C34-D34))),0)</f>
        <v>16301.600575116881</v>
      </c>
      <c r="E35" s="57">
        <f>IF(D34&gt;0,($C$27-((D34-E34))),0)</f>
        <v>16146.487018979311</v>
      </c>
      <c r="F35" s="57">
        <f>IF(E34&gt;0,($C$27-((E34-F34))),0)</f>
        <v>15973.423902647464</v>
      </c>
      <c r="G35" s="370">
        <f>IF(F34&gt;0,($C$27-((F34-G34))),0)</f>
        <v>15780.334123905322</v>
      </c>
      <c r="H35" s="39"/>
      <c r="I35" s="369" t="s">
        <v>210</v>
      </c>
      <c r="J35" s="619">
        <f>IF(G34&gt;0,($C$27-((G34-J34))),0)</f>
        <v>15564.90022068597</v>
      </c>
      <c r="K35" s="57">
        <f>IF(J34&gt;0,($C$27-((J34-K34))),0)</f>
        <v>15324.536556909046</v>
      </c>
      <c r="L35" s="57">
        <f>IF(K34&gt;0,($C$27-((K34-L34))),0)</f>
        <v>15056.358289696345</v>
      </c>
      <c r="M35" s="57">
        <f>IF(L34&gt;0,($C$27-((L34-M34))),0)</f>
        <v>14757.146745508839</v>
      </c>
      <c r="N35" s="57">
        <f>IF(M34&gt;0,($C$27-((M34-N34))),0)</f>
        <v>14423.310789651787</v>
      </c>
      <c r="O35" s="39"/>
      <c r="P35" s="39"/>
      <c r="Q35" s="619">
        <f>R27-(R26-Q34)</f>
        <v>36661.921094134217</v>
      </c>
      <c r="R35" s="57">
        <f>IF(Q34&gt;0,($R$27-((Q34-R34))),0)</f>
        <v>35577.606118986849</v>
      </c>
      <c r="S35" s="57">
        <f>IF(R34&gt;0,($R$27-((R34-S34))),0)</f>
        <v>34367.815476847463</v>
      </c>
      <c r="T35" s="57">
        <f>IF(S34&gt;0,($R$27-((S34-T34))),0)</f>
        <v>33018.029269560182</v>
      </c>
      <c r="U35" s="370">
        <f>IF(T34&gt;0,($R$27-((T34-U34))),0)</f>
        <v>31512.047373253037</v>
      </c>
      <c r="V35" s="39"/>
      <c r="W35" s="39"/>
      <c r="X35" s="146"/>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row>
    <row r="36" spans="2:48" ht="13" thickBot="1">
      <c r="B36" s="371" t="s">
        <v>387</v>
      </c>
      <c r="C36" s="372">
        <f>C33-C35</f>
        <v>1201.4091417111922</v>
      </c>
      <c r="D36" s="372">
        <f>D33-D35</f>
        <v>1340.4348093846056</v>
      </c>
      <c r="E36" s="372">
        <f>E33-E35</f>
        <v>1495.548365522176</v>
      </c>
      <c r="F36" s="372">
        <f>F33-F35</f>
        <v>1668.6114818540227</v>
      </c>
      <c r="G36" s="373">
        <f>G33-G35</f>
        <v>1861.7012605961645</v>
      </c>
      <c r="H36" s="39"/>
      <c r="I36" s="371" t="s">
        <v>387</v>
      </c>
      <c r="J36" s="634">
        <f>J33-J35</f>
        <v>2077.1351638155174</v>
      </c>
      <c r="K36" s="372">
        <f>K33-K35</f>
        <v>2317.4988275924406</v>
      </c>
      <c r="L36" s="372">
        <f>L33-L35</f>
        <v>2585.6770948051417</v>
      </c>
      <c r="M36" s="372">
        <f>M33-M35</f>
        <v>2884.8886389926483</v>
      </c>
      <c r="N36" s="372">
        <f>N33-N35</f>
        <v>3218.7245948497002</v>
      </c>
      <c r="O36" s="39"/>
      <c r="P36" s="39"/>
      <c r="Q36" s="634">
        <f>Q33-Q35</f>
        <v>9370.2547553873737</v>
      </c>
      <c r="R36" s="372">
        <f>R33-R35</f>
        <v>10454.569730534742</v>
      </c>
      <c r="S36" s="372">
        <f>S33-S35</f>
        <v>11664.360372674128</v>
      </c>
      <c r="T36" s="372">
        <f>T33-T35</f>
        <v>13014.146579961409</v>
      </c>
      <c r="U36" s="373">
        <f>U33-U35</f>
        <v>14520.128476268554</v>
      </c>
      <c r="V36" s="39"/>
      <c r="W36" s="39"/>
      <c r="X36" s="146"/>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row>
    <row r="37" spans="2:48">
      <c r="B37" s="369"/>
      <c r="C37" s="57"/>
      <c r="D37" s="57"/>
      <c r="E37" s="57"/>
      <c r="F37" s="57"/>
      <c r="G37" s="57"/>
      <c r="H37" s="39"/>
      <c r="I37" s="57"/>
      <c r="J37" s="57"/>
      <c r="K37" s="57"/>
      <c r="L37" s="57"/>
      <c r="M37" s="57"/>
      <c r="N37" s="39"/>
      <c r="O37" s="39"/>
      <c r="P37" s="39"/>
      <c r="Q37" s="57"/>
      <c r="R37" s="57"/>
      <c r="S37" s="57"/>
      <c r="T37" s="57"/>
      <c r="U37" s="57"/>
      <c r="V37" s="39"/>
      <c r="W37" s="39"/>
      <c r="X37" s="146"/>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row>
    <row r="38" spans="2:48" ht="13" thickBot="1">
      <c r="B38" s="467"/>
      <c r="C38" s="61"/>
      <c r="D38" s="61"/>
      <c r="E38" s="61"/>
      <c r="F38" s="61"/>
      <c r="G38" s="61"/>
      <c r="H38" s="39"/>
      <c r="I38" s="34"/>
      <c r="J38" s="39"/>
      <c r="K38" s="39"/>
      <c r="L38" s="39"/>
      <c r="M38" s="39"/>
      <c r="N38" s="39"/>
      <c r="O38" s="39"/>
      <c r="P38" s="39"/>
      <c r="Q38" s="34"/>
      <c r="R38" s="39"/>
      <c r="S38" s="39"/>
      <c r="T38" s="39"/>
      <c r="U38" s="39"/>
      <c r="V38" s="39"/>
      <c r="W38" s="39"/>
      <c r="X38" s="146"/>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row>
    <row r="39" spans="2:48" ht="13.5" thickBot="1">
      <c r="B39" s="1617" t="s">
        <v>546</v>
      </c>
      <c r="C39" s="1538"/>
      <c r="D39" s="1538"/>
      <c r="E39" s="1538"/>
      <c r="F39" s="1538"/>
      <c r="G39" s="1539"/>
      <c r="H39" s="39"/>
      <c r="I39" s="39"/>
      <c r="J39" s="39"/>
      <c r="K39" s="39"/>
      <c r="L39" s="39"/>
      <c r="M39" s="39"/>
      <c r="N39" s="39"/>
      <c r="O39" s="39"/>
      <c r="P39" s="39"/>
      <c r="Q39" s="39"/>
      <c r="R39" s="39"/>
      <c r="S39" s="39"/>
      <c r="T39" s="39"/>
      <c r="U39" s="39"/>
      <c r="V39" s="39"/>
      <c r="W39" s="39"/>
      <c r="X39" s="146"/>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row>
    <row r="40" spans="2:48" ht="13.5" thickBot="1">
      <c r="B40" s="576" t="s">
        <v>262</v>
      </c>
      <c r="C40" s="576">
        <v>1</v>
      </c>
      <c r="D40" s="576">
        <f>1+C40</f>
        <v>2</v>
      </c>
      <c r="E40" s="576">
        <f>1+D40</f>
        <v>3</v>
      </c>
      <c r="F40" s="576">
        <f>1+E40</f>
        <v>4</v>
      </c>
      <c r="G40" s="576">
        <f>1+F40</f>
        <v>5</v>
      </c>
      <c r="H40" s="39"/>
      <c r="I40" s="576" t="s">
        <v>262</v>
      </c>
      <c r="J40" s="576">
        <f>1+G40</f>
        <v>6</v>
      </c>
      <c r="K40" s="576">
        <f>1+J40</f>
        <v>7</v>
      </c>
      <c r="L40" s="576">
        <f>1+K40</f>
        <v>8</v>
      </c>
      <c r="M40" s="576">
        <f>1+L40</f>
        <v>9</v>
      </c>
      <c r="N40" s="576">
        <f>1+M40</f>
        <v>10</v>
      </c>
      <c r="O40" s="710"/>
      <c r="P40" s="39"/>
      <c r="Q40" s="576">
        <v>6</v>
      </c>
      <c r="R40" s="576">
        <v>7</v>
      </c>
      <c r="S40" s="576">
        <v>8</v>
      </c>
      <c r="T40" s="576">
        <v>9</v>
      </c>
      <c r="U40" s="576">
        <f>1+T40</f>
        <v>10</v>
      </c>
      <c r="V40" s="576">
        <v>11</v>
      </c>
      <c r="W40" s="39"/>
      <c r="X40" s="146"/>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row>
    <row r="41" spans="2:48">
      <c r="B41" s="171" t="s">
        <v>547</v>
      </c>
      <c r="C41" s="625">
        <v>39000</v>
      </c>
      <c r="D41" s="625">
        <f>C41*(1+$D$14)</f>
        <v>40560</v>
      </c>
      <c r="E41" s="625">
        <f>D41*(1+$D$14)</f>
        <v>42182.400000000001</v>
      </c>
      <c r="F41" s="625">
        <f>E41*(1+$D$14)</f>
        <v>43869.696000000004</v>
      </c>
      <c r="G41" s="626">
        <f>F41*(1+$D$14)</f>
        <v>45624.483840000008</v>
      </c>
      <c r="H41" s="39"/>
      <c r="I41" s="171" t="s">
        <v>547</v>
      </c>
      <c r="J41" s="635">
        <f>G41*(1+$D14)</f>
        <v>47449.463193600008</v>
      </c>
      <c r="K41" s="625">
        <f>J41*(1+$K14)</f>
        <v>48872.947089408008</v>
      </c>
      <c r="L41" s="625">
        <f>K41*(1+$K14)</f>
        <v>50339.135502090248</v>
      </c>
      <c r="M41" s="625">
        <f>L41*(1+$K14)</f>
        <v>51849.309567152959</v>
      </c>
      <c r="N41" s="626">
        <f>M41*(1+$K14)</f>
        <v>53404.788854167549</v>
      </c>
      <c r="O41" s="625"/>
      <c r="P41" s="39"/>
      <c r="Q41" s="641" t="s">
        <v>265</v>
      </c>
      <c r="R41" s="642" t="s">
        <v>265</v>
      </c>
      <c r="S41" s="642" t="s">
        <v>265</v>
      </c>
      <c r="T41" s="642" t="s">
        <v>265</v>
      </c>
      <c r="U41" s="642" t="s">
        <v>265</v>
      </c>
      <c r="V41" s="146"/>
      <c r="W41" s="39"/>
      <c r="X41" s="146"/>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row>
    <row r="42" spans="2:48">
      <c r="B42" s="171" t="s">
        <v>548</v>
      </c>
      <c r="C42" s="39">
        <f>$D$13*C41</f>
        <v>19500</v>
      </c>
      <c r="D42" s="39">
        <f>$D$13*D41</f>
        <v>20280</v>
      </c>
      <c r="E42" s="627">
        <f>$D$13*E41</f>
        <v>21091.200000000001</v>
      </c>
      <c r="F42" s="627">
        <f>$D$13*F41</f>
        <v>21934.848000000002</v>
      </c>
      <c r="G42" s="628">
        <f>$D$13*G41</f>
        <v>22812.241920000004</v>
      </c>
      <c r="H42" s="39"/>
      <c r="I42" s="171" t="s">
        <v>548</v>
      </c>
      <c r="J42" s="636">
        <f>$K15*J41</f>
        <v>23724.731596800004</v>
      </c>
      <c r="K42" s="627">
        <f>$K15*K41</f>
        <v>24436.473544704004</v>
      </c>
      <c r="L42" s="627">
        <f>$K15*L41</f>
        <v>25169.567751045124</v>
      </c>
      <c r="M42" s="627">
        <f>$K15*M41</f>
        <v>25924.65478357648</v>
      </c>
      <c r="N42" s="628">
        <f>$K15*N41</f>
        <v>26702.394427083775</v>
      </c>
      <c r="O42" s="627"/>
      <c r="P42" s="39"/>
      <c r="Q42" s="641" t="s">
        <v>265</v>
      </c>
      <c r="R42" s="642" t="s">
        <v>265</v>
      </c>
      <c r="S42" s="642" t="s">
        <v>265</v>
      </c>
      <c r="T42" s="642" t="s">
        <v>265</v>
      </c>
      <c r="U42" s="642" t="s">
        <v>265</v>
      </c>
      <c r="V42" s="146"/>
      <c r="W42" s="39"/>
      <c r="X42" s="146"/>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row>
    <row r="43" spans="2:48">
      <c r="B43" s="171" t="s">
        <v>279</v>
      </c>
      <c r="C43" s="69">
        <f>C41-C42</f>
        <v>19500</v>
      </c>
      <c r="D43" s="69">
        <f>D41-D42</f>
        <v>20280</v>
      </c>
      <c r="E43" s="69">
        <f>E41-E42</f>
        <v>21091.200000000001</v>
      </c>
      <c r="F43" s="69">
        <f>F41-F42</f>
        <v>21934.848000000002</v>
      </c>
      <c r="G43" s="629">
        <f>G41-G42</f>
        <v>22812.241920000004</v>
      </c>
      <c r="H43" s="39"/>
      <c r="I43" s="171" t="s">
        <v>279</v>
      </c>
      <c r="J43" s="637">
        <f>J41-J42</f>
        <v>23724.731596800004</v>
      </c>
      <c r="K43" s="69">
        <f>K41-K42</f>
        <v>24436.473544704004</v>
      </c>
      <c r="L43" s="69">
        <f>L41-L42</f>
        <v>25169.567751045124</v>
      </c>
      <c r="M43" s="69">
        <f>M41-M42</f>
        <v>25924.65478357648</v>
      </c>
      <c r="N43" s="629">
        <f>N41-N42</f>
        <v>26702.394427083775</v>
      </c>
      <c r="O43" s="69"/>
      <c r="P43" s="39"/>
      <c r="Q43" s="637">
        <f>S11</f>
        <v>45000</v>
      </c>
      <c r="R43" s="69">
        <f>Q43*(1+$S$12)</f>
        <v>46800</v>
      </c>
      <c r="S43" s="69">
        <f>R43*(1+$S$12)</f>
        <v>48672</v>
      </c>
      <c r="T43" s="69">
        <f>S43*(1+$S$12)</f>
        <v>50618.880000000005</v>
      </c>
      <c r="U43" s="69">
        <f>T43*(1+$S$12)</f>
        <v>52643.635200000004</v>
      </c>
      <c r="V43" s="629">
        <f>U43*(1+$S$12)</f>
        <v>54749.380608000007</v>
      </c>
      <c r="W43" s="39"/>
      <c r="X43" s="146"/>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row>
    <row r="44" spans="2:48">
      <c r="B44" s="171" t="s">
        <v>437</v>
      </c>
      <c r="C44" s="69">
        <f>C33</f>
        <v>17642.035384501487</v>
      </c>
      <c r="D44" s="69">
        <f>D33</f>
        <v>17642.035384501487</v>
      </c>
      <c r="E44" s="69">
        <f>E33</f>
        <v>17642.035384501487</v>
      </c>
      <c r="F44" s="69">
        <f>F33</f>
        <v>17642.035384501487</v>
      </c>
      <c r="G44" s="629">
        <f>G33</f>
        <v>17642.035384501487</v>
      </c>
      <c r="H44" s="39"/>
      <c r="I44" s="171" t="s">
        <v>437</v>
      </c>
      <c r="J44" s="637">
        <f>J33</f>
        <v>17642.035384501487</v>
      </c>
      <c r="K44" s="69">
        <f>K33</f>
        <v>17642.035384501487</v>
      </c>
      <c r="L44" s="69">
        <f>L33</f>
        <v>17642.035384501487</v>
      </c>
      <c r="M44" s="69">
        <f>M33</f>
        <v>17642.035384501487</v>
      </c>
      <c r="N44" s="629">
        <f>N33</f>
        <v>17642.035384501487</v>
      </c>
      <c r="O44" s="69"/>
      <c r="P44" s="39"/>
      <c r="Q44" s="637">
        <f>Q33</f>
        <v>46032.175849521591</v>
      </c>
      <c r="R44" s="69">
        <f>R33</f>
        <v>46032.175849521591</v>
      </c>
      <c r="S44" s="69">
        <f>S33</f>
        <v>46032.175849521591</v>
      </c>
      <c r="T44" s="69">
        <f>T33</f>
        <v>46032.175849521591</v>
      </c>
      <c r="U44" s="69">
        <f>U33</f>
        <v>46032.175849521591</v>
      </c>
      <c r="V44" s="146"/>
      <c r="W44" s="39"/>
      <c r="X44" s="146"/>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row>
    <row r="45" spans="2:48" ht="13.5" thickBot="1">
      <c r="B45" s="168" t="s">
        <v>408</v>
      </c>
      <c r="C45" s="70">
        <f>C43-C44</f>
        <v>1857.964615498513</v>
      </c>
      <c r="D45" s="70">
        <f>D43-D44</f>
        <v>2637.964615498513</v>
      </c>
      <c r="E45" s="70">
        <f>E43-E44</f>
        <v>3449.1646154985137</v>
      </c>
      <c r="F45" s="70">
        <f>F43-F44</f>
        <v>4292.8126154985148</v>
      </c>
      <c r="G45" s="632">
        <f>G43-G44</f>
        <v>5170.206535498517</v>
      </c>
      <c r="H45" s="39"/>
      <c r="I45" s="168" t="s">
        <v>408</v>
      </c>
      <c r="J45" s="639">
        <f>J43-J44</f>
        <v>6082.6962122985169</v>
      </c>
      <c r="K45" s="70">
        <f>K43-K44</f>
        <v>6794.4381602025169</v>
      </c>
      <c r="L45" s="70">
        <f>L43-L44</f>
        <v>7527.5323665436372</v>
      </c>
      <c r="M45" s="70">
        <f>M43-M44</f>
        <v>8282.6193990749925</v>
      </c>
      <c r="N45" s="632">
        <f>N43-N44</f>
        <v>9060.3590425822877</v>
      </c>
      <c r="O45" s="71"/>
      <c r="P45" s="39"/>
      <c r="Q45" s="639">
        <f>Q43-Q44</f>
        <v>-1032.1758495215909</v>
      </c>
      <c r="R45" s="70">
        <f>R43-R44</f>
        <v>767.82415047840914</v>
      </c>
      <c r="S45" s="70">
        <f>S43-S44</f>
        <v>2639.8241504784091</v>
      </c>
      <c r="T45" s="70">
        <f>T43-T44</f>
        <v>4586.7041504784138</v>
      </c>
      <c r="U45" s="70">
        <f>U43-U44</f>
        <v>6611.4593504784134</v>
      </c>
      <c r="V45" s="146"/>
      <c r="W45" s="39"/>
      <c r="X45" s="146"/>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row>
    <row r="46" spans="2:48" ht="13" thickTop="1">
      <c r="B46" s="171"/>
      <c r="C46" s="39"/>
      <c r="D46" s="39"/>
      <c r="E46" s="39"/>
      <c r="F46" s="39"/>
      <c r="G46" s="146"/>
      <c r="H46" s="39"/>
      <c r="I46" s="171"/>
      <c r="J46" s="171"/>
      <c r="K46" s="39"/>
      <c r="L46" s="39"/>
      <c r="M46" s="39"/>
      <c r="N46" s="146"/>
      <c r="O46" s="39"/>
      <c r="P46" s="39"/>
      <c r="Q46" s="171"/>
      <c r="R46" s="39"/>
      <c r="S46" s="39"/>
      <c r="T46" s="39"/>
      <c r="U46" s="39"/>
      <c r="V46" s="146"/>
      <c r="W46" s="39"/>
      <c r="X46" s="146"/>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row>
    <row r="47" spans="2:48">
      <c r="B47" s="171" t="s">
        <v>279</v>
      </c>
      <c r="C47" s="34">
        <f>C43</f>
        <v>19500</v>
      </c>
      <c r="D47" s="34">
        <f>D43</f>
        <v>20280</v>
      </c>
      <c r="E47" s="34">
        <f>E43</f>
        <v>21091.200000000001</v>
      </c>
      <c r="F47" s="34">
        <f>F43</f>
        <v>21934.848000000002</v>
      </c>
      <c r="G47" s="309">
        <f>G43</f>
        <v>22812.241920000004</v>
      </c>
      <c r="H47" s="39"/>
      <c r="I47" s="171" t="s">
        <v>279</v>
      </c>
      <c r="J47" s="387">
        <f>J43</f>
        <v>23724.731596800004</v>
      </c>
      <c r="K47" s="34">
        <f>K43</f>
        <v>24436.473544704004</v>
      </c>
      <c r="L47" s="34">
        <f>L43</f>
        <v>25169.567751045124</v>
      </c>
      <c r="M47" s="34">
        <f>M43</f>
        <v>25924.65478357648</v>
      </c>
      <c r="N47" s="309">
        <f>N43</f>
        <v>26702.394427083775</v>
      </c>
      <c r="O47" s="34"/>
      <c r="P47" s="39"/>
      <c r="Q47" s="387">
        <f>Q43</f>
        <v>45000</v>
      </c>
      <c r="R47" s="34">
        <f>R43</f>
        <v>46800</v>
      </c>
      <c r="S47" s="34">
        <f>S43</f>
        <v>48672</v>
      </c>
      <c r="T47" s="34">
        <f>T43</f>
        <v>50618.880000000005</v>
      </c>
      <c r="U47" s="34">
        <f>U43</f>
        <v>52643.635200000004</v>
      </c>
      <c r="V47" s="146"/>
      <c r="W47" s="39"/>
      <c r="X47" s="146"/>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row>
    <row r="48" spans="2:48">
      <c r="B48" s="369" t="s">
        <v>549</v>
      </c>
      <c r="C48" s="34">
        <f>C35</f>
        <v>16440.626242790295</v>
      </c>
      <c r="D48" s="34">
        <f>D35</f>
        <v>16301.600575116881</v>
      </c>
      <c r="E48" s="34">
        <f>E35</f>
        <v>16146.487018979311</v>
      </c>
      <c r="F48" s="34">
        <f>F35</f>
        <v>15973.423902647464</v>
      </c>
      <c r="G48" s="309">
        <f>G35</f>
        <v>15780.334123905322</v>
      </c>
      <c r="H48" s="39"/>
      <c r="I48" s="369" t="s">
        <v>549</v>
      </c>
      <c r="J48" s="387">
        <f>J35</f>
        <v>15564.90022068597</v>
      </c>
      <c r="K48" s="34">
        <f>K35</f>
        <v>15324.536556909046</v>
      </c>
      <c r="L48" s="34">
        <f>L35</f>
        <v>15056.358289696345</v>
      </c>
      <c r="M48" s="34">
        <f>M35</f>
        <v>14757.146745508839</v>
      </c>
      <c r="N48" s="309">
        <f>N35</f>
        <v>14423.310789651787</v>
      </c>
      <c r="O48" s="34"/>
      <c r="P48" s="39"/>
      <c r="Q48" s="387">
        <f>Q35</f>
        <v>36661.921094134217</v>
      </c>
      <c r="R48" s="34">
        <f>R35</f>
        <v>35577.606118986849</v>
      </c>
      <c r="S48" s="34">
        <f>S35</f>
        <v>34367.815476847463</v>
      </c>
      <c r="T48" s="34">
        <f>T35</f>
        <v>33018.029269560182</v>
      </c>
      <c r="U48" s="34">
        <f>U35</f>
        <v>31512.047373253037</v>
      </c>
      <c r="V48" s="146"/>
      <c r="W48" s="39"/>
      <c r="X48" s="146"/>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row>
    <row r="49" spans="2:48">
      <c r="B49" s="369" t="s">
        <v>492</v>
      </c>
      <c r="C49" s="34">
        <f>$D$12/$G$11</f>
        <v>8421.0526315789466</v>
      </c>
      <c r="D49" s="34">
        <f>$D$12/$G$11</f>
        <v>8421.0526315789466</v>
      </c>
      <c r="E49" s="34">
        <f>$D$12/$G$11</f>
        <v>8421.0526315789466</v>
      </c>
      <c r="F49" s="34">
        <f>$D$12/$G$11</f>
        <v>8421.0526315789466</v>
      </c>
      <c r="G49" s="309">
        <f>$D$12/$G$11</f>
        <v>8421.0526315789466</v>
      </c>
      <c r="H49" s="39"/>
      <c r="I49" s="369" t="s">
        <v>492</v>
      </c>
      <c r="J49" s="387">
        <f>$K$12/$N$13</f>
        <v>8421.0526315789466</v>
      </c>
      <c r="K49" s="34">
        <f>$K$12/$N$13</f>
        <v>8421.0526315789466</v>
      </c>
      <c r="L49" s="34">
        <f>$K$12/$N$13</f>
        <v>8421.0526315789466</v>
      </c>
      <c r="M49" s="34">
        <f>$K$12/$N$13</f>
        <v>8421.0526315789466</v>
      </c>
      <c r="N49" s="309">
        <f>$K$12/$N$13</f>
        <v>8421.0526315789466</v>
      </c>
      <c r="O49" s="34"/>
      <c r="P49" s="39"/>
      <c r="Q49" s="387">
        <f>J49+($S$14/$S$20)</f>
        <v>14770.258980785296</v>
      </c>
      <c r="R49" s="34">
        <f>K49+($S$14/$S$20)</f>
        <v>14770.258980785296</v>
      </c>
      <c r="S49" s="34">
        <f>L49+($S$14/$S$20)</f>
        <v>14770.258980785296</v>
      </c>
      <c r="T49" s="34">
        <f>M49+($S$14/$S$20)</f>
        <v>14770.258980785296</v>
      </c>
      <c r="U49" s="34">
        <f>N49+($S$14/$S$20)</f>
        <v>14770.258980785296</v>
      </c>
      <c r="V49" s="146"/>
      <c r="W49" s="39"/>
      <c r="X49" s="146"/>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row>
    <row r="50" spans="2:48">
      <c r="B50" s="384" t="s">
        <v>550</v>
      </c>
      <c r="C50" s="34">
        <f>C47-C48-C49</f>
        <v>-5361.6788743692414</v>
      </c>
      <c r="D50" s="34">
        <f>D47-D48-D49</f>
        <v>-4442.653206695828</v>
      </c>
      <c r="E50" s="34">
        <f>E47-E48-E49</f>
        <v>-3476.3396505582568</v>
      </c>
      <c r="F50" s="34">
        <f>F47-F48-F49</f>
        <v>-2459.6285342264091</v>
      </c>
      <c r="G50" s="309">
        <f>G47-G48-G49</f>
        <v>-1389.1448354842651</v>
      </c>
      <c r="H50" s="39"/>
      <c r="I50" s="384" t="s">
        <v>550</v>
      </c>
      <c r="J50" s="387">
        <f>J47-J48-J49</f>
        <v>-261.22125546491225</v>
      </c>
      <c r="K50" s="34">
        <f>K47-K48-K49</f>
        <v>690.88435621601093</v>
      </c>
      <c r="L50" s="34">
        <f>L47-L48-L49</f>
        <v>1692.1568297698323</v>
      </c>
      <c r="M50" s="34">
        <f>M47-M48-M49</f>
        <v>2746.4554064886943</v>
      </c>
      <c r="N50" s="309">
        <f>N47-N48-N49</f>
        <v>3858.0310058530413</v>
      </c>
      <c r="O50" s="34"/>
      <c r="P50" s="39"/>
      <c r="Q50" s="387">
        <f>Q47-Q48-Q49</f>
        <v>-6432.1800749195136</v>
      </c>
      <c r="R50" s="34">
        <f>R47-R48-R49</f>
        <v>-3547.8650997721452</v>
      </c>
      <c r="S50" s="34">
        <f>S47-S48-S49</f>
        <v>-466.07445763275973</v>
      </c>
      <c r="T50" s="34">
        <f>T47-T48-T49</f>
        <v>2830.5917496545262</v>
      </c>
      <c r="U50" s="34">
        <f>U47-U48-U49</f>
        <v>6361.3288459616706</v>
      </c>
      <c r="V50" s="146"/>
      <c r="W50" s="39"/>
      <c r="X50" s="146"/>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row>
    <row r="51" spans="2:48" ht="13.5" thickBot="1">
      <c r="B51" s="444" t="s">
        <v>551</v>
      </c>
      <c r="C51" s="35">
        <f>(($G13)*C50)</f>
        <v>-1501.2700848233878</v>
      </c>
      <c r="D51" s="35">
        <f>(($G13)*D50)</f>
        <v>-1243.9428978748319</v>
      </c>
      <c r="E51" s="35">
        <f>(($G13)*E50)</f>
        <v>-973.37510215631198</v>
      </c>
      <c r="F51" s="35">
        <f>(($G13)*F50)</f>
        <v>-688.69598958339463</v>
      </c>
      <c r="G51" s="538">
        <f>(($G13)*G50)</f>
        <v>-388.96055393559425</v>
      </c>
      <c r="H51" s="39"/>
      <c r="I51" s="444" t="s">
        <v>551</v>
      </c>
      <c r="J51" s="640">
        <f>(($N11)*J50)</f>
        <v>-73.141951530175433</v>
      </c>
      <c r="K51" s="35">
        <f>(($N11)*K50)</f>
        <v>193.44761974048308</v>
      </c>
      <c r="L51" s="35">
        <f>(($N11)*L50)</f>
        <v>473.80391233555309</v>
      </c>
      <c r="M51" s="35">
        <f>(($N11)*M50)</f>
        <v>769.00751381683449</v>
      </c>
      <c r="N51" s="538">
        <f>(($N11)*N50)</f>
        <v>1080.2486816388516</v>
      </c>
      <c r="O51" s="41"/>
      <c r="P51" s="39"/>
      <c r="Q51" s="640">
        <f>(($N11)*Q50)</f>
        <v>-1801.010420977464</v>
      </c>
      <c r="R51" s="35">
        <f>(($N11)*R50)</f>
        <v>-993.4022279362008</v>
      </c>
      <c r="S51" s="35">
        <f>(($N11)*S50)</f>
        <v>-130.50084813717274</v>
      </c>
      <c r="T51" s="35">
        <f>(($N11)*T50)</f>
        <v>792.56568990326741</v>
      </c>
      <c r="U51" s="35">
        <f>(($N11)*U50)</f>
        <v>1781.172076869268</v>
      </c>
      <c r="V51" s="146"/>
      <c r="W51" s="39"/>
      <c r="X51" s="146"/>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row>
    <row r="52" spans="2:48" ht="13" thickTop="1">
      <c r="B52" s="171"/>
      <c r="C52" s="39"/>
      <c r="D52" s="39"/>
      <c r="E52" s="39"/>
      <c r="F52" s="39"/>
      <c r="G52" s="146"/>
      <c r="H52" s="39"/>
      <c r="I52" s="171"/>
      <c r="J52" s="171"/>
      <c r="K52" s="39"/>
      <c r="L52" s="39"/>
      <c r="M52" s="39"/>
      <c r="N52" s="146"/>
      <c r="O52" s="39"/>
      <c r="P52" s="39"/>
      <c r="Q52" s="171"/>
      <c r="R52" s="39"/>
      <c r="S52" s="39"/>
      <c r="T52" s="39"/>
      <c r="U52" s="39"/>
      <c r="V52" s="146"/>
      <c r="W52" s="39"/>
      <c r="X52" s="146"/>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row>
    <row r="53" spans="2:48">
      <c r="B53" s="171" t="s">
        <v>408</v>
      </c>
      <c r="C53" s="34">
        <f>C45</f>
        <v>1857.964615498513</v>
      </c>
      <c r="D53" s="34">
        <f>D45</f>
        <v>2637.964615498513</v>
      </c>
      <c r="E53" s="34">
        <f>E45</f>
        <v>3449.1646154985137</v>
      </c>
      <c r="F53" s="34">
        <f>F45</f>
        <v>4292.8126154985148</v>
      </c>
      <c r="G53" s="309">
        <f>G45</f>
        <v>5170.206535498517</v>
      </c>
      <c r="H53" s="39"/>
      <c r="I53" s="171" t="s">
        <v>408</v>
      </c>
      <c r="J53" s="387">
        <f>J45</f>
        <v>6082.6962122985169</v>
      </c>
      <c r="K53" s="34">
        <f>K45</f>
        <v>6794.4381602025169</v>
      </c>
      <c r="L53" s="34">
        <f>L45</f>
        <v>7527.5323665436372</v>
      </c>
      <c r="M53" s="34">
        <f>M45</f>
        <v>8282.6193990749925</v>
      </c>
      <c r="N53" s="309">
        <f>N45</f>
        <v>9060.3590425822877</v>
      </c>
      <c r="O53" s="34"/>
      <c r="P53" s="39"/>
      <c r="Q53" s="387">
        <f>Q45</f>
        <v>-1032.1758495215909</v>
      </c>
      <c r="R53" s="34">
        <f>R45</f>
        <v>767.82415047840914</v>
      </c>
      <c r="S53" s="34">
        <f>S45</f>
        <v>2639.8241504784091</v>
      </c>
      <c r="T53" s="34">
        <f>T45</f>
        <v>4586.7041504784138</v>
      </c>
      <c r="U53" s="34">
        <f>U45</f>
        <v>6611.4593504784134</v>
      </c>
      <c r="V53" s="146"/>
      <c r="W53" s="39"/>
      <c r="X53" s="146"/>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row>
    <row r="54" spans="2:48">
      <c r="B54" s="171" t="s">
        <v>393</v>
      </c>
      <c r="C54" s="34">
        <f>C51</f>
        <v>-1501.2700848233878</v>
      </c>
      <c r="D54" s="34">
        <f>D51</f>
        <v>-1243.9428978748319</v>
      </c>
      <c r="E54" s="34">
        <f>E51</f>
        <v>-973.37510215631198</v>
      </c>
      <c r="F54" s="34">
        <f>F51</f>
        <v>-688.69598958339463</v>
      </c>
      <c r="G54" s="309">
        <f>G51</f>
        <v>-388.96055393559425</v>
      </c>
      <c r="H54" s="39"/>
      <c r="I54" s="171" t="s">
        <v>393</v>
      </c>
      <c r="J54" s="387">
        <f>J51</f>
        <v>-73.141951530175433</v>
      </c>
      <c r="K54" s="34">
        <f>K51</f>
        <v>193.44761974048308</v>
      </c>
      <c r="L54" s="34">
        <f>L51</f>
        <v>473.80391233555309</v>
      </c>
      <c r="M54" s="34">
        <f>M51</f>
        <v>769.00751381683449</v>
      </c>
      <c r="N54" s="309">
        <f>N51</f>
        <v>1080.2486816388516</v>
      </c>
      <c r="O54" s="34"/>
      <c r="P54" s="39"/>
      <c r="Q54" s="387">
        <f>Q51</f>
        <v>-1801.010420977464</v>
      </c>
      <c r="R54" s="34">
        <f>R51</f>
        <v>-993.4022279362008</v>
      </c>
      <c r="S54" s="34">
        <f>S51</f>
        <v>-130.50084813717274</v>
      </c>
      <c r="T54" s="34">
        <f>T51</f>
        <v>792.56568990326741</v>
      </c>
      <c r="U54" s="34">
        <f>U51</f>
        <v>1781.172076869268</v>
      </c>
      <c r="V54" s="146"/>
      <c r="W54" s="39"/>
      <c r="X54" s="146"/>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row>
    <row r="55" spans="2:48" ht="13.5" thickBot="1">
      <c r="B55" s="375" t="s">
        <v>409</v>
      </c>
      <c r="C55" s="630">
        <f>(C53-C54)</f>
        <v>3359.2347003219011</v>
      </c>
      <c r="D55" s="630">
        <f>(D53-D54)</f>
        <v>3881.907513373345</v>
      </c>
      <c r="E55" s="630">
        <f>(E53-E54)</f>
        <v>4422.5397176548258</v>
      </c>
      <c r="F55" s="630">
        <f>(F53-F54)</f>
        <v>4981.5086050819091</v>
      </c>
      <c r="G55" s="631">
        <f>(G53-G54)</f>
        <v>5559.1670894341114</v>
      </c>
      <c r="H55" s="39"/>
      <c r="I55" s="375" t="s">
        <v>409</v>
      </c>
      <c r="J55" s="638">
        <f>(J53-J54)</f>
        <v>6155.8381638286919</v>
      </c>
      <c r="K55" s="630">
        <f>(K53-K54)</f>
        <v>6600.990540462034</v>
      </c>
      <c r="L55" s="630">
        <f>(L53-L54)</f>
        <v>7053.7284542080843</v>
      </c>
      <c r="M55" s="630">
        <f>(M53-M54)</f>
        <v>7513.6118852581585</v>
      </c>
      <c r="N55" s="631">
        <f>(N53-N54)</f>
        <v>7980.1103609434358</v>
      </c>
      <c r="O55" s="71"/>
      <c r="P55" s="39"/>
      <c r="Q55" s="638">
        <f>(Q53-Q54)</f>
        <v>768.83457145587317</v>
      </c>
      <c r="R55" s="630">
        <f>(R53-R54)</f>
        <v>1761.2263784146098</v>
      </c>
      <c r="S55" s="630">
        <f>(S53-S54)</f>
        <v>2770.324998615582</v>
      </c>
      <c r="T55" s="630">
        <f>(T53-T54)</f>
        <v>3794.1384605751464</v>
      </c>
      <c r="U55" s="630">
        <f>(U53-U54)</f>
        <v>4830.2872736091449</v>
      </c>
      <c r="V55" s="149"/>
      <c r="W55" s="39"/>
      <c r="X55" s="146"/>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row>
    <row r="56" spans="2:48" ht="13">
      <c r="B56" s="168"/>
      <c r="C56" s="71"/>
      <c r="D56" s="71"/>
      <c r="E56" s="71"/>
      <c r="F56" s="71"/>
      <c r="G56" s="71"/>
      <c r="H56" s="39"/>
      <c r="I56" s="71"/>
      <c r="J56" s="71"/>
      <c r="K56" s="71"/>
      <c r="L56" s="71"/>
      <c r="M56" s="71"/>
      <c r="N56" s="39"/>
      <c r="O56" s="39"/>
      <c r="P56" s="39"/>
      <c r="Q56" s="71"/>
      <c r="R56" s="71"/>
      <c r="S56" s="71"/>
      <c r="T56" s="71"/>
      <c r="U56" s="71"/>
      <c r="V56" s="39"/>
      <c r="W56" s="39"/>
      <c r="X56" s="146"/>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row>
    <row r="57" spans="2:48" ht="13" thickBot="1">
      <c r="B57" s="171"/>
      <c r="C57" s="39"/>
      <c r="D57" s="39"/>
      <c r="E57" s="39"/>
      <c r="F57" s="39"/>
      <c r="G57" s="39"/>
      <c r="H57" s="39"/>
      <c r="I57" s="39"/>
      <c r="J57" s="39"/>
      <c r="K57" s="39"/>
      <c r="L57" s="39"/>
      <c r="M57" s="39"/>
      <c r="N57" s="39"/>
      <c r="O57" s="39"/>
      <c r="P57" s="39"/>
      <c r="Q57" s="39"/>
      <c r="R57" s="39"/>
      <c r="S57" s="39"/>
      <c r="T57" s="39"/>
      <c r="U57" s="39"/>
      <c r="V57" s="39"/>
      <c r="W57" s="39"/>
      <c r="X57" s="146"/>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row>
    <row r="58" spans="2:48" ht="13.5" thickBot="1">
      <c r="B58" s="1617" t="s">
        <v>443</v>
      </c>
      <c r="C58" s="1538"/>
      <c r="D58" s="1538"/>
      <c r="E58" s="1539"/>
      <c r="F58" s="39"/>
      <c r="G58" s="39"/>
      <c r="H58" s="39"/>
      <c r="I58" s="276"/>
      <c r="J58" s="277"/>
      <c r="K58" s="277"/>
      <c r="L58" s="278"/>
      <c r="M58" s="39"/>
      <c r="N58" s="39"/>
      <c r="O58" s="39"/>
      <c r="P58" s="39"/>
      <c r="Q58" s="276"/>
      <c r="R58" s="277"/>
      <c r="S58" s="277"/>
      <c r="T58" s="278"/>
      <c r="U58" s="39"/>
      <c r="V58" s="39"/>
      <c r="W58" s="39"/>
      <c r="X58" s="146"/>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row>
    <row r="59" spans="2:48">
      <c r="B59" s="369" t="s">
        <v>444</v>
      </c>
      <c r="C59" s="57"/>
      <c r="D59" s="57"/>
      <c r="E59" s="370">
        <f>D23</f>
        <v>250000</v>
      </c>
      <c r="F59" s="39"/>
      <c r="G59" s="39"/>
      <c r="H59" s="69"/>
      <c r="I59" s="369" t="s">
        <v>446</v>
      </c>
      <c r="J59" s="57"/>
      <c r="K59" s="57"/>
      <c r="L59" s="370">
        <f>K17</f>
        <v>289819</v>
      </c>
      <c r="M59" s="39"/>
      <c r="N59" s="39"/>
      <c r="O59" s="39"/>
      <c r="P59" s="39"/>
      <c r="Q59" s="369" t="s">
        <v>444</v>
      </c>
      <c r="R59" s="57"/>
      <c r="S59" s="57"/>
      <c r="T59" s="370">
        <f>V43/S13</f>
        <v>547493.80608000001</v>
      </c>
      <c r="U59" s="39"/>
      <c r="V59" s="39"/>
      <c r="W59" s="39"/>
      <c r="X59" s="146"/>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row>
    <row r="60" spans="2:48">
      <c r="B60" s="369" t="s">
        <v>396</v>
      </c>
      <c r="C60" s="57"/>
      <c r="D60" s="57"/>
      <c r="E60" s="370">
        <f>E59*K18</f>
        <v>15000</v>
      </c>
      <c r="F60" s="39"/>
      <c r="G60" s="39"/>
      <c r="H60" s="69"/>
      <c r="I60" s="369" t="s">
        <v>396</v>
      </c>
      <c r="J60" s="57"/>
      <c r="K60" s="57"/>
      <c r="L60" s="370">
        <f>L59*K18</f>
        <v>17389.14</v>
      </c>
      <c r="M60" s="39"/>
      <c r="N60" s="39"/>
      <c r="O60" s="39"/>
      <c r="P60" s="39"/>
      <c r="Q60" s="369" t="s">
        <v>396</v>
      </c>
      <c r="R60" s="57"/>
      <c r="S60" s="57"/>
      <c r="T60" s="370">
        <f>T59*K18</f>
        <v>32849.628364800003</v>
      </c>
      <c r="U60" s="39"/>
      <c r="V60" s="39"/>
      <c r="W60" s="39"/>
      <c r="X60" s="146"/>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row>
    <row r="61" spans="2:48">
      <c r="B61" s="369" t="s">
        <v>383</v>
      </c>
      <c r="C61" s="57"/>
      <c r="D61" s="57"/>
      <c r="E61" s="560">
        <f>IF(C21&gt;0,0,C28)</f>
        <v>142432.29494093184</v>
      </c>
      <c r="F61" s="39"/>
      <c r="G61" s="39"/>
      <c r="H61" s="69"/>
      <c r="I61" s="369" t="s">
        <v>383</v>
      </c>
      <c r="J61" s="57"/>
      <c r="K61" s="57"/>
      <c r="L61" s="560">
        <f>N34</f>
        <v>129348.37062087639</v>
      </c>
      <c r="M61" s="39"/>
      <c r="N61" s="39"/>
      <c r="O61" s="39"/>
      <c r="P61" s="39"/>
      <c r="Q61" s="369" t="s">
        <v>383</v>
      </c>
      <c r="R61" s="57"/>
      <c r="S61" s="57"/>
      <c r="T61" s="560">
        <f>U34</f>
        <v>278476.54008517379</v>
      </c>
      <c r="U61" s="39"/>
      <c r="V61" s="39"/>
      <c r="W61" s="39"/>
      <c r="X61" s="146"/>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row>
    <row r="62" spans="2:48">
      <c r="B62" s="369" t="s">
        <v>439</v>
      </c>
      <c r="C62" s="57"/>
      <c r="D62" s="57"/>
      <c r="E62" s="370">
        <f>E59-E60-E61</f>
        <v>92567.705059068161</v>
      </c>
      <c r="F62" s="39"/>
      <c r="G62" s="39"/>
      <c r="H62" s="69"/>
      <c r="I62" s="369" t="s">
        <v>439</v>
      </c>
      <c r="J62" s="57"/>
      <c r="K62" s="57"/>
      <c r="L62" s="370">
        <f>L59-L60-L61</f>
        <v>143081.48937912361</v>
      </c>
      <c r="M62" s="39"/>
      <c r="N62" s="39"/>
      <c r="O62" s="39"/>
      <c r="P62" s="39"/>
      <c r="Q62" s="369" t="s">
        <v>439</v>
      </c>
      <c r="R62" s="57"/>
      <c r="S62" s="57"/>
      <c r="T62" s="370">
        <f>T59-T60-T61</f>
        <v>236167.63763002621</v>
      </c>
      <c r="U62" s="39"/>
      <c r="V62" s="39"/>
      <c r="W62" s="39"/>
      <c r="X62" s="146"/>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row>
    <row r="63" spans="2:48">
      <c r="B63" s="384"/>
      <c r="C63" s="57"/>
      <c r="D63" s="57"/>
      <c r="E63" s="370"/>
      <c r="F63" s="69"/>
      <c r="G63" s="39"/>
      <c r="H63" s="39"/>
      <c r="I63" s="384"/>
      <c r="J63" s="57"/>
      <c r="K63" s="57"/>
      <c r="L63" s="370"/>
      <c r="M63" s="39"/>
      <c r="N63" s="39"/>
      <c r="O63" s="39"/>
      <c r="P63" s="39"/>
      <c r="Q63" s="384"/>
      <c r="R63" s="57"/>
      <c r="S63" s="57"/>
      <c r="T63" s="370"/>
      <c r="U63" s="39"/>
      <c r="V63" s="39"/>
      <c r="W63" s="39"/>
      <c r="X63" s="146"/>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row>
    <row r="64" spans="2:48">
      <c r="B64" s="369" t="s">
        <v>446</v>
      </c>
      <c r="C64" s="57"/>
      <c r="D64" s="57">
        <f>E59</f>
        <v>250000</v>
      </c>
      <c r="E64" s="370"/>
      <c r="F64" s="69"/>
      <c r="G64" s="39"/>
      <c r="H64" s="39"/>
      <c r="I64" s="369" t="s">
        <v>446</v>
      </c>
      <c r="J64" s="57"/>
      <c r="K64" s="57">
        <f>L59</f>
        <v>289819</v>
      </c>
      <c r="L64" s="370"/>
      <c r="M64" s="39"/>
      <c r="N64" s="39"/>
      <c r="O64" s="39"/>
      <c r="P64" s="39"/>
      <c r="Q64" s="369" t="s">
        <v>446</v>
      </c>
      <c r="R64" s="57"/>
      <c r="S64" s="57">
        <f>T59</f>
        <v>547493.80608000001</v>
      </c>
      <c r="T64" s="370"/>
      <c r="U64" s="39"/>
      <c r="V64" s="39"/>
      <c r="W64" s="39"/>
      <c r="X64" s="146"/>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row>
    <row r="65" spans="2:48">
      <c r="B65" s="369" t="s">
        <v>447</v>
      </c>
      <c r="C65" s="57"/>
      <c r="D65" s="57">
        <f>E60</f>
        <v>15000</v>
      </c>
      <c r="E65" s="370"/>
      <c r="F65" s="69"/>
      <c r="G65" s="39"/>
      <c r="H65" s="39"/>
      <c r="I65" s="369" t="s">
        <v>447</v>
      </c>
      <c r="J65" s="57"/>
      <c r="K65" s="57">
        <f>L60</f>
        <v>17389.14</v>
      </c>
      <c r="L65" s="370"/>
      <c r="M65" s="39"/>
      <c r="N65" s="39"/>
      <c r="O65" s="39"/>
      <c r="P65" s="39"/>
      <c r="Q65" s="369" t="s">
        <v>447</v>
      </c>
      <c r="R65" s="57"/>
      <c r="S65" s="57">
        <f>T60</f>
        <v>32849.628364800003</v>
      </c>
      <c r="T65" s="370"/>
      <c r="U65" s="39"/>
      <c r="V65" s="39"/>
      <c r="W65" s="39"/>
      <c r="X65" s="146"/>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row>
    <row r="66" spans="2:48">
      <c r="B66" s="384"/>
      <c r="C66" s="57"/>
      <c r="D66" s="57"/>
      <c r="E66" s="370"/>
      <c r="F66" s="69"/>
      <c r="G66" s="39"/>
      <c r="H66" s="39"/>
      <c r="I66" s="384"/>
      <c r="J66" s="57"/>
      <c r="K66" s="57"/>
      <c r="L66" s="370"/>
      <c r="M66" s="39"/>
      <c r="N66" s="39"/>
      <c r="O66" s="39"/>
      <c r="P66" s="39"/>
      <c r="Q66" s="384"/>
      <c r="R66" s="57"/>
      <c r="S66" s="57"/>
      <c r="T66" s="370"/>
      <c r="U66" s="39"/>
      <c r="V66" s="39"/>
      <c r="W66" s="39"/>
      <c r="X66" s="146"/>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row>
    <row r="67" spans="2:48">
      <c r="B67" s="369" t="s">
        <v>398</v>
      </c>
      <c r="C67" s="57">
        <f>D10</f>
        <v>200000</v>
      </c>
      <c r="D67" s="57"/>
      <c r="E67" s="370"/>
      <c r="F67" s="69"/>
      <c r="G67" s="39"/>
      <c r="H67" s="39"/>
      <c r="I67" s="369" t="s">
        <v>552</v>
      </c>
      <c r="J67" s="57">
        <f>K11</f>
        <v>200000</v>
      </c>
      <c r="K67" s="57"/>
      <c r="L67" s="370"/>
      <c r="M67" s="39"/>
      <c r="N67" s="39"/>
      <c r="O67" s="39"/>
      <c r="P67" s="39"/>
      <c r="Q67" s="369" t="s">
        <v>552</v>
      </c>
      <c r="R67" s="57">
        <f>J67+S14</f>
        <v>400000</v>
      </c>
      <c r="S67" s="57"/>
      <c r="T67" s="370"/>
      <c r="U67" s="39"/>
      <c r="V67" s="39"/>
      <c r="W67" s="39"/>
      <c r="X67" s="146"/>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row>
    <row r="68" spans="2:48">
      <c r="B68" s="369" t="s">
        <v>399</v>
      </c>
      <c r="C68" s="61">
        <f>C49*D21</f>
        <v>42105.263157894733</v>
      </c>
      <c r="D68" s="57"/>
      <c r="E68" s="370"/>
      <c r="F68" s="69"/>
      <c r="G68" s="39"/>
      <c r="H68" s="39"/>
      <c r="I68" s="369" t="s">
        <v>553</v>
      </c>
      <c r="J68" s="61">
        <f>J49*K23</f>
        <v>84210.526315789466</v>
      </c>
      <c r="K68" s="57"/>
      <c r="L68" s="370"/>
      <c r="M68" s="39"/>
      <c r="N68" s="39"/>
      <c r="O68" s="39"/>
      <c r="P68" s="39"/>
      <c r="Q68" s="369" t="s">
        <v>553</v>
      </c>
      <c r="R68" s="61">
        <f>(Q49*S21)+K12/N13*S22</f>
        <v>115956.55806182121</v>
      </c>
      <c r="S68" s="57"/>
      <c r="T68" s="370"/>
      <c r="U68" s="39"/>
      <c r="V68" s="39"/>
      <c r="W68" s="39"/>
      <c r="X68" s="146"/>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row>
    <row r="69" spans="2:48">
      <c r="B69" s="369" t="s">
        <v>400</v>
      </c>
      <c r="C69" s="57"/>
      <c r="D69" s="57">
        <f>C67-C68</f>
        <v>157894.73684210528</v>
      </c>
      <c r="E69" s="370"/>
      <c r="F69" s="69"/>
      <c r="G69" s="39"/>
      <c r="H69" s="39"/>
      <c r="I69" s="369" t="s">
        <v>554</v>
      </c>
      <c r="J69" s="57"/>
      <c r="K69" s="57">
        <f>J67-J68</f>
        <v>115789.47368421053</v>
      </c>
      <c r="L69" s="370"/>
      <c r="M69" s="39"/>
      <c r="N69" s="39"/>
      <c r="O69" s="39"/>
      <c r="P69" s="39"/>
      <c r="Q69" s="369" t="s">
        <v>554</v>
      </c>
      <c r="R69" s="57"/>
      <c r="S69" s="57">
        <f>R67-R68</f>
        <v>284043.44193817879</v>
      </c>
      <c r="T69" s="370"/>
      <c r="U69" s="39"/>
      <c r="V69" s="39"/>
      <c r="W69" s="39"/>
      <c r="X69" s="146"/>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row>
    <row r="70" spans="2:48">
      <c r="B70" s="384"/>
      <c r="C70" s="57"/>
      <c r="D70" s="57"/>
      <c r="E70" s="370"/>
      <c r="F70" s="39"/>
      <c r="G70" s="39"/>
      <c r="H70" s="69"/>
      <c r="I70" s="384"/>
      <c r="J70" s="57"/>
      <c r="K70" s="57"/>
      <c r="L70" s="370"/>
      <c r="M70" s="39"/>
      <c r="N70" s="39"/>
      <c r="O70" s="39"/>
      <c r="P70" s="39"/>
      <c r="Q70" s="384"/>
      <c r="R70" s="57"/>
      <c r="S70" s="57"/>
      <c r="T70" s="370"/>
      <c r="U70" s="39"/>
      <c r="V70" s="39"/>
      <c r="W70" s="39"/>
      <c r="X70" s="146"/>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row>
    <row r="71" spans="2:48">
      <c r="B71" s="369" t="s">
        <v>401</v>
      </c>
      <c r="C71" s="57"/>
      <c r="D71" s="57">
        <f>D64-D65-D69</f>
        <v>77105.263157894718</v>
      </c>
      <c r="E71" s="370"/>
      <c r="F71" s="39"/>
      <c r="G71" s="39"/>
      <c r="H71" s="39"/>
      <c r="I71" s="369" t="s">
        <v>401</v>
      </c>
      <c r="J71" s="57"/>
      <c r="K71" s="57">
        <f>K64-K65-K69</f>
        <v>156640.38631578945</v>
      </c>
      <c r="L71" s="370"/>
      <c r="M71" s="39"/>
      <c r="N71" s="39"/>
      <c r="O71" s="39"/>
      <c r="P71" s="39"/>
      <c r="Q71" s="369" t="s">
        <v>401</v>
      </c>
      <c r="R71" s="57"/>
      <c r="S71" s="57">
        <f>S64-S65-S69</f>
        <v>230600.73577702121</v>
      </c>
      <c r="T71" s="370"/>
      <c r="U71" s="39"/>
      <c r="V71" s="39"/>
      <c r="W71" s="39"/>
      <c r="X71" s="146"/>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row>
    <row r="72" spans="2:48" ht="13" thickBot="1">
      <c r="B72" s="369" t="s">
        <v>449</v>
      </c>
      <c r="C72" s="57"/>
      <c r="D72" s="57"/>
      <c r="E72" s="370">
        <f>D71*G12</f>
        <v>21589.473684210523</v>
      </c>
      <c r="F72" s="39"/>
      <c r="G72" s="39"/>
      <c r="H72" s="69"/>
      <c r="I72" s="369" t="s">
        <v>449</v>
      </c>
      <c r="J72" s="57"/>
      <c r="K72" s="57"/>
      <c r="L72" s="370">
        <f>K71*N11</f>
        <v>43859.308168421048</v>
      </c>
      <c r="M72" s="39"/>
      <c r="N72" s="39"/>
      <c r="O72" s="39"/>
      <c r="P72" s="39"/>
      <c r="Q72" s="369" t="s">
        <v>449</v>
      </c>
      <c r="R72" s="57"/>
      <c r="S72" s="57"/>
      <c r="T72" s="370">
        <f>S71*N12</f>
        <v>64568.206017565943</v>
      </c>
      <c r="U72" s="39"/>
      <c r="V72" s="39"/>
      <c r="W72" s="39"/>
      <c r="X72" s="146"/>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row>
    <row r="73" spans="2:48" ht="13.5" thickBot="1">
      <c r="B73" s="557" t="s">
        <v>405</v>
      </c>
      <c r="C73" s="561"/>
      <c r="D73" s="561"/>
      <c r="E73" s="648">
        <f>E62-E72</f>
        <v>70978.231374857642</v>
      </c>
      <c r="F73" s="39"/>
      <c r="G73" s="39"/>
      <c r="H73" s="39"/>
      <c r="I73" s="557" t="s">
        <v>405</v>
      </c>
      <c r="J73" s="561"/>
      <c r="K73" s="561"/>
      <c r="L73" s="648">
        <f>L62-L72</f>
        <v>99222.181210702562</v>
      </c>
      <c r="M73" s="39"/>
      <c r="N73" s="39"/>
      <c r="O73" s="39"/>
      <c r="P73" s="39"/>
      <c r="Q73" s="557" t="s">
        <v>405</v>
      </c>
      <c r="R73" s="561"/>
      <c r="S73" s="561"/>
      <c r="T73" s="648">
        <f>T62-T72</f>
        <v>171599.43161246026</v>
      </c>
      <c r="U73" s="39"/>
      <c r="V73" s="39"/>
      <c r="W73" s="39"/>
      <c r="X73" s="146"/>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row>
    <row r="74" spans="2:48" ht="13.5" thickBot="1">
      <c r="B74" s="444"/>
      <c r="C74" s="60"/>
      <c r="D74" s="60"/>
      <c r="E74" s="60"/>
      <c r="F74" s="39"/>
      <c r="G74" s="39"/>
      <c r="H74" s="39"/>
      <c r="I74" s="58"/>
      <c r="J74" s="60"/>
      <c r="K74" s="60"/>
      <c r="L74" s="60"/>
      <c r="M74" s="39"/>
      <c r="N74" s="39"/>
      <c r="O74" s="39"/>
      <c r="P74" s="39"/>
      <c r="Q74" s="58"/>
      <c r="R74" s="60"/>
      <c r="S74" s="60"/>
      <c r="T74" s="60"/>
      <c r="U74" s="39"/>
      <c r="V74" s="39"/>
      <c r="W74" s="39"/>
      <c r="X74" s="146"/>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row>
    <row r="75" spans="2:48" ht="13.5" thickBot="1">
      <c r="B75" s="1547" t="s">
        <v>280</v>
      </c>
      <c r="C75" s="1538"/>
      <c r="D75" s="1538"/>
      <c r="E75" s="1538"/>
      <c r="F75" s="1538"/>
      <c r="G75" s="1538"/>
      <c r="H75" s="1538"/>
      <c r="I75" s="1538"/>
      <c r="J75" s="1538"/>
      <c r="K75" s="1538"/>
      <c r="L75" s="1538"/>
      <c r="M75" s="1538"/>
      <c r="N75" s="1538"/>
      <c r="O75" s="1538"/>
      <c r="P75" s="1538"/>
      <c r="Q75" s="1538"/>
      <c r="R75" s="1538"/>
      <c r="S75" s="1538"/>
      <c r="T75" s="1538"/>
      <c r="U75" s="1538"/>
      <c r="V75" s="1538"/>
      <c r="W75" s="1538"/>
      <c r="X75" s="15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row>
    <row r="76" spans="2:48" ht="13.5" thickBot="1">
      <c r="B76" s="576" t="s">
        <v>386</v>
      </c>
      <c r="C76" s="576">
        <v>0</v>
      </c>
      <c r="D76" s="576">
        <f>(1+C76)</f>
        <v>1</v>
      </c>
      <c r="E76" s="576">
        <f>(1+D76)</f>
        <v>2</v>
      </c>
      <c r="F76" s="576">
        <f>(1+E76)</f>
        <v>3</v>
      </c>
      <c r="G76" s="576">
        <f>(1+F76)</f>
        <v>4</v>
      </c>
      <c r="H76" s="576">
        <f>(1+G76)</f>
        <v>5</v>
      </c>
      <c r="I76" s="576" t="s">
        <v>386</v>
      </c>
      <c r="J76" s="576">
        <v>5</v>
      </c>
      <c r="K76" s="576">
        <f>(1+H76)</f>
        <v>6</v>
      </c>
      <c r="L76" s="576">
        <f>(1+K76)</f>
        <v>7</v>
      </c>
      <c r="M76" s="576">
        <f>(1+L76)</f>
        <v>8</v>
      </c>
      <c r="N76" s="576">
        <f>(1+M76)</f>
        <v>9</v>
      </c>
      <c r="O76" s="576">
        <f>(1+N76)</f>
        <v>10</v>
      </c>
      <c r="P76" s="29"/>
      <c r="Q76" s="39"/>
      <c r="R76" s="39"/>
      <c r="S76" s="576">
        <v>5</v>
      </c>
      <c r="T76" s="576">
        <v>6</v>
      </c>
      <c r="U76" s="576">
        <f>(1+T76)</f>
        <v>7</v>
      </c>
      <c r="V76" s="576">
        <f>(1+U76)</f>
        <v>8</v>
      </c>
      <c r="W76" s="576">
        <f>(1+V76)</f>
        <v>9</v>
      </c>
      <c r="X76" s="576">
        <f>(1+W76)</f>
        <v>10</v>
      </c>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row>
    <row r="77" spans="2:48">
      <c r="B77" s="171" t="s">
        <v>408</v>
      </c>
      <c r="C77" s="34">
        <f>-C25</f>
        <v>-50000</v>
      </c>
      <c r="D77" s="34">
        <f>C45</f>
        <v>1857.964615498513</v>
      </c>
      <c r="E77" s="34">
        <f>D45</f>
        <v>2637.964615498513</v>
      </c>
      <c r="F77" s="34">
        <f>E45</f>
        <v>3449.1646154985137</v>
      </c>
      <c r="G77" s="34">
        <f>F45</f>
        <v>4292.8126154985148</v>
      </c>
      <c r="H77" s="72">
        <f>G45+E62</f>
        <v>97737.911594566685</v>
      </c>
      <c r="I77" s="171" t="s">
        <v>408</v>
      </c>
      <c r="J77" s="73">
        <f>-$E$73</f>
        <v>-70978.231374857642</v>
      </c>
      <c r="K77" s="34">
        <f>J45</f>
        <v>6082.6962122985169</v>
      </c>
      <c r="L77" s="34">
        <f>K45</f>
        <v>6794.4381602025169</v>
      </c>
      <c r="M77" s="34">
        <f>L45</f>
        <v>7527.5323665436372</v>
      </c>
      <c r="N77" s="34">
        <f>M45</f>
        <v>8282.6193990749925</v>
      </c>
      <c r="O77" s="72">
        <f>N45+L62</f>
        <v>152141.84842170589</v>
      </c>
      <c r="P77" s="34"/>
      <c r="Q77" s="39" t="s">
        <v>555</v>
      </c>
      <c r="R77" s="39"/>
      <c r="S77" s="74" t="s">
        <v>265</v>
      </c>
      <c r="T77" s="34">
        <f>Q55</f>
        <v>768.83457145587317</v>
      </c>
      <c r="U77" s="34">
        <f>R55</f>
        <v>1761.2263784146098</v>
      </c>
      <c r="V77" s="34">
        <f>S55</f>
        <v>2770.324998615582</v>
      </c>
      <c r="W77" s="34">
        <f>T55</f>
        <v>3794.1384605751464</v>
      </c>
      <c r="X77" s="309">
        <f>U55+T73</f>
        <v>176429.7188860694</v>
      </c>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row>
    <row r="78" spans="2:48">
      <c r="B78" s="171" t="s">
        <v>409</v>
      </c>
      <c r="C78" s="34">
        <f>-C25</f>
        <v>-50000</v>
      </c>
      <c r="D78" s="34">
        <f>C55</f>
        <v>3359.2347003219011</v>
      </c>
      <c r="E78" s="34">
        <f>D55</f>
        <v>3881.907513373345</v>
      </c>
      <c r="F78" s="34">
        <f>E55</f>
        <v>4422.5397176548258</v>
      </c>
      <c r="G78" s="34">
        <f>F55</f>
        <v>4981.5086050819091</v>
      </c>
      <c r="H78" s="72">
        <f>G55+E73</f>
        <v>76537.398464291749</v>
      </c>
      <c r="I78" s="171" t="s">
        <v>409</v>
      </c>
      <c r="J78" s="73">
        <f>-$E$73</f>
        <v>-70978.231374857642</v>
      </c>
      <c r="K78" s="34">
        <f>$J$55</f>
        <v>6155.8381638286919</v>
      </c>
      <c r="L78" s="34">
        <f>$K$55</f>
        <v>6600.990540462034</v>
      </c>
      <c r="M78" s="34">
        <f>$L$55</f>
        <v>7053.7284542080843</v>
      </c>
      <c r="N78" s="34">
        <f>$M$55</f>
        <v>7513.6118852581585</v>
      </c>
      <c r="O78" s="72">
        <f>$N$55+$L$73</f>
        <v>107202.291571646</v>
      </c>
      <c r="P78" s="34"/>
      <c r="Q78" s="39" t="s">
        <v>556</v>
      </c>
      <c r="R78" s="39"/>
      <c r="S78" s="37" t="s">
        <v>265</v>
      </c>
      <c r="T78" s="34">
        <f>$J$55</f>
        <v>6155.8381638286919</v>
      </c>
      <c r="U78" s="34">
        <f>$K$55</f>
        <v>6600.990540462034</v>
      </c>
      <c r="V78" s="34">
        <f>$L$55</f>
        <v>7053.7284542080843</v>
      </c>
      <c r="W78" s="34">
        <f>$M$55</f>
        <v>7513.6118852581585</v>
      </c>
      <c r="X78" s="309">
        <f>$N$55+$L$73</f>
        <v>107202.291571646</v>
      </c>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row>
    <row r="79" spans="2:48" ht="13" thickBot="1">
      <c r="B79" s="171"/>
      <c r="C79" s="39"/>
      <c r="D79" s="39"/>
      <c r="E79" s="39"/>
      <c r="F79" s="39"/>
      <c r="G79" s="39"/>
      <c r="H79" s="50"/>
      <c r="I79" s="49"/>
      <c r="J79" s="39"/>
      <c r="K79" s="39"/>
      <c r="L79" s="39"/>
      <c r="M79" s="39"/>
      <c r="N79" s="50"/>
      <c r="O79" s="39"/>
      <c r="P79" s="39"/>
      <c r="Q79" s="39" t="s">
        <v>557</v>
      </c>
      <c r="R79" s="39"/>
      <c r="S79" s="34">
        <f>-R25</f>
        <v>-4932</v>
      </c>
      <c r="T79" s="34">
        <f>T77-T78</f>
        <v>-5387.0035923728192</v>
      </c>
      <c r="U79" s="34">
        <f>U77-U78</f>
        <v>-4839.7641620474242</v>
      </c>
      <c r="V79" s="34">
        <f>V77-V78</f>
        <v>-4283.4034555925027</v>
      </c>
      <c r="W79" s="34">
        <f>W77-W78</f>
        <v>-3719.4734246830121</v>
      </c>
      <c r="X79" s="309">
        <f>X77-X78</f>
        <v>69227.427314423403</v>
      </c>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row>
    <row r="80" spans="2:48" ht="13.5" thickBot="1">
      <c r="B80" s="168" t="s">
        <v>558</v>
      </c>
      <c r="C80" s="1"/>
      <c r="D80" s="155">
        <f>IRR(C77:H77,0.1)</f>
        <v>0.18255971237780888</v>
      </c>
      <c r="E80" s="39"/>
      <c r="F80" s="39"/>
      <c r="G80" s="39"/>
      <c r="H80" s="50"/>
      <c r="I80" s="1" t="s">
        <v>558</v>
      </c>
      <c r="J80" s="1"/>
      <c r="K80" s="155">
        <f>IRR(J77:O77,0.1)</f>
        <v>0.23064558334191121</v>
      </c>
      <c r="L80" s="39"/>
      <c r="M80" s="39"/>
      <c r="N80" s="50"/>
      <c r="O80" s="39"/>
      <c r="P80" s="39"/>
      <c r="Q80" s="1"/>
      <c r="R80" s="1"/>
      <c r="S80" s="56"/>
      <c r="T80" s="39"/>
      <c r="U80" s="39"/>
      <c r="V80" s="39"/>
      <c r="W80" s="39"/>
      <c r="X80" s="146"/>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row>
    <row r="81" spans="2:48" ht="13.5" thickBot="1">
      <c r="B81" s="375" t="s">
        <v>559</v>
      </c>
      <c r="C81" s="65"/>
      <c r="D81" s="155">
        <f>IRR(C78:H78,0.1)</f>
        <v>0.14825017874839297</v>
      </c>
      <c r="E81" s="63"/>
      <c r="F81" s="63"/>
      <c r="G81" s="63"/>
      <c r="H81" s="360"/>
      <c r="I81" s="65" t="s">
        <v>559</v>
      </c>
      <c r="J81" s="65"/>
      <c r="K81" s="155">
        <f>IRR(J78:O78,0.1)</f>
        <v>0.15596075151609168</v>
      </c>
      <c r="L81" s="63"/>
      <c r="M81" s="63"/>
      <c r="N81" s="360"/>
      <c r="O81" s="63"/>
      <c r="P81" s="63"/>
      <c r="Q81" s="65" t="s">
        <v>560</v>
      </c>
      <c r="R81" s="65"/>
      <c r="S81" s="392"/>
      <c r="T81" s="155">
        <f>IRR(S79:X79)</f>
        <v>0.37466574587470358</v>
      </c>
      <c r="U81" s="63"/>
      <c r="V81" s="63"/>
      <c r="W81" s="63"/>
      <c r="X81" s="14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row>
    <row r="82" spans="2:48" ht="13" thickBot="1">
      <c r="B82" s="228"/>
      <c r="C82" s="63"/>
      <c r="D82" s="63"/>
      <c r="E82" s="63"/>
      <c r="F82" s="63"/>
      <c r="G82" s="63"/>
      <c r="H82" s="63"/>
      <c r="I82" s="63"/>
      <c r="J82" s="63"/>
      <c r="K82" s="63"/>
      <c r="L82" s="63"/>
      <c r="M82" s="63"/>
      <c r="N82" s="63"/>
      <c r="O82" s="63"/>
      <c r="P82" s="63"/>
      <c r="Q82" s="63"/>
      <c r="R82" s="63"/>
      <c r="S82" s="63"/>
      <c r="T82" s="63"/>
      <c r="U82" s="63"/>
      <c r="V82" s="63"/>
      <c r="W82" s="63"/>
      <c r="X82" s="14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row>
    <row r="83" spans="2:48" ht="13">
      <c r="B83" s="5"/>
      <c r="C83" s="39"/>
      <c r="D83" s="76"/>
      <c r="E83" s="77"/>
      <c r="F83" s="1"/>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row>
    <row r="84" spans="2:48">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row>
    <row r="85" spans="2:48">
      <c r="B85" s="39"/>
      <c r="C85" s="39"/>
      <c r="D85" s="39"/>
      <c r="E85" s="78"/>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row>
    <row r="86" spans="2:48">
      <c r="B86" s="39"/>
      <c r="C86" s="39"/>
      <c r="D86" s="39"/>
      <c r="E86" s="78"/>
      <c r="F86" s="39"/>
      <c r="G86" s="39"/>
      <c r="H86" s="39"/>
      <c r="I86" s="6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row>
    <row r="87" spans="2:48">
      <c r="B87" s="39"/>
      <c r="C87" s="39"/>
      <c r="D87" s="39"/>
      <c r="E87" s="78"/>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row>
    <row r="88" spans="2:48" ht="13">
      <c r="B88" s="1"/>
      <c r="C88" s="1"/>
      <c r="D88" s="1"/>
      <c r="E88" s="78"/>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row>
    <row r="89" spans="2:48">
      <c r="B89" s="39"/>
      <c r="C89" s="39"/>
      <c r="D89" s="39"/>
      <c r="E89" s="78"/>
      <c r="F89" s="39"/>
      <c r="G89" s="39"/>
      <c r="H89" s="6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row>
    <row r="90" spans="2:48">
      <c r="B90" s="39"/>
      <c r="C90" s="39"/>
      <c r="D90" s="39"/>
      <c r="E90" s="78"/>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row>
    <row r="91" spans="2:48">
      <c r="B91" s="39"/>
      <c r="C91" s="39"/>
      <c r="D91" s="39"/>
      <c r="E91" s="78"/>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row>
    <row r="92" spans="2:48">
      <c r="B92" s="39"/>
      <c r="C92" s="39"/>
      <c r="D92" s="39"/>
      <c r="E92" s="78"/>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row>
    <row r="93" spans="2:48" ht="13">
      <c r="B93" s="42"/>
      <c r="C93" s="42"/>
      <c r="D93" s="42"/>
      <c r="E93" s="78"/>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row>
    <row r="94" spans="2:48">
      <c r="B94" s="78"/>
      <c r="C94" s="78"/>
      <c r="D94" s="78"/>
      <c r="E94" s="78"/>
      <c r="F94" s="78"/>
      <c r="G94" s="78"/>
      <c r="H94" s="78"/>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row>
    <row r="95" spans="2:48">
      <c r="B95" s="78"/>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row>
    <row r="96" spans="2:48">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row>
    <row r="97" spans="2:48">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row>
    <row r="98" spans="2:48">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row>
    <row r="99" spans="2:48">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row>
    <row r="100" spans="2:48">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row>
    <row r="101" spans="2:48">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row>
    <row r="102" spans="2:48">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row>
    <row r="103" spans="2:48">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row>
    <row r="104" spans="2:48">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row>
    <row r="105" spans="2:48">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row>
    <row r="106" spans="2:48">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row>
    <row r="107" spans="2:48">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row>
    <row r="108" spans="2:48">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row>
    <row r="109" spans="2:48">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row>
    <row r="110" spans="2:48">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row>
    <row r="111" spans="2:48">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row>
    <row r="112" spans="2:48">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row>
    <row r="113" spans="2:48">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row>
    <row r="114" spans="2:48">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row>
    <row r="115" spans="2:48">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row>
    <row r="116" spans="2:48">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row>
    <row r="117" spans="2:48">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row>
    <row r="118" spans="2:48">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row>
    <row r="119" spans="2:48">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row>
    <row r="120" spans="2:48">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row>
    <row r="121" spans="2:48">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row>
    <row r="122" spans="2:48">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row>
    <row r="123" spans="2:48">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row>
    <row r="124" spans="2:48">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row>
    <row r="125" spans="2:48">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row>
    <row r="126" spans="2:48">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row>
    <row r="127" spans="2:48">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row>
    <row r="128" spans="2:48">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row>
    <row r="129" spans="2:48">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row>
    <row r="130" spans="2:48">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row>
    <row r="131" spans="2:48">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row>
    <row r="132" spans="2:48">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row>
    <row r="133" spans="2:48">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row>
    <row r="134" spans="2:48">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row>
    <row r="135" spans="2:48">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row>
    <row r="136" spans="2:48">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row>
    <row r="137" spans="2:48">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row>
    <row r="138" spans="2:48">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row>
    <row r="139" spans="2:48">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row>
    <row r="140" spans="2:48">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row>
    <row r="141" spans="2:48">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row>
    <row r="142" spans="2:48">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row>
    <row r="143" spans="2:48">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row>
    <row r="144" spans="2:48">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row>
    <row r="145" spans="2:48">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row>
    <row r="146" spans="2:48">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row>
    <row r="147" spans="2:48">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row>
    <row r="148" spans="2:48">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row>
    <row r="149" spans="2:48">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row>
    <row r="150" spans="2:48">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row>
    <row r="151" spans="2:48">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row>
    <row r="152" spans="2:48">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row>
    <row r="153" spans="2:48">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row>
    <row r="154" spans="2:48">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row>
    <row r="155" spans="2:48">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row>
    <row r="156" spans="2:48">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row>
    <row r="157" spans="2:48">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row>
    <row r="158" spans="2:48">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row>
    <row r="159" spans="2:48">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row>
    <row r="160" spans="2:48">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row>
    <row r="161" spans="2:48">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row>
    <row r="162" spans="2:48">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row>
    <row r="163" spans="2:48">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row>
    <row r="164" spans="2:48">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row>
    <row r="165" spans="2:48">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row>
    <row r="166" spans="2:48">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row>
    <row r="167" spans="2:48">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row>
    <row r="168" spans="2:48">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row>
    <row r="169" spans="2:48">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row>
    <row r="170" spans="2:48">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row>
    <row r="171" spans="2:48">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row>
    <row r="172" spans="2:48">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row>
    <row r="173" spans="2:48">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row>
    <row r="174" spans="2:48">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row>
    <row r="175" spans="2:48">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row>
    <row r="176" spans="2:48">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row>
    <row r="177" spans="2:48">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row>
    <row r="178" spans="2:48">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row>
    <row r="179" spans="2:48">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row>
    <row r="180" spans="2:48">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row>
    <row r="181" spans="2:48">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row>
    <row r="182" spans="2:48">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row>
    <row r="183" spans="2:48">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row>
    <row r="184" spans="2:48">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row>
    <row r="185" spans="2:48">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row>
    <row r="186" spans="2:48">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row>
    <row r="187" spans="2:48">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row>
    <row r="188" spans="2:48">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row>
    <row r="189" spans="2:48">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row>
    <row r="190" spans="2:48">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row>
    <row r="191" spans="2:48">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row>
    <row r="192" spans="2:48">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row>
    <row r="193" spans="2:48">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row>
    <row r="194" spans="2:48">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row>
    <row r="195" spans="2:48">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row>
    <row r="196" spans="2:48">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row>
    <row r="197" spans="2:48">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row>
    <row r="198" spans="2:48">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row>
    <row r="199" spans="2:48">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row>
    <row r="200" spans="2:48">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row>
    <row r="201" spans="2:48">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row>
    <row r="202" spans="2:48">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row>
    <row r="203" spans="2:48">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row>
    <row r="204" spans="2:48">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row>
    <row r="205" spans="2:48">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row>
    <row r="206" spans="2:48">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row>
    <row r="207" spans="2:48">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row>
    <row r="208" spans="2:48">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row>
    <row r="209" spans="2:48">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row>
    <row r="210" spans="2:48">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row>
    <row r="211" spans="2:48">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row>
    <row r="212" spans="2:48">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row>
    <row r="213" spans="2:48">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row>
    <row r="214" spans="2:48">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row>
    <row r="215" spans="2:48">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row>
    <row r="216" spans="2:48">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row>
    <row r="217" spans="2:48">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row>
    <row r="218" spans="2:48">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row>
    <row r="219" spans="2:48">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row>
    <row r="220" spans="2:48">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row>
    <row r="221" spans="2:48">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row>
    <row r="222" spans="2:48">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row>
    <row r="223" spans="2:48">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row>
    <row r="224" spans="2:48">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row>
    <row r="225" spans="2:48">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row>
    <row r="226" spans="2:48">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row>
    <row r="227" spans="2:48">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row>
    <row r="228" spans="2:48">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row>
    <row r="229" spans="2:48">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row>
    <row r="230" spans="2:48">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row>
    <row r="231" spans="2:48">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row>
    <row r="232" spans="2:48">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row>
    <row r="233" spans="2:48">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row>
    <row r="234" spans="2:48">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row>
    <row r="235" spans="2:48">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row>
    <row r="236" spans="2:48">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row>
    <row r="237" spans="2:48">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row>
    <row r="238" spans="2:48">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row>
    <row r="239" spans="2:48">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row>
    <row r="240" spans="2:48">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row>
    <row r="241" spans="2:48">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row>
    <row r="242" spans="2:48">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row>
    <row r="243" spans="2:48">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row>
    <row r="244" spans="2:48">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row>
    <row r="245" spans="2:48">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row>
    <row r="246" spans="2:48">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row>
    <row r="247" spans="2:48">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row>
    <row r="248" spans="2:48">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row>
    <row r="249" spans="2:48">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row>
    <row r="250" spans="2:48">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row>
    <row r="251" spans="2:48">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row>
    <row r="252" spans="2:48">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row>
    <row r="253" spans="2:48">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row>
    <row r="254" spans="2:48">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row>
    <row r="255" spans="2:48">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row>
    <row r="256" spans="2:48">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row>
    <row r="257" spans="2:48">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row>
    <row r="258" spans="2:48">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row>
    <row r="259" spans="2:48">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row>
    <row r="260" spans="2:48">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row>
    <row r="261" spans="2:48">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row>
    <row r="262" spans="2:48">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row>
    <row r="263" spans="2:48">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row>
    <row r="264" spans="2:48">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row>
    <row r="265" spans="2:48">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row>
    <row r="266" spans="2:48">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row>
    <row r="267" spans="2:48">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row>
    <row r="268" spans="2:48">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row>
    <row r="269" spans="2:48">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row>
    <row r="270" spans="2:48">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row>
    <row r="271" spans="2:48">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row>
    <row r="272" spans="2:48">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row>
    <row r="273" spans="2:48">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row>
    <row r="274" spans="2:48">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row>
    <row r="275" spans="2:48">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row>
    <row r="276" spans="2:48">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row>
    <row r="277" spans="2:48">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row>
    <row r="278" spans="2:48">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row>
    <row r="279" spans="2:48">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row>
    <row r="280" spans="2:48">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row>
    <row r="281" spans="2:48">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row>
    <row r="282" spans="2:48">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row>
    <row r="283" spans="2:48">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row>
    <row r="284" spans="2:48">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row>
    <row r="285" spans="2:48">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row>
    <row r="286" spans="2:48">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row>
    <row r="287" spans="2:48">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row>
    <row r="288" spans="2:48">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row>
    <row r="289" spans="2:48">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row>
    <row r="290" spans="2:48">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row>
    <row r="291" spans="2:48">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row>
    <row r="292" spans="2:48">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row>
    <row r="293" spans="2:48">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row>
    <row r="294" spans="2:48">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row>
    <row r="295" spans="2:48">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row>
    <row r="296" spans="2:48">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row>
    <row r="297" spans="2:48">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row>
    <row r="298" spans="2:48">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row>
    <row r="299" spans="2:48">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row>
    <row r="300" spans="2:48">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row>
    <row r="301" spans="2:48">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row>
    <row r="302" spans="2:48">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row>
    <row r="303" spans="2:48">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row>
    <row r="304" spans="2:48">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row>
    <row r="305" spans="2:48">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row>
    <row r="306" spans="2:48">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row>
    <row r="307" spans="2:48">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row>
    <row r="308" spans="2:48">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row>
    <row r="309" spans="2:48">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row>
    <row r="310" spans="2:48">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row>
    <row r="311" spans="2:48">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row>
    <row r="312" spans="2:48">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row>
    <row r="313" spans="2:48">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row>
    <row r="314" spans="2:48">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row>
    <row r="315" spans="2:48">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row>
    <row r="316" spans="2:48">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row>
    <row r="317" spans="2:48">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row>
    <row r="318" spans="2:48">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row>
    <row r="319" spans="2:48">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row>
    <row r="320" spans="2:48">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row>
    <row r="321" spans="2:48">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row>
    <row r="322" spans="2:48">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row>
    <row r="323" spans="2:48">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row>
    <row r="324" spans="2:48">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row>
    <row r="325" spans="2:48">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row>
    <row r="326" spans="2:48">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row>
    <row r="327" spans="2:48">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row>
    <row r="328" spans="2:48">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row>
    <row r="329" spans="2:48">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row>
    <row r="330" spans="2:48">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row>
    <row r="331" spans="2:48">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row>
    <row r="332" spans="2:48">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row>
    <row r="333" spans="2:48">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row>
    <row r="334" spans="2:48">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row>
    <row r="335" spans="2:48">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row>
    <row r="336" spans="2:48">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row>
    <row r="337" spans="2:48">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row>
    <row r="338" spans="2:48">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row>
    <row r="339" spans="2:48">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row>
    <row r="340" spans="2:48">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row>
    <row r="341" spans="2:48">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row>
    <row r="342" spans="2:48">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row>
    <row r="343" spans="2:48">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row>
    <row r="344" spans="2:48">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row>
    <row r="345" spans="2:48">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row>
    <row r="346" spans="2:48">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row>
    <row r="347" spans="2:48">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row>
    <row r="348" spans="2:48">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row>
    <row r="349" spans="2:48">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row>
    <row r="350" spans="2:48">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row>
    <row r="351" spans="2:48">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row>
    <row r="352" spans="2:48">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row>
    <row r="353" spans="2:48">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row>
    <row r="354" spans="2:48">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row>
    <row r="355" spans="2:48">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row>
    <row r="356" spans="2:48">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row>
    <row r="357" spans="2:48">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row>
    <row r="358" spans="2:48">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row>
    <row r="359" spans="2:48">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row>
    <row r="360" spans="2:48">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row>
    <row r="361" spans="2:48">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row>
    <row r="362" spans="2:48">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row>
    <row r="363" spans="2:48">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row>
    <row r="364" spans="2:48">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row>
    <row r="365" spans="2:48">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row>
    <row r="366" spans="2:48">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row>
    <row r="367" spans="2:48">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row>
    <row r="368" spans="2:48">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row>
    <row r="369" spans="2:48">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row>
    <row r="370" spans="2:48">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row>
    <row r="371" spans="2:48">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row>
    <row r="372" spans="2:48">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row>
    <row r="373" spans="2:48">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row>
    <row r="374" spans="2:48">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row>
    <row r="375" spans="2:48">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row>
    <row r="376" spans="2:48">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row>
    <row r="377" spans="2:48">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row>
    <row r="378" spans="2:48">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row>
    <row r="379" spans="2:48">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row>
    <row r="380" spans="2:48">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row>
    <row r="381" spans="2:48">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row>
    <row r="382" spans="2:48">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row>
    <row r="383" spans="2:48">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row>
    <row r="384" spans="2:48">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row>
    <row r="385" spans="2:48">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row>
    <row r="386" spans="2:48">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row>
    <row r="387" spans="2:48">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row>
    <row r="388" spans="2:48">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row>
    <row r="389" spans="2:48">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row>
    <row r="390" spans="2:48">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row>
    <row r="391" spans="2:48">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row>
    <row r="392" spans="2:48">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row>
    <row r="393" spans="2:48">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row>
    <row r="394" spans="2:48">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row>
    <row r="395" spans="2:48">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row>
    <row r="396" spans="2:48">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row>
    <row r="397" spans="2:48">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row>
    <row r="398" spans="2:48">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row>
    <row r="399" spans="2:48">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row>
    <row r="400" spans="2:48">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row>
    <row r="401" spans="2:48">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row>
    <row r="402" spans="2:48">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row>
    <row r="403" spans="2:48">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row>
    <row r="404" spans="2:48">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row>
    <row r="405" spans="2:48">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row>
    <row r="406" spans="2:48">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row>
    <row r="407" spans="2:48">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row>
    <row r="408" spans="2:48">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row>
    <row r="409" spans="2:48">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row>
    <row r="410" spans="2:48">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row>
    <row r="411" spans="2:48">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row>
    <row r="412" spans="2:48">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row>
    <row r="413" spans="2:48">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row>
    <row r="414" spans="2:48">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row>
    <row r="415" spans="2:48">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row>
    <row r="416" spans="2:48">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row>
    <row r="417" spans="2:48">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row>
    <row r="418" spans="2:48">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row>
    <row r="419" spans="2:48">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row>
    <row r="420" spans="2:48">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row>
    <row r="421" spans="2:48">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row>
    <row r="422" spans="2:48">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row>
    <row r="423" spans="2:48">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row>
    <row r="424" spans="2:48">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row>
    <row r="425" spans="2:48">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row>
    <row r="426" spans="2:48">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row>
    <row r="427" spans="2:48">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row>
    <row r="428" spans="2:48">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row>
    <row r="429" spans="2:48">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row>
    <row r="430" spans="2:48">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row>
    <row r="431" spans="2:48">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row>
    <row r="432" spans="2:48">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row>
    <row r="433" spans="2:48">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row>
    <row r="434" spans="2:48">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row>
    <row r="435" spans="2:48">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row>
    <row r="436" spans="2:48">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row>
    <row r="437" spans="2:48">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row>
    <row r="438" spans="2:48">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row>
    <row r="439" spans="2:48">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row>
    <row r="440" spans="2:48">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row>
    <row r="441" spans="2:48">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row>
    <row r="442" spans="2:48">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row>
    <row r="443" spans="2:48">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row>
    <row r="444" spans="2:48">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row>
    <row r="445" spans="2:48">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row>
    <row r="446" spans="2:48">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row>
    <row r="447" spans="2:48">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row>
    <row r="448" spans="2:48">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row>
    <row r="449" spans="2:48">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row>
    <row r="450" spans="2:48">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row>
    <row r="451" spans="2:48">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row>
    <row r="452" spans="2:48">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row>
    <row r="453" spans="2:48">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row>
    <row r="454" spans="2:48">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row>
    <row r="455" spans="2:48">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row>
    <row r="456" spans="2:48">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row>
    <row r="457" spans="2:48">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row>
    <row r="458" spans="2:48">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row>
    <row r="459" spans="2:48">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row>
    <row r="460" spans="2:48">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row>
    <row r="461" spans="2:48">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row>
    <row r="462" spans="2:48">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row>
    <row r="463" spans="2:48">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row>
    <row r="464" spans="2:48">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row>
    <row r="465" spans="2:48">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row>
    <row r="466" spans="2:48">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row>
    <row r="467" spans="2:48">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row>
    <row r="468" spans="2:48">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row>
    <row r="469" spans="2:48">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row>
    <row r="470" spans="2:48">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row>
    <row r="471" spans="2:48">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row>
    <row r="472" spans="2:48">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row>
    <row r="473" spans="2:48">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row>
    <row r="474" spans="2:48">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row>
    <row r="475" spans="2:48">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row>
    <row r="476" spans="2:48">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row>
    <row r="477" spans="2:48">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row>
    <row r="478" spans="2:48">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row>
    <row r="479" spans="2:48">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row>
    <row r="480" spans="2:48">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row>
    <row r="481" spans="2:48">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row>
    <row r="482" spans="2:48">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row>
    <row r="483" spans="2:48">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row>
    <row r="484" spans="2:48">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row>
    <row r="485" spans="2:48">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row>
    <row r="486" spans="2:48">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row>
    <row r="487" spans="2:48">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row>
    <row r="488" spans="2:48">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row>
    <row r="489" spans="2:48">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row>
    <row r="490" spans="2:48">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row>
    <row r="491" spans="2:48">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row>
    <row r="492" spans="2:48">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row>
    <row r="493" spans="2:48">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row>
    <row r="494" spans="2:48">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row>
    <row r="495" spans="2:48">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row>
    <row r="496" spans="2:48">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row>
    <row r="497" spans="2:48">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row>
    <row r="498" spans="2:48">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row>
    <row r="499" spans="2:48">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row>
    <row r="500" spans="2:48">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row>
    <row r="501" spans="2:48">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row>
    <row r="502" spans="2:48">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row>
    <row r="503" spans="2:48">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row>
    <row r="504" spans="2:48">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row>
    <row r="505" spans="2:48">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row>
    <row r="506" spans="2:48">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row>
    <row r="507" spans="2:48">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row>
    <row r="508" spans="2:48">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row>
    <row r="509" spans="2:48">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row>
    <row r="510" spans="2:48">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row>
    <row r="511" spans="2:48">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row>
    <row r="512" spans="2:48">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row>
    <row r="513" spans="2:48">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row>
    <row r="514" spans="2:48">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row>
    <row r="515" spans="2:48">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row>
    <row r="516" spans="2:48">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row>
    <row r="517" spans="2:48">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row>
    <row r="518" spans="2:48">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row>
    <row r="519" spans="2:48">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row>
    <row r="520" spans="2:48">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row>
    <row r="521" spans="2:48">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row>
    <row r="522" spans="2:48">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row>
    <row r="523" spans="2:48">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row>
    <row r="524" spans="2:48">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row>
    <row r="525" spans="2:48">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row>
    <row r="526" spans="2:48">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row>
    <row r="527" spans="2:48">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row>
    <row r="528" spans="2:48">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row>
    <row r="529" spans="2:48">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row>
    <row r="530" spans="2:48">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row>
    <row r="531" spans="2:48">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row>
    <row r="532" spans="2:48">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row>
    <row r="533" spans="2:48">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row>
    <row r="534" spans="2:48">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row>
    <row r="535" spans="2:48">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row>
    <row r="536" spans="2:48">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row>
    <row r="537" spans="2:48">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row>
  </sheetData>
  <mergeCells count="12">
    <mergeCell ref="B2:X2"/>
    <mergeCell ref="B3:X3"/>
    <mergeCell ref="B7:G7"/>
    <mergeCell ref="I7:N7"/>
    <mergeCell ref="B5:H5"/>
    <mergeCell ref="B39:G39"/>
    <mergeCell ref="B58:E58"/>
    <mergeCell ref="B75:X75"/>
    <mergeCell ref="B9:G9"/>
    <mergeCell ref="I9:N9"/>
    <mergeCell ref="Q10:S10"/>
    <mergeCell ref="B31:G31"/>
  </mergeCells>
  <phoneticPr fontId="0" type="noConversion"/>
  <pageMargins left="0.75" right="0.75" top="1" bottom="1" header="0.5" footer="0.5"/>
  <pageSetup orientation="portrait" r:id="rId1"/>
  <headerFooter alignWithMargins="0"/>
  <ignoredErrors>
    <ignoredError sqref="C44:H44" 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7"/>
  <dimension ref="B1:P116"/>
  <sheetViews>
    <sheetView topLeftCell="A25" workbookViewId="0">
      <selection activeCell="B41" sqref="B41:H41"/>
    </sheetView>
  </sheetViews>
  <sheetFormatPr defaultRowHeight="12.5"/>
  <cols>
    <col min="2" max="2" width="27.54296875" customWidth="1"/>
  </cols>
  <sheetData>
    <row r="1" spans="2:15" ht="13" thickBot="1">
      <c r="B1" s="230"/>
      <c r="C1" s="122"/>
      <c r="D1" s="122"/>
      <c r="E1" s="122"/>
      <c r="F1" s="122"/>
      <c r="G1" s="122"/>
      <c r="H1" s="122"/>
      <c r="I1" s="122"/>
      <c r="J1" s="122"/>
      <c r="K1" s="122"/>
      <c r="L1" s="122"/>
      <c r="M1" s="122"/>
      <c r="N1" s="122"/>
      <c r="O1" s="123"/>
    </row>
    <row r="2" spans="2:15" ht="18.5" thickBot="1">
      <c r="B2" s="1525" t="s">
        <v>1008</v>
      </c>
      <c r="C2" s="1557"/>
      <c r="D2" s="1557"/>
      <c r="E2" s="1557"/>
      <c r="F2" s="1557"/>
      <c r="G2" s="1557"/>
      <c r="H2" s="1557"/>
      <c r="I2" s="1657"/>
      <c r="J2" s="1657"/>
      <c r="K2" s="1657"/>
      <c r="L2" s="1657"/>
      <c r="M2" s="1657"/>
      <c r="N2" s="1657"/>
      <c r="O2" s="1658"/>
    </row>
    <row r="3" spans="2:15" ht="16" thickBot="1">
      <c r="B3" s="1528" t="s">
        <v>561</v>
      </c>
      <c r="C3" s="1540"/>
      <c r="D3" s="1540"/>
      <c r="E3" s="1540"/>
      <c r="F3" s="1540"/>
      <c r="G3" s="1540"/>
      <c r="H3" s="1540"/>
      <c r="I3" s="1659"/>
      <c r="J3" s="1659"/>
      <c r="K3" s="1659"/>
      <c r="L3" s="1659"/>
      <c r="M3" s="1659"/>
      <c r="N3" s="1659"/>
      <c r="O3" s="1660"/>
    </row>
    <row r="4" spans="2:15">
      <c r="B4" s="124"/>
      <c r="O4" s="126"/>
    </row>
    <row r="5" spans="2:15" ht="13">
      <c r="B5" s="1661" t="s">
        <v>1106</v>
      </c>
      <c r="C5" s="1663"/>
      <c r="D5" s="1663"/>
      <c r="E5" s="1663"/>
      <c r="F5" s="1663"/>
      <c r="G5" s="1663"/>
      <c r="H5" s="1663"/>
      <c r="O5" s="126"/>
    </row>
    <row r="6" spans="2:15">
      <c r="B6" s="223"/>
      <c r="C6" s="212"/>
      <c r="D6" s="212"/>
      <c r="E6" s="212"/>
      <c r="F6" s="212"/>
      <c r="G6" s="212"/>
      <c r="H6" s="212"/>
      <c r="O6" s="126"/>
    </row>
    <row r="7" spans="2:15" ht="13" thickBot="1">
      <c r="B7" s="124"/>
      <c r="O7" s="126"/>
    </row>
    <row r="8" spans="2:15" ht="13.5" thickBot="1">
      <c r="B8" s="1664" t="s">
        <v>562</v>
      </c>
      <c r="C8" s="1665"/>
      <c r="D8" s="1665"/>
      <c r="E8" s="1665"/>
      <c r="F8" s="1666"/>
      <c r="O8" s="126"/>
    </row>
    <row r="9" spans="2:15">
      <c r="B9" s="124" t="s">
        <v>563</v>
      </c>
      <c r="E9" s="586">
        <v>250000</v>
      </c>
      <c r="F9" s="126"/>
      <c r="O9" s="126"/>
    </row>
    <row r="10" spans="2:15">
      <c r="B10" s="124" t="s">
        <v>564</v>
      </c>
      <c r="E10" s="586">
        <f>39000*(1.04)^5</f>
        <v>47449.463193600015</v>
      </c>
      <c r="F10" s="126"/>
      <c r="O10" s="126"/>
    </row>
    <row r="11" spans="2:15">
      <c r="B11" s="124" t="s">
        <v>565</v>
      </c>
      <c r="E11" s="587">
        <v>160000</v>
      </c>
      <c r="F11" s="126"/>
      <c r="O11" s="126"/>
    </row>
    <row r="12" spans="2:15">
      <c r="B12" s="124" t="s">
        <v>566</v>
      </c>
      <c r="E12" s="587">
        <v>40000</v>
      </c>
      <c r="F12" s="126"/>
      <c r="O12" s="126"/>
    </row>
    <row r="13" spans="2:15">
      <c r="B13" s="124" t="s">
        <v>567</v>
      </c>
      <c r="E13" s="587">
        <v>5</v>
      </c>
      <c r="F13" s="126"/>
      <c r="O13" s="126"/>
    </row>
    <row r="14" spans="2:15">
      <c r="B14" s="124" t="s">
        <v>568</v>
      </c>
      <c r="E14" s="587">
        <v>19</v>
      </c>
      <c r="F14" s="126"/>
      <c r="O14" s="126"/>
    </row>
    <row r="15" spans="2:15" ht="13" thickBot="1">
      <c r="B15" s="124"/>
      <c r="E15" s="275"/>
      <c r="F15" s="126"/>
      <c r="O15" s="126"/>
    </row>
    <row r="16" spans="2:15" ht="13.5" thickBot="1">
      <c r="B16" s="243" t="s">
        <v>569</v>
      </c>
      <c r="C16" s="1"/>
      <c r="E16" s="275"/>
      <c r="F16" s="126"/>
      <c r="O16" s="126"/>
    </row>
    <row r="17" spans="2:15">
      <c r="B17" s="124" t="s">
        <v>570</v>
      </c>
      <c r="E17" s="586">
        <v>142432</v>
      </c>
      <c r="F17" s="126"/>
      <c r="O17" s="126"/>
    </row>
    <row r="18" spans="2:15">
      <c r="B18" s="124" t="s">
        <v>571</v>
      </c>
      <c r="E18" s="588">
        <v>0.11</v>
      </c>
      <c r="F18" s="126"/>
      <c r="O18" s="126"/>
    </row>
    <row r="19" spans="2:15">
      <c r="B19" s="124" t="s">
        <v>572</v>
      </c>
      <c r="E19" s="587">
        <v>20</v>
      </c>
      <c r="F19" s="126" t="s">
        <v>573</v>
      </c>
      <c r="O19" s="126"/>
    </row>
    <row r="20" spans="2:15">
      <c r="B20" s="124"/>
      <c r="E20" s="275"/>
      <c r="F20" s="126"/>
      <c r="O20" s="126"/>
    </row>
    <row r="21" spans="2:15">
      <c r="B21" s="124" t="s">
        <v>423</v>
      </c>
      <c r="E21" s="588">
        <v>0.28000000000000003</v>
      </c>
      <c r="F21" s="126"/>
      <c r="O21" s="126"/>
    </row>
    <row r="22" spans="2:15" ht="13" thickBot="1">
      <c r="B22" s="124"/>
      <c r="E22" s="275"/>
      <c r="F22" s="126"/>
      <c r="O22" s="126"/>
    </row>
    <row r="23" spans="2:15" ht="13.5" thickBot="1">
      <c r="B23" s="243" t="s">
        <v>574</v>
      </c>
      <c r="E23" s="275"/>
      <c r="F23" s="126"/>
      <c r="O23" s="126"/>
    </row>
    <row r="24" spans="2:15">
      <c r="B24" s="124" t="s">
        <v>335</v>
      </c>
      <c r="E24" s="588">
        <v>0.03</v>
      </c>
      <c r="F24" s="126"/>
      <c r="O24" s="126"/>
    </row>
    <row r="25" spans="2:15" ht="13" thickBot="1">
      <c r="B25" s="134" t="s">
        <v>283</v>
      </c>
      <c r="C25" s="4"/>
      <c r="D25" s="4"/>
      <c r="E25" s="589">
        <v>0.03</v>
      </c>
      <c r="F25" s="135"/>
      <c r="O25" s="126"/>
    </row>
    <row r="26" spans="2:15">
      <c r="B26" s="124"/>
      <c r="O26" s="126"/>
    </row>
    <row r="27" spans="2:15">
      <c r="B27" s="124"/>
      <c r="O27" s="126"/>
    </row>
    <row r="28" spans="2:15">
      <c r="B28" s="124"/>
      <c r="O28" s="126"/>
    </row>
    <row r="29" spans="2:15" ht="13" thickBot="1">
      <c r="B29" s="124"/>
      <c r="O29" s="126"/>
    </row>
    <row r="30" spans="2:15">
      <c r="B30" s="230" t="s">
        <v>575</v>
      </c>
      <c r="C30" s="122"/>
      <c r="D30" s="590">
        <f>PMT(E18/12,E19*12,-1)*12</f>
        <v>0.12386260708512681</v>
      </c>
      <c r="O30" s="126"/>
    </row>
    <row r="31" spans="2:15">
      <c r="B31" s="124" t="s">
        <v>209</v>
      </c>
      <c r="D31" s="158">
        <f>(D30*E17)</f>
        <v>17641.998852348781</v>
      </c>
      <c r="O31" s="126"/>
    </row>
    <row r="32" spans="2:15">
      <c r="B32" s="124"/>
      <c r="D32" s="126"/>
      <c r="O32" s="126"/>
    </row>
    <row r="33" spans="2:16" ht="13" thickBot="1">
      <c r="B33" s="134" t="s">
        <v>291</v>
      </c>
      <c r="C33" s="4"/>
      <c r="D33" s="253">
        <f>E9-E17</f>
        <v>107568</v>
      </c>
      <c r="O33" s="126"/>
    </row>
    <row r="34" spans="2:16">
      <c r="B34" s="124"/>
      <c r="O34" s="126"/>
    </row>
    <row r="35" spans="2:16" ht="13" thickBot="1">
      <c r="B35" s="124"/>
      <c r="O35" s="126"/>
    </row>
    <row r="36" spans="2:16" ht="13.5" thickBot="1">
      <c r="B36" s="157" t="s">
        <v>576</v>
      </c>
      <c r="C36" s="157">
        <v>1</v>
      </c>
      <c r="D36" s="157">
        <f t="shared" ref="D36:L36" si="0">(1+C36)</f>
        <v>2</v>
      </c>
      <c r="E36" s="157">
        <f t="shared" si="0"/>
        <v>3</v>
      </c>
      <c r="F36" s="157">
        <f t="shared" si="0"/>
        <v>4</v>
      </c>
      <c r="G36" s="157">
        <f t="shared" si="0"/>
        <v>5</v>
      </c>
      <c r="H36" s="157">
        <f t="shared" si="0"/>
        <v>6</v>
      </c>
      <c r="I36" s="157">
        <f t="shared" si="0"/>
        <v>7</v>
      </c>
      <c r="J36" s="157">
        <f t="shared" si="0"/>
        <v>8</v>
      </c>
      <c r="K36" s="157">
        <f t="shared" si="0"/>
        <v>9</v>
      </c>
      <c r="L36" s="157">
        <f t="shared" si="0"/>
        <v>10</v>
      </c>
      <c r="O36" s="126"/>
    </row>
    <row r="37" spans="2:16" ht="13" thickBot="1">
      <c r="B37" s="134" t="s">
        <v>577</v>
      </c>
      <c r="C37" s="592">
        <f t="shared" ref="C37:L37" si="1">($D31/((((1/((((1-((1/((((1+(($E18/12))))^((($E19-(((C36-$C36)+1)))*12))))))))/(($E18/12))))))*12)))</f>
        <v>140354.86913740163</v>
      </c>
      <c r="D37" s="592">
        <f t="shared" si="1"/>
        <v>138037.37510875787</v>
      </c>
      <c r="E37" s="592">
        <f t="shared" si="1"/>
        <v>135451.70336823005</v>
      </c>
      <c r="F37" s="592">
        <f t="shared" si="1"/>
        <v>132566.82070310548</v>
      </c>
      <c r="G37" s="592">
        <f t="shared" si="1"/>
        <v>129348.10277341296</v>
      </c>
      <c r="H37" s="592">
        <f t="shared" si="1"/>
        <v>125756.91855085576</v>
      </c>
      <c r="I37" s="592">
        <f t="shared" si="1"/>
        <v>121750.16666950157</v>
      </c>
      <c r="J37" s="592">
        <f t="shared" si="1"/>
        <v>117279.75812351414</v>
      </c>
      <c r="K37" s="592">
        <f t="shared" si="1"/>
        <v>112292.03910326787</v>
      </c>
      <c r="L37" s="591">
        <f t="shared" si="1"/>
        <v>106727.14704273002</v>
      </c>
      <c r="N37" s="79"/>
      <c r="O37" s="568"/>
      <c r="P37" s="79"/>
    </row>
    <row r="38" spans="2:16">
      <c r="B38" s="124"/>
      <c r="O38" s="126"/>
    </row>
    <row r="39" spans="2:16">
      <c r="B39" s="124"/>
      <c r="O39" s="126"/>
    </row>
    <row r="40" spans="2:16" ht="13" thickBot="1">
      <c r="B40" s="124"/>
      <c r="O40" s="126"/>
    </row>
    <row r="41" spans="2:16" ht="13.5" thickBot="1">
      <c r="B41" s="1547" t="s">
        <v>578</v>
      </c>
      <c r="C41" s="1548"/>
      <c r="D41" s="1548"/>
      <c r="E41" s="1548"/>
      <c r="F41" s="1548"/>
      <c r="G41" s="1548"/>
      <c r="H41" s="1549"/>
      <c r="O41" s="126"/>
    </row>
    <row r="42" spans="2:16">
      <c r="B42" s="124"/>
      <c r="H42" s="126"/>
      <c r="O42" s="126"/>
    </row>
    <row r="43" spans="2:16">
      <c r="B43" s="124" t="s">
        <v>446</v>
      </c>
      <c r="D43" s="160"/>
      <c r="E43" s="11"/>
      <c r="H43" s="568">
        <f>E9</f>
        <v>250000</v>
      </c>
      <c r="O43" s="126"/>
    </row>
    <row r="44" spans="2:16">
      <c r="B44" s="124" t="s">
        <v>579</v>
      </c>
      <c r="D44" s="23">
        <v>0.06</v>
      </c>
      <c r="H44" s="568">
        <f>D44*H43</f>
        <v>15000</v>
      </c>
      <c r="O44" s="126"/>
    </row>
    <row r="45" spans="2:16">
      <c r="B45" s="124" t="s">
        <v>580</v>
      </c>
      <c r="H45" s="568">
        <f>E17</f>
        <v>142432</v>
      </c>
      <c r="O45" s="126"/>
    </row>
    <row r="46" spans="2:16">
      <c r="B46" s="124" t="s">
        <v>581</v>
      </c>
      <c r="H46" s="568">
        <f>H43-H45-H44</f>
        <v>92568</v>
      </c>
      <c r="O46" s="126"/>
    </row>
    <row r="47" spans="2:16">
      <c r="B47" s="124"/>
      <c r="H47" s="126"/>
      <c r="O47" s="126"/>
    </row>
    <row r="48" spans="2:16">
      <c r="B48" s="124" t="s">
        <v>582</v>
      </c>
      <c r="F48">
        <f>H43</f>
        <v>250000</v>
      </c>
      <c r="H48" s="126"/>
      <c r="O48" s="126"/>
    </row>
    <row r="49" spans="2:15">
      <c r="B49" s="124" t="s">
        <v>583</v>
      </c>
      <c r="F49">
        <f>H44</f>
        <v>15000</v>
      </c>
      <c r="H49" s="126"/>
      <c r="O49" s="126"/>
    </row>
    <row r="50" spans="2:15">
      <c r="B50" s="124" t="s">
        <v>584</v>
      </c>
      <c r="E50" s="79">
        <f>E11+E12</f>
        <v>200000</v>
      </c>
      <c r="H50" s="126"/>
      <c r="O50" s="126"/>
    </row>
    <row r="51" spans="2:15">
      <c r="B51" s="124" t="s">
        <v>585</v>
      </c>
      <c r="E51" s="79">
        <f>E11/E14*E13</f>
        <v>42105.263157894733</v>
      </c>
      <c r="H51" s="126"/>
      <c r="O51" s="126"/>
    </row>
    <row r="52" spans="2:15">
      <c r="B52" s="124" t="s">
        <v>586</v>
      </c>
      <c r="F52" s="79">
        <f>(E50-E51)</f>
        <v>157894.73684210528</v>
      </c>
      <c r="H52" s="126"/>
      <c r="O52" s="126"/>
    </row>
    <row r="53" spans="2:15">
      <c r="B53" s="124"/>
      <c r="H53" s="126"/>
      <c r="O53" s="126"/>
    </row>
    <row r="54" spans="2:15">
      <c r="B54" s="124" t="s">
        <v>587</v>
      </c>
      <c r="F54" s="79">
        <f>F48-F52-F49</f>
        <v>77105.263157894718</v>
      </c>
      <c r="H54" s="126"/>
      <c r="O54" s="126"/>
    </row>
    <row r="55" spans="2:15">
      <c r="B55" s="124"/>
      <c r="H55" s="126"/>
      <c r="O55" s="126"/>
    </row>
    <row r="56" spans="2:15">
      <c r="B56" s="124" t="s">
        <v>367</v>
      </c>
      <c r="D56" s="23">
        <f>E21</f>
        <v>0.28000000000000003</v>
      </c>
      <c r="H56" s="568">
        <f>D56*F54</f>
        <v>21589.473684210523</v>
      </c>
      <c r="O56" s="126"/>
    </row>
    <row r="57" spans="2:15">
      <c r="B57" s="124"/>
      <c r="H57" s="126"/>
      <c r="O57" s="126"/>
    </row>
    <row r="58" spans="2:15" ht="13" thickBot="1">
      <c r="B58" s="134" t="s">
        <v>588</v>
      </c>
      <c r="C58" s="4"/>
      <c r="D58" s="4"/>
      <c r="E58" s="4"/>
      <c r="F58" s="4"/>
      <c r="G58" s="4"/>
      <c r="H58" s="591">
        <f>H46-H56</f>
        <v>70978.526315789481</v>
      </c>
      <c r="O58" s="126"/>
    </row>
    <row r="59" spans="2:15">
      <c r="B59" s="124"/>
      <c r="O59" s="126"/>
    </row>
    <row r="60" spans="2:15">
      <c r="B60" s="124"/>
      <c r="O60" s="126"/>
    </row>
    <row r="61" spans="2:15" ht="13" thickBot="1">
      <c r="B61" s="124"/>
      <c r="O61" s="126"/>
    </row>
    <row r="62" spans="2:15" ht="13.5" thickBot="1">
      <c r="B62" s="1547" t="s">
        <v>589</v>
      </c>
      <c r="C62" s="1548"/>
      <c r="D62" s="1548"/>
      <c r="E62" s="1548"/>
      <c r="F62" s="1548"/>
      <c r="G62" s="1548"/>
      <c r="H62" s="1548"/>
      <c r="I62" s="1548"/>
      <c r="J62" s="1548"/>
      <c r="K62" s="1548"/>
      <c r="L62" s="1549"/>
      <c r="O62" s="126"/>
    </row>
    <row r="63" spans="2:15" ht="13.5" thickBot="1">
      <c r="B63" s="157" t="s">
        <v>590</v>
      </c>
      <c r="C63" s="157">
        <v>1</v>
      </c>
      <c r="D63" s="157">
        <f t="shared" ref="D63:L63" si="2">1+C63</f>
        <v>2</v>
      </c>
      <c r="E63" s="157">
        <f t="shared" si="2"/>
        <v>3</v>
      </c>
      <c r="F63" s="157">
        <f t="shared" si="2"/>
        <v>4</v>
      </c>
      <c r="G63" s="157">
        <f t="shared" si="2"/>
        <v>5</v>
      </c>
      <c r="H63" s="157">
        <f t="shared" si="2"/>
        <v>6</v>
      </c>
      <c r="I63" s="157">
        <f t="shared" si="2"/>
        <v>7</v>
      </c>
      <c r="J63" s="157">
        <f t="shared" si="2"/>
        <v>8</v>
      </c>
      <c r="K63" s="157">
        <f t="shared" si="2"/>
        <v>9</v>
      </c>
      <c r="L63" s="157">
        <f t="shared" si="2"/>
        <v>10</v>
      </c>
      <c r="O63" s="126"/>
    </row>
    <row r="64" spans="2:15">
      <c r="B64" s="124"/>
      <c r="L64" s="126"/>
      <c r="O64" s="126"/>
    </row>
    <row r="65" spans="2:16">
      <c r="B65" s="124" t="s">
        <v>307</v>
      </c>
      <c r="C65" s="40">
        <f>E10</f>
        <v>47449.463193600015</v>
      </c>
      <c r="D65" s="40">
        <f t="shared" ref="D65:L65" si="3">C65*(1+$E$24)</f>
        <v>48872.947089408015</v>
      </c>
      <c r="E65" s="40">
        <f t="shared" si="3"/>
        <v>50339.135502090256</v>
      </c>
      <c r="F65" s="40">
        <f t="shared" si="3"/>
        <v>51849.309567152966</v>
      </c>
      <c r="G65" s="40">
        <f t="shared" si="3"/>
        <v>53404.788854167557</v>
      </c>
      <c r="H65" s="40">
        <f t="shared" si="3"/>
        <v>55006.932519792586</v>
      </c>
      <c r="I65" s="40">
        <f t="shared" si="3"/>
        <v>56657.140495386368</v>
      </c>
      <c r="J65" s="40">
        <f t="shared" si="3"/>
        <v>58356.854710247957</v>
      </c>
      <c r="K65" s="40">
        <f t="shared" si="3"/>
        <v>60107.560351555396</v>
      </c>
      <c r="L65" s="568">
        <f t="shared" si="3"/>
        <v>61910.78716210206</v>
      </c>
      <c r="O65" s="126"/>
    </row>
    <row r="66" spans="2:16">
      <c r="B66" s="124" t="s">
        <v>591</v>
      </c>
      <c r="C66" s="231">
        <f t="shared" ref="C66:L66" si="4">0.5*C65</f>
        <v>23724.731596800008</v>
      </c>
      <c r="D66" s="231">
        <f t="shared" si="4"/>
        <v>24436.473544704008</v>
      </c>
      <c r="E66" s="231">
        <f t="shared" si="4"/>
        <v>25169.567751045128</v>
      </c>
      <c r="F66" s="231">
        <f t="shared" si="4"/>
        <v>25924.654783576483</v>
      </c>
      <c r="G66" s="231">
        <f t="shared" si="4"/>
        <v>26702.394427083778</v>
      </c>
      <c r="H66" s="231">
        <f t="shared" si="4"/>
        <v>27503.466259896293</v>
      </c>
      <c r="I66" s="231">
        <f t="shared" si="4"/>
        <v>28328.570247693184</v>
      </c>
      <c r="J66" s="231">
        <f t="shared" si="4"/>
        <v>29178.427355123978</v>
      </c>
      <c r="K66" s="231">
        <f t="shared" si="4"/>
        <v>30053.780175777698</v>
      </c>
      <c r="L66" s="256">
        <f t="shared" si="4"/>
        <v>30955.39358105103</v>
      </c>
      <c r="O66" s="126"/>
    </row>
    <row r="67" spans="2:16">
      <c r="B67" s="124" t="s">
        <v>592</v>
      </c>
      <c r="C67" s="231">
        <f t="shared" ref="C67:L67" si="5">C65-C66</f>
        <v>23724.731596800008</v>
      </c>
      <c r="D67" s="231">
        <f t="shared" si="5"/>
        <v>24436.473544704008</v>
      </c>
      <c r="E67" s="231">
        <f t="shared" si="5"/>
        <v>25169.567751045128</v>
      </c>
      <c r="F67" s="231">
        <f t="shared" si="5"/>
        <v>25924.654783576483</v>
      </c>
      <c r="G67" s="231">
        <f t="shared" si="5"/>
        <v>26702.394427083778</v>
      </c>
      <c r="H67" s="231">
        <f t="shared" si="5"/>
        <v>27503.466259896293</v>
      </c>
      <c r="I67" s="231">
        <f t="shared" si="5"/>
        <v>28328.570247693184</v>
      </c>
      <c r="J67" s="231">
        <f t="shared" si="5"/>
        <v>29178.427355123978</v>
      </c>
      <c r="K67" s="231">
        <f t="shared" si="5"/>
        <v>30053.780175777698</v>
      </c>
      <c r="L67" s="256">
        <f t="shared" si="5"/>
        <v>30955.39358105103</v>
      </c>
      <c r="N67" s="79"/>
      <c r="O67" s="568"/>
      <c r="P67" s="79"/>
    </row>
    <row r="68" spans="2:16">
      <c r="B68" s="124" t="s">
        <v>458</v>
      </c>
      <c r="C68" s="231">
        <f t="shared" ref="C68:L68" si="6">($D30*$E17)</f>
        <v>17641.998852348781</v>
      </c>
      <c r="D68" s="231">
        <f t="shared" si="6"/>
        <v>17641.998852348781</v>
      </c>
      <c r="E68" s="231">
        <f t="shared" si="6"/>
        <v>17641.998852348781</v>
      </c>
      <c r="F68" s="231">
        <f t="shared" si="6"/>
        <v>17641.998852348781</v>
      </c>
      <c r="G68" s="231">
        <f t="shared" si="6"/>
        <v>17641.998852348781</v>
      </c>
      <c r="H68" s="231">
        <f t="shared" si="6"/>
        <v>17641.998852348781</v>
      </c>
      <c r="I68" s="231">
        <f t="shared" si="6"/>
        <v>17641.998852348781</v>
      </c>
      <c r="J68" s="231">
        <f t="shared" si="6"/>
        <v>17641.998852348781</v>
      </c>
      <c r="K68" s="231">
        <f t="shared" si="6"/>
        <v>17641.998852348781</v>
      </c>
      <c r="L68" s="256">
        <f t="shared" si="6"/>
        <v>17641.998852348781</v>
      </c>
      <c r="N68" s="79"/>
      <c r="O68" s="568"/>
      <c r="P68" s="79"/>
    </row>
    <row r="69" spans="2:16">
      <c r="B69" s="124" t="s">
        <v>593</v>
      </c>
      <c r="C69" s="231">
        <f t="shared" ref="C69:L69" si="7">C67-C68</f>
        <v>6082.7327444512266</v>
      </c>
      <c r="D69" s="231">
        <f t="shared" si="7"/>
        <v>6794.4746923552266</v>
      </c>
      <c r="E69" s="231">
        <f t="shared" si="7"/>
        <v>7527.5688986963469</v>
      </c>
      <c r="F69" s="231">
        <f t="shared" si="7"/>
        <v>8282.6559312277022</v>
      </c>
      <c r="G69" s="231">
        <f t="shared" si="7"/>
        <v>9060.3955747349974</v>
      </c>
      <c r="H69" s="231">
        <f t="shared" si="7"/>
        <v>9861.4674075475123</v>
      </c>
      <c r="I69" s="231">
        <f t="shared" si="7"/>
        <v>10686.571395344403</v>
      </c>
      <c r="J69" s="231">
        <f t="shared" si="7"/>
        <v>11536.428502775198</v>
      </c>
      <c r="K69" s="231">
        <f t="shared" si="7"/>
        <v>12411.781323428917</v>
      </c>
      <c r="L69" s="256">
        <f t="shared" si="7"/>
        <v>13313.394728702249</v>
      </c>
      <c r="N69" s="79"/>
      <c r="O69" s="568"/>
      <c r="P69" s="79"/>
    </row>
    <row r="70" spans="2:16">
      <c r="B70" s="124"/>
      <c r="C70" s="231"/>
      <c r="D70" s="231"/>
      <c r="E70" s="231"/>
      <c r="F70" s="231"/>
      <c r="G70" s="231"/>
      <c r="H70" s="231"/>
      <c r="I70" s="231"/>
      <c r="J70" s="231"/>
      <c r="K70" s="231"/>
      <c r="L70" s="256"/>
      <c r="O70" s="126"/>
    </row>
    <row r="71" spans="2:16">
      <c r="B71" s="124" t="s">
        <v>279</v>
      </c>
      <c r="C71" s="231">
        <f t="shared" ref="C71:L71" si="8">C67</f>
        <v>23724.731596800008</v>
      </c>
      <c r="D71" s="231">
        <f t="shared" si="8"/>
        <v>24436.473544704008</v>
      </c>
      <c r="E71" s="231">
        <f t="shared" si="8"/>
        <v>25169.567751045128</v>
      </c>
      <c r="F71" s="231">
        <f t="shared" si="8"/>
        <v>25924.654783576483</v>
      </c>
      <c r="G71" s="231">
        <f t="shared" si="8"/>
        <v>26702.394427083778</v>
      </c>
      <c r="H71" s="231">
        <f t="shared" si="8"/>
        <v>27503.466259896293</v>
      </c>
      <c r="I71" s="231">
        <f t="shared" si="8"/>
        <v>28328.570247693184</v>
      </c>
      <c r="J71" s="231">
        <f t="shared" si="8"/>
        <v>29178.427355123978</v>
      </c>
      <c r="K71" s="231">
        <f t="shared" si="8"/>
        <v>30053.780175777698</v>
      </c>
      <c r="L71" s="256">
        <f t="shared" si="8"/>
        <v>30955.39358105103</v>
      </c>
      <c r="N71" s="79"/>
      <c r="O71" s="568"/>
      <c r="P71" s="79"/>
    </row>
    <row r="72" spans="2:16">
      <c r="B72" s="124" t="s">
        <v>210</v>
      </c>
      <c r="C72" s="231">
        <f>($D$31-(($E$17-C37)))</f>
        <v>15564.867989750415</v>
      </c>
      <c r="D72" s="231">
        <f t="shared" ref="D72:L72" si="9">($D$31-((C37-D37)))</f>
        <v>15324.504823705018</v>
      </c>
      <c r="E72" s="231">
        <f t="shared" si="9"/>
        <v>15056.327111820963</v>
      </c>
      <c r="F72" s="231">
        <f t="shared" si="9"/>
        <v>14757.116187224205</v>
      </c>
      <c r="G72" s="231">
        <f t="shared" si="9"/>
        <v>14423.280922656264</v>
      </c>
      <c r="H72" s="231">
        <f t="shared" si="9"/>
        <v>14050.814629791577</v>
      </c>
      <c r="I72" s="231">
        <f t="shared" si="9"/>
        <v>13635.246970994598</v>
      </c>
      <c r="J72" s="231">
        <f t="shared" si="9"/>
        <v>13171.590306361348</v>
      </c>
      <c r="K72" s="231">
        <f t="shared" si="9"/>
        <v>12654.279832102515</v>
      </c>
      <c r="L72" s="256">
        <f t="shared" si="9"/>
        <v>12077.106791810929</v>
      </c>
      <c r="N72" s="79"/>
      <c r="O72" s="568"/>
      <c r="P72" s="79"/>
    </row>
    <row r="73" spans="2:16">
      <c r="B73" s="124" t="s">
        <v>594</v>
      </c>
      <c r="C73" s="231">
        <f t="shared" ref="C73:L73" si="10">$E$11/19</f>
        <v>8421.0526315789466</v>
      </c>
      <c r="D73" s="231">
        <f t="shared" si="10"/>
        <v>8421.0526315789466</v>
      </c>
      <c r="E73" s="231">
        <f t="shared" si="10"/>
        <v>8421.0526315789466</v>
      </c>
      <c r="F73" s="231">
        <f t="shared" si="10"/>
        <v>8421.0526315789466</v>
      </c>
      <c r="G73" s="231">
        <f t="shared" si="10"/>
        <v>8421.0526315789466</v>
      </c>
      <c r="H73" s="231">
        <f t="shared" si="10"/>
        <v>8421.0526315789466</v>
      </c>
      <c r="I73" s="231">
        <f t="shared" si="10"/>
        <v>8421.0526315789466</v>
      </c>
      <c r="J73" s="231">
        <f t="shared" si="10"/>
        <v>8421.0526315789466</v>
      </c>
      <c r="K73" s="231">
        <f t="shared" si="10"/>
        <v>8421.0526315789466</v>
      </c>
      <c r="L73" s="256">
        <f t="shared" si="10"/>
        <v>8421.0526315789466</v>
      </c>
      <c r="N73" s="79"/>
      <c r="O73" s="568"/>
      <c r="P73" s="79"/>
    </row>
    <row r="74" spans="2:16">
      <c r="B74" s="124" t="s">
        <v>595</v>
      </c>
      <c r="C74" s="231">
        <f t="shared" ref="C74:L74" si="11">(((C71-C72)-C73))</f>
        <v>-261.18902452935436</v>
      </c>
      <c r="D74" s="231">
        <f t="shared" si="11"/>
        <v>690.91608942004314</v>
      </c>
      <c r="E74" s="231">
        <f t="shared" si="11"/>
        <v>1692.188007645218</v>
      </c>
      <c r="F74" s="231">
        <f t="shared" si="11"/>
        <v>2746.4859647733319</v>
      </c>
      <c r="G74" s="231">
        <f t="shared" si="11"/>
        <v>3858.0608728485677</v>
      </c>
      <c r="H74" s="231">
        <f t="shared" si="11"/>
        <v>5031.5989985257693</v>
      </c>
      <c r="I74" s="231">
        <f t="shared" si="11"/>
        <v>6272.2706451196391</v>
      </c>
      <c r="J74" s="231">
        <f t="shared" si="11"/>
        <v>7585.7844171836841</v>
      </c>
      <c r="K74" s="231">
        <f t="shared" si="11"/>
        <v>8978.4477120962365</v>
      </c>
      <c r="L74" s="256">
        <f t="shared" si="11"/>
        <v>10457.234157661154</v>
      </c>
      <c r="N74" s="79"/>
      <c r="O74" s="568"/>
      <c r="P74" s="79"/>
    </row>
    <row r="75" spans="2:16">
      <c r="B75" s="124" t="s">
        <v>551</v>
      </c>
      <c r="C75" s="231">
        <f t="shared" ref="C75:L75" si="12">$E21*C74</f>
        <v>-73.132926868219229</v>
      </c>
      <c r="D75" s="231">
        <f t="shared" si="12"/>
        <v>193.45650503761209</v>
      </c>
      <c r="E75" s="231">
        <f t="shared" si="12"/>
        <v>473.81264214066107</v>
      </c>
      <c r="F75" s="231">
        <f t="shared" si="12"/>
        <v>769.01607013653302</v>
      </c>
      <c r="G75" s="231">
        <f t="shared" si="12"/>
        <v>1080.257044397599</v>
      </c>
      <c r="H75" s="231">
        <f t="shared" si="12"/>
        <v>1408.8477195872156</v>
      </c>
      <c r="I75" s="231">
        <f t="shared" si="12"/>
        <v>1756.2357806334992</v>
      </c>
      <c r="J75" s="231">
        <f t="shared" si="12"/>
        <v>2124.0196368114316</v>
      </c>
      <c r="K75" s="231">
        <f t="shared" si="12"/>
        <v>2513.9653593869466</v>
      </c>
      <c r="L75" s="256">
        <f t="shared" si="12"/>
        <v>2928.0255641451236</v>
      </c>
      <c r="N75" s="79"/>
      <c r="O75" s="568"/>
      <c r="P75" s="79"/>
    </row>
    <row r="76" spans="2:16">
      <c r="B76" s="124"/>
      <c r="C76" s="231"/>
      <c r="D76" s="231"/>
      <c r="E76" s="231"/>
      <c r="F76" s="231"/>
      <c r="G76" s="231"/>
      <c r="H76" s="231"/>
      <c r="I76" s="231"/>
      <c r="J76" s="231"/>
      <c r="K76" s="231"/>
      <c r="L76" s="256"/>
      <c r="O76" s="126"/>
    </row>
    <row r="77" spans="2:16">
      <c r="B77" s="124" t="s">
        <v>593</v>
      </c>
      <c r="C77" s="231">
        <f t="shared" ref="C77:L77" si="13">C69</f>
        <v>6082.7327444512266</v>
      </c>
      <c r="D77" s="231">
        <f t="shared" si="13"/>
        <v>6794.4746923552266</v>
      </c>
      <c r="E77" s="231">
        <f t="shared" si="13"/>
        <v>7527.5688986963469</v>
      </c>
      <c r="F77" s="231">
        <f t="shared" si="13"/>
        <v>8282.6559312277022</v>
      </c>
      <c r="G77" s="231">
        <f t="shared" si="13"/>
        <v>9060.3955747349974</v>
      </c>
      <c r="H77" s="231">
        <f t="shared" si="13"/>
        <v>9861.4674075475123</v>
      </c>
      <c r="I77" s="231">
        <f t="shared" si="13"/>
        <v>10686.571395344403</v>
      </c>
      <c r="J77" s="231">
        <f t="shared" si="13"/>
        <v>11536.428502775198</v>
      </c>
      <c r="K77" s="231">
        <f t="shared" si="13"/>
        <v>12411.781323428917</v>
      </c>
      <c r="L77" s="256">
        <f t="shared" si="13"/>
        <v>13313.394728702249</v>
      </c>
      <c r="N77" s="79"/>
      <c r="O77" s="568"/>
      <c r="P77" s="79"/>
    </row>
    <row r="78" spans="2:16">
      <c r="B78" s="124" t="s">
        <v>551</v>
      </c>
      <c r="C78" s="231">
        <f t="shared" ref="C78:L78" si="14">C75</f>
        <v>-73.132926868219229</v>
      </c>
      <c r="D78" s="231">
        <f t="shared" si="14"/>
        <v>193.45650503761209</v>
      </c>
      <c r="E78" s="231">
        <f t="shared" si="14"/>
        <v>473.81264214066107</v>
      </c>
      <c r="F78" s="231">
        <f t="shared" si="14"/>
        <v>769.01607013653302</v>
      </c>
      <c r="G78" s="231">
        <f t="shared" si="14"/>
        <v>1080.257044397599</v>
      </c>
      <c r="H78" s="231">
        <f t="shared" si="14"/>
        <v>1408.8477195872156</v>
      </c>
      <c r="I78" s="231">
        <f t="shared" si="14"/>
        <v>1756.2357806334992</v>
      </c>
      <c r="J78" s="231">
        <f t="shared" si="14"/>
        <v>2124.0196368114316</v>
      </c>
      <c r="K78" s="231">
        <f t="shared" si="14"/>
        <v>2513.9653593869466</v>
      </c>
      <c r="L78" s="256">
        <f t="shared" si="14"/>
        <v>2928.0255641451236</v>
      </c>
      <c r="N78" s="79"/>
      <c r="O78" s="568"/>
      <c r="P78" s="79"/>
    </row>
    <row r="79" spans="2:16" ht="13" thickBot="1">
      <c r="B79" s="134" t="s">
        <v>596</v>
      </c>
      <c r="C79" s="254">
        <f t="shared" ref="C79:L79" si="15">C77-C78</f>
        <v>6155.8656713194459</v>
      </c>
      <c r="D79" s="254">
        <f t="shared" si="15"/>
        <v>6601.0181873176143</v>
      </c>
      <c r="E79" s="254">
        <f t="shared" si="15"/>
        <v>7053.7562565556855</v>
      </c>
      <c r="F79" s="254">
        <f t="shared" si="15"/>
        <v>7513.6398610911692</v>
      </c>
      <c r="G79" s="254">
        <f t="shared" si="15"/>
        <v>7980.1385303373982</v>
      </c>
      <c r="H79" s="254">
        <f t="shared" si="15"/>
        <v>8452.6196879602976</v>
      </c>
      <c r="I79" s="254">
        <f t="shared" si="15"/>
        <v>8930.3356147109043</v>
      </c>
      <c r="J79" s="254">
        <f t="shared" si="15"/>
        <v>9412.4088659637655</v>
      </c>
      <c r="K79" s="254">
        <f t="shared" si="15"/>
        <v>9897.8159640419708</v>
      </c>
      <c r="L79" s="255">
        <f t="shared" si="15"/>
        <v>10385.369164557125</v>
      </c>
      <c r="N79" s="79"/>
      <c r="O79" s="568"/>
      <c r="P79" s="79"/>
    </row>
    <row r="80" spans="2:16">
      <c r="B80" s="124"/>
      <c r="O80" s="126"/>
    </row>
    <row r="81" spans="2:15">
      <c r="B81" s="124"/>
      <c r="O81" s="126"/>
    </row>
    <row r="82" spans="2:15" ht="13" thickBot="1">
      <c r="B82" s="124"/>
      <c r="O82" s="126"/>
    </row>
    <row r="83" spans="2:15" ht="13.5" thickBot="1">
      <c r="B83" s="1547" t="s">
        <v>597</v>
      </c>
      <c r="C83" s="1548"/>
      <c r="D83" s="1548"/>
      <c r="E83" s="1548"/>
      <c r="F83" s="1548"/>
      <c r="G83" s="1548"/>
      <c r="H83" s="1548"/>
      <c r="I83" s="1548"/>
      <c r="J83" s="1548"/>
      <c r="K83" s="1548"/>
      <c r="L83" s="1549"/>
      <c r="O83" s="126"/>
    </row>
    <row r="84" spans="2:15">
      <c r="B84" s="124"/>
      <c r="L84" s="126"/>
      <c r="O84" s="126"/>
    </row>
    <row r="85" spans="2:15">
      <c r="B85" s="124" t="s">
        <v>582</v>
      </c>
      <c r="C85" s="40">
        <f t="shared" ref="C85:L85" si="16">$E$9*(1+$E$25)^C63</f>
        <v>257500</v>
      </c>
      <c r="D85" s="40">
        <f t="shared" si="16"/>
        <v>265225</v>
      </c>
      <c r="E85" s="40">
        <f t="shared" si="16"/>
        <v>273181.75</v>
      </c>
      <c r="F85" s="40">
        <f t="shared" si="16"/>
        <v>281377.20249999996</v>
      </c>
      <c r="G85" s="40">
        <f t="shared" si="16"/>
        <v>289818.51857499994</v>
      </c>
      <c r="H85" s="40">
        <f t="shared" si="16"/>
        <v>298513.07413224998</v>
      </c>
      <c r="I85" s="40">
        <f t="shared" si="16"/>
        <v>307468.46635621751</v>
      </c>
      <c r="J85" s="40">
        <f t="shared" si="16"/>
        <v>316692.520346904</v>
      </c>
      <c r="K85" s="40">
        <f t="shared" si="16"/>
        <v>326193.29595731111</v>
      </c>
      <c r="L85" s="244">
        <f t="shared" si="16"/>
        <v>335979.09483603045</v>
      </c>
      <c r="O85" s="126"/>
    </row>
    <row r="86" spans="2:15">
      <c r="B86" s="124" t="s">
        <v>598</v>
      </c>
      <c r="C86" s="231">
        <f t="shared" ref="C86:L86" si="17">C37</f>
        <v>140354.86913740163</v>
      </c>
      <c r="D86" s="231">
        <f t="shared" si="17"/>
        <v>138037.37510875787</v>
      </c>
      <c r="E86" s="231">
        <f t="shared" si="17"/>
        <v>135451.70336823005</v>
      </c>
      <c r="F86" s="231">
        <f t="shared" si="17"/>
        <v>132566.82070310548</v>
      </c>
      <c r="G86" s="231">
        <f t="shared" si="17"/>
        <v>129348.10277341296</v>
      </c>
      <c r="H86" s="231">
        <f t="shared" si="17"/>
        <v>125756.91855085576</v>
      </c>
      <c r="I86" s="231">
        <f t="shared" si="17"/>
        <v>121750.16666950157</v>
      </c>
      <c r="J86" s="231">
        <f t="shared" si="17"/>
        <v>117279.75812351414</v>
      </c>
      <c r="K86" s="231">
        <f t="shared" si="17"/>
        <v>112292.03910326787</v>
      </c>
      <c r="L86" s="256">
        <f t="shared" si="17"/>
        <v>106727.14704273002</v>
      </c>
      <c r="O86" s="126"/>
    </row>
    <row r="87" spans="2:15">
      <c r="B87" s="124" t="s">
        <v>599</v>
      </c>
      <c r="C87" s="231">
        <f t="shared" ref="C87:L87" si="18">0.06*C85</f>
        <v>15450</v>
      </c>
      <c r="D87" s="231">
        <f t="shared" si="18"/>
        <v>15913.5</v>
      </c>
      <c r="E87" s="231">
        <f t="shared" si="18"/>
        <v>16390.904999999999</v>
      </c>
      <c r="F87" s="231">
        <f t="shared" si="18"/>
        <v>16882.632149999998</v>
      </c>
      <c r="G87" s="231">
        <f t="shared" si="18"/>
        <v>17389.111114499996</v>
      </c>
      <c r="H87" s="231">
        <f t="shared" si="18"/>
        <v>17910.784447934999</v>
      </c>
      <c r="I87" s="231">
        <f t="shared" si="18"/>
        <v>18448.10798137305</v>
      </c>
      <c r="J87" s="231">
        <f t="shared" si="18"/>
        <v>19001.551220814239</v>
      </c>
      <c r="K87" s="231">
        <f t="shared" si="18"/>
        <v>19571.597757438667</v>
      </c>
      <c r="L87" s="256">
        <f t="shared" si="18"/>
        <v>20158.745690161824</v>
      </c>
      <c r="O87" s="126"/>
    </row>
    <row r="88" spans="2:15">
      <c r="B88" s="124" t="s">
        <v>600</v>
      </c>
      <c r="C88" s="231">
        <f t="shared" ref="C88:L88" si="19">C85-C86-C87</f>
        <v>101695.13086259837</v>
      </c>
      <c r="D88" s="231">
        <f t="shared" si="19"/>
        <v>111274.12489124213</v>
      </c>
      <c r="E88" s="231">
        <f t="shared" si="19"/>
        <v>121339.14163176995</v>
      </c>
      <c r="F88" s="231">
        <f t="shared" si="19"/>
        <v>131927.74964689449</v>
      </c>
      <c r="G88" s="231">
        <f t="shared" si="19"/>
        <v>143081.30468708699</v>
      </c>
      <c r="H88" s="231">
        <f t="shared" si="19"/>
        <v>154845.37113345921</v>
      </c>
      <c r="I88" s="231">
        <f t="shared" si="19"/>
        <v>167270.19170534288</v>
      </c>
      <c r="J88" s="231">
        <f t="shared" si="19"/>
        <v>180411.21100257564</v>
      </c>
      <c r="K88" s="231">
        <f t="shared" si="19"/>
        <v>194329.65909660456</v>
      </c>
      <c r="L88" s="256">
        <f t="shared" si="19"/>
        <v>209093.20210313861</v>
      </c>
      <c r="O88" s="126"/>
    </row>
    <row r="89" spans="2:15">
      <c r="B89" s="124"/>
      <c r="C89" s="231"/>
      <c r="D89" s="231"/>
      <c r="E89" s="231"/>
      <c r="F89" s="231"/>
      <c r="G89" s="231"/>
      <c r="H89" s="231"/>
      <c r="I89" s="231"/>
      <c r="J89" s="231"/>
      <c r="K89" s="231"/>
      <c r="L89" s="256"/>
      <c r="O89" s="126"/>
    </row>
    <row r="90" spans="2:15">
      <c r="B90" s="124" t="s">
        <v>582</v>
      </c>
      <c r="C90" s="231">
        <f t="shared" ref="C90:L90" si="20">C85</f>
        <v>257500</v>
      </c>
      <c r="D90" s="231">
        <f t="shared" si="20"/>
        <v>265225</v>
      </c>
      <c r="E90" s="231">
        <f t="shared" si="20"/>
        <v>273181.75</v>
      </c>
      <c r="F90" s="231">
        <f t="shared" si="20"/>
        <v>281377.20249999996</v>
      </c>
      <c r="G90" s="231">
        <f t="shared" si="20"/>
        <v>289818.51857499994</v>
      </c>
      <c r="H90" s="231">
        <f t="shared" si="20"/>
        <v>298513.07413224998</v>
      </c>
      <c r="I90" s="231">
        <f t="shared" si="20"/>
        <v>307468.46635621751</v>
      </c>
      <c r="J90" s="231">
        <f t="shared" si="20"/>
        <v>316692.520346904</v>
      </c>
      <c r="K90" s="231">
        <f t="shared" si="20"/>
        <v>326193.29595731111</v>
      </c>
      <c r="L90" s="256">
        <f t="shared" si="20"/>
        <v>335979.09483603045</v>
      </c>
      <c r="O90" s="126"/>
    </row>
    <row r="91" spans="2:15">
      <c r="B91" s="124" t="s">
        <v>599</v>
      </c>
      <c r="C91" s="231">
        <f t="shared" ref="C91:L91" si="21">C87</f>
        <v>15450</v>
      </c>
      <c r="D91" s="231">
        <f t="shared" si="21"/>
        <v>15913.5</v>
      </c>
      <c r="E91" s="231">
        <f t="shared" si="21"/>
        <v>16390.904999999999</v>
      </c>
      <c r="F91" s="231">
        <f t="shared" si="21"/>
        <v>16882.632149999998</v>
      </c>
      <c r="G91" s="231">
        <f t="shared" si="21"/>
        <v>17389.111114499996</v>
      </c>
      <c r="H91" s="231">
        <f t="shared" si="21"/>
        <v>17910.784447934999</v>
      </c>
      <c r="I91" s="231">
        <f t="shared" si="21"/>
        <v>18448.10798137305</v>
      </c>
      <c r="J91" s="231">
        <f t="shared" si="21"/>
        <v>19001.551220814239</v>
      </c>
      <c r="K91" s="231">
        <f t="shared" si="21"/>
        <v>19571.597757438667</v>
      </c>
      <c r="L91" s="256">
        <f t="shared" si="21"/>
        <v>20158.745690161824</v>
      </c>
      <c r="O91" s="126"/>
    </row>
    <row r="92" spans="2:15">
      <c r="B92" s="124" t="s">
        <v>601</v>
      </c>
      <c r="C92" s="231">
        <f t="shared" ref="C92:L92" si="22">$E$11+$E$12</f>
        <v>200000</v>
      </c>
      <c r="D92" s="231">
        <f t="shared" si="22"/>
        <v>200000</v>
      </c>
      <c r="E92" s="231">
        <f t="shared" si="22"/>
        <v>200000</v>
      </c>
      <c r="F92" s="231">
        <f t="shared" si="22"/>
        <v>200000</v>
      </c>
      <c r="G92" s="231">
        <f t="shared" si="22"/>
        <v>200000</v>
      </c>
      <c r="H92" s="231">
        <f t="shared" si="22"/>
        <v>200000</v>
      </c>
      <c r="I92" s="231">
        <f t="shared" si="22"/>
        <v>200000</v>
      </c>
      <c r="J92" s="231">
        <f t="shared" si="22"/>
        <v>200000</v>
      </c>
      <c r="K92" s="231">
        <f t="shared" si="22"/>
        <v>200000</v>
      </c>
      <c r="L92" s="256">
        <f t="shared" si="22"/>
        <v>200000</v>
      </c>
      <c r="O92" s="126"/>
    </row>
    <row r="93" spans="2:15">
      <c r="B93" s="124" t="s">
        <v>602</v>
      </c>
      <c r="C93" s="231">
        <f t="shared" ref="C93:L93" si="23">$E$11/$E$14*(5+C63)</f>
        <v>50526.31578947368</v>
      </c>
      <c r="D93" s="231">
        <f t="shared" si="23"/>
        <v>58947.368421052626</v>
      </c>
      <c r="E93" s="231">
        <f t="shared" si="23"/>
        <v>67368.421052631573</v>
      </c>
      <c r="F93" s="231">
        <f t="shared" si="23"/>
        <v>75789.473684210519</v>
      </c>
      <c r="G93" s="231">
        <f t="shared" si="23"/>
        <v>84210.526315789466</v>
      </c>
      <c r="H93" s="231">
        <f t="shared" si="23"/>
        <v>92631.578947368413</v>
      </c>
      <c r="I93" s="231">
        <f t="shared" si="23"/>
        <v>101052.63157894736</v>
      </c>
      <c r="J93" s="231">
        <f t="shared" si="23"/>
        <v>109473.68421052631</v>
      </c>
      <c r="K93" s="231">
        <f t="shared" si="23"/>
        <v>117894.73684210525</v>
      </c>
      <c r="L93" s="256">
        <f t="shared" si="23"/>
        <v>126315.7894736842</v>
      </c>
      <c r="O93" s="126"/>
    </row>
    <row r="94" spans="2:15">
      <c r="B94" s="124" t="s">
        <v>586</v>
      </c>
      <c r="C94" s="231">
        <f t="shared" ref="C94:L94" si="24">(C92-C93)</f>
        <v>149473.68421052632</v>
      </c>
      <c r="D94" s="231">
        <f t="shared" si="24"/>
        <v>141052.63157894736</v>
      </c>
      <c r="E94" s="231">
        <f t="shared" si="24"/>
        <v>132631.57894736843</v>
      </c>
      <c r="F94" s="231">
        <f t="shared" si="24"/>
        <v>124210.52631578948</v>
      </c>
      <c r="G94" s="231">
        <f t="shared" si="24"/>
        <v>115789.47368421053</v>
      </c>
      <c r="H94" s="231">
        <f t="shared" si="24"/>
        <v>107368.42105263159</v>
      </c>
      <c r="I94" s="231">
        <f t="shared" si="24"/>
        <v>98947.368421052641</v>
      </c>
      <c r="J94" s="231">
        <f t="shared" si="24"/>
        <v>90526.315789473694</v>
      </c>
      <c r="K94" s="231">
        <f t="shared" si="24"/>
        <v>82105.263157894748</v>
      </c>
      <c r="L94" s="256">
        <f t="shared" si="24"/>
        <v>73684.210526315801</v>
      </c>
      <c r="O94" s="126"/>
    </row>
    <row r="95" spans="2:15">
      <c r="B95" s="124"/>
      <c r="C95" s="231"/>
      <c r="D95" s="231"/>
      <c r="E95" s="231"/>
      <c r="F95" s="231"/>
      <c r="G95" s="231"/>
      <c r="H95" s="231"/>
      <c r="I95" s="231"/>
      <c r="J95" s="231"/>
      <c r="K95" s="231"/>
      <c r="L95" s="256"/>
      <c r="O95" s="126"/>
    </row>
    <row r="96" spans="2:15">
      <c r="B96" s="124" t="s">
        <v>603</v>
      </c>
      <c r="C96" s="231">
        <f t="shared" ref="C96:L96" si="25">C90-C91-C94</f>
        <v>92576.31578947368</v>
      </c>
      <c r="D96" s="231">
        <f t="shared" si="25"/>
        <v>108258.86842105264</v>
      </c>
      <c r="E96" s="231">
        <f t="shared" si="25"/>
        <v>124159.26605263157</v>
      </c>
      <c r="F96" s="231">
        <f t="shared" si="25"/>
        <v>140284.04403421044</v>
      </c>
      <c r="G96" s="231">
        <f t="shared" si="25"/>
        <v>156639.93377628943</v>
      </c>
      <c r="H96" s="231">
        <f t="shared" si="25"/>
        <v>173233.86863168341</v>
      </c>
      <c r="I96" s="231">
        <f t="shared" si="25"/>
        <v>190072.98995379184</v>
      </c>
      <c r="J96" s="231">
        <f t="shared" si="25"/>
        <v>207164.65333661606</v>
      </c>
      <c r="K96" s="231">
        <f t="shared" si="25"/>
        <v>224516.4350419777</v>
      </c>
      <c r="L96" s="256">
        <f t="shared" si="25"/>
        <v>242136.13861955283</v>
      </c>
      <c r="O96" s="126"/>
    </row>
    <row r="97" spans="2:15">
      <c r="B97" s="124"/>
      <c r="C97" s="231"/>
      <c r="D97" s="231"/>
      <c r="E97" s="231"/>
      <c r="F97" s="231"/>
      <c r="G97" s="231"/>
      <c r="H97" s="231"/>
      <c r="I97" s="231"/>
      <c r="J97" s="231"/>
      <c r="K97" s="231"/>
      <c r="L97" s="256"/>
      <c r="O97" s="126"/>
    </row>
    <row r="98" spans="2:15">
      <c r="B98" s="124" t="s">
        <v>604</v>
      </c>
      <c r="C98" s="231">
        <f t="shared" ref="C98:L98" si="26">0.28*C96</f>
        <v>25921.368421052633</v>
      </c>
      <c r="D98" s="231">
        <f t="shared" si="26"/>
        <v>30312.483157894741</v>
      </c>
      <c r="E98" s="231">
        <f t="shared" si="26"/>
        <v>34764.594494736841</v>
      </c>
      <c r="F98" s="231">
        <f t="shared" si="26"/>
        <v>39279.532329578928</v>
      </c>
      <c r="G98" s="231">
        <f t="shared" si="26"/>
        <v>43859.181457361046</v>
      </c>
      <c r="H98" s="231">
        <f t="shared" si="26"/>
        <v>48505.483216871362</v>
      </c>
      <c r="I98" s="231">
        <f t="shared" si="26"/>
        <v>53220.437187061718</v>
      </c>
      <c r="J98" s="231">
        <f t="shared" si="26"/>
        <v>58006.1029342525</v>
      </c>
      <c r="K98" s="231">
        <f t="shared" si="26"/>
        <v>62864.601811753761</v>
      </c>
      <c r="L98" s="256">
        <f t="shared" si="26"/>
        <v>67798.118813474794</v>
      </c>
      <c r="O98" s="126"/>
    </row>
    <row r="99" spans="2:15">
      <c r="B99" s="124"/>
      <c r="C99" s="231"/>
      <c r="D99" s="231"/>
      <c r="E99" s="231"/>
      <c r="F99" s="231"/>
      <c r="G99" s="231"/>
      <c r="H99" s="231"/>
      <c r="I99" s="231"/>
      <c r="J99" s="231"/>
      <c r="K99" s="231"/>
      <c r="L99" s="256"/>
      <c r="O99" s="126"/>
    </row>
    <row r="100" spans="2:15" ht="13" thickBot="1">
      <c r="B100" s="134" t="s">
        <v>605</v>
      </c>
      <c r="C100" s="254">
        <f t="shared" ref="C100:L100" si="27">C88-C98</f>
        <v>75773.762441545725</v>
      </c>
      <c r="D100" s="254">
        <f t="shared" si="27"/>
        <v>80961.64173334738</v>
      </c>
      <c r="E100" s="254">
        <f t="shared" si="27"/>
        <v>86574.547137033107</v>
      </c>
      <c r="F100" s="254">
        <f t="shared" si="27"/>
        <v>92648.217317315561</v>
      </c>
      <c r="G100" s="254">
        <f t="shared" si="27"/>
        <v>99222.123229725941</v>
      </c>
      <c r="H100" s="254">
        <f t="shared" si="27"/>
        <v>106339.88791658785</v>
      </c>
      <c r="I100" s="254">
        <f t="shared" si="27"/>
        <v>114049.75451828116</v>
      </c>
      <c r="J100" s="254">
        <f t="shared" si="27"/>
        <v>122405.10806832314</v>
      </c>
      <c r="K100" s="254">
        <f t="shared" si="27"/>
        <v>131465.0572848508</v>
      </c>
      <c r="L100" s="255">
        <f t="shared" si="27"/>
        <v>141295.08328966383</v>
      </c>
      <c r="O100" s="126"/>
    </row>
    <row r="101" spans="2:15">
      <c r="B101" s="124"/>
      <c r="O101" s="126"/>
    </row>
    <row r="102" spans="2:15" ht="13" thickBot="1">
      <c r="B102" s="124"/>
      <c r="O102" s="126"/>
    </row>
    <row r="103" spans="2:15" ht="13.5" thickBot="1">
      <c r="B103" s="1547" t="s">
        <v>606</v>
      </c>
      <c r="C103" s="1548"/>
      <c r="D103" s="1548"/>
      <c r="E103" s="1548"/>
      <c r="F103" s="1548"/>
      <c r="G103" s="1548"/>
      <c r="H103" s="1548"/>
      <c r="I103" s="1548"/>
      <c r="J103" s="1548"/>
      <c r="K103" s="1548"/>
      <c r="L103" s="1548"/>
      <c r="M103" s="1548"/>
      <c r="N103" s="1548"/>
      <c r="O103" s="1549"/>
    </row>
    <row r="104" spans="2:15" ht="13.5" thickBot="1">
      <c r="B104" s="124"/>
      <c r="C104" s="198" t="s">
        <v>262</v>
      </c>
      <c r="O104" s="126"/>
    </row>
    <row r="105" spans="2:15" ht="13.5" thickBot="1">
      <c r="B105" s="157" t="s">
        <v>376</v>
      </c>
      <c r="C105" s="157">
        <v>0</v>
      </c>
      <c r="D105" s="157">
        <f t="shared" ref="D105:M105" si="28">1+C105</f>
        <v>1</v>
      </c>
      <c r="E105" s="157">
        <f t="shared" si="28"/>
        <v>2</v>
      </c>
      <c r="F105" s="157">
        <f t="shared" si="28"/>
        <v>3</v>
      </c>
      <c r="G105" s="157">
        <f t="shared" si="28"/>
        <v>4</v>
      </c>
      <c r="H105" s="157">
        <f t="shared" si="28"/>
        <v>5</v>
      </c>
      <c r="I105" s="157">
        <f t="shared" si="28"/>
        <v>6</v>
      </c>
      <c r="J105" s="157">
        <f t="shared" si="28"/>
        <v>7</v>
      </c>
      <c r="K105" s="157">
        <f t="shared" si="28"/>
        <v>8</v>
      </c>
      <c r="L105" s="157">
        <f t="shared" si="28"/>
        <v>9</v>
      </c>
      <c r="M105" s="157">
        <f t="shared" si="28"/>
        <v>10</v>
      </c>
      <c r="N105" s="157" t="s">
        <v>607</v>
      </c>
      <c r="O105" s="157" t="s">
        <v>608</v>
      </c>
    </row>
    <row r="106" spans="2:15">
      <c r="B106" s="124">
        <v>1</v>
      </c>
      <c r="C106" s="231">
        <f t="shared" ref="C106:C115" si="29">-$H$58</f>
        <v>-70978.526315789481</v>
      </c>
      <c r="D106" s="231">
        <f>C$79+C$100</f>
        <v>81929.628112865175</v>
      </c>
      <c r="E106" s="231"/>
      <c r="F106" s="231"/>
      <c r="G106" s="231"/>
      <c r="H106" s="231"/>
      <c r="I106" s="231"/>
      <c r="J106" s="231"/>
      <c r="K106" s="231"/>
      <c r="L106" s="231"/>
      <c r="M106" s="231"/>
      <c r="N106" s="23">
        <f t="shared" ref="N106:N115" si="30">IRR(C106:M106,0.1)</f>
        <v>0.15428753406844931</v>
      </c>
      <c r="O106" s="300">
        <f>N106</f>
        <v>0.15428753406844931</v>
      </c>
    </row>
    <row r="107" spans="2:15">
      <c r="B107" s="124">
        <f t="shared" ref="B107:B115" si="31">1+B106</f>
        <v>2</v>
      </c>
      <c r="C107" s="231">
        <f t="shared" si="29"/>
        <v>-70978.526315789481</v>
      </c>
      <c r="D107" s="231">
        <f t="shared" ref="D107:D115" si="32">C$79</f>
        <v>6155.8656713194459</v>
      </c>
      <c r="E107" s="231">
        <f>D$79+D$100</f>
        <v>87562.659920664999</v>
      </c>
      <c r="F107" s="231"/>
      <c r="G107" s="231"/>
      <c r="H107" s="231"/>
      <c r="I107" s="231"/>
      <c r="J107" s="231"/>
      <c r="K107" s="231"/>
      <c r="L107" s="231"/>
      <c r="M107" s="231"/>
      <c r="N107" s="23">
        <f t="shared" si="30"/>
        <v>0.15490846655609847</v>
      </c>
      <c r="O107" s="300">
        <f>(E107/C100)-1</f>
        <v>0.15558020479996104</v>
      </c>
    </row>
    <row r="108" spans="2:15">
      <c r="B108" s="124">
        <f t="shared" si="31"/>
        <v>3</v>
      </c>
      <c r="C108" s="231">
        <f t="shared" si="29"/>
        <v>-70978.526315789481</v>
      </c>
      <c r="D108" s="231">
        <f t="shared" si="32"/>
        <v>6155.8656713194459</v>
      </c>
      <c r="E108" s="231">
        <f t="shared" ref="E108:E115" si="33">D$79</f>
        <v>6601.0181873176143</v>
      </c>
      <c r="F108" s="231">
        <f>E$79+E$100</f>
        <v>93628.303393588794</v>
      </c>
      <c r="G108" s="231"/>
      <c r="H108" s="231"/>
      <c r="I108" s="231"/>
      <c r="J108" s="231"/>
      <c r="K108" s="231"/>
      <c r="L108" s="231"/>
      <c r="M108" s="231"/>
      <c r="N108" s="23">
        <f t="shared" si="30"/>
        <v>0.15538325960459232</v>
      </c>
      <c r="O108" s="300">
        <f>(F108/D100)-1</f>
        <v>0.15645262854179665</v>
      </c>
    </row>
    <row r="109" spans="2:15">
      <c r="B109" s="124">
        <f t="shared" si="31"/>
        <v>4</v>
      </c>
      <c r="C109" s="231">
        <f t="shared" si="29"/>
        <v>-70978.526315789481</v>
      </c>
      <c r="D109" s="231">
        <f t="shared" si="32"/>
        <v>6155.8656713194459</v>
      </c>
      <c r="E109" s="231">
        <f t="shared" si="33"/>
        <v>6601.0181873176143</v>
      </c>
      <c r="F109" s="231">
        <f t="shared" ref="F109:F115" si="34">E$79</f>
        <v>7053.7562565556855</v>
      </c>
      <c r="G109" s="231">
        <f>F$79+F$100</f>
        <v>100161.85717840673</v>
      </c>
      <c r="H109" s="231"/>
      <c r="I109" s="231"/>
      <c r="J109" s="231"/>
      <c r="K109" s="231"/>
      <c r="L109" s="231"/>
      <c r="M109" s="231"/>
      <c r="N109" s="23">
        <f t="shared" si="30"/>
        <v>0.15572861576606156</v>
      </c>
      <c r="O109" s="300">
        <f>(G109/E100)-1</f>
        <v>0.15694347231025274</v>
      </c>
    </row>
    <row r="110" spans="2:15">
      <c r="B110" s="124">
        <f t="shared" si="31"/>
        <v>5</v>
      </c>
      <c r="C110" s="231">
        <f t="shared" si="29"/>
        <v>-70978.526315789481</v>
      </c>
      <c r="D110" s="231">
        <f t="shared" si="32"/>
        <v>6155.8656713194459</v>
      </c>
      <c r="E110" s="231">
        <f t="shared" si="33"/>
        <v>6601.0181873176143</v>
      </c>
      <c r="F110" s="231">
        <f t="shared" si="34"/>
        <v>7053.7562565556855</v>
      </c>
      <c r="G110" s="231">
        <f t="shared" ref="G110:G115" si="35">F$79</f>
        <v>7513.6398610911692</v>
      </c>
      <c r="H110" s="231">
        <f>G$79+G$100</f>
        <v>107202.26176006334</v>
      </c>
      <c r="I110" s="231"/>
      <c r="J110" s="231"/>
      <c r="K110" s="231"/>
      <c r="L110" s="231"/>
      <c r="M110" s="231"/>
      <c r="N110" s="23">
        <f t="shared" si="30"/>
        <v>0.15595987637505049</v>
      </c>
      <c r="O110" s="300">
        <f>(+H110/F100)-1</f>
        <v>0.1570893090462917</v>
      </c>
    </row>
    <row r="111" spans="2:15">
      <c r="B111" s="124">
        <f t="shared" si="31"/>
        <v>6</v>
      </c>
      <c r="C111" s="231">
        <f t="shared" si="29"/>
        <v>-70978.526315789481</v>
      </c>
      <c r="D111" s="231">
        <f t="shared" si="32"/>
        <v>6155.8656713194459</v>
      </c>
      <c r="E111" s="231">
        <f t="shared" si="33"/>
        <v>6601.0181873176143</v>
      </c>
      <c r="F111" s="231">
        <f t="shared" si="34"/>
        <v>7053.7562565556855</v>
      </c>
      <c r="G111" s="231">
        <f t="shared" si="35"/>
        <v>7513.6398610911692</v>
      </c>
      <c r="H111" s="231">
        <f>G$79</f>
        <v>7980.1385303373982</v>
      </c>
      <c r="I111" s="231">
        <f>H$79+H$100</f>
        <v>114792.50760454814</v>
      </c>
      <c r="J111" s="231"/>
      <c r="K111" s="231"/>
      <c r="L111" s="231"/>
      <c r="M111" s="231"/>
      <c r="N111" s="23">
        <f t="shared" si="30"/>
        <v>0.15609101671024606</v>
      </c>
      <c r="O111" s="300">
        <f>(I111/G100)-1</f>
        <v>0.15692452316075278</v>
      </c>
    </row>
    <row r="112" spans="2:15">
      <c r="B112" s="124">
        <f t="shared" si="31"/>
        <v>7</v>
      </c>
      <c r="C112" s="231">
        <f t="shared" si="29"/>
        <v>-70978.526315789481</v>
      </c>
      <c r="D112" s="231">
        <f t="shared" si="32"/>
        <v>6155.8656713194459</v>
      </c>
      <c r="E112" s="231">
        <f t="shared" si="33"/>
        <v>6601.0181873176143</v>
      </c>
      <c r="F112" s="231">
        <f t="shared" si="34"/>
        <v>7053.7562565556855</v>
      </c>
      <c r="G112" s="231">
        <f t="shared" si="35"/>
        <v>7513.6398610911692</v>
      </c>
      <c r="H112" s="231">
        <f>G$79</f>
        <v>7980.1385303373982</v>
      </c>
      <c r="I112" s="231">
        <f>H$79</f>
        <v>8452.6196879602976</v>
      </c>
      <c r="J112" s="231">
        <f>I$79+I$100</f>
        <v>122980.09013299206</v>
      </c>
      <c r="K112" s="231"/>
      <c r="L112" s="231"/>
      <c r="M112" s="231"/>
      <c r="N112" s="23">
        <f t="shared" si="30"/>
        <v>0.15613467870295317</v>
      </c>
      <c r="O112" s="300">
        <f>(J112/H100)-1</f>
        <v>0.15648128413918072</v>
      </c>
    </row>
    <row r="113" spans="2:15">
      <c r="B113" s="124">
        <f t="shared" si="31"/>
        <v>8</v>
      </c>
      <c r="C113" s="231">
        <f t="shared" si="29"/>
        <v>-70978.526315789481</v>
      </c>
      <c r="D113" s="231">
        <f t="shared" si="32"/>
        <v>6155.8656713194459</v>
      </c>
      <c r="E113" s="231">
        <f t="shared" si="33"/>
        <v>6601.0181873176143</v>
      </c>
      <c r="F113" s="231">
        <f t="shared" si="34"/>
        <v>7053.7562565556855</v>
      </c>
      <c r="G113" s="231">
        <f t="shared" si="35"/>
        <v>7513.6398610911692</v>
      </c>
      <c r="H113" s="231">
        <f>G$79</f>
        <v>7980.1385303373982</v>
      </c>
      <c r="I113" s="231">
        <f>H$79</f>
        <v>8452.6196879602976</v>
      </c>
      <c r="J113" s="231">
        <f>I$79</f>
        <v>8930.3356147109043</v>
      </c>
      <c r="K113" s="231">
        <f>J$79+J$100</f>
        <v>131817.51693428692</v>
      </c>
      <c r="L113" s="231"/>
      <c r="M113" s="231"/>
      <c r="N113" s="23">
        <f t="shared" si="30"/>
        <v>0.15610222988120737</v>
      </c>
      <c r="O113" s="300">
        <f>(K113/I100)-1</f>
        <v>0.15578957176236408</v>
      </c>
    </row>
    <row r="114" spans="2:15">
      <c r="B114" s="124">
        <f t="shared" si="31"/>
        <v>9</v>
      </c>
      <c r="C114" s="231">
        <f t="shared" si="29"/>
        <v>-70978.526315789481</v>
      </c>
      <c r="D114" s="231">
        <f t="shared" si="32"/>
        <v>6155.8656713194459</v>
      </c>
      <c r="E114" s="231">
        <f t="shared" si="33"/>
        <v>6601.0181873176143</v>
      </c>
      <c r="F114" s="231">
        <f t="shared" si="34"/>
        <v>7053.7562565556855</v>
      </c>
      <c r="G114" s="231">
        <f t="shared" si="35"/>
        <v>7513.6398610911692</v>
      </c>
      <c r="H114" s="231">
        <f>G$79</f>
        <v>7980.1385303373982</v>
      </c>
      <c r="I114" s="231">
        <f>H$79</f>
        <v>8452.6196879602976</v>
      </c>
      <c r="J114" s="231">
        <f>I$79</f>
        <v>8930.3356147109043</v>
      </c>
      <c r="K114" s="231">
        <f>J$79</f>
        <v>9412.4088659637655</v>
      </c>
      <c r="L114" s="231">
        <f>K$79+K$100</f>
        <v>141362.87324889278</v>
      </c>
      <c r="M114" s="231"/>
      <c r="N114" s="23">
        <f t="shared" si="30"/>
        <v>0.15600383942990481</v>
      </c>
      <c r="O114" s="300">
        <f>(L114/J100)-1</f>
        <v>0.15487723902819428</v>
      </c>
    </row>
    <row r="115" spans="2:15">
      <c r="B115" s="124">
        <f t="shared" si="31"/>
        <v>10</v>
      </c>
      <c r="C115" s="231">
        <f t="shared" si="29"/>
        <v>-70978.526315789481</v>
      </c>
      <c r="D115" s="231">
        <f t="shared" si="32"/>
        <v>6155.8656713194459</v>
      </c>
      <c r="E115" s="231">
        <f t="shared" si="33"/>
        <v>6601.0181873176143</v>
      </c>
      <c r="F115" s="231">
        <f t="shared" si="34"/>
        <v>7053.7562565556855</v>
      </c>
      <c r="G115" s="231">
        <f t="shared" si="35"/>
        <v>7513.6398610911692</v>
      </c>
      <c r="H115" s="231">
        <f>G$79</f>
        <v>7980.1385303373982</v>
      </c>
      <c r="I115" s="231">
        <f>H$79</f>
        <v>8452.6196879602976</v>
      </c>
      <c r="J115" s="231">
        <f>I$79</f>
        <v>8930.3356147109043</v>
      </c>
      <c r="K115" s="231">
        <f>J$79</f>
        <v>9412.4088659637655</v>
      </c>
      <c r="L115" s="231">
        <f>K$79</f>
        <v>9897.8159640419708</v>
      </c>
      <c r="M115" s="231">
        <f>L$79+L$100</f>
        <v>151680.45245422097</v>
      </c>
      <c r="N115" s="23">
        <f t="shared" si="30"/>
        <v>0.15584856421791038</v>
      </c>
      <c r="O115" s="300">
        <f>(M115/K100)-1</f>
        <v>0.15377010124879509</v>
      </c>
    </row>
    <row r="116" spans="2:15" ht="13" thickBot="1">
      <c r="B116" s="134"/>
      <c r="C116" s="4"/>
      <c r="D116" s="4"/>
      <c r="E116" s="4"/>
      <c r="F116" s="4"/>
      <c r="G116" s="4"/>
      <c r="H116" s="4"/>
      <c r="I116" s="4"/>
      <c r="J116" s="4"/>
      <c r="K116" s="4"/>
      <c r="L116" s="4"/>
      <c r="M116" s="4"/>
      <c r="N116" s="4"/>
      <c r="O116" s="135"/>
    </row>
  </sheetData>
  <mergeCells count="8">
    <mergeCell ref="B5:H5"/>
    <mergeCell ref="B2:O2"/>
    <mergeCell ref="B3:O3"/>
    <mergeCell ref="B8:F8"/>
    <mergeCell ref="B103:O103"/>
    <mergeCell ref="B83:L83"/>
    <mergeCell ref="B62:L62"/>
    <mergeCell ref="B41:H41"/>
  </mergeCells>
  <phoneticPr fontId="0" type="noConversion"/>
  <pageMargins left="0.75" right="0.75" top="1" bottom="1" header="0.5" footer="0.5"/>
  <pageSetup orientation="portrait" r:id="rId1"/>
  <headerFooter alignWithMargins="0"/>
  <ignoredErrors>
    <ignoredError sqref="C68:L68" formula="1"/>
  </ignoredError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AU537"/>
  <sheetViews>
    <sheetView workbookViewId="0">
      <selection activeCell="L80" sqref="L80"/>
    </sheetView>
  </sheetViews>
  <sheetFormatPr defaultRowHeight="12.5"/>
  <cols>
    <col min="2" max="2" width="21.26953125" customWidth="1"/>
    <col min="3" max="3" width="11.453125" customWidth="1"/>
    <col min="5" max="5" width="18.54296875" customWidth="1"/>
    <col min="9" max="9" width="17.453125" customWidth="1"/>
    <col min="10" max="10" width="12.7265625" customWidth="1"/>
    <col min="12" max="12" width="20" customWidth="1"/>
    <col min="14" max="15" width="12.26953125" customWidth="1"/>
    <col min="16" max="16" width="16.26953125" customWidth="1"/>
  </cols>
  <sheetData>
    <row r="1" spans="2:47" ht="13" thickBot="1"/>
    <row r="2" spans="2:47" ht="18.5" thickBot="1">
      <c r="B2" s="1525" t="s">
        <v>206</v>
      </c>
      <c r="C2" s="1557"/>
      <c r="D2" s="1557"/>
      <c r="E2" s="1557"/>
      <c r="F2" s="1557"/>
      <c r="G2" s="1557"/>
      <c r="H2" s="1557"/>
      <c r="I2" s="1657"/>
      <c r="J2" s="1657"/>
      <c r="K2" s="1657"/>
      <c r="L2" s="1657"/>
      <c r="M2" s="1657"/>
      <c r="N2" s="1657"/>
      <c r="O2" s="1657"/>
      <c r="P2" s="1657"/>
      <c r="Q2" s="1657"/>
      <c r="R2" s="1657"/>
      <c r="S2" s="1657"/>
      <c r="T2" s="1657"/>
      <c r="U2" s="1657"/>
      <c r="V2" s="1657"/>
      <c r="W2" s="1658"/>
      <c r="X2" s="39"/>
      <c r="Y2" s="39"/>
      <c r="Z2" s="39"/>
      <c r="AA2" s="39"/>
      <c r="AB2" s="39"/>
      <c r="AC2" s="39"/>
      <c r="AD2" s="39"/>
      <c r="AE2" s="39"/>
      <c r="AF2" s="39"/>
      <c r="AG2" s="39"/>
      <c r="AH2" s="39"/>
      <c r="AI2" s="39"/>
      <c r="AJ2" s="39"/>
      <c r="AK2" s="39"/>
      <c r="AL2" s="39"/>
      <c r="AM2" s="39"/>
      <c r="AN2" s="39"/>
      <c r="AO2" s="39"/>
      <c r="AP2" s="39"/>
      <c r="AQ2" s="39"/>
      <c r="AR2" s="39"/>
      <c r="AS2" s="39"/>
      <c r="AT2" s="39"/>
      <c r="AU2" s="39"/>
    </row>
    <row r="3" spans="2:47" ht="16" thickBot="1">
      <c r="B3" s="1528" t="s">
        <v>1129</v>
      </c>
      <c r="C3" s="1540"/>
      <c r="D3" s="1540"/>
      <c r="E3" s="1540"/>
      <c r="F3" s="1540"/>
      <c r="G3" s="1540"/>
      <c r="H3" s="1540"/>
      <c r="I3" s="1659"/>
      <c r="J3" s="1659"/>
      <c r="K3" s="1659"/>
      <c r="L3" s="1659"/>
      <c r="M3" s="1659"/>
      <c r="N3" s="1659"/>
      <c r="O3" s="1659"/>
      <c r="P3" s="1659"/>
      <c r="Q3" s="1659"/>
      <c r="R3" s="1659"/>
      <c r="S3" s="1659"/>
      <c r="T3" s="1659"/>
      <c r="U3" s="1659"/>
      <c r="V3" s="1659"/>
      <c r="W3" s="1660"/>
      <c r="X3" s="39"/>
      <c r="Y3" s="39"/>
      <c r="Z3" s="39"/>
      <c r="AA3" s="39"/>
      <c r="AB3" s="39"/>
      <c r="AC3" s="39"/>
      <c r="AD3" s="39"/>
      <c r="AE3" s="39"/>
      <c r="AF3" s="39"/>
      <c r="AG3" s="39"/>
      <c r="AH3" s="39"/>
      <c r="AI3" s="39"/>
      <c r="AJ3" s="39"/>
      <c r="AK3" s="39"/>
      <c r="AL3" s="39"/>
      <c r="AM3" s="39"/>
      <c r="AN3" s="39"/>
      <c r="AO3" s="39"/>
      <c r="AP3" s="39"/>
      <c r="AQ3" s="39"/>
      <c r="AR3" s="39"/>
      <c r="AS3" s="39"/>
      <c r="AT3" s="39"/>
      <c r="AU3" s="39"/>
    </row>
    <row r="4" spans="2:47">
      <c r="B4" s="124"/>
      <c r="I4" s="39"/>
      <c r="J4" s="39"/>
      <c r="K4" s="39"/>
      <c r="L4" s="39"/>
      <c r="M4" s="39"/>
      <c r="N4" s="39"/>
      <c r="O4" s="39"/>
      <c r="P4" s="39"/>
      <c r="Q4" s="39"/>
      <c r="R4" s="39"/>
      <c r="S4" s="39"/>
      <c r="T4" s="39"/>
      <c r="U4" s="39"/>
      <c r="V4" s="39"/>
      <c r="W4" s="146"/>
      <c r="X4" s="39"/>
      <c r="Y4" s="39"/>
      <c r="Z4" s="39"/>
      <c r="AA4" s="39"/>
      <c r="AB4" s="39"/>
      <c r="AC4" s="39"/>
      <c r="AD4" s="39"/>
      <c r="AE4" s="39"/>
      <c r="AF4" s="39"/>
      <c r="AG4" s="39"/>
      <c r="AH4" s="39"/>
      <c r="AI4" s="39"/>
      <c r="AJ4" s="39"/>
      <c r="AK4" s="39"/>
      <c r="AL4" s="39"/>
      <c r="AM4" s="39"/>
      <c r="AN4" s="39"/>
      <c r="AO4" s="39"/>
      <c r="AP4" s="39"/>
      <c r="AQ4" s="39"/>
      <c r="AR4" s="39"/>
      <c r="AS4" s="39"/>
      <c r="AT4" s="39"/>
      <c r="AU4" s="39"/>
    </row>
    <row r="5" spans="2:47" ht="13">
      <c r="B5" s="1661" t="s">
        <v>1106</v>
      </c>
      <c r="C5" s="1662"/>
      <c r="D5" s="1662"/>
      <c r="E5" s="1662"/>
      <c r="F5" s="1662"/>
      <c r="G5" s="1662"/>
      <c r="H5" s="1662"/>
      <c r="I5" s="39"/>
      <c r="J5" s="39"/>
      <c r="K5" s="39"/>
      <c r="L5" s="39"/>
      <c r="M5" s="39"/>
      <c r="N5" s="39"/>
      <c r="O5" s="39"/>
      <c r="P5" s="39"/>
      <c r="Q5" s="39"/>
      <c r="R5" s="39"/>
      <c r="S5" s="39"/>
      <c r="T5" s="39"/>
      <c r="U5" s="39"/>
      <c r="V5" s="39"/>
      <c r="W5" s="146"/>
      <c r="X5" s="39"/>
      <c r="Y5" s="39"/>
      <c r="Z5" s="39"/>
      <c r="AA5" s="39"/>
      <c r="AB5" s="39"/>
      <c r="AC5" s="39"/>
      <c r="AD5" s="39"/>
      <c r="AE5" s="39"/>
      <c r="AF5" s="39"/>
      <c r="AG5" s="39"/>
      <c r="AH5" s="39"/>
      <c r="AI5" s="39"/>
      <c r="AJ5" s="39"/>
      <c r="AK5" s="39"/>
      <c r="AL5" s="39"/>
      <c r="AM5" s="39"/>
      <c r="AN5" s="39"/>
      <c r="AO5" s="39"/>
      <c r="AP5" s="39"/>
      <c r="AQ5" s="39"/>
      <c r="AR5" s="39"/>
      <c r="AS5" s="39"/>
      <c r="AT5" s="39"/>
      <c r="AU5" s="39"/>
    </row>
    <row r="6" spans="2:47" ht="13" thickBot="1">
      <c r="B6" s="223"/>
      <c r="C6" s="212"/>
      <c r="D6" s="212"/>
      <c r="E6" s="212"/>
      <c r="F6" s="212"/>
      <c r="G6" s="212"/>
      <c r="H6" s="212"/>
      <c r="I6" s="39"/>
      <c r="J6" s="39"/>
      <c r="K6" s="39"/>
      <c r="L6" s="39"/>
      <c r="M6" s="39"/>
      <c r="N6" s="39"/>
      <c r="O6" s="39"/>
      <c r="P6" s="39"/>
      <c r="Q6" s="39"/>
      <c r="R6" s="39"/>
      <c r="S6" s="39"/>
      <c r="T6" s="39"/>
      <c r="U6" s="39"/>
      <c r="V6" s="39"/>
      <c r="W6" s="146"/>
      <c r="X6" s="39"/>
      <c r="Y6" s="39"/>
      <c r="Z6" s="39"/>
      <c r="AA6" s="39"/>
      <c r="AB6" s="39"/>
      <c r="AC6" s="39"/>
      <c r="AD6" s="39"/>
      <c r="AE6" s="39"/>
      <c r="AF6" s="39"/>
      <c r="AG6" s="39"/>
      <c r="AH6" s="39"/>
      <c r="AI6" s="39"/>
      <c r="AJ6" s="39"/>
      <c r="AK6" s="39"/>
      <c r="AL6" s="39"/>
      <c r="AM6" s="39"/>
      <c r="AN6" s="39"/>
      <c r="AO6" s="39"/>
      <c r="AP6" s="39"/>
      <c r="AQ6" s="39"/>
      <c r="AR6" s="39"/>
      <c r="AS6" s="39"/>
      <c r="AT6" s="39"/>
      <c r="AU6" s="39"/>
    </row>
    <row r="7" spans="2:47" ht="13.5" thickBot="1">
      <c r="B7" s="1617" t="s">
        <v>506</v>
      </c>
      <c r="C7" s="1538"/>
      <c r="D7" s="1538"/>
      <c r="E7" s="1538"/>
      <c r="F7" s="1538"/>
      <c r="G7" s="1539"/>
      <c r="H7" s="39"/>
      <c r="I7" s="1617" t="s">
        <v>507</v>
      </c>
      <c r="J7" s="1538"/>
      <c r="K7" s="1538"/>
      <c r="L7" s="1538"/>
      <c r="M7" s="1538"/>
      <c r="N7" s="1539"/>
      <c r="O7" s="39"/>
      <c r="P7" s="39"/>
      <c r="Q7" s="39"/>
      <c r="R7" s="39"/>
      <c r="S7" s="39"/>
      <c r="T7" s="39"/>
      <c r="U7" s="39"/>
      <c r="V7" s="39"/>
      <c r="W7" s="146"/>
      <c r="X7" s="39"/>
      <c r="Y7" s="39"/>
      <c r="Z7" s="39"/>
      <c r="AA7" s="39"/>
      <c r="AB7" s="39"/>
      <c r="AC7" s="39"/>
      <c r="AD7" s="39"/>
      <c r="AE7" s="39"/>
      <c r="AF7" s="39"/>
      <c r="AG7" s="39"/>
      <c r="AH7" s="39"/>
      <c r="AI7" s="39"/>
      <c r="AJ7" s="39"/>
      <c r="AK7" s="39"/>
      <c r="AL7" s="39"/>
      <c r="AM7" s="39"/>
      <c r="AN7" s="39"/>
      <c r="AO7" s="39"/>
      <c r="AP7" s="39"/>
      <c r="AQ7" s="39"/>
      <c r="AR7" s="39"/>
      <c r="AS7" s="39"/>
      <c r="AT7" s="39"/>
      <c r="AU7" s="39"/>
    </row>
    <row r="8" spans="2:47" ht="13" thickBot="1">
      <c r="B8" s="171"/>
      <c r="C8" s="39"/>
      <c r="D8" s="39"/>
      <c r="E8" s="39"/>
      <c r="F8" s="39"/>
      <c r="G8" s="146"/>
      <c r="H8" s="39"/>
      <c r="I8" s="228"/>
      <c r="J8" s="63"/>
      <c r="K8" s="63"/>
      <c r="L8" s="63"/>
      <c r="M8" s="63"/>
      <c r="N8" s="149"/>
      <c r="O8" s="39"/>
      <c r="P8" s="39"/>
      <c r="Q8" s="39"/>
      <c r="R8" s="39"/>
      <c r="S8" s="39"/>
      <c r="T8" s="39"/>
      <c r="U8" s="39"/>
      <c r="V8" s="39"/>
      <c r="W8" s="146"/>
      <c r="X8" s="39"/>
      <c r="Y8" s="39"/>
      <c r="Z8" s="39"/>
      <c r="AA8" s="39"/>
      <c r="AB8" s="39"/>
      <c r="AC8" s="39"/>
      <c r="AD8" s="39"/>
      <c r="AE8" s="39"/>
      <c r="AF8" s="39"/>
      <c r="AG8" s="39"/>
      <c r="AH8" s="39"/>
      <c r="AI8" s="39"/>
      <c r="AJ8" s="39"/>
      <c r="AK8" s="39"/>
      <c r="AL8" s="39"/>
      <c r="AM8" s="39"/>
      <c r="AN8" s="39"/>
      <c r="AO8" s="39"/>
      <c r="AP8" s="39"/>
      <c r="AQ8" s="39"/>
      <c r="AR8" s="39"/>
      <c r="AS8" s="39"/>
      <c r="AT8" s="39"/>
      <c r="AU8" s="39"/>
    </row>
    <row r="9" spans="2:47" ht="13.5" thickBot="1">
      <c r="B9" s="1531" t="s">
        <v>207</v>
      </c>
      <c r="C9" s="1592"/>
      <c r="D9" s="1592"/>
      <c r="E9" s="1592"/>
      <c r="F9" s="1592"/>
      <c r="G9" s="1593"/>
      <c r="H9" s="39"/>
      <c r="I9" s="1531" t="s">
        <v>508</v>
      </c>
      <c r="J9" s="1592"/>
      <c r="K9" s="1592"/>
      <c r="L9" s="1592"/>
      <c r="M9" s="1592"/>
      <c r="N9" s="1593"/>
      <c r="O9" s="39"/>
      <c r="P9" s="39"/>
      <c r="Q9" s="39"/>
      <c r="R9" s="39"/>
      <c r="S9" s="39"/>
      <c r="T9" s="39"/>
      <c r="U9" s="39"/>
      <c r="V9" s="39"/>
      <c r="W9" s="146"/>
      <c r="X9" s="39"/>
      <c r="Y9" s="39"/>
      <c r="Z9" s="39"/>
      <c r="AA9" s="39"/>
      <c r="AB9" s="39"/>
      <c r="AC9" s="39"/>
      <c r="AD9" s="39"/>
      <c r="AE9" s="39"/>
      <c r="AF9" s="39"/>
      <c r="AG9" s="39"/>
      <c r="AH9" s="39"/>
      <c r="AI9" s="39"/>
      <c r="AJ9" s="39"/>
      <c r="AK9" s="39"/>
      <c r="AL9" s="39"/>
      <c r="AM9" s="39"/>
      <c r="AN9" s="39"/>
      <c r="AO9" s="39"/>
      <c r="AP9" s="39"/>
      <c r="AQ9" s="39"/>
      <c r="AR9" s="39"/>
      <c r="AS9" s="39"/>
      <c r="AT9" s="39"/>
      <c r="AU9" s="39"/>
    </row>
    <row r="10" spans="2:47" ht="13.5" thickBot="1">
      <c r="B10" s="171" t="s">
        <v>509</v>
      </c>
      <c r="C10" s="39"/>
      <c r="D10" s="152">
        <v>200000</v>
      </c>
      <c r="E10" s="243" t="s">
        <v>363</v>
      </c>
      <c r="F10" s="39"/>
      <c r="G10" s="146"/>
      <c r="H10" s="39"/>
      <c r="I10" s="171" t="s">
        <v>510</v>
      </c>
      <c r="J10" s="39"/>
      <c r="K10" s="152">
        <v>250000</v>
      </c>
      <c r="L10" s="243" t="s">
        <v>363</v>
      </c>
      <c r="M10" s="39"/>
      <c r="N10" s="146"/>
      <c r="O10" s="39"/>
      <c r="P10" s="39"/>
      <c r="Q10" s="39"/>
      <c r="R10" s="39"/>
      <c r="S10" s="39"/>
      <c r="T10" s="39"/>
      <c r="U10" s="39"/>
      <c r="V10" s="39"/>
      <c r="W10" s="146"/>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row>
    <row r="11" spans="2:47">
      <c r="B11" s="171" t="s">
        <v>512</v>
      </c>
      <c r="C11" s="39"/>
      <c r="D11" s="152">
        <f>0.2*D10</f>
        <v>40000</v>
      </c>
      <c r="E11" s="39" t="s">
        <v>513</v>
      </c>
      <c r="F11" s="39"/>
      <c r="G11" s="248">
        <v>19</v>
      </c>
      <c r="H11" s="39"/>
      <c r="I11" s="171" t="s">
        <v>398</v>
      </c>
      <c r="J11" s="39"/>
      <c r="K11" s="152">
        <v>200000</v>
      </c>
      <c r="L11" s="39" t="s">
        <v>514</v>
      </c>
      <c r="M11" s="39"/>
      <c r="N11" s="146">
        <v>0.28000000000000003</v>
      </c>
      <c r="O11" s="39"/>
      <c r="P11" s="39"/>
      <c r="Q11" s="39"/>
      <c r="R11" s="39"/>
      <c r="S11" s="39"/>
      <c r="T11" s="39"/>
      <c r="U11" s="39"/>
      <c r="V11" s="39"/>
      <c r="W11" s="146"/>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row>
    <row r="12" spans="2:47">
      <c r="B12" s="171" t="s">
        <v>516</v>
      </c>
      <c r="C12" s="39"/>
      <c r="D12" s="152">
        <f>0.8*D10</f>
        <v>160000</v>
      </c>
      <c r="E12" s="39" t="s">
        <v>517</v>
      </c>
      <c r="F12" s="39"/>
      <c r="G12" s="248">
        <v>0.28000000000000003</v>
      </c>
      <c r="H12" s="39"/>
      <c r="I12" s="171" t="s">
        <v>518</v>
      </c>
      <c r="J12" s="39"/>
      <c r="K12" s="152">
        <f>0.8*K11</f>
        <v>160000</v>
      </c>
      <c r="L12" s="39" t="s">
        <v>517</v>
      </c>
      <c r="M12" s="39"/>
      <c r="N12" s="146">
        <v>0.28000000000000003</v>
      </c>
      <c r="O12" s="39"/>
      <c r="P12" s="39"/>
      <c r="Q12" s="39"/>
      <c r="R12" s="39"/>
      <c r="S12" s="39"/>
      <c r="T12" s="39"/>
      <c r="U12" s="39"/>
      <c r="V12" s="39"/>
      <c r="W12" s="146"/>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row>
    <row r="13" spans="2:47">
      <c r="B13" s="171" t="s">
        <v>520</v>
      </c>
      <c r="C13" s="39"/>
      <c r="D13" s="152">
        <v>0.5</v>
      </c>
      <c r="E13" s="39" t="s">
        <v>521</v>
      </c>
      <c r="F13" s="39"/>
      <c r="G13" s="248">
        <v>0.28000000000000003</v>
      </c>
      <c r="H13" s="39"/>
      <c r="I13" s="171" t="s">
        <v>522</v>
      </c>
      <c r="J13" s="39"/>
      <c r="K13" s="152">
        <f>0.2*K11</f>
        <v>40000</v>
      </c>
      <c r="L13" s="39" t="s">
        <v>523</v>
      </c>
      <c r="M13" s="39"/>
      <c r="N13" s="146">
        <v>19</v>
      </c>
      <c r="O13" s="39"/>
      <c r="P13" s="39"/>
      <c r="Q13" s="39"/>
      <c r="R13" s="39"/>
      <c r="S13" s="39"/>
      <c r="T13" s="39"/>
      <c r="U13" s="39"/>
      <c r="V13" s="39"/>
      <c r="W13" s="146"/>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row>
    <row r="14" spans="2:47">
      <c r="B14" s="171" t="s">
        <v>524</v>
      </c>
      <c r="C14" s="39"/>
      <c r="D14" s="152">
        <v>0.04</v>
      </c>
      <c r="E14" s="39"/>
      <c r="F14" s="39"/>
      <c r="G14" s="146"/>
      <c r="H14" s="39"/>
      <c r="I14" s="171" t="s">
        <v>524</v>
      </c>
      <c r="J14" s="39"/>
      <c r="K14" s="152">
        <v>0.03</v>
      </c>
      <c r="L14" s="39"/>
      <c r="M14" s="39"/>
      <c r="N14" s="146"/>
      <c r="O14" s="39"/>
      <c r="P14" s="39"/>
      <c r="Q14" s="39"/>
      <c r="R14" s="39"/>
      <c r="S14" s="39"/>
      <c r="T14" s="39"/>
      <c r="U14" s="39"/>
      <c r="V14" s="39"/>
      <c r="W14" s="146"/>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row>
    <row r="15" spans="2:47">
      <c r="B15" s="171" t="s">
        <v>526</v>
      </c>
      <c r="C15" s="39"/>
      <c r="D15" s="152">
        <v>0.03</v>
      </c>
      <c r="E15" s="39"/>
      <c r="F15" s="39"/>
      <c r="G15" s="146"/>
      <c r="H15" s="39"/>
      <c r="I15" s="171" t="s">
        <v>520</v>
      </c>
      <c r="J15" s="39"/>
      <c r="K15" s="152">
        <v>0.5</v>
      </c>
      <c r="L15" s="39"/>
      <c r="M15" s="39"/>
      <c r="N15" s="146"/>
      <c r="O15" s="39"/>
      <c r="P15" s="39"/>
      <c r="Q15" s="39"/>
      <c r="R15" s="39"/>
      <c r="S15" s="39"/>
      <c r="T15" s="39"/>
      <c r="U15" s="39"/>
      <c r="V15" s="39"/>
      <c r="W15" s="146"/>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row>
    <row r="16" spans="2:47">
      <c r="B16" s="171" t="s">
        <v>368</v>
      </c>
      <c r="C16" s="39"/>
      <c r="D16" s="152">
        <v>0.75</v>
      </c>
      <c r="E16" s="39"/>
      <c r="F16" s="39"/>
      <c r="G16" s="146"/>
      <c r="H16" s="39"/>
      <c r="I16" s="171" t="s">
        <v>526</v>
      </c>
      <c r="J16" s="39"/>
      <c r="K16" s="152">
        <v>0.03</v>
      </c>
      <c r="L16" s="39"/>
      <c r="M16" s="39"/>
      <c r="N16" s="146"/>
      <c r="O16" s="39"/>
      <c r="P16" s="39"/>
      <c r="Q16" s="39"/>
      <c r="R16" s="39"/>
      <c r="S16" s="39"/>
      <c r="T16" s="39"/>
      <c r="U16" s="39"/>
      <c r="V16" s="39"/>
      <c r="W16" s="146"/>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row>
    <row r="17" spans="2:47">
      <c r="B17" s="171" t="s">
        <v>529</v>
      </c>
      <c r="C17" s="39"/>
      <c r="D17" s="152">
        <f>D16*D10</f>
        <v>150000</v>
      </c>
      <c r="E17" s="39"/>
      <c r="F17" s="39"/>
      <c r="G17" s="146"/>
      <c r="H17" s="39"/>
      <c r="I17" s="171" t="s">
        <v>530</v>
      </c>
      <c r="J17" s="39"/>
      <c r="K17" s="152">
        <v>289819</v>
      </c>
      <c r="L17" s="39"/>
      <c r="M17" s="39"/>
      <c r="N17" s="146"/>
      <c r="O17" s="39"/>
      <c r="P17" s="39"/>
      <c r="Q17" s="39"/>
      <c r="R17" s="39"/>
      <c r="S17" s="39"/>
      <c r="T17" s="39"/>
      <c r="U17" s="39"/>
      <c r="V17" s="39"/>
      <c r="W17" s="146"/>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row>
    <row r="18" spans="2:47">
      <c r="B18" s="171" t="s">
        <v>212</v>
      </c>
      <c r="C18" s="39"/>
      <c r="D18" s="152">
        <v>0.11</v>
      </c>
      <c r="E18" s="39"/>
      <c r="F18" s="39"/>
      <c r="G18" s="146"/>
      <c r="H18" s="39"/>
      <c r="I18" s="171" t="s">
        <v>477</v>
      </c>
      <c r="J18" s="39"/>
      <c r="K18" s="152">
        <v>0.06</v>
      </c>
      <c r="L18" s="39"/>
      <c r="M18" s="39"/>
      <c r="N18" s="146"/>
      <c r="O18" s="39"/>
      <c r="P18" s="39"/>
      <c r="Q18" s="39"/>
      <c r="R18" s="39"/>
      <c r="S18" s="39"/>
      <c r="T18" s="39"/>
      <c r="U18" s="39"/>
      <c r="V18" s="39"/>
      <c r="W18" s="146"/>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row>
    <row r="19" spans="2:47">
      <c r="B19" s="171" t="s">
        <v>532</v>
      </c>
      <c r="C19" s="39"/>
      <c r="D19" s="152">
        <v>25</v>
      </c>
      <c r="E19" s="39"/>
      <c r="F19" s="39"/>
      <c r="G19" s="146"/>
      <c r="H19" s="39"/>
      <c r="I19" s="171" t="s">
        <v>1130</v>
      </c>
      <c r="J19" s="39"/>
      <c r="K19" s="152">
        <f>L19*K10</f>
        <v>187500</v>
      </c>
      <c r="L19" s="55">
        <v>0.75</v>
      </c>
      <c r="M19" s="39" t="s">
        <v>1022</v>
      </c>
      <c r="N19" s="146"/>
      <c r="O19" s="39"/>
      <c r="P19" s="39"/>
      <c r="Q19" s="39"/>
      <c r="R19" s="39"/>
      <c r="S19" s="39"/>
      <c r="T19" s="39"/>
      <c r="U19" s="39"/>
      <c r="V19" s="39"/>
      <c r="W19" s="146"/>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row>
    <row r="20" spans="2:47">
      <c r="B20" s="171" t="s">
        <v>470</v>
      </c>
      <c r="C20" s="39"/>
      <c r="D20" s="152">
        <v>12</v>
      </c>
      <c r="E20" s="39"/>
      <c r="F20" s="39"/>
      <c r="G20" s="146"/>
      <c r="H20" s="39"/>
      <c r="I20" s="171" t="s">
        <v>212</v>
      </c>
      <c r="J20" s="39"/>
      <c r="K20" s="152">
        <v>0.12</v>
      </c>
      <c r="L20" s="39"/>
      <c r="M20" s="39"/>
      <c r="N20" s="146"/>
      <c r="O20" s="39"/>
      <c r="P20" s="39"/>
      <c r="Q20" s="39"/>
      <c r="R20" s="39"/>
      <c r="S20" s="39"/>
      <c r="T20" s="39"/>
      <c r="U20" s="39"/>
      <c r="V20" s="39"/>
      <c r="W20" s="146"/>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row>
    <row r="21" spans="2:47">
      <c r="B21" s="171" t="s">
        <v>534</v>
      </c>
      <c r="C21" s="39"/>
      <c r="D21" s="152">
        <v>5</v>
      </c>
      <c r="E21" s="39"/>
      <c r="F21" s="39"/>
      <c r="G21" s="146"/>
      <c r="H21" s="39"/>
      <c r="I21" s="171" t="s">
        <v>532</v>
      </c>
      <c r="J21" s="39"/>
      <c r="K21" s="152">
        <v>25</v>
      </c>
      <c r="L21" s="39"/>
      <c r="M21" s="39"/>
      <c r="N21" s="146"/>
      <c r="O21" s="39"/>
      <c r="P21" s="39"/>
      <c r="Q21" s="39"/>
      <c r="R21" s="39"/>
      <c r="S21" s="39"/>
      <c r="T21" s="39"/>
      <c r="U21" s="39"/>
      <c r="V21" s="39"/>
      <c r="W21" s="146"/>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row>
    <row r="22" spans="2:47">
      <c r="B22" s="171" t="s">
        <v>477</v>
      </c>
      <c r="C22" s="39"/>
      <c r="D22" s="152">
        <v>0.06</v>
      </c>
      <c r="E22" s="39"/>
      <c r="F22" s="39"/>
      <c r="G22" s="146"/>
      <c r="H22" s="39"/>
      <c r="I22" s="171" t="s">
        <v>470</v>
      </c>
      <c r="J22" s="39"/>
      <c r="K22" s="152">
        <v>12</v>
      </c>
      <c r="L22" s="39"/>
      <c r="M22" s="39"/>
      <c r="N22" s="146"/>
      <c r="O22" s="39"/>
      <c r="P22" s="39"/>
      <c r="Q22" s="39"/>
      <c r="R22" s="39"/>
      <c r="S22" s="39"/>
      <c r="T22" s="39"/>
      <c r="U22" s="39"/>
      <c r="V22" s="39"/>
      <c r="W22" s="146"/>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row>
    <row r="23" spans="2:47" ht="13" thickBot="1">
      <c r="B23" s="171" t="s">
        <v>536</v>
      </c>
      <c r="C23" s="39"/>
      <c r="D23" s="152">
        <v>250000</v>
      </c>
      <c r="E23" s="39"/>
      <c r="F23" s="39"/>
      <c r="G23" s="146"/>
      <c r="H23" s="39"/>
      <c r="I23" s="171" t="s">
        <v>537</v>
      </c>
      <c r="J23" s="39"/>
      <c r="K23" s="152">
        <v>10</v>
      </c>
      <c r="L23" s="39"/>
      <c r="M23" s="39"/>
      <c r="N23" s="146"/>
      <c r="O23" s="39"/>
      <c r="P23" s="39"/>
      <c r="Q23" s="39"/>
      <c r="R23" s="39"/>
      <c r="S23" s="39"/>
      <c r="T23" s="39"/>
      <c r="U23" s="39"/>
      <c r="V23" s="39"/>
      <c r="W23" s="146"/>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row>
    <row r="24" spans="2:47" ht="13.5" thickBot="1">
      <c r="B24" s="171"/>
      <c r="C24" s="39"/>
      <c r="D24" s="39"/>
      <c r="E24" s="39"/>
      <c r="F24" s="39"/>
      <c r="G24" s="146"/>
      <c r="H24" s="39"/>
      <c r="I24" s="243" t="s">
        <v>538</v>
      </c>
      <c r="J24" s="39"/>
      <c r="K24" s="39"/>
      <c r="L24" s="39"/>
      <c r="M24" s="39"/>
      <c r="N24" s="146"/>
      <c r="O24" s="39"/>
      <c r="P24" s="39"/>
      <c r="Q24" s="39"/>
      <c r="R24" s="39"/>
      <c r="S24" s="39"/>
      <c r="T24" s="39"/>
      <c r="U24" s="39"/>
      <c r="V24" s="39"/>
      <c r="W24" s="146"/>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row>
    <row r="25" spans="2:47">
      <c r="B25" s="171" t="s">
        <v>291</v>
      </c>
      <c r="C25" s="152">
        <f>D11+D12-D17</f>
        <v>50000</v>
      </c>
      <c r="D25" s="39"/>
      <c r="E25" s="39"/>
      <c r="F25" s="39"/>
      <c r="G25" s="146"/>
      <c r="H25" s="39"/>
      <c r="I25" s="171" t="s">
        <v>291</v>
      </c>
      <c r="J25" s="152">
        <f>K11-K19</f>
        <v>12500</v>
      </c>
      <c r="K25" s="39"/>
      <c r="L25" s="39"/>
      <c r="M25" s="39"/>
      <c r="N25" s="146"/>
      <c r="O25" s="39"/>
      <c r="P25" s="39"/>
      <c r="Q25" s="39"/>
      <c r="R25" s="39"/>
      <c r="S25" s="39"/>
      <c r="T25" s="39"/>
      <c r="U25" s="39"/>
      <c r="V25" s="39"/>
      <c r="W25" s="146"/>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row>
    <row r="26" spans="2:47">
      <c r="B26" s="171" t="s">
        <v>381</v>
      </c>
      <c r="C26" s="152">
        <f>D17</f>
        <v>150000</v>
      </c>
      <c r="D26" s="39"/>
      <c r="E26" s="39"/>
      <c r="F26" s="39"/>
      <c r="G26" s="146"/>
      <c r="H26" s="39"/>
      <c r="I26" s="171" t="s">
        <v>381</v>
      </c>
      <c r="J26" s="152">
        <f>K19</f>
        <v>187500</v>
      </c>
      <c r="K26" s="39"/>
      <c r="L26" s="39"/>
      <c r="M26" s="39"/>
      <c r="N26" s="146"/>
      <c r="O26" s="39"/>
      <c r="P26" s="39"/>
      <c r="Q26" s="39"/>
      <c r="R26" s="39"/>
      <c r="S26" s="39"/>
      <c r="T26" s="39"/>
      <c r="U26" s="39"/>
      <c r="V26" s="39"/>
      <c r="W26" s="146"/>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row>
    <row r="27" spans="2:47">
      <c r="B27" s="171" t="s">
        <v>382</v>
      </c>
      <c r="C27" s="152">
        <f>PMT(D18/D20,D19*D20,-C26)*D20</f>
        <v>17642.035384501487</v>
      </c>
      <c r="D27" s="39"/>
      <c r="E27" s="39"/>
      <c r="F27" s="39"/>
      <c r="G27" s="146"/>
      <c r="H27" s="39"/>
      <c r="I27" s="171" t="s">
        <v>541</v>
      </c>
      <c r="J27" s="152">
        <f>PMT(K20/K22,K21*K22,-K19)*K22</f>
        <v>23697.543199446627</v>
      </c>
      <c r="K27" s="39"/>
      <c r="L27" s="39"/>
      <c r="M27" s="39"/>
      <c r="N27" s="146"/>
      <c r="O27" s="39"/>
      <c r="P27" s="39"/>
      <c r="Q27" s="39"/>
      <c r="R27" s="39"/>
      <c r="S27" s="39"/>
      <c r="T27" s="39"/>
      <c r="U27" s="39"/>
      <c r="V27" s="39"/>
      <c r="W27" s="146"/>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row>
    <row r="28" spans="2:47" ht="13" thickBot="1">
      <c r="B28" s="371" t="s">
        <v>383</v>
      </c>
      <c r="C28" s="621">
        <f>PV($D$18/$D$20,($D$19-D21)*$D$20,-($C$27/$D$20))</f>
        <v>142432.29494093184</v>
      </c>
      <c r="D28" s="372" t="s">
        <v>542</v>
      </c>
      <c r="E28" s="372"/>
      <c r="F28" s="372"/>
      <c r="G28" s="373"/>
      <c r="H28" s="34"/>
      <c r="I28" s="371" t="s">
        <v>543</v>
      </c>
      <c r="J28" s="621">
        <f>PV(K20/K22,(K21-K23)*K22,-(J27/K22))</f>
        <v>164543.22765255967</v>
      </c>
      <c r="K28" s="622" t="s">
        <v>544</v>
      </c>
      <c r="L28" s="623">
        <f>K23</f>
        <v>10</v>
      </c>
      <c r="M28" s="63"/>
      <c r="N28" s="149"/>
      <c r="O28" s="39"/>
      <c r="P28" s="39"/>
      <c r="Q28" s="39"/>
      <c r="R28" s="39"/>
      <c r="S28" s="39"/>
      <c r="T28" s="39"/>
      <c r="U28" s="39"/>
      <c r="V28" s="39"/>
      <c r="W28" s="146"/>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row>
    <row r="29" spans="2:47">
      <c r="B29" s="171"/>
      <c r="C29" s="39"/>
      <c r="D29" s="57"/>
      <c r="E29" s="57"/>
      <c r="F29" s="57"/>
      <c r="G29" s="57"/>
      <c r="H29" s="34"/>
      <c r="I29" s="39"/>
      <c r="J29" s="39"/>
      <c r="K29" s="39"/>
      <c r="L29" s="39"/>
      <c r="M29" s="39"/>
      <c r="N29" s="39"/>
      <c r="O29" s="39"/>
      <c r="P29" s="39"/>
      <c r="Q29" s="39"/>
      <c r="R29" s="39"/>
      <c r="S29" s="39"/>
      <c r="T29" s="39"/>
      <c r="U29" s="39"/>
      <c r="V29" s="39"/>
      <c r="W29" s="146"/>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row>
    <row r="30" spans="2:47" ht="13" thickBot="1">
      <c r="B30" s="369"/>
      <c r="C30" s="57"/>
      <c r="D30" s="57"/>
      <c r="E30" s="57"/>
      <c r="F30" s="57"/>
      <c r="G30" s="57"/>
      <c r="H30" s="39"/>
      <c r="I30" s="39"/>
      <c r="J30" s="34"/>
      <c r="K30" s="34"/>
      <c r="L30" s="34"/>
      <c r="M30" s="34"/>
      <c r="N30" s="39"/>
      <c r="O30" s="39"/>
      <c r="P30" s="39"/>
      <c r="Q30" s="39"/>
      <c r="R30" s="39"/>
      <c r="S30" s="39"/>
      <c r="T30" s="39"/>
      <c r="U30" s="39"/>
      <c r="V30" s="39"/>
      <c r="W30" s="146"/>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row>
    <row r="31" spans="2:47" ht="13.5" thickBot="1">
      <c r="B31" s="1617" t="s">
        <v>385</v>
      </c>
      <c r="C31" s="1538"/>
      <c r="D31" s="1538"/>
      <c r="E31" s="1538"/>
      <c r="F31" s="1538"/>
      <c r="G31" s="1539"/>
      <c r="H31" s="39"/>
      <c r="I31" s="633"/>
      <c r="J31" s="277"/>
      <c r="K31" s="277"/>
      <c r="L31" s="277"/>
      <c r="M31" s="277"/>
      <c r="N31" s="576" t="s">
        <v>545</v>
      </c>
      <c r="O31" s="39"/>
      <c r="P31" s="39"/>
      <c r="Q31" s="39"/>
      <c r="R31" s="39"/>
      <c r="S31" s="39"/>
      <c r="T31" s="39"/>
      <c r="U31" s="39"/>
      <c r="V31" s="39"/>
      <c r="W31" s="146"/>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row>
    <row r="32" spans="2:47" ht="13.5" thickBot="1">
      <c r="B32" s="576" t="s">
        <v>386</v>
      </c>
      <c r="C32" s="576">
        <v>1</v>
      </c>
      <c r="D32" s="576">
        <f>(1+C32)</f>
        <v>2</v>
      </c>
      <c r="E32" s="576">
        <f>(1+D32)</f>
        <v>3</v>
      </c>
      <c r="F32" s="576">
        <f>(1+E32)</f>
        <v>4</v>
      </c>
      <c r="G32" s="576">
        <f>(1+F32)</f>
        <v>5</v>
      </c>
      <c r="H32" s="39"/>
      <c r="I32" s="576">
        <v>6</v>
      </c>
      <c r="J32" s="576">
        <v>7</v>
      </c>
      <c r="K32" s="576">
        <v>8</v>
      </c>
      <c r="L32" s="576">
        <v>9</v>
      </c>
      <c r="M32" s="576">
        <v>10</v>
      </c>
      <c r="N32" s="146"/>
      <c r="O32" s="39"/>
      <c r="P32" s="39"/>
      <c r="Q32" s="39"/>
      <c r="R32" s="39"/>
      <c r="S32" s="39"/>
      <c r="T32" s="39"/>
      <c r="U32" s="39"/>
      <c r="V32" s="39"/>
      <c r="W32" s="146"/>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row>
    <row r="33" spans="2:47">
      <c r="B33" s="369" t="s">
        <v>209</v>
      </c>
      <c r="C33" s="57">
        <f>$C$27</f>
        <v>17642.035384501487</v>
      </c>
      <c r="D33" s="57">
        <f>$C$27</f>
        <v>17642.035384501487</v>
      </c>
      <c r="E33" s="57">
        <f>$C$27</f>
        <v>17642.035384501487</v>
      </c>
      <c r="F33" s="57">
        <f>$C$27</f>
        <v>17642.035384501487</v>
      </c>
      <c r="G33" s="370">
        <f>$C$27</f>
        <v>17642.035384501487</v>
      </c>
      <c r="H33" s="39"/>
      <c r="I33" s="619">
        <f>$J$27</f>
        <v>23697.543199446627</v>
      </c>
      <c r="J33" s="619">
        <f>$J$27</f>
        <v>23697.543199446627</v>
      </c>
      <c r="K33" s="619">
        <f>$J$27</f>
        <v>23697.543199446627</v>
      </c>
      <c r="L33" s="619">
        <f>$J$27</f>
        <v>23697.543199446627</v>
      </c>
      <c r="M33" s="619">
        <f>$J$27</f>
        <v>23697.543199446627</v>
      </c>
      <c r="N33" s="146"/>
      <c r="O33" s="39"/>
      <c r="P33" s="39"/>
      <c r="Q33" s="39"/>
      <c r="R33" s="39"/>
      <c r="S33" s="39"/>
      <c r="T33" s="39"/>
      <c r="U33" s="39"/>
      <c r="V33" s="39"/>
      <c r="W33" s="146"/>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row>
    <row r="34" spans="2:47">
      <c r="B34" s="369" t="s">
        <v>383</v>
      </c>
      <c r="C34" s="57">
        <f>PV($D$18/$D$20,($D$19-C32)*$D$20,-($C$27/$D$20))</f>
        <v>148798.59085828881</v>
      </c>
      <c r="D34" s="57">
        <f>PV($D$18/$D$20,($D$19-D32)*$D$20,-($C$27/$D$20))</f>
        <v>147458.1560489042</v>
      </c>
      <c r="E34" s="57">
        <f>PV($D$18/$D$20,($D$19-E32)*$D$20,-($C$27/$D$20))</f>
        <v>145962.60768338203</v>
      </c>
      <c r="F34" s="57">
        <f>PV($D$18/$D$20,($D$19-F32)*$D$20,-($C$27/$D$20))</f>
        <v>144293.996201528</v>
      </c>
      <c r="G34" s="370">
        <f>PV($D$18/$D$20,($D$19-G32)*$D$20,-($C$27/$D$20))</f>
        <v>142432.29494093184</v>
      </c>
      <c r="H34" s="39"/>
      <c r="I34" s="619">
        <f>PV($K$20/$K$22,($K$21-I32+5)*$K$22,-($J$27/$K$22))</f>
        <v>186234.34623038207</v>
      </c>
      <c r="J34" s="619">
        <f>PV($K$20/$K$22,($K$21-J32+5)*$K$22,-($J$27/$K$22))</f>
        <v>184808.17588329563</v>
      </c>
      <c r="K34" s="619">
        <f>PV($K$20/$K$22,($K$21-K32+5)*$K$22,-($J$27/$K$22))</f>
        <v>183201.13143896672</v>
      </c>
      <c r="L34" s="619">
        <f>PV($K$20/$K$22,($K$21-L32+5)*$K$22,-($J$27/$K$22))</f>
        <v>181390.27353456235</v>
      </c>
      <c r="M34" s="619">
        <f>PV($K$20/$K$22,($K$21-M32+5)*$K$22,-($J$27/$K$22))</f>
        <v>179349.75352186715</v>
      </c>
      <c r="N34" s="146"/>
      <c r="O34" s="39"/>
      <c r="P34" s="39"/>
      <c r="Q34" s="39"/>
      <c r="R34" s="39"/>
      <c r="S34" s="39"/>
      <c r="T34" s="39"/>
      <c r="U34" s="39"/>
      <c r="V34" s="39"/>
      <c r="W34" s="146"/>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row>
    <row r="35" spans="2:47">
      <c r="B35" s="369" t="s">
        <v>210</v>
      </c>
      <c r="C35" s="57">
        <f>($C$27-(C26-C34))</f>
        <v>16440.626242790295</v>
      </c>
      <c r="D35" s="57">
        <f>IF(C34&gt;0,($C$27-((C34-D34))),0)</f>
        <v>16301.600575116881</v>
      </c>
      <c r="E35" s="57">
        <f>IF(D34&gt;0,($C$27-((D34-E34))),0)</f>
        <v>16146.487018979311</v>
      </c>
      <c r="F35" s="57">
        <f>IF(E34&gt;0,($C$27-((E34-F34))),0)</f>
        <v>15973.423902647464</v>
      </c>
      <c r="G35" s="370">
        <f>IF(F34&gt;0,($C$27-((F34-G34))),0)</f>
        <v>15780.334123905322</v>
      </c>
      <c r="H35" s="39"/>
      <c r="I35" s="619">
        <f>IF(K19&gt;0,($J$27-((K19-I34))),0)</f>
        <v>22431.889429828698</v>
      </c>
      <c r="J35" s="57">
        <f>IF(I34&gt;0,($J$27-((I34-J34))),0)</f>
        <v>22271.372852360182</v>
      </c>
      <c r="K35" s="57">
        <f>IF(J34&gt;0,($J$27-((J34-K34))),0)</f>
        <v>22090.498755117726</v>
      </c>
      <c r="L35" s="57">
        <f>IF(K34&gt;0,($J$27-((K34-L34))),0)</f>
        <v>21886.685295042254</v>
      </c>
      <c r="M35" s="57">
        <f>IF(L34&gt;0,($J$27-((L34-M34))),0)</f>
        <v>21657.02318675143</v>
      </c>
      <c r="N35" s="146"/>
      <c r="O35" s="39"/>
      <c r="P35" s="39"/>
      <c r="Q35" s="39"/>
      <c r="R35" s="39"/>
      <c r="S35" s="39"/>
      <c r="T35" s="39"/>
      <c r="U35" s="39"/>
      <c r="V35" s="39"/>
      <c r="W35" s="146"/>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row>
    <row r="36" spans="2:47" ht="13" thickBot="1">
      <c r="B36" s="371" t="s">
        <v>387</v>
      </c>
      <c r="C36" s="372">
        <f>C33-C35</f>
        <v>1201.4091417111922</v>
      </c>
      <c r="D36" s="372">
        <f>D33-D35</f>
        <v>1340.4348093846056</v>
      </c>
      <c r="E36" s="372">
        <f>E33-E35</f>
        <v>1495.548365522176</v>
      </c>
      <c r="F36" s="372">
        <f>F33-F35</f>
        <v>1668.6114818540227</v>
      </c>
      <c r="G36" s="373">
        <f>G33-G35</f>
        <v>1861.7012605961645</v>
      </c>
      <c r="H36" s="39"/>
      <c r="I36" s="634">
        <f>I33-I35</f>
        <v>1265.6537696179294</v>
      </c>
      <c r="J36" s="372">
        <f>J33-J35</f>
        <v>1426.170347086445</v>
      </c>
      <c r="K36" s="372">
        <f>K33-K35</f>
        <v>1607.0444443289016</v>
      </c>
      <c r="L36" s="372">
        <f>L33-L35</f>
        <v>1810.8579044043727</v>
      </c>
      <c r="M36" s="372">
        <f>M33-M35</f>
        <v>2040.5200126951968</v>
      </c>
      <c r="N36" s="149"/>
      <c r="O36" s="39"/>
      <c r="P36" s="39"/>
      <c r="Q36" s="39"/>
      <c r="R36" s="39"/>
      <c r="S36" s="39"/>
      <c r="T36" s="39"/>
      <c r="U36" s="39"/>
      <c r="V36" s="39"/>
      <c r="W36" s="146"/>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row>
    <row r="37" spans="2:47">
      <c r="B37" s="369"/>
      <c r="C37" s="57"/>
      <c r="D37" s="57"/>
      <c r="E37" s="57"/>
      <c r="F37" s="57"/>
      <c r="G37" s="57"/>
      <c r="H37" s="39"/>
      <c r="I37" s="57"/>
      <c r="J37" s="57"/>
      <c r="K37" s="57"/>
      <c r="L37" s="57"/>
      <c r="M37" s="57"/>
      <c r="N37" s="39"/>
      <c r="O37" s="39"/>
      <c r="P37" s="57"/>
      <c r="Q37" s="57"/>
      <c r="R37" s="57"/>
      <c r="S37" s="57"/>
      <c r="T37" s="57"/>
      <c r="U37" s="39"/>
      <c r="V37" s="39"/>
      <c r="W37" s="146"/>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row>
    <row r="38" spans="2:47" ht="13" thickBot="1">
      <c r="B38" s="467"/>
      <c r="C38" s="61"/>
      <c r="D38" s="61"/>
      <c r="E38" s="61"/>
      <c r="F38" s="61"/>
      <c r="G38" s="61"/>
      <c r="H38" s="39"/>
      <c r="I38" s="34"/>
      <c r="J38" s="39"/>
      <c r="K38" s="39"/>
      <c r="L38" s="39"/>
      <c r="M38" s="39"/>
      <c r="N38" s="39"/>
      <c r="O38" s="39"/>
      <c r="P38" s="34"/>
      <c r="Q38" s="39"/>
      <c r="R38" s="39"/>
      <c r="S38" s="39"/>
      <c r="T38" s="39"/>
      <c r="U38" s="39"/>
      <c r="V38" s="39"/>
      <c r="W38" s="146"/>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row>
    <row r="39" spans="2:47" ht="13.5" thickBot="1">
      <c r="B39" s="1617" t="s">
        <v>546</v>
      </c>
      <c r="C39" s="1538"/>
      <c r="D39" s="1538"/>
      <c r="E39" s="1538"/>
      <c r="F39" s="1538"/>
      <c r="G39" s="1539"/>
      <c r="H39" s="39"/>
      <c r="I39" s="39"/>
      <c r="J39" s="39"/>
      <c r="K39" s="39"/>
      <c r="L39" s="39"/>
      <c r="M39" s="39"/>
      <c r="N39" s="39"/>
      <c r="O39" s="39"/>
      <c r="P39" s="39"/>
      <c r="Q39" s="39"/>
      <c r="R39" s="39"/>
      <c r="S39" s="39"/>
      <c r="T39" s="39"/>
      <c r="U39" s="39"/>
      <c r="V39" s="39"/>
      <c r="W39" s="146"/>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row>
    <row r="40" spans="2:47" ht="13.5" thickBot="1">
      <c r="B40" s="576" t="s">
        <v>262</v>
      </c>
      <c r="C40" s="576">
        <v>1</v>
      </c>
      <c r="D40" s="576">
        <f>1+C40</f>
        <v>2</v>
      </c>
      <c r="E40" s="576">
        <f>1+D40</f>
        <v>3</v>
      </c>
      <c r="F40" s="576">
        <f>1+E40</f>
        <v>4</v>
      </c>
      <c r="G40" s="576">
        <f>1+F40</f>
        <v>5</v>
      </c>
      <c r="H40" s="39"/>
      <c r="I40" s="576">
        <f>1+G40</f>
        <v>6</v>
      </c>
      <c r="J40" s="576">
        <f>1+I40</f>
        <v>7</v>
      </c>
      <c r="K40" s="576">
        <f>1+J40</f>
        <v>8</v>
      </c>
      <c r="L40" s="576">
        <f>1+K40</f>
        <v>9</v>
      </c>
      <c r="M40" s="576">
        <f>1+L40</f>
        <v>10</v>
      </c>
      <c r="N40" s="39"/>
      <c r="O40" s="39"/>
      <c r="P40" s="39"/>
      <c r="Q40" s="39"/>
      <c r="R40" s="39"/>
      <c r="S40" s="39"/>
      <c r="T40" s="39"/>
      <c r="U40" s="39"/>
      <c r="V40" s="39"/>
      <c r="W40" s="146"/>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row>
    <row r="41" spans="2:47">
      <c r="B41" s="171" t="s">
        <v>547</v>
      </c>
      <c r="C41" s="625">
        <v>39000</v>
      </c>
      <c r="D41" s="625">
        <f>C41*(1+$D$14)</f>
        <v>40560</v>
      </c>
      <c r="E41" s="625">
        <f>D41*(1+$D$14)</f>
        <v>42182.400000000001</v>
      </c>
      <c r="F41" s="625">
        <f>E41*(1+$D$14)</f>
        <v>43869.696000000004</v>
      </c>
      <c r="G41" s="626">
        <f>F41*(1+$D$14)</f>
        <v>45624.483840000008</v>
      </c>
      <c r="H41" s="39"/>
      <c r="I41" s="635">
        <f>G41*(1+$D14)</f>
        <v>47449.463193600008</v>
      </c>
      <c r="J41" s="625">
        <f>I41*(1+$K14)</f>
        <v>48872.947089408008</v>
      </c>
      <c r="K41" s="625">
        <f>J41*(1+$K14)</f>
        <v>50339.135502090248</v>
      </c>
      <c r="L41" s="625">
        <f>K41*(1+$K14)</f>
        <v>51849.309567152959</v>
      </c>
      <c r="M41" s="626">
        <f>L41*(1+$K14)</f>
        <v>53404.788854167549</v>
      </c>
      <c r="N41" s="39"/>
      <c r="O41" s="39"/>
      <c r="P41" s="39"/>
      <c r="Q41" s="39"/>
      <c r="R41" s="39"/>
      <c r="S41" s="39"/>
      <c r="T41" s="39"/>
      <c r="U41" s="39"/>
      <c r="V41" s="39"/>
      <c r="W41" s="146"/>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row>
    <row r="42" spans="2:47">
      <c r="B42" s="171" t="s">
        <v>548</v>
      </c>
      <c r="C42" s="39">
        <f>$D$13*C41</f>
        <v>19500</v>
      </c>
      <c r="D42" s="39">
        <f>$D$13*D41</f>
        <v>20280</v>
      </c>
      <c r="E42" s="627">
        <f>$D$13*E41</f>
        <v>21091.200000000001</v>
      </c>
      <c r="F42" s="627">
        <f>$D$13*F41</f>
        <v>21934.848000000002</v>
      </c>
      <c r="G42" s="628">
        <f>$D$13*G41</f>
        <v>22812.241920000004</v>
      </c>
      <c r="H42" s="39"/>
      <c r="I42" s="636">
        <f>$K15*I41</f>
        <v>23724.731596800004</v>
      </c>
      <c r="J42" s="627">
        <f>$K15*J41</f>
        <v>24436.473544704004</v>
      </c>
      <c r="K42" s="627">
        <f>$K15*K41</f>
        <v>25169.567751045124</v>
      </c>
      <c r="L42" s="627">
        <f>$K15*L41</f>
        <v>25924.65478357648</v>
      </c>
      <c r="M42" s="628">
        <f>$K15*M41</f>
        <v>26702.394427083775</v>
      </c>
      <c r="N42" s="39"/>
      <c r="O42" s="39"/>
      <c r="P42" s="39"/>
      <c r="Q42" s="39"/>
      <c r="R42" s="39"/>
      <c r="S42" s="39"/>
      <c r="T42" s="39"/>
      <c r="U42" s="39"/>
      <c r="V42" s="39"/>
      <c r="W42" s="146"/>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row>
    <row r="43" spans="2:47">
      <c r="B43" s="171" t="s">
        <v>279</v>
      </c>
      <c r="C43" s="69">
        <f>C41-C42</f>
        <v>19500</v>
      </c>
      <c r="D43" s="69">
        <f>D41-D42</f>
        <v>20280</v>
      </c>
      <c r="E43" s="69">
        <f>E41-E42</f>
        <v>21091.200000000001</v>
      </c>
      <c r="F43" s="69">
        <f>F41-F42</f>
        <v>21934.848000000002</v>
      </c>
      <c r="G43" s="629">
        <f>G41-G42</f>
        <v>22812.241920000004</v>
      </c>
      <c r="H43" s="39"/>
      <c r="I43" s="637">
        <f>I41-I42</f>
        <v>23724.731596800004</v>
      </c>
      <c r="J43" s="69">
        <f>J41-J42</f>
        <v>24436.473544704004</v>
      </c>
      <c r="K43" s="69">
        <f>K41-K42</f>
        <v>25169.567751045124</v>
      </c>
      <c r="L43" s="69">
        <f>L41-L42</f>
        <v>25924.65478357648</v>
      </c>
      <c r="M43" s="629">
        <f>M41-M42</f>
        <v>26702.394427083775</v>
      </c>
      <c r="N43" s="39"/>
      <c r="O43" s="39"/>
      <c r="P43" s="39"/>
      <c r="Q43" s="39"/>
      <c r="R43" s="39"/>
      <c r="S43" s="39"/>
      <c r="T43" s="39"/>
      <c r="U43" s="39"/>
      <c r="V43" s="39"/>
      <c r="W43" s="146"/>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row>
    <row r="44" spans="2:47">
      <c r="B44" s="171" t="s">
        <v>437</v>
      </c>
      <c r="C44" s="69">
        <f>C33</f>
        <v>17642.035384501487</v>
      </c>
      <c r="D44" s="69">
        <f>D33</f>
        <v>17642.035384501487</v>
      </c>
      <c r="E44" s="69">
        <f>E33</f>
        <v>17642.035384501487</v>
      </c>
      <c r="F44" s="69">
        <f>F33</f>
        <v>17642.035384501487</v>
      </c>
      <c r="G44" s="629">
        <f>G33</f>
        <v>17642.035384501487</v>
      </c>
      <c r="H44" s="39"/>
      <c r="I44" s="637">
        <f>I33</f>
        <v>23697.543199446627</v>
      </c>
      <c r="J44" s="69">
        <f>J33</f>
        <v>23697.543199446627</v>
      </c>
      <c r="K44" s="69">
        <f>K33</f>
        <v>23697.543199446627</v>
      </c>
      <c r="L44" s="69">
        <f>L33</f>
        <v>23697.543199446627</v>
      </c>
      <c r="M44" s="629">
        <f>M33</f>
        <v>23697.543199446627</v>
      </c>
      <c r="N44" s="39"/>
      <c r="O44" s="39"/>
      <c r="P44" s="39"/>
      <c r="Q44" s="39"/>
      <c r="R44" s="39"/>
      <c r="S44" s="39"/>
      <c r="T44" s="39"/>
      <c r="U44" s="39"/>
      <c r="V44" s="39"/>
      <c r="W44" s="146"/>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row>
    <row r="45" spans="2:47" ht="13.5" thickBot="1">
      <c r="B45" s="168" t="s">
        <v>408</v>
      </c>
      <c r="C45" s="70">
        <f>C43-C44</f>
        <v>1857.964615498513</v>
      </c>
      <c r="D45" s="70">
        <f>D43-D44</f>
        <v>2637.964615498513</v>
      </c>
      <c r="E45" s="70">
        <f>E43-E44</f>
        <v>3449.1646154985137</v>
      </c>
      <c r="F45" s="70">
        <f>F43-F44</f>
        <v>4292.8126154985148</v>
      </c>
      <c r="G45" s="632">
        <f>G43-G44</f>
        <v>5170.206535498517</v>
      </c>
      <c r="H45" s="39"/>
      <c r="I45" s="639">
        <f>I43-I44</f>
        <v>27.188397353376786</v>
      </c>
      <c r="J45" s="70">
        <f>J43-J44</f>
        <v>738.93034525737676</v>
      </c>
      <c r="K45" s="70">
        <f>K43-K44</f>
        <v>1472.0245515984971</v>
      </c>
      <c r="L45" s="70">
        <f>L43-L44</f>
        <v>2227.1115841298524</v>
      </c>
      <c r="M45" s="632">
        <f>M43-M44</f>
        <v>3004.8512276371475</v>
      </c>
      <c r="N45" s="39"/>
      <c r="O45" s="39"/>
      <c r="P45" s="39"/>
      <c r="Q45" s="39"/>
      <c r="R45" s="39"/>
      <c r="S45" s="39"/>
      <c r="T45" s="39"/>
      <c r="U45" s="39"/>
      <c r="V45" s="39"/>
      <c r="W45" s="146"/>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row>
    <row r="46" spans="2:47" ht="13" thickTop="1">
      <c r="B46" s="171"/>
      <c r="C46" s="39"/>
      <c r="D46" s="39"/>
      <c r="E46" s="39"/>
      <c r="F46" s="39"/>
      <c r="G46" s="146"/>
      <c r="H46" s="39"/>
      <c r="I46" s="171"/>
      <c r="J46" s="39"/>
      <c r="K46" s="39"/>
      <c r="L46" s="39"/>
      <c r="M46" s="146"/>
      <c r="N46" s="39"/>
      <c r="O46" s="39"/>
      <c r="P46" s="39"/>
      <c r="Q46" s="39"/>
      <c r="R46" s="39"/>
      <c r="S46" s="39"/>
      <c r="T46" s="39"/>
      <c r="U46" s="39"/>
      <c r="V46" s="39"/>
      <c r="W46" s="146"/>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row>
    <row r="47" spans="2:47">
      <c r="B47" s="171" t="s">
        <v>279</v>
      </c>
      <c r="C47" s="34">
        <f>C43</f>
        <v>19500</v>
      </c>
      <c r="D47" s="34">
        <f>D43</f>
        <v>20280</v>
      </c>
      <c r="E47" s="34">
        <f>E43</f>
        <v>21091.200000000001</v>
      </c>
      <c r="F47" s="34">
        <f>F43</f>
        <v>21934.848000000002</v>
      </c>
      <c r="G47" s="309">
        <f>G43</f>
        <v>22812.241920000004</v>
      </c>
      <c r="H47" s="39"/>
      <c r="I47" s="387">
        <f>I43</f>
        <v>23724.731596800004</v>
      </c>
      <c r="J47" s="34">
        <f>J43</f>
        <v>24436.473544704004</v>
      </c>
      <c r="K47" s="34">
        <f>K43</f>
        <v>25169.567751045124</v>
      </c>
      <c r="L47" s="34">
        <f>L43</f>
        <v>25924.65478357648</v>
      </c>
      <c r="M47" s="309">
        <f>M43</f>
        <v>26702.394427083775</v>
      </c>
      <c r="N47" s="39"/>
      <c r="O47" s="39"/>
      <c r="P47" s="39"/>
      <c r="Q47" s="39"/>
      <c r="R47" s="39"/>
      <c r="S47" s="39"/>
      <c r="T47" s="39"/>
      <c r="U47" s="39"/>
      <c r="V47" s="39"/>
      <c r="W47" s="146"/>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row>
    <row r="48" spans="2:47">
      <c r="B48" s="369" t="s">
        <v>549</v>
      </c>
      <c r="C48" s="34">
        <f>C35</f>
        <v>16440.626242790295</v>
      </c>
      <c r="D48" s="34">
        <f>D35</f>
        <v>16301.600575116881</v>
      </c>
      <c r="E48" s="34">
        <f>E35</f>
        <v>16146.487018979311</v>
      </c>
      <c r="F48" s="34">
        <f>F35</f>
        <v>15973.423902647464</v>
      </c>
      <c r="G48" s="309">
        <f>G35</f>
        <v>15780.334123905322</v>
      </c>
      <c r="H48" s="39"/>
      <c r="I48" s="387">
        <f>I35</f>
        <v>22431.889429828698</v>
      </c>
      <c r="J48" s="34">
        <f>J35</f>
        <v>22271.372852360182</v>
      </c>
      <c r="K48" s="34">
        <f>K35</f>
        <v>22090.498755117726</v>
      </c>
      <c r="L48" s="34">
        <f>L35</f>
        <v>21886.685295042254</v>
      </c>
      <c r="M48" s="309">
        <f>M35</f>
        <v>21657.02318675143</v>
      </c>
      <c r="N48" s="39"/>
      <c r="O48" s="39"/>
      <c r="P48" s="39"/>
      <c r="Q48" s="39"/>
      <c r="R48" s="39"/>
      <c r="S48" s="39"/>
      <c r="T48" s="39"/>
      <c r="U48" s="39"/>
      <c r="V48" s="39"/>
      <c r="W48" s="146"/>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row>
    <row r="49" spans="2:47">
      <c r="B49" s="369" t="s">
        <v>492</v>
      </c>
      <c r="C49" s="34">
        <f>$D$12/$G$11</f>
        <v>8421.0526315789466</v>
      </c>
      <c r="D49" s="34">
        <f>$D$12/$G$11</f>
        <v>8421.0526315789466</v>
      </c>
      <c r="E49" s="34">
        <f>$D$12/$G$11</f>
        <v>8421.0526315789466</v>
      </c>
      <c r="F49" s="34">
        <f>$D$12/$G$11</f>
        <v>8421.0526315789466</v>
      </c>
      <c r="G49" s="309">
        <f>$D$12/$G$11</f>
        <v>8421.0526315789466</v>
      </c>
      <c r="H49" s="39"/>
      <c r="I49" s="387">
        <f>$K$12/$N$13</f>
        <v>8421.0526315789466</v>
      </c>
      <c r="J49" s="34">
        <f>$K$12/$N$13</f>
        <v>8421.0526315789466</v>
      </c>
      <c r="K49" s="34">
        <f>$K$12/$N$13</f>
        <v>8421.0526315789466</v>
      </c>
      <c r="L49" s="34">
        <f>$K$12/$N$13</f>
        <v>8421.0526315789466</v>
      </c>
      <c r="M49" s="309">
        <f>$K$12/$N$13</f>
        <v>8421.0526315789466</v>
      </c>
      <c r="N49" s="39"/>
      <c r="O49" s="39"/>
      <c r="P49" s="39"/>
      <c r="Q49" s="39"/>
      <c r="R49" s="39"/>
      <c r="S49" s="39"/>
      <c r="T49" s="39"/>
      <c r="U49" s="39"/>
      <c r="V49" s="39"/>
      <c r="W49" s="146"/>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row>
    <row r="50" spans="2:47">
      <c r="B50" s="384" t="s">
        <v>550</v>
      </c>
      <c r="C50" s="34">
        <f>C47-C48-C49</f>
        <v>-5361.6788743692414</v>
      </c>
      <c r="D50" s="34">
        <f>D47-D48-D49</f>
        <v>-4442.653206695828</v>
      </c>
      <c r="E50" s="34">
        <f>E47-E48-E49</f>
        <v>-3476.3396505582568</v>
      </c>
      <c r="F50" s="34">
        <f>F47-F48-F49</f>
        <v>-2459.6285342264091</v>
      </c>
      <c r="G50" s="309">
        <f>G47-G48-G49</f>
        <v>-1389.1448354842651</v>
      </c>
      <c r="H50" s="39"/>
      <c r="I50" s="387">
        <f>I47-I48-I49</f>
        <v>-7128.2104646076405</v>
      </c>
      <c r="J50" s="34">
        <f>J47-J48-J49</f>
        <v>-6255.9519392351249</v>
      </c>
      <c r="K50" s="34">
        <f>K47-K48-K49</f>
        <v>-5341.983635651548</v>
      </c>
      <c r="L50" s="34">
        <f>L47-L48-L49</f>
        <v>-4383.0831430447215</v>
      </c>
      <c r="M50" s="309">
        <f>M47-M48-M49</f>
        <v>-3375.6813912466023</v>
      </c>
      <c r="N50" s="39"/>
      <c r="O50" s="39"/>
      <c r="P50" s="39"/>
      <c r="Q50" s="39"/>
      <c r="R50" s="39"/>
      <c r="S50" s="39"/>
      <c r="T50" s="39"/>
      <c r="U50" s="39"/>
      <c r="V50" s="39"/>
      <c r="W50" s="146"/>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row>
    <row r="51" spans="2:47" ht="13.5" thickBot="1">
      <c r="B51" s="444" t="s">
        <v>551</v>
      </c>
      <c r="C51" s="35">
        <f>(($G13)*C50)</f>
        <v>-1501.2700848233878</v>
      </c>
      <c r="D51" s="35">
        <f>(($G13)*D50)</f>
        <v>-1243.9428978748319</v>
      </c>
      <c r="E51" s="35">
        <f>(($G13)*E50)</f>
        <v>-973.37510215631198</v>
      </c>
      <c r="F51" s="35">
        <f>(($G13)*F50)</f>
        <v>-688.69598958339463</v>
      </c>
      <c r="G51" s="538">
        <f>(($G13)*G50)</f>
        <v>-388.96055393559425</v>
      </c>
      <c r="H51" s="39"/>
      <c r="I51" s="640">
        <f>(($N11)*I50)</f>
        <v>-1995.8989300901396</v>
      </c>
      <c r="J51" s="35">
        <f>(($N11)*J50)</f>
        <v>-1751.6665429858351</v>
      </c>
      <c r="K51" s="35">
        <f>(($N11)*K50)</f>
        <v>-1495.7554179824335</v>
      </c>
      <c r="L51" s="35">
        <f>(($N11)*L50)</f>
        <v>-1227.2632800525221</v>
      </c>
      <c r="M51" s="538">
        <f>(($N11)*M50)</f>
        <v>-945.19078954904876</v>
      </c>
      <c r="N51" s="39"/>
      <c r="O51" s="39"/>
      <c r="P51" s="39"/>
      <c r="Q51" s="39"/>
      <c r="R51" s="39"/>
      <c r="S51" s="39"/>
      <c r="T51" s="39"/>
      <c r="U51" s="39"/>
      <c r="V51" s="39"/>
      <c r="W51" s="146"/>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row>
    <row r="52" spans="2:47" ht="13" thickTop="1">
      <c r="B52" s="171"/>
      <c r="C52" s="39"/>
      <c r="D52" s="39"/>
      <c r="E52" s="39"/>
      <c r="F52" s="39"/>
      <c r="G52" s="146"/>
      <c r="H52" s="39"/>
      <c r="I52" s="171"/>
      <c r="J52" s="39"/>
      <c r="K52" s="39"/>
      <c r="L52" s="39"/>
      <c r="M52" s="146"/>
      <c r="N52" s="39"/>
      <c r="O52" s="39"/>
      <c r="P52" s="39"/>
      <c r="Q52" s="39"/>
      <c r="R52" s="39"/>
      <c r="S52" s="39"/>
      <c r="T52" s="39"/>
      <c r="U52" s="39"/>
      <c r="V52" s="39"/>
      <c r="W52" s="146"/>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row>
    <row r="53" spans="2:47">
      <c r="B53" s="171" t="s">
        <v>408</v>
      </c>
      <c r="C53" s="34">
        <f>C45</f>
        <v>1857.964615498513</v>
      </c>
      <c r="D53" s="34">
        <f>D45</f>
        <v>2637.964615498513</v>
      </c>
      <c r="E53" s="34">
        <f>E45</f>
        <v>3449.1646154985137</v>
      </c>
      <c r="F53" s="34">
        <f>F45</f>
        <v>4292.8126154985148</v>
      </c>
      <c r="G53" s="309">
        <f>G45</f>
        <v>5170.206535498517</v>
      </c>
      <c r="H53" s="39"/>
      <c r="I53" s="387">
        <f>I45</f>
        <v>27.188397353376786</v>
      </c>
      <c r="J53" s="34">
        <f>J45</f>
        <v>738.93034525737676</v>
      </c>
      <c r="K53" s="34">
        <f>K45</f>
        <v>1472.0245515984971</v>
      </c>
      <c r="L53" s="34">
        <f>L45</f>
        <v>2227.1115841298524</v>
      </c>
      <c r="M53" s="309">
        <f>M45</f>
        <v>3004.8512276371475</v>
      </c>
      <c r="N53" s="39"/>
      <c r="O53" s="39"/>
      <c r="P53" s="39"/>
      <c r="Q53" s="39"/>
      <c r="R53" s="39"/>
      <c r="S53" s="39"/>
      <c r="T53" s="39"/>
      <c r="U53" s="39"/>
      <c r="V53" s="39"/>
      <c r="W53" s="146"/>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row>
    <row r="54" spans="2:47">
      <c r="B54" s="171" t="s">
        <v>393</v>
      </c>
      <c r="C54" s="34">
        <f>C51</f>
        <v>-1501.2700848233878</v>
      </c>
      <c r="D54" s="34">
        <f>D51</f>
        <v>-1243.9428978748319</v>
      </c>
      <c r="E54" s="34">
        <f>E51</f>
        <v>-973.37510215631198</v>
      </c>
      <c r="F54" s="34">
        <f>F51</f>
        <v>-688.69598958339463</v>
      </c>
      <c r="G54" s="309">
        <f>G51</f>
        <v>-388.96055393559425</v>
      </c>
      <c r="H54" s="39"/>
      <c r="I54" s="387">
        <f>I51</f>
        <v>-1995.8989300901396</v>
      </c>
      <c r="J54" s="34">
        <f>J51</f>
        <v>-1751.6665429858351</v>
      </c>
      <c r="K54" s="34">
        <f>K51</f>
        <v>-1495.7554179824335</v>
      </c>
      <c r="L54" s="34">
        <f>L51</f>
        <v>-1227.2632800525221</v>
      </c>
      <c r="M54" s="309">
        <f>M51</f>
        <v>-945.19078954904876</v>
      </c>
      <c r="N54" s="39"/>
      <c r="O54" s="39"/>
      <c r="P54" s="39"/>
      <c r="Q54" s="39"/>
      <c r="R54" s="39"/>
      <c r="S54" s="39"/>
      <c r="T54" s="39"/>
      <c r="U54" s="39"/>
      <c r="V54" s="39"/>
      <c r="W54" s="146"/>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row>
    <row r="55" spans="2:47" ht="13.5" thickBot="1">
      <c r="B55" s="375" t="s">
        <v>409</v>
      </c>
      <c r="C55" s="630">
        <f>(C53-C54)</f>
        <v>3359.2347003219011</v>
      </c>
      <c r="D55" s="630">
        <f>(D53-D54)</f>
        <v>3881.907513373345</v>
      </c>
      <c r="E55" s="630">
        <f>(E53-E54)</f>
        <v>4422.5397176548258</v>
      </c>
      <c r="F55" s="630">
        <f>(F53-F54)</f>
        <v>4981.5086050819091</v>
      </c>
      <c r="G55" s="631">
        <f>(G53-G54)</f>
        <v>5559.1670894341114</v>
      </c>
      <c r="H55" s="39"/>
      <c r="I55" s="638">
        <f>(I53-I54)</f>
        <v>2023.0873274435164</v>
      </c>
      <c r="J55" s="630">
        <f>(J53-J54)</f>
        <v>2490.5968882432117</v>
      </c>
      <c r="K55" s="630">
        <f>(K53-K54)</f>
        <v>2967.7799695809308</v>
      </c>
      <c r="L55" s="630">
        <f>(L53-L54)</f>
        <v>3454.3748641823745</v>
      </c>
      <c r="M55" s="631">
        <f>(M53-M54)</f>
        <v>3950.0420171861961</v>
      </c>
      <c r="N55" s="39"/>
      <c r="O55" s="39"/>
      <c r="P55" s="39"/>
      <c r="Q55" s="39"/>
      <c r="R55" s="39"/>
      <c r="S55" s="39"/>
      <c r="T55" s="39"/>
      <c r="U55" s="39"/>
      <c r="V55" s="39"/>
      <c r="W55" s="146"/>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row>
    <row r="56" spans="2:47" ht="13">
      <c r="B56" s="168"/>
      <c r="C56" s="71"/>
      <c r="D56" s="71"/>
      <c r="E56" s="71"/>
      <c r="F56" s="71"/>
      <c r="G56" s="71"/>
      <c r="H56" s="39"/>
      <c r="I56" s="71"/>
      <c r="J56" s="71"/>
      <c r="K56" s="71"/>
      <c r="L56" s="71"/>
      <c r="M56" s="71"/>
      <c r="N56" s="39"/>
      <c r="O56" s="39"/>
      <c r="P56" s="39"/>
      <c r="Q56" s="39"/>
      <c r="R56" s="39"/>
      <c r="S56" s="39"/>
      <c r="T56" s="39"/>
      <c r="U56" s="39"/>
      <c r="V56" s="39"/>
      <c r="W56" s="146"/>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row>
    <row r="57" spans="2:47" ht="13" thickBot="1">
      <c r="B57" s="171"/>
      <c r="C57" s="39"/>
      <c r="D57" s="39"/>
      <c r="E57" s="39"/>
      <c r="F57" s="39"/>
      <c r="G57" s="39"/>
      <c r="H57" s="39"/>
      <c r="I57" s="39"/>
      <c r="J57" s="39"/>
      <c r="K57" s="39"/>
      <c r="L57" s="39"/>
      <c r="M57" s="39"/>
      <c r="N57" s="39"/>
      <c r="O57" s="39"/>
      <c r="P57" s="39"/>
      <c r="Q57" s="39"/>
      <c r="R57" s="39"/>
      <c r="S57" s="39"/>
      <c r="T57" s="39"/>
      <c r="U57" s="39"/>
      <c r="V57" s="39"/>
      <c r="W57" s="146"/>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row>
    <row r="58" spans="2:47" ht="13.5" thickBot="1">
      <c r="B58" s="1617" t="s">
        <v>443</v>
      </c>
      <c r="C58" s="1538"/>
      <c r="D58" s="1538"/>
      <c r="E58" s="1539"/>
      <c r="F58" s="39"/>
      <c r="G58" s="39"/>
      <c r="H58" s="39"/>
      <c r="I58" s="276"/>
      <c r="J58" s="277"/>
      <c r="K58" s="277"/>
      <c r="L58" s="278"/>
      <c r="M58" s="39"/>
      <c r="N58" s="39"/>
      <c r="O58" s="39"/>
      <c r="P58" s="39"/>
      <c r="Q58" s="39"/>
      <c r="R58" s="39"/>
      <c r="S58" s="39"/>
      <c r="T58" s="39"/>
      <c r="U58" s="39"/>
      <c r="V58" s="39"/>
      <c r="W58" s="146"/>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row>
    <row r="59" spans="2:47">
      <c r="B59" s="369" t="s">
        <v>444</v>
      </c>
      <c r="C59" s="57"/>
      <c r="D59" s="57"/>
      <c r="E59" s="370">
        <f>D23</f>
        <v>250000</v>
      </c>
      <c r="F59" s="39"/>
      <c r="G59" s="39"/>
      <c r="H59" s="69"/>
      <c r="I59" s="369" t="s">
        <v>444</v>
      </c>
      <c r="J59" s="57"/>
      <c r="K59" s="57"/>
      <c r="L59" s="370">
        <f>K17</f>
        <v>289819</v>
      </c>
      <c r="M59" s="39"/>
      <c r="N59" s="39"/>
      <c r="O59" s="39"/>
      <c r="P59" s="39"/>
      <c r="Q59" s="39"/>
      <c r="R59" s="39"/>
      <c r="S59" s="39"/>
      <c r="T59" s="39"/>
      <c r="U59" s="39"/>
      <c r="V59" s="39"/>
      <c r="W59" s="146"/>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row>
    <row r="60" spans="2:47">
      <c r="B60" s="369" t="s">
        <v>396</v>
      </c>
      <c r="C60" s="57"/>
      <c r="D60" s="57"/>
      <c r="E60" s="370">
        <f>E59*K18</f>
        <v>15000</v>
      </c>
      <c r="F60" s="39"/>
      <c r="G60" s="39"/>
      <c r="H60" s="69"/>
      <c r="I60" s="369" t="s">
        <v>396</v>
      </c>
      <c r="J60" s="57"/>
      <c r="K60" s="57"/>
      <c r="L60" s="370">
        <f>L59*K18</f>
        <v>17389.14</v>
      </c>
      <c r="M60" s="39"/>
      <c r="N60" s="39"/>
      <c r="O60" s="39"/>
      <c r="P60" s="39"/>
      <c r="Q60" s="39"/>
      <c r="R60" s="39"/>
      <c r="S60" s="39"/>
      <c r="T60" s="39"/>
      <c r="U60" s="39"/>
      <c r="V60" s="39"/>
      <c r="W60" s="146"/>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row>
    <row r="61" spans="2:47">
      <c r="B61" s="369" t="s">
        <v>383</v>
      </c>
      <c r="C61" s="57"/>
      <c r="D61" s="57"/>
      <c r="E61" s="560">
        <f>IF(C21&gt;0,0,C28)</f>
        <v>142432.29494093184</v>
      </c>
      <c r="F61" s="39"/>
      <c r="G61" s="39"/>
      <c r="H61" s="69"/>
      <c r="I61" s="369" t="s">
        <v>383</v>
      </c>
      <c r="J61" s="57"/>
      <c r="K61" s="57"/>
      <c r="L61" s="560">
        <f>M34</f>
        <v>179349.75352186715</v>
      </c>
      <c r="M61" s="39"/>
      <c r="N61" s="39"/>
      <c r="O61" s="39"/>
      <c r="P61" s="39"/>
      <c r="Q61" s="39"/>
      <c r="R61" s="39"/>
      <c r="S61" s="39"/>
      <c r="T61" s="39"/>
      <c r="U61" s="39"/>
      <c r="V61" s="39"/>
      <c r="W61" s="146"/>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row>
    <row r="62" spans="2:47">
      <c r="B62" s="369" t="s">
        <v>439</v>
      </c>
      <c r="C62" s="57"/>
      <c r="D62" s="57"/>
      <c r="E62" s="370">
        <f>E59-E60-E61</f>
        <v>92567.705059068161</v>
      </c>
      <c r="F62" s="39"/>
      <c r="G62" s="39"/>
      <c r="H62" s="69"/>
      <c r="I62" s="369" t="s">
        <v>439</v>
      </c>
      <c r="J62" s="57"/>
      <c r="K62" s="57"/>
      <c r="L62" s="370">
        <f>L59-L60-L61</f>
        <v>93080.106478132831</v>
      </c>
      <c r="M62" s="39"/>
      <c r="N62" s="39"/>
      <c r="O62" s="39"/>
      <c r="P62" s="39"/>
      <c r="Q62" s="39"/>
      <c r="R62" s="39"/>
      <c r="S62" s="39"/>
      <c r="T62" s="39"/>
      <c r="U62" s="39"/>
      <c r="V62" s="39"/>
      <c r="W62" s="146"/>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row>
    <row r="63" spans="2:47">
      <c r="B63" s="384"/>
      <c r="C63" s="57"/>
      <c r="D63" s="57"/>
      <c r="E63" s="370"/>
      <c r="F63" s="69"/>
      <c r="G63" s="39"/>
      <c r="H63" s="39"/>
      <c r="I63" s="384"/>
      <c r="J63" s="57"/>
      <c r="K63" s="57"/>
      <c r="L63" s="370"/>
      <c r="M63" s="39"/>
      <c r="N63" s="39"/>
      <c r="O63" s="39"/>
      <c r="P63" s="39"/>
      <c r="Q63" s="39"/>
      <c r="R63" s="39"/>
      <c r="S63" s="39"/>
      <c r="T63" s="39"/>
      <c r="U63" s="39"/>
      <c r="V63" s="39"/>
      <c r="W63" s="146"/>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row>
    <row r="64" spans="2:47">
      <c r="B64" s="369" t="s">
        <v>446</v>
      </c>
      <c r="C64" s="57"/>
      <c r="D64" s="57">
        <f>E59</f>
        <v>250000</v>
      </c>
      <c r="E64" s="370"/>
      <c r="F64" s="69"/>
      <c r="G64" s="39"/>
      <c r="H64" s="39"/>
      <c r="I64" s="369" t="s">
        <v>446</v>
      </c>
      <c r="J64" s="57"/>
      <c r="K64" s="57">
        <f>L59</f>
        <v>289819</v>
      </c>
      <c r="L64" s="370"/>
      <c r="M64" s="39"/>
      <c r="N64" s="39"/>
      <c r="O64" s="39"/>
      <c r="P64" s="39"/>
      <c r="Q64" s="39"/>
      <c r="R64" s="39"/>
      <c r="S64" s="39"/>
      <c r="T64" s="39"/>
      <c r="U64" s="39"/>
      <c r="V64" s="39"/>
      <c r="W64" s="146"/>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row>
    <row r="65" spans="2:47">
      <c r="B65" s="369" t="s">
        <v>447</v>
      </c>
      <c r="C65" s="57"/>
      <c r="D65" s="57">
        <f>E60</f>
        <v>15000</v>
      </c>
      <c r="E65" s="370"/>
      <c r="F65" s="69"/>
      <c r="G65" s="39"/>
      <c r="H65" s="39"/>
      <c r="I65" s="369" t="s">
        <v>447</v>
      </c>
      <c r="J65" s="57"/>
      <c r="K65" s="57">
        <f>L60</f>
        <v>17389.14</v>
      </c>
      <c r="L65" s="370"/>
      <c r="M65" s="39"/>
      <c r="N65" s="39"/>
      <c r="O65" s="39"/>
      <c r="P65" s="39"/>
      <c r="Q65" s="39"/>
      <c r="R65" s="39"/>
      <c r="S65" s="39"/>
      <c r="T65" s="39"/>
      <c r="U65" s="39"/>
      <c r="V65" s="39"/>
      <c r="W65" s="146"/>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row>
    <row r="66" spans="2:47">
      <c r="B66" s="384"/>
      <c r="C66" s="57"/>
      <c r="D66" s="57"/>
      <c r="E66" s="370"/>
      <c r="F66" s="69"/>
      <c r="G66" s="39"/>
      <c r="H66" s="39"/>
      <c r="I66" s="384"/>
      <c r="J66" s="57"/>
      <c r="K66" s="57"/>
      <c r="L66" s="370"/>
      <c r="M66" s="39"/>
      <c r="N66" s="39"/>
      <c r="O66" s="39"/>
      <c r="P66" s="39"/>
      <c r="Q66" s="39"/>
      <c r="R66" s="39"/>
      <c r="S66" s="39"/>
      <c r="T66" s="39"/>
      <c r="U66" s="39"/>
      <c r="V66" s="39"/>
      <c r="W66" s="146"/>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row>
    <row r="67" spans="2:47">
      <c r="B67" s="369" t="s">
        <v>398</v>
      </c>
      <c r="C67" s="57">
        <f>D10</f>
        <v>200000</v>
      </c>
      <c r="D67" s="57"/>
      <c r="E67" s="370"/>
      <c r="F67" s="69"/>
      <c r="G67" s="39"/>
      <c r="H67" s="39"/>
      <c r="I67" s="369" t="s">
        <v>552</v>
      </c>
      <c r="J67" s="57">
        <f>K11</f>
        <v>200000</v>
      </c>
      <c r="K67" s="57"/>
      <c r="L67" s="370"/>
      <c r="M67" s="39"/>
      <c r="N67" s="39"/>
      <c r="O67" s="39"/>
      <c r="P67" s="39"/>
      <c r="Q67" s="39"/>
      <c r="R67" s="39"/>
      <c r="S67" s="39"/>
      <c r="T67" s="39"/>
      <c r="U67" s="39"/>
      <c r="V67" s="39"/>
      <c r="W67" s="146"/>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row>
    <row r="68" spans="2:47">
      <c r="B68" s="369" t="s">
        <v>399</v>
      </c>
      <c r="C68" s="61">
        <f>C49*D21</f>
        <v>42105.263157894733</v>
      </c>
      <c r="D68" s="57"/>
      <c r="E68" s="370"/>
      <c r="F68" s="69"/>
      <c r="G68" s="39"/>
      <c r="H68" s="39"/>
      <c r="I68" s="369" t="s">
        <v>553</v>
      </c>
      <c r="J68" s="61">
        <f>I49*K23</f>
        <v>84210.526315789466</v>
      </c>
      <c r="K68" s="57"/>
      <c r="L68" s="370"/>
      <c r="M68" s="39"/>
      <c r="N68" s="39"/>
      <c r="O68" s="39"/>
      <c r="P68" s="39"/>
      <c r="Q68" s="39"/>
      <c r="R68" s="39"/>
      <c r="S68" s="39"/>
      <c r="T68" s="39"/>
      <c r="U68" s="39"/>
      <c r="V68" s="39"/>
      <c r="W68" s="146"/>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row>
    <row r="69" spans="2:47">
      <c r="B69" s="369" t="s">
        <v>400</v>
      </c>
      <c r="C69" s="57"/>
      <c r="D69" s="57">
        <f>C67-C68</f>
        <v>157894.73684210528</v>
      </c>
      <c r="E69" s="370"/>
      <c r="F69" s="69"/>
      <c r="G69" s="39"/>
      <c r="H69" s="39"/>
      <c r="I69" s="369" t="s">
        <v>554</v>
      </c>
      <c r="J69" s="57"/>
      <c r="K69" s="57">
        <f>J67-J68</f>
        <v>115789.47368421053</v>
      </c>
      <c r="L69" s="370"/>
      <c r="M69" s="39"/>
      <c r="N69" s="39"/>
      <c r="O69" s="39"/>
      <c r="P69" s="39"/>
      <c r="Q69" s="39"/>
      <c r="R69" s="39"/>
      <c r="S69" s="39"/>
      <c r="T69" s="39"/>
      <c r="U69" s="39"/>
      <c r="V69" s="39"/>
      <c r="W69" s="146"/>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row>
    <row r="70" spans="2:47">
      <c r="B70" s="384"/>
      <c r="C70" s="57"/>
      <c r="D70" s="57"/>
      <c r="E70" s="370"/>
      <c r="F70" s="39"/>
      <c r="G70" s="39"/>
      <c r="H70" s="69"/>
      <c r="I70" s="384"/>
      <c r="J70" s="57"/>
      <c r="K70" s="57"/>
      <c r="L70" s="370"/>
      <c r="M70" s="39"/>
      <c r="N70" s="39"/>
      <c r="O70" s="39"/>
      <c r="P70" s="39"/>
      <c r="Q70" s="39"/>
      <c r="R70" s="39"/>
      <c r="S70" s="39"/>
      <c r="T70" s="39"/>
      <c r="U70" s="39"/>
      <c r="V70" s="39"/>
      <c r="W70" s="146"/>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row>
    <row r="71" spans="2:47">
      <c r="B71" s="369" t="s">
        <v>401</v>
      </c>
      <c r="C71" s="57"/>
      <c r="D71" s="57">
        <f>D64-D65-D69</f>
        <v>77105.263157894718</v>
      </c>
      <c r="E71" s="370"/>
      <c r="F71" s="39"/>
      <c r="G71" s="39"/>
      <c r="H71" s="39"/>
      <c r="I71" s="369" t="s">
        <v>401</v>
      </c>
      <c r="J71" s="57"/>
      <c r="K71" s="57">
        <f>K64-K65-K69</f>
        <v>156640.38631578945</v>
      </c>
      <c r="L71" s="370"/>
      <c r="M71" s="39"/>
      <c r="N71" s="39"/>
      <c r="O71" s="39"/>
      <c r="P71" s="39"/>
      <c r="Q71" s="39"/>
      <c r="R71" s="39"/>
      <c r="S71" s="39"/>
      <c r="T71" s="39"/>
      <c r="U71" s="39"/>
      <c r="V71" s="39"/>
      <c r="W71" s="146"/>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row>
    <row r="72" spans="2:47" ht="13" thickBot="1">
      <c r="B72" s="369" t="s">
        <v>449</v>
      </c>
      <c r="C72" s="57"/>
      <c r="D72" s="57"/>
      <c r="E72" s="370">
        <f>D71*G12</f>
        <v>21589.473684210523</v>
      </c>
      <c r="F72" s="39"/>
      <c r="G72" s="39"/>
      <c r="H72" s="69"/>
      <c r="I72" s="369" t="s">
        <v>449</v>
      </c>
      <c r="J72" s="57"/>
      <c r="K72" s="57"/>
      <c r="L72" s="370">
        <f>K71*N11</f>
        <v>43859.308168421048</v>
      </c>
      <c r="M72" s="39"/>
      <c r="N72" s="39"/>
      <c r="O72" s="39"/>
      <c r="P72" s="39"/>
      <c r="Q72" s="39"/>
      <c r="R72" s="39"/>
      <c r="S72" s="39"/>
      <c r="T72" s="39"/>
      <c r="U72" s="39"/>
      <c r="V72" s="39"/>
      <c r="W72" s="146"/>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row>
    <row r="73" spans="2:47" ht="13.5" thickBot="1">
      <c r="B73" s="557" t="s">
        <v>405</v>
      </c>
      <c r="C73" s="561"/>
      <c r="D73" s="561"/>
      <c r="E73" s="648">
        <f>E62-E72</f>
        <v>70978.231374857642</v>
      </c>
      <c r="F73" s="39"/>
      <c r="G73" s="39"/>
      <c r="H73" s="39"/>
      <c r="I73" s="557" t="s">
        <v>405</v>
      </c>
      <c r="J73" s="561"/>
      <c r="K73" s="561"/>
      <c r="L73" s="648">
        <f>L62-L72</f>
        <v>49220.798309711783</v>
      </c>
      <c r="M73" s="39"/>
      <c r="N73" s="39"/>
      <c r="O73" s="39"/>
      <c r="P73" s="39"/>
      <c r="Q73" s="39"/>
      <c r="R73" s="39"/>
      <c r="S73" s="39"/>
      <c r="T73" s="39"/>
      <c r="U73" s="39"/>
      <c r="V73" s="39"/>
      <c r="W73" s="146"/>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row>
    <row r="74" spans="2:47" ht="13.5" thickBot="1">
      <c r="B74" s="444"/>
      <c r="C74" s="60"/>
      <c r="D74" s="60"/>
      <c r="E74" s="60"/>
      <c r="F74" s="39"/>
      <c r="G74" s="39"/>
      <c r="H74" s="39"/>
      <c r="I74" s="58"/>
      <c r="J74" s="60"/>
      <c r="K74" s="60"/>
      <c r="L74" s="60"/>
      <c r="M74" s="39"/>
      <c r="N74" s="39"/>
      <c r="O74" s="39"/>
      <c r="P74" s="58"/>
      <c r="Q74" s="60"/>
      <c r="R74" s="60"/>
      <c r="S74" s="60"/>
      <c r="T74" s="39"/>
      <c r="U74" s="39"/>
      <c r="V74" s="39"/>
      <c r="W74" s="146"/>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row>
    <row r="75" spans="2:47" ht="13.5" thickBot="1">
      <c r="B75" s="1547" t="s">
        <v>280</v>
      </c>
      <c r="C75" s="1538"/>
      <c r="D75" s="1538"/>
      <c r="E75" s="1538"/>
      <c r="F75" s="1538"/>
      <c r="G75" s="1538"/>
      <c r="H75" s="1538"/>
      <c r="I75" s="1538"/>
      <c r="J75" s="1538"/>
      <c r="K75" s="1538"/>
      <c r="L75" s="1538"/>
      <c r="M75" s="1538"/>
      <c r="N75" s="1538"/>
      <c r="O75" s="1538"/>
      <c r="P75" s="1538"/>
      <c r="Q75" s="1538"/>
      <c r="R75" s="1538"/>
      <c r="S75" s="1538"/>
      <c r="T75" s="1538"/>
      <c r="U75" s="1538"/>
      <c r="V75" s="1538"/>
      <c r="W75" s="15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row>
    <row r="76" spans="2:47" ht="13.5" thickBot="1">
      <c r="B76" s="576" t="s">
        <v>386</v>
      </c>
      <c r="C76" s="576">
        <v>0</v>
      </c>
      <c r="D76" s="576">
        <f>(1+C76)</f>
        <v>1</v>
      </c>
      <c r="E76" s="576">
        <f>(1+D76)</f>
        <v>2</v>
      </c>
      <c r="F76" s="576">
        <f>(1+E76)</f>
        <v>3</v>
      </c>
      <c r="G76" s="576">
        <f>(1+F76)</f>
        <v>4</v>
      </c>
      <c r="H76" s="576">
        <f>(1+G76)</f>
        <v>5</v>
      </c>
      <c r="I76" s="576">
        <v>5</v>
      </c>
      <c r="J76" s="576">
        <f>(1+H76)</f>
        <v>6</v>
      </c>
      <c r="K76" s="576">
        <f>(1+J76)</f>
        <v>7</v>
      </c>
      <c r="L76" s="576">
        <f>(1+K76)</f>
        <v>8</v>
      </c>
      <c r="M76" s="576">
        <f>(1+L76)</f>
        <v>9</v>
      </c>
      <c r="N76" s="576">
        <f>(1+M76)</f>
        <v>10</v>
      </c>
      <c r="O76" s="2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row>
    <row r="77" spans="2:47">
      <c r="B77" s="171" t="s">
        <v>408</v>
      </c>
      <c r="C77" s="34">
        <f>-C25</f>
        <v>-50000</v>
      </c>
      <c r="D77" s="34">
        <f>C45</f>
        <v>1857.964615498513</v>
      </c>
      <c r="E77" s="34">
        <f>D45</f>
        <v>2637.964615498513</v>
      </c>
      <c r="F77" s="34">
        <f>E45</f>
        <v>3449.1646154985137</v>
      </c>
      <c r="G77" s="34">
        <f>F45</f>
        <v>4292.8126154985148</v>
      </c>
      <c r="H77" s="72">
        <f>G45+E62</f>
        <v>97737.911594566685</v>
      </c>
      <c r="I77" s="73">
        <f>-(K10-K19-E60-E72)</f>
        <v>-25910.526315789477</v>
      </c>
      <c r="J77" s="34">
        <f>I45</f>
        <v>27.188397353376786</v>
      </c>
      <c r="K77" s="34">
        <f>J45</f>
        <v>738.93034525737676</v>
      </c>
      <c r="L77" s="34">
        <f>K45</f>
        <v>1472.0245515984971</v>
      </c>
      <c r="M77" s="34">
        <f>L45</f>
        <v>2227.1115841298524</v>
      </c>
      <c r="N77" s="72">
        <f>M45+L62</f>
        <v>96084.957705769979</v>
      </c>
      <c r="O77" s="34"/>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row>
    <row r="78" spans="2:47">
      <c r="B78" s="171" t="s">
        <v>409</v>
      </c>
      <c r="C78" s="34">
        <f>-C25</f>
        <v>-50000</v>
      </c>
      <c r="D78" s="34">
        <f>C55</f>
        <v>3359.2347003219011</v>
      </c>
      <c r="E78" s="34">
        <f>D55</f>
        <v>3881.907513373345</v>
      </c>
      <c r="F78" s="34">
        <f>E55</f>
        <v>4422.5397176548258</v>
      </c>
      <c r="G78" s="34">
        <f>F55</f>
        <v>4981.5086050819091</v>
      </c>
      <c r="H78" s="72">
        <f>G55+E73</f>
        <v>76537.398464291749</v>
      </c>
      <c r="I78" s="73">
        <f>I77</f>
        <v>-25910.526315789477</v>
      </c>
      <c r="J78" s="34">
        <f>$I$55</f>
        <v>2023.0873274435164</v>
      </c>
      <c r="K78" s="34">
        <f>$J$55</f>
        <v>2490.5968882432117</v>
      </c>
      <c r="L78" s="34">
        <f>$K$55</f>
        <v>2967.7799695809308</v>
      </c>
      <c r="M78" s="34">
        <f>$L$55</f>
        <v>3454.3748641823745</v>
      </c>
      <c r="N78" s="72">
        <f>$M$55+$L$73</f>
        <v>53170.840326897982</v>
      </c>
      <c r="O78" s="34"/>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row>
    <row r="79" spans="2:47" ht="13" thickBot="1">
      <c r="B79" s="171"/>
      <c r="C79" s="39"/>
      <c r="D79" s="39"/>
      <c r="E79" s="39"/>
      <c r="F79" s="39"/>
      <c r="G79" s="39"/>
      <c r="H79" s="50"/>
      <c r="I79" s="49"/>
      <c r="J79" s="39"/>
      <c r="K79" s="39"/>
      <c r="L79" s="39"/>
      <c r="M79" s="39"/>
      <c r="N79" s="50"/>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row>
    <row r="80" spans="2:47" ht="13.5" thickBot="1">
      <c r="B80" s="168" t="s">
        <v>558</v>
      </c>
      <c r="C80" s="1"/>
      <c r="D80" s="155">
        <f>IRR(C77:H77,0.1)</f>
        <v>0.18255971237780888</v>
      </c>
      <c r="E80" s="39"/>
      <c r="F80" s="39"/>
      <c r="G80" s="39"/>
      <c r="H80" s="50"/>
      <c r="I80" s="1" t="s">
        <v>558</v>
      </c>
      <c r="J80" s="1"/>
      <c r="K80" s="155">
        <f>IRR(I77:N77,0.1)</f>
        <v>0.31878692485388971</v>
      </c>
      <c r="L80" s="39"/>
      <c r="M80" s="39"/>
      <c r="N80" s="50"/>
      <c r="O80" s="39"/>
      <c r="P80" s="1"/>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row>
    <row r="81" spans="2:47" ht="13.5" thickBot="1">
      <c r="B81" s="375" t="s">
        <v>559</v>
      </c>
      <c r="C81" s="65"/>
      <c r="D81" s="155">
        <f>IRR(C78:H78,0.1)</f>
        <v>0.14825017874839297</v>
      </c>
      <c r="E81" s="63"/>
      <c r="F81" s="63"/>
      <c r="G81" s="63"/>
      <c r="H81" s="360"/>
      <c r="I81" s="65" t="s">
        <v>559</v>
      </c>
      <c r="J81" s="65"/>
      <c r="K81" s="155">
        <f>IRR(I78:N78,0.1)</f>
        <v>0.22308983340764876</v>
      </c>
      <c r="L81" s="63"/>
      <c r="M81" s="63"/>
      <c r="N81" s="360"/>
      <c r="O81" s="63"/>
      <c r="P81" s="65"/>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row>
    <row r="82" spans="2:47" ht="13" thickBot="1">
      <c r="B82" s="228"/>
      <c r="C82" s="63"/>
      <c r="D82" s="63"/>
      <c r="E82" s="63"/>
      <c r="F82" s="63"/>
      <c r="G82" s="63"/>
      <c r="H82" s="63"/>
      <c r="I82" s="63"/>
      <c r="J82" s="63"/>
      <c r="K82" s="63"/>
      <c r="L82" s="63"/>
      <c r="M82" s="63"/>
      <c r="N82" s="63"/>
      <c r="O82" s="63"/>
      <c r="P82" s="63"/>
      <c r="Q82" s="63"/>
      <c r="R82" s="63"/>
      <c r="S82" s="63"/>
      <c r="T82" s="63"/>
      <c r="U82" s="63"/>
      <c r="V82" s="63"/>
      <c r="W82" s="14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row>
    <row r="83" spans="2:47" ht="13">
      <c r="B83" s="5"/>
      <c r="C83" s="39"/>
      <c r="D83" s="76"/>
      <c r="E83" s="77"/>
      <c r="F83" s="1"/>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row>
    <row r="84" spans="2:47">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row>
    <row r="85" spans="2:47">
      <c r="B85" s="39"/>
      <c r="C85" s="39"/>
      <c r="D85" s="39"/>
      <c r="E85" s="78"/>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row>
    <row r="86" spans="2:47">
      <c r="B86" s="39"/>
      <c r="C86" s="39"/>
      <c r="D86" s="39"/>
      <c r="E86" s="78"/>
      <c r="F86" s="39"/>
      <c r="G86" s="39"/>
      <c r="H86" s="39"/>
      <c r="I86" s="6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row>
    <row r="87" spans="2:47">
      <c r="B87" s="39"/>
      <c r="C87" s="39"/>
      <c r="D87" s="39"/>
      <c r="E87" s="78"/>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row>
    <row r="88" spans="2:47" ht="13">
      <c r="B88" s="1"/>
      <c r="C88" s="1"/>
      <c r="D88" s="1"/>
      <c r="E88" s="78"/>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row>
    <row r="89" spans="2:47">
      <c r="B89" s="39"/>
      <c r="C89" s="39"/>
      <c r="D89" s="39"/>
      <c r="E89" s="78"/>
      <c r="F89" s="39"/>
      <c r="G89" s="39"/>
      <c r="H89" s="6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row>
    <row r="90" spans="2:47">
      <c r="B90" s="39"/>
      <c r="C90" s="39"/>
      <c r="D90" s="39"/>
      <c r="E90" s="78"/>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row>
    <row r="91" spans="2:47">
      <c r="B91" s="39"/>
      <c r="C91" s="39"/>
      <c r="D91" s="39"/>
      <c r="E91" s="78"/>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row>
    <row r="92" spans="2:47">
      <c r="B92" s="39"/>
      <c r="C92" s="39"/>
      <c r="D92" s="39"/>
      <c r="E92" s="78"/>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row>
    <row r="93" spans="2:47" ht="13">
      <c r="B93" s="42"/>
      <c r="C93" s="42"/>
      <c r="D93" s="42"/>
      <c r="E93" s="78"/>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row>
    <row r="94" spans="2:47">
      <c r="B94" s="78"/>
      <c r="C94" s="78"/>
      <c r="D94" s="78"/>
      <c r="E94" s="78"/>
      <c r="F94" s="78"/>
      <c r="G94" s="78"/>
      <c r="H94" s="78"/>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row>
    <row r="95" spans="2:47">
      <c r="B95" s="78"/>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row>
    <row r="96" spans="2:47">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row>
    <row r="97" spans="2:47">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row>
    <row r="98" spans="2:47">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row>
    <row r="99" spans="2:47">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row>
    <row r="100" spans="2:47">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row>
    <row r="101" spans="2:47">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row>
    <row r="102" spans="2:47">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row>
    <row r="103" spans="2:47">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row>
    <row r="104" spans="2:47">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row>
    <row r="105" spans="2:47">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row>
    <row r="106" spans="2:47">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row>
    <row r="107" spans="2:47">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row>
    <row r="108" spans="2:47">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row>
    <row r="109" spans="2:47">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row>
    <row r="110" spans="2:47">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row>
    <row r="111" spans="2:47">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row>
    <row r="112" spans="2:47">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row>
    <row r="113" spans="2:47">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row>
    <row r="114" spans="2:47">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row>
    <row r="115" spans="2:47">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row>
    <row r="116" spans="2:47">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row>
    <row r="117" spans="2:47">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row>
    <row r="118" spans="2:47">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row>
    <row r="119" spans="2:47">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row>
    <row r="120" spans="2:47">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row>
    <row r="121" spans="2:47">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row>
    <row r="122" spans="2:47">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row>
    <row r="123" spans="2:47">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row>
    <row r="124" spans="2:47">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row>
    <row r="125" spans="2:47">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row>
    <row r="126" spans="2:47">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row>
    <row r="127" spans="2:47">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row>
    <row r="128" spans="2:47">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row>
    <row r="129" spans="2:47">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row>
    <row r="130" spans="2:47">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row>
    <row r="131" spans="2:47">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row>
    <row r="132" spans="2:47">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row>
    <row r="133" spans="2:47">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row>
    <row r="134" spans="2:47">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row>
    <row r="135" spans="2:47">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row>
    <row r="136" spans="2:47">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row>
    <row r="137" spans="2:47">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row>
    <row r="138" spans="2:47">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row>
    <row r="139" spans="2:47">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row>
    <row r="140" spans="2:47">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row>
    <row r="141" spans="2:47">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row>
    <row r="142" spans="2:47">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row>
    <row r="143" spans="2:47">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row>
    <row r="144" spans="2:47">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row>
    <row r="145" spans="2:47">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row>
    <row r="146" spans="2:47">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row>
    <row r="147" spans="2:47">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row>
    <row r="148" spans="2:47">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row>
    <row r="149" spans="2:47">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row>
    <row r="150" spans="2:47">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row>
    <row r="151" spans="2:47">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row>
    <row r="152" spans="2:47">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row>
    <row r="153" spans="2:47">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row>
    <row r="154" spans="2:47">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row>
    <row r="155" spans="2:47">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row>
    <row r="156" spans="2:47">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row>
    <row r="157" spans="2:47">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row>
    <row r="158" spans="2:47">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row>
    <row r="159" spans="2:47">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row>
    <row r="160" spans="2:47">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row>
    <row r="161" spans="2:47">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row>
    <row r="162" spans="2:47">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row>
    <row r="163" spans="2:47">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row>
    <row r="164" spans="2:47">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row>
    <row r="165" spans="2:47">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row>
    <row r="166" spans="2:47">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row>
    <row r="167" spans="2:47">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row>
    <row r="168" spans="2:47">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row>
    <row r="169" spans="2:47">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row>
    <row r="170" spans="2:47">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row>
    <row r="171" spans="2:47">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row>
    <row r="172" spans="2:47">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row>
    <row r="173" spans="2:47">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row>
    <row r="174" spans="2:47">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row>
    <row r="175" spans="2:47">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row>
    <row r="176" spans="2:47">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row>
    <row r="177" spans="2:47">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row>
    <row r="178" spans="2:47">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row>
    <row r="179" spans="2:47">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row>
    <row r="180" spans="2:47">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row>
    <row r="181" spans="2:47">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row>
    <row r="182" spans="2:47">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row>
    <row r="183" spans="2:47">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row>
    <row r="184" spans="2:47">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row>
    <row r="185" spans="2:47">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row>
    <row r="186" spans="2:47">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row>
    <row r="187" spans="2:47">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row>
    <row r="188" spans="2:47">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row>
    <row r="189" spans="2:47">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row>
    <row r="190" spans="2:47">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row>
    <row r="191" spans="2:47">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row>
    <row r="192" spans="2:47">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row>
    <row r="193" spans="2:47">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row>
    <row r="194" spans="2:47">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row>
    <row r="195" spans="2:47">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row>
    <row r="196" spans="2:47">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row>
    <row r="197" spans="2:47">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row>
    <row r="198" spans="2:47">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row>
    <row r="199" spans="2:47">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row>
    <row r="200" spans="2:47">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row>
    <row r="201" spans="2:47">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row>
    <row r="202" spans="2:47">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row>
    <row r="203" spans="2:47">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row>
    <row r="204" spans="2:47">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row>
    <row r="205" spans="2:47">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row>
    <row r="206" spans="2:47">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row>
    <row r="207" spans="2:47">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row>
    <row r="208" spans="2:47">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row>
    <row r="209" spans="2:47">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row>
    <row r="210" spans="2:47">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row>
    <row r="211" spans="2:47">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row>
    <row r="212" spans="2:47">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row>
    <row r="213" spans="2:47">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row>
    <row r="214" spans="2:47">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row>
    <row r="215" spans="2:47">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row>
    <row r="216" spans="2:47">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row>
    <row r="217" spans="2:47">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row>
    <row r="218" spans="2:47">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row>
    <row r="219" spans="2:47">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row>
    <row r="220" spans="2:47">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row>
    <row r="221" spans="2:47">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row>
    <row r="222" spans="2:47">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row>
    <row r="223" spans="2:47">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row>
    <row r="224" spans="2:47">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row>
    <row r="225" spans="2:47">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row>
    <row r="226" spans="2:47">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row>
    <row r="227" spans="2:47">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row>
    <row r="228" spans="2:47">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row>
    <row r="229" spans="2:47">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row>
    <row r="230" spans="2:47">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row>
    <row r="231" spans="2:47">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row>
    <row r="232" spans="2:47">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row>
    <row r="233" spans="2:47">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row>
    <row r="234" spans="2:47">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row>
    <row r="235" spans="2:47">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row>
    <row r="236" spans="2:47">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row>
    <row r="237" spans="2:47">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row>
    <row r="238" spans="2:47">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row>
    <row r="239" spans="2:47">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row>
    <row r="240" spans="2:47">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row>
    <row r="241" spans="2:47">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row>
    <row r="242" spans="2:47">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row>
    <row r="243" spans="2:47">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row>
    <row r="244" spans="2:47">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row>
    <row r="245" spans="2:47">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row>
    <row r="246" spans="2:47">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row>
    <row r="247" spans="2:47">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row>
    <row r="248" spans="2:47">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row>
    <row r="249" spans="2:47">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row>
    <row r="250" spans="2:47">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row>
    <row r="251" spans="2:47">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row>
    <row r="252" spans="2:47">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row>
    <row r="253" spans="2:47">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row>
    <row r="254" spans="2:47">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row>
    <row r="255" spans="2:47">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row>
    <row r="256" spans="2:47">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row>
    <row r="257" spans="2:47">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row>
    <row r="258" spans="2:47">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row>
    <row r="259" spans="2:47">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row>
    <row r="260" spans="2:47">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row>
    <row r="261" spans="2:47">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row>
    <row r="262" spans="2:47">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row>
    <row r="263" spans="2:47">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row>
    <row r="264" spans="2:47">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row>
    <row r="265" spans="2:47">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row>
    <row r="266" spans="2:47">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row>
    <row r="267" spans="2:47">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row>
    <row r="268" spans="2:47">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row>
    <row r="269" spans="2:47">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row>
    <row r="270" spans="2:47">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row>
    <row r="271" spans="2:47">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row>
    <row r="272" spans="2:47">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row>
    <row r="273" spans="2:47">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row>
    <row r="274" spans="2:47">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row>
    <row r="275" spans="2:47">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row>
    <row r="276" spans="2:47">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row>
    <row r="277" spans="2:47">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row>
    <row r="278" spans="2:47">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row>
    <row r="279" spans="2:47">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row>
    <row r="280" spans="2:47">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row>
    <row r="281" spans="2:47">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row>
    <row r="282" spans="2:47">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row>
    <row r="283" spans="2:47">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row>
    <row r="284" spans="2:47">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row>
    <row r="285" spans="2:47">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row>
    <row r="286" spans="2:47">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row>
    <row r="287" spans="2:47">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row>
    <row r="288" spans="2:47">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row>
    <row r="289" spans="2:47">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row>
    <row r="290" spans="2:47">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row>
    <row r="291" spans="2:47">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row>
    <row r="292" spans="2:47">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row>
    <row r="293" spans="2:47">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row>
    <row r="294" spans="2:47">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row>
    <row r="295" spans="2:47">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row>
    <row r="296" spans="2:47">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row>
    <row r="297" spans="2:47">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row>
    <row r="298" spans="2:47">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row>
    <row r="299" spans="2:47">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row>
    <row r="300" spans="2:47">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row>
    <row r="301" spans="2:47">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row>
    <row r="302" spans="2:47">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row>
    <row r="303" spans="2:47">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row>
    <row r="304" spans="2:47">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row>
    <row r="305" spans="2:47">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row>
    <row r="306" spans="2:47">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row>
    <row r="307" spans="2:47">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row>
    <row r="308" spans="2:47">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row>
    <row r="309" spans="2:47">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row>
    <row r="310" spans="2:47">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row>
    <row r="311" spans="2:47">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row>
    <row r="312" spans="2:47">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row>
    <row r="313" spans="2:47">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row>
    <row r="314" spans="2:47">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row>
    <row r="315" spans="2:47">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row>
    <row r="316" spans="2:47">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row>
    <row r="317" spans="2:47">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row>
    <row r="318" spans="2:47">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row>
    <row r="319" spans="2:47">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row>
    <row r="320" spans="2:47">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row>
    <row r="321" spans="2:47">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row>
    <row r="322" spans="2:47">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row>
    <row r="323" spans="2:47">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row>
    <row r="324" spans="2:47">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row>
    <row r="325" spans="2:47">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row>
    <row r="326" spans="2:47">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row>
    <row r="327" spans="2:47">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row>
    <row r="328" spans="2:47">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row>
    <row r="329" spans="2:47">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row>
    <row r="330" spans="2:47">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row>
    <row r="331" spans="2:47">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row>
    <row r="332" spans="2:47">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row>
    <row r="333" spans="2:47">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row>
    <row r="334" spans="2:47">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row>
    <row r="335" spans="2:47">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row>
    <row r="336" spans="2:47">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row>
    <row r="337" spans="2:47">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row>
    <row r="338" spans="2:47">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row>
    <row r="339" spans="2:47">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row>
    <row r="340" spans="2:47">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row>
    <row r="341" spans="2:47">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row>
    <row r="342" spans="2:47">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row>
    <row r="343" spans="2:47">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row>
    <row r="344" spans="2:47">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row>
    <row r="345" spans="2:47">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row>
    <row r="346" spans="2:47">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row>
    <row r="347" spans="2:47">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row>
    <row r="348" spans="2:47">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row>
    <row r="349" spans="2:47">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row>
    <row r="350" spans="2:47">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row>
    <row r="351" spans="2:47">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row>
    <row r="352" spans="2:47">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row>
    <row r="353" spans="2:47">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row>
    <row r="354" spans="2:47">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row>
    <row r="355" spans="2:47">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row>
    <row r="356" spans="2:47">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row>
    <row r="357" spans="2:47">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row>
    <row r="358" spans="2:47">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row>
    <row r="359" spans="2:47">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row>
    <row r="360" spans="2:47">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row>
    <row r="361" spans="2:47">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row>
    <row r="362" spans="2:47">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row>
    <row r="363" spans="2:47">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row>
    <row r="364" spans="2:47">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row>
    <row r="365" spans="2:47">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row>
    <row r="366" spans="2:47">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row>
    <row r="367" spans="2:47">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row>
    <row r="368" spans="2:47">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row>
    <row r="369" spans="2:47">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row>
    <row r="370" spans="2:47">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row>
    <row r="371" spans="2:47">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row>
    <row r="372" spans="2:47">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row>
    <row r="373" spans="2:47">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row>
    <row r="374" spans="2:47">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row>
    <row r="375" spans="2:47">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row>
    <row r="376" spans="2:47">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row>
    <row r="377" spans="2:47">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row>
    <row r="378" spans="2:47">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row>
    <row r="379" spans="2:47">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row>
    <row r="380" spans="2:47">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row>
    <row r="381" spans="2:47">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row>
    <row r="382" spans="2:47">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row>
    <row r="383" spans="2:47">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row>
    <row r="384" spans="2:47">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row>
    <row r="385" spans="2:47">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row>
    <row r="386" spans="2:47">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row>
    <row r="387" spans="2:47">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row>
    <row r="388" spans="2:47">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row>
    <row r="389" spans="2:47">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row>
    <row r="390" spans="2:47">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row>
    <row r="391" spans="2:47">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row>
    <row r="392" spans="2:47">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row>
    <row r="393" spans="2:47">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row>
    <row r="394" spans="2:47">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row>
    <row r="395" spans="2:47">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row>
    <row r="396" spans="2:47">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row>
    <row r="397" spans="2:47">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row>
    <row r="398" spans="2:47">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row>
    <row r="399" spans="2:47">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row>
    <row r="400" spans="2:47">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row>
    <row r="401" spans="2:47">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row>
    <row r="402" spans="2:47">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row>
    <row r="403" spans="2:47">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row>
    <row r="404" spans="2:47">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row>
    <row r="405" spans="2:47">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row>
    <row r="406" spans="2:47">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row>
    <row r="407" spans="2:47">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row>
    <row r="408" spans="2:47">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row>
    <row r="409" spans="2:47">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row>
    <row r="410" spans="2:47">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row>
    <row r="411" spans="2:47">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row>
    <row r="412" spans="2:47">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row>
    <row r="413" spans="2:47">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row>
    <row r="414" spans="2:47">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row>
    <row r="415" spans="2:47">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row>
    <row r="416" spans="2:47">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row>
    <row r="417" spans="2:47">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row>
    <row r="418" spans="2:47">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row>
    <row r="419" spans="2:47">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row>
    <row r="420" spans="2:47">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row>
    <row r="421" spans="2:47">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row>
    <row r="422" spans="2:47">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row>
    <row r="423" spans="2:47">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row>
    <row r="424" spans="2:47">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row>
    <row r="425" spans="2:47">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row>
    <row r="426" spans="2:47">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row>
    <row r="427" spans="2:47">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row>
    <row r="428" spans="2:47">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row>
    <row r="429" spans="2:47">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row>
    <row r="430" spans="2:47">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row>
    <row r="431" spans="2:47">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row>
    <row r="432" spans="2:47">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row>
    <row r="433" spans="2:47">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row>
    <row r="434" spans="2:47">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row>
    <row r="435" spans="2:47">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row>
    <row r="436" spans="2:47">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row>
    <row r="437" spans="2:47">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row>
    <row r="438" spans="2:47">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row>
    <row r="439" spans="2:47">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row>
    <row r="440" spans="2:47">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row>
    <row r="441" spans="2:47">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row>
    <row r="442" spans="2:47">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row>
    <row r="443" spans="2:47">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row>
    <row r="444" spans="2:47">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row>
    <row r="445" spans="2:47">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row>
    <row r="446" spans="2:47">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row>
    <row r="447" spans="2:47">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row>
    <row r="448" spans="2:47">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row>
    <row r="449" spans="2:47">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row>
    <row r="450" spans="2:47">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row>
    <row r="451" spans="2:47">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row>
    <row r="452" spans="2:47">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row>
    <row r="453" spans="2:47">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row>
    <row r="454" spans="2:47">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row>
    <row r="455" spans="2:47">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row>
    <row r="456" spans="2:47">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row>
    <row r="457" spans="2:47">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row>
    <row r="458" spans="2:47">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row>
    <row r="459" spans="2:47">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row>
    <row r="460" spans="2:47">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row>
    <row r="461" spans="2:47">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row>
    <row r="462" spans="2:47">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row>
    <row r="463" spans="2:47">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row>
    <row r="464" spans="2:47">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row>
    <row r="465" spans="2:47">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row>
    <row r="466" spans="2:47">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row>
    <row r="467" spans="2:47">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row>
    <row r="468" spans="2:47">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row>
    <row r="469" spans="2:47">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row>
    <row r="470" spans="2:47">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row>
    <row r="471" spans="2:47">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row>
    <row r="472" spans="2:47">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row>
    <row r="473" spans="2:47">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row>
    <row r="474" spans="2:47">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row>
    <row r="475" spans="2:47">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row>
    <row r="476" spans="2:47">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row>
    <row r="477" spans="2:47">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row>
    <row r="478" spans="2:47">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row>
    <row r="479" spans="2:47">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row>
    <row r="480" spans="2:47">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row>
    <row r="481" spans="2:47">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row>
    <row r="482" spans="2:47">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row>
    <row r="483" spans="2:47">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row>
    <row r="484" spans="2:47">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row>
    <row r="485" spans="2:47">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row>
    <row r="486" spans="2:47">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row>
    <row r="487" spans="2:47">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row>
    <row r="488" spans="2:47">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row>
    <row r="489" spans="2:47">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row>
    <row r="490" spans="2:47">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row>
    <row r="491" spans="2:47">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row>
    <row r="492" spans="2:47">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row>
    <row r="493" spans="2:47">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row>
    <row r="494" spans="2:47">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row>
    <row r="495" spans="2:47">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row>
    <row r="496" spans="2:47">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row>
    <row r="497" spans="2:47">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row>
    <row r="498" spans="2:47">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row>
    <row r="499" spans="2:47">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row>
    <row r="500" spans="2:47">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row>
    <row r="501" spans="2:47">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row>
    <row r="502" spans="2:47">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row>
    <row r="503" spans="2:47">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row>
    <row r="504" spans="2:47">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row>
    <row r="505" spans="2:47">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row>
    <row r="506" spans="2:47">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row>
    <row r="507" spans="2:47">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row>
    <row r="508" spans="2:47">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row>
    <row r="509" spans="2:47">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row>
    <row r="510" spans="2:47">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row>
    <row r="511" spans="2:47">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row>
    <row r="512" spans="2:47">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row>
    <row r="513" spans="2:47">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row>
    <row r="514" spans="2:47">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row>
    <row r="515" spans="2:47">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row>
    <row r="516" spans="2:47">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row>
    <row r="517" spans="2:47">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row>
    <row r="518" spans="2:47">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row>
    <row r="519" spans="2:47">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row>
    <row r="520" spans="2:47">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row>
    <row r="521" spans="2:47">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row>
    <row r="522" spans="2:47">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row>
    <row r="523" spans="2:47">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row>
    <row r="524" spans="2:47">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row>
    <row r="525" spans="2:47">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row>
    <row r="526" spans="2:47">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row>
    <row r="527" spans="2:47">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row>
    <row r="528" spans="2:47">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row>
    <row r="529" spans="2:47">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row>
    <row r="530" spans="2:47">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row>
    <row r="531" spans="2:47">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row>
    <row r="532" spans="2:47">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row>
    <row r="533" spans="2:47">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row>
    <row r="534" spans="2:47">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row>
    <row r="535" spans="2:47">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row>
    <row r="536" spans="2:47">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row>
    <row r="537" spans="2:47">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row>
  </sheetData>
  <mergeCells count="11">
    <mergeCell ref="B2:W2"/>
    <mergeCell ref="B3:W3"/>
    <mergeCell ref="B7:G7"/>
    <mergeCell ref="I7:N7"/>
    <mergeCell ref="B5:H5"/>
    <mergeCell ref="B39:G39"/>
    <mergeCell ref="B58:E58"/>
    <mergeCell ref="B75:W75"/>
    <mergeCell ref="B9:G9"/>
    <mergeCell ref="I9:N9"/>
    <mergeCell ref="B31:G31"/>
  </mergeCells>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5"/>
  <sheetViews>
    <sheetView workbookViewId="0">
      <selection activeCell="L80" sqref="L80"/>
    </sheetView>
  </sheetViews>
  <sheetFormatPr defaultRowHeight="12.5"/>
  <cols>
    <col min="3" max="3" width="17.7265625" bestFit="1" customWidth="1"/>
    <col min="4" max="4" width="13.1796875" customWidth="1"/>
    <col min="5" max="5" width="10.453125" customWidth="1"/>
    <col min="8" max="8" width="12.453125" bestFit="1" customWidth="1"/>
    <col min="9" max="9" width="12.1796875" customWidth="1"/>
    <col min="10" max="10" width="10" customWidth="1"/>
  </cols>
  <sheetData>
    <row r="1" spans="1:19" ht="13" thickBot="1"/>
    <row r="2" spans="1:19" ht="18.5" thickBot="1">
      <c r="B2" s="1525" t="s">
        <v>63</v>
      </c>
      <c r="C2" s="1526"/>
      <c r="D2" s="1526"/>
      <c r="E2" s="1526"/>
      <c r="F2" s="1526"/>
      <c r="G2" s="1526"/>
      <c r="H2" s="1526"/>
      <c r="I2" s="1526"/>
      <c r="J2" s="1526"/>
      <c r="K2" s="1526"/>
      <c r="L2" s="1526"/>
      <c r="M2" s="1526"/>
      <c r="N2" s="1526"/>
      <c r="O2" s="1526"/>
      <c r="P2" s="1526"/>
      <c r="Q2" s="1526"/>
      <c r="R2" s="1526"/>
      <c r="S2" s="1527"/>
    </row>
    <row r="3" spans="1:19" ht="16" thickBot="1">
      <c r="B3" s="1528" t="s">
        <v>1016</v>
      </c>
      <c r="C3" s="1529"/>
      <c r="D3" s="1529"/>
      <c r="E3" s="1529"/>
      <c r="F3" s="1529"/>
      <c r="G3" s="1529"/>
      <c r="H3" s="1529"/>
      <c r="I3" s="1529"/>
      <c r="J3" s="1529"/>
      <c r="K3" s="1529"/>
      <c r="L3" s="1529"/>
      <c r="M3" s="1529"/>
      <c r="N3" s="1529"/>
      <c r="O3" s="1529"/>
      <c r="P3" s="1529"/>
      <c r="Q3" s="1529"/>
      <c r="R3" s="1529"/>
      <c r="S3" s="1530"/>
    </row>
    <row r="4" spans="1:19">
      <c r="B4" s="124"/>
      <c r="C4" s="209"/>
      <c r="D4" s="209"/>
      <c r="E4" s="209"/>
      <c r="F4" s="209"/>
      <c r="G4" s="209"/>
      <c r="S4" s="126"/>
    </row>
    <row r="5" spans="1:19" ht="13" thickBot="1">
      <c r="B5" s="124"/>
      <c r="S5" s="126"/>
    </row>
    <row r="6" spans="1:19" ht="13.5" thickBot="1">
      <c r="A6" s="22"/>
      <c r="B6" s="1531" t="s">
        <v>827</v>
      </c>
      <c r="C6" s="1532"/>
      <c r="D6" s="1532"/>
      <c r="E6" s="1532"/>
      <c r="F6" s="1533"/>
      <c r="G6" s="22"/>
      <c r="S6" s="126"/>
    </row>
    <row r="7" spans="1:19">
      <c r="A7" s="22"/>
      <c r="B7" s="124"/>
      <c r="F7" s="126"/>
      <c r="G7" s="22"/>
      <c r="S7" s="126"/>
    </row>
    <row r="8" spans="1:19">
      <c r="A8" s="22"/>
      <c r="B8" s="145" t="s">
        <v>460</v>
      </c>
      <c r="C8" s="39"/>
      <c r="D8" s="39"/>
      <c r="E8" s="150">
        <v>60000</v>
      </c>
      <c r="F8" s="146"/>
      <c r="G8" s="22"/>
      <c r="S8" s="126"/>
    </row>
    <row r="9" spans="1:19">
      <c r="A9" s="22"/>
      <c r="B9" s="145" t="s">
        <v>825</v>
      </c>
      <c r="C9" s="39"/>
      <c r="D9" s="39"/>
      <c r="E9" s="151">
        <v>0.12</v>
      </c>
      <c r="F9" s="146"/>
      <c r="G9" s="22"/>
      <c r="S9" s="126"/>
    </row>
    <row r="10" spans="1:19">
      <c r="A10" s="22"/>
      <c r="B10" s="145" t="s">
        <v>371</v>
      </c>
      <c r="C10" s="39"/>
      <c r="D10" s="39"/>
      <c r="E10" s="152">
        <v>30</v>
      </c>
      <c r="F10" s="147" t="s">
        <v>816</v>
      </c>
      <c r="G10" s="22"/>
      <c r="S10" s="126"/>
    </row>
    <row r="11" spans="1:19" ht="13" thickBot="1">
      <c r="A11" s="22"/>
      <c r="B11" s="148" t="s">
        <v>214</v>
      </c>
      <c r="C11" s="63"/>
      <c r="D11" s="63"/>
      <c r="E11" s="153">
        <v>3</v>
      </c>
      <c r="F11" s="149"/>
      <c r="G11" s="22"/>
      <c r="S11" s="126"/>
    </row>
    <row r="12" spans="1:19">
      <c r="B12" s="124"/>
      <c r="S12" s="126"/>
    </row>
    <row r="13" spans="1:19">
      <c r="B13" s="213" t="s">
        <v>817</v>
      </c>
      <c r="E13" s="214">
        <f>PMT(E9/12,E10*12,-E8)</f>
        <v>617.16755815530257</v>
      </c>
      <c r="F13" t="s">
        <v>1014</v>
      </c>
      <c r="S13" s="126"/>
    </row>
    <row r="14" spans="1:19">
      <c r="B14" s="213" t="s">
        <v>819</v>
      </c>
      <c r="E14" s="214">
        <f>E13*12</f>
        <v>7406.0106978636304</v>
      </c>
      <c r="F14" s="22" t="s">
        <v>1015</v>
      </c>
      <c r="S14" s="126"/>
    </row>
    <row r="15" spans="1:19">
      <c r="B15" s="213" t="s">
        <v>818</v>
      </c>
      <c r="E15" s="215">
        <f>E22*12/E8</f>
        <v>0.15333333333333332</v>
      </c>
      <c r="F15" s="22" t="s">
        <v>1013</v>
      </c>
      <c r="G15" s="22"/>
      <c r="S15" s="126"/>
    </row>
    <row r="16" spans="1:19">
      <c r="B16" s="213" t="s">
        <v>1002</v>
      </c>
      <c r="E16" s="215">
        <f>F83</f>
        <v>0.12881361833739557</v>
      </c>
      <c r="F16" s="22"/>
      <c r="G16" s="22"/>
      <c r="S16" s="126"/>
    </row>
    <row r="17" spans="2:19">
      <c r="B17" s="124"/>
      <c r="S17" s="126"/>
    </row>
    <row r="18" spans="2:19" ht="13">
      <c r="B18" s="216" t="s">
        <v>828</v>
      </c>
      <c r="C18" s="217"/>
      <c r="D18" s="218"/>
      <c r="E18" s="218"/>
      <c r="F18" s="218"/>
      <c r="G18" s="218"/>
      <c r="H18" s="218"/>
      <c r="I18" s="218"/>
      <c r="J18" s="218"/>
      <c r="S18" s="126"/>
    </row>
    <row r="19" spans="2:19" ht="13" thickBot="1">
      <c r="B19" s="124"/>
      <c r="S19" s="126"/>
    </row>
    <row r="20" spans="2:19" ht="13.5" thickBot="1">
      <c r="B20" s="157" t="s">
        <v>262</v>
      </c>
      <c r="C20" s="157" t="s">
        <v>216</v>
      </c>
      <c r="D20" s="157" t="s">
        <v>821</v>
      </c>
      <c r="E20" s="157" t="s">
        <v>209</v>
      </c>
      <c r="F20" s="157" t="s">
        <v>822</v>
      </c>
      <c r="G20" s="157" t="s">
        <v>210</v>
      </c>
      <c r="H20" s="157" t="s">
        <v>387</v>
      </c>
      <c r="I20" s="157" t="s">
        <v>823</v>
      </c>
      <c r="J20" s="157" t="s">
        <v>824</v>
      </c>
      <c r="S20" s="126"/>
    </row>
    <row r="21" spans="2:19">
      <c r="B21" s="124"/>
      <c r="C21">
        <v>0</v>
      </c>
      <c r="J21" s="158">
        <f>-(E8-E11/100*E8)</f>
        <v>-58200</v>
      </c>
      <c r="S21" s="126"/>
    </row>
    <row r="22" spans="2:19">
      <c r="B22" s="159" t="s">
        <v>815</v>
      </c>
      <c r="C22">
        <v>1</v>
      </c>
      <c r="D22" s="11">
        <f>E8</f>
        <v>60000</v>
      </c>
      <c r="E22" s="11">
        <f>H22+G22</f>
        <v>766.66666666666663</v>
      </c>
      <c r="F22" s="23">
        <f>E9</f>
        <v>0.12</v>
      </c>
      <c r="G22" s="160">
        <f t="shared" ref="G22:G81" si="0">(F22/12)*D22</f>
        <v>600</v>
      </c>
      <c r="H22" s="160">
        <f>$E$8/($E$10*12)</f>
        <v>166.66666666666666</v>
      </c>
      <c r="I22" s="161">
        <f t="shared" ref="I22:I81" si="1">D22-H22</f>
        <v>59833.333333333336</v>
      </c>
      <c r="J22" s="162">
        <f t="shared" ref="J22:J80" si="2">E22</f>
        <v>766.66666666666663</v>
      </c>
      <c r="S22" s="126"/>
    </row>
    <row r="23" spans="2:19">
      <c r="B23" s="159"/>
      <c r="C23">
        <f t="shared" ref="C23:C33" si="3">1+C22</f>
        <v>2</v>
      </c>
      <c r="D23" s="161">
        <f t="shared" ref="D23:D81" si="4">I22</f>
        <v>59833.333333333336</v>
      </c>
      <c r="E23" s="11">
        <f t="shared" ref="E23:E81" si="5">H23+G23</f>
        <v>765</v>
      </c>
      <c r="F23" s="23">
        <f t="shared" ref="F23:F54" si="6">F22</f>
        <v>0.12</v>
      </c>
      <c r="G23" s="160">
        <f t="shared" si="0"/>
        <v>598.33333333333337</v>
      </c>
      <c r="H23" s="160">
        <f t="shared" ref="H23:H81" si="7">$E$8/($E$10*12)</f>
        <v>166.66666666666666</v>
      </c>
      <c r="I23" s="161">
        <f t="shared" si="1"/>
        <v>59666.666666666672</v>
      </c>
      <c r="J23" s="162">
        <f t="shared" si="2"/>
        <v>765</v>
      </c>
      <c r="S23" s="126"/>
    </row>
    <row r="24" spans="2:19">
      <c r="B24" s="159"/>
      <c r="C24">
        <f t="shared" si="3"/>
        <v>3</v>
      </c>
      <c r="D24" s="161">
        <f t="shared" si="4"/>
        <v>59666.666666666672</v>
      </c>
      <c r="E24" s="11">
        <f t="shared" si="5"/>
        <v>763.33333333333337</v>
      </c>
      <c r="F24" s="23">
        <f t="shared" si="6"/>
        <v>0.12</v>
      </c>
      <c r="G24" s="160">
        <f t="shared" si="0"/>
        <v>596.66666666666674</v>
      </c>
      <c r="H24" s="160">
        <f t="shared" si="7"/>
        <v>166.66666666666666</v>
      </c>
      <c r="I24" s="161">
        <f t="shared" si="1"/>
        <v>59500.000000000007</v>
      </c>
      <c r="J24" s="162">
        <f t="shared" si="2"/>
        <v>763.33333333333337</v>
      </c>
      <c r="S24" s="126"/>
    </row>
    <row r="25" spans="2:19">
      <c r="B25" s="159"/>
      <c r="C25">
        <f t="shared" si="3"/>
        <v>4</v>
      </c>
      <c r="D25" s="161">
        <f t="shared" si="4"/>
        <v>59500.000000000007</v>
      </c>
      <c r="E25" s="11">
        <f t="shared" si="5"/>
        <v>761.66666666666674</v>
      </c>
      <c r="F25" s="23">
        <f t="shared" si="6"/>
        <v>0.12</v>
      </c>
      <c r="G25" s="160">
        <f t="shared" si="0"/>
        <v>595.00000000000011</v>
      </c>
      <c r="H25" s="160">
        <f t="shared" si="7"/>
        <v>166.66666666666666</v>
      </c>
      <c r="I25" s="161">
        <f t="shared" si="1"/>
        <v>59333.333333333343</v>
      </c>
      <c r="J25" s="162">
        <f t="shared" si="2"/>
        <v>761.66666666666674</v>
      </c>
      <c r="S25" s="126"/>
    </row>
    <row r="26" spans="2:19">
      <c r="B26" s="159"/>
      <c r="C26">
        <f t="shared" si="3"/>
        <v>5</v>
      </c>
      <c r="D26" s="161">
        <f t="shared" si="4"/>
        <v>59333.333333333343</v>
      </c>
      <c r="E26" s="11">
        <f t="shared" si="5"/>
        <v>760.00000000000011</v>
      </c>
      <c r="F26" s="23">
        <f t="shared" si="6"/>
        <v>0.12</v>
      </c>
      <c r="G26" s="160">
        <f t="shared" si="0"/>
        <v>593.33333333333348</v>
      </c>
      <c r="H26" s="160">
        <f t="shared" si="7"/>
        <v>166.66666666666666</v>
      </c>
      <c r="I26" s="161">
        <f t="shared" si="1"/>
        <v>59166.666666666679</v>
      </c>
      <c r="J26" s="162">
        <f t="shared" si="2"/>
        <v>760.00000000000011</v>
      </c>
      <c r="S26" s="126"/>
    </row>
    <row r="27" spans="2:19">
      <c r="B27" s="159"/>
      <c r="C27">
        <f t="shared" si="3"/>
        <v>6</v>
      </c>
      <c r="D27" s="161">
        <f t="shared" si="4"/>
        <v>59166.666666666679</v>
      </c>
      <c r="E27" s="11">
        <f t="shared" si="5"/>
        <v>758.33333333333348</v>
      </c>
      <c r="F27" s="23">
        <f t="shared" si="6"/>
        <v>0.12</v>
      </c>
      <c r="G27" s="160">
        <f t="shared" si="0"/>
        <v>591.66666666666686</v>
      </c>
      <c r="H27" s="160">
        <f t="shared" si="7"/>
        <v>166.66666666666666</v>
      </c>
      <c r="I27" s="161">
        <f t="shared" si="1"/>
        <v>59000.000000000015</v>
      </c>
      <c r="J27" s="162">
        <f t="shared" si="2"/>
        <v>758.33333333333348</v>
      </c>
      <c r="S27" s="126"/>
    </row>
    <row r="28" spans="2:19">
      <c r="B28" s="159"/>
      <c r="C28">
        <f t="shared" si="3"/>
        <v>7</v>
      </c>
      <c r="D28" s="161">
        <f t="shared" si="4"/>
        <v>59000.000000000015</v>
      </c>
      <c r="E28" s="11">
        <f t="shared" si="5"/>
        <v>756.66666666666674</v>
      </c>
      <c r="F28" s="23">
        <f t="shared" si="6"/>
        <v>0.12</v>
      </c>
      <c r="G28" s="160">
        <f t="shared" si="0"/>
        <v>590.00000000000011</v>
      </c>
      <c r="H28" s="160">
        <f t="shared" si="7"/>
        <v>166.66666666666666</v>
      </c>
      <c r="I28" s="161">
        <f t="shared" si="1"/>
        <v>58833.33333333335</v>
      </c>
      <c r="J28" s="162">
        <f t="shared" si="2"/>
        <v>756.66666666666674</v>
      </c>
      <c r="S28" s="126"/>
    </row>
    <row r="29" spans="2:19">
      <c r="B29" s="159"/>
      <c r="C29">
        <f t="shared" si="3"/>
        <v>8</v>
      </c>
      <c r="D29" s="161">
        <f t="shared" si="4"/>
        <v>58833.33333333335</v>
      </c>
      <c r="E29" s="11">
        <f t="shared" si="5"/>
        <v>755.00000000000011</v>
      </c>
      <c r="F29" s="23">
        <f t="shared" si="6"/>
        <v>0.12</v>
      </c>
      <c r="G29" s="160">
        <f t="shared" si="0"/>
        <v>588.33333333333348</v>
      </c>
      <c r="H29" s="160">
        <f t="shared" si="7"/>
        <v>166.66666666666666</v>
      </c>
      <c r="I29" s="161">
        <f t="shared" si="1"/>
        <v>58666.666666666686</v>
      </c>
      <c r="J29" s="162">
        <f t="shared" si="2"/>
        <v>755.00000000000011</v>
      </c>
      <c r="S29" s="126"/>
    </row>
    <row r="30" spans="2:19">
      <c r="B30" s="159"/>
      <c r="C30">
        <f t="shared" si="3"/>
        <v>9</v>
      </c>
      <c r="D30" s="161">
        <f t="shared" si="4"/>
        <v>58666.666666666686</v>
      </c>
      <c r="E30" s="11">
        <f t="shared" si="5"/>
        <v>753.33333333333348</v>
      </c>
      <c r="F30" s="23">
        <f t="shared" si="6"/>
        <v>0.12</v>
      </c>
      <c r="G30" s="160">
        <f t="shared" si="0"/>
        <v>586.66666666666686</v>
      </c>
      <c r="H30" s="160">
        <f t="shared" si="7"/>
        <v>166.66666666666666</v>
      </c>
      <c r="I30" s="161">
        <f t="shared" si="1"/>
        <v>58500.000000000022</v>
      </c>
      <c r="J30" s="162">
        <f t="shared" si="2"/>
        <v>753.33333333333348</v>
      </c>
      <c r="S30" s="126"/>
    </row>
    <row r="31" spans="2:19">
      <c r="B31" s="159"/>
      <c r="C31">
        <f t="shared" si="3"/>
        <v>10</v>
      </c>
      <c r="D31" s="161">
        <f t="shared" si="4"/>
        <v>58500.000000000022</v>
      </c>
      <c r="E31" s="11">
        <f t="shared" si="5"/>
        <v>751.66666666666686</v>
      </c>
      <c r="F31" s="23">
        <f t="shared" si="6"/>
        <v>0.12</v>
      </c>
      <c r="G31" s="160">
        <f t="shared" si="0"/>
        <v>585.00000000000023</v>
      </c>
      <c r="H31" s="160">
        <f t="shared" si="7"/>
        <v>166.66666666666666</v>
      </c>
      <c r="I31" s="161">
        <f t="shared" si="1"/>
        <v>58333.333333333358</v>
      </c>
      <c r="J31" s="162">
        <f t="shared" si="2"/>
        <v>751.66666666666686</v>
      </c>
      <c r="S31" s="126"/>
    </row>
    <row r="32" spans="2:19">
      <c r="B32" s="159"/>
      <c r="C32">
        <f t="shared" si="3"/>
        <v>11</v>
      </c>
      <c r="D32" s="161">
        <f t="shared" si="4"/>
        <v>58333.333333333358</v>
      </c>
      <c r="E32" s="11">
        <f t="shared" si="5"/>
        <v>750.00000000000023</v>
      </c>
      <c r="F32" s="23">
        <f t="shared" si="6"/>
        <v>0.12</v>
      </c>
      <c r="G32" s="160">
        <f t="shared" si="0"/>
        <v>583.3333333333336</v>
      </c>
      <c r="H32" s="160">
        <f t="shared" si="7"/>
        <v>166.66666666666666</v>
      </c>
      <c r="I32" s="161">
        <f t="shared" si="1"/>
        <v>58166.666666666693</v>
      </c>
      <c r="J32" s="162">
        <f t="shared" si="2"/>
        <v>750.00000000000023</v>
      </c>
      <c r="S32" s="126"/>
    </row>
    <row r="33" spans="2:19">
      <c r="B33" s="159"/>
      <c r="C33">
        <f t="shared" si="3"/>
        <v>12</v>
      </c>
      <c r="D33" s="161">
        <f t="shared" si="4"/>
        <v>58166.666666666693</v>
      </c>
      <c r="E33" s="11">
        <f t="shared" si="5"/>
        <v>748.3333333333336</v>
      </c>
      <c r="F33" s="23">
        <f t="shared" si="6"/>
        <v>0.12</v>
      </c>
      <c r="G33" s="160">
        <f t="shared" si="0"/>
        <v>581.66666666666697</v>
      </c>
      <c r="H33" s="160">
        <f t="shared" si="7"/>
        <v>166.66666666666666</v>
      </c>
      <c r="I33" s="161">
        <f t="shared" si="1"/>
        <v>58000.000000000029</v>
      </c>
      <c r="J33" s="162">
        <f t="shared" si="2"/>
        <v>748.3333333333336</v>
      </c>
      <c r="S33" s="126"/>
    </row>
    <row r="34" spans="2:19">
      <c r="B34" s="159">
        <v>2</v>
      </c>
      <c r="C34">
        <v>1</v>
      </c>
      <c r="D34" s="161">
        <f t="shared" si="4"/>
        <v>58000.000000000029</v>
      </c>
      <c r="E34" s="11">
        <f t="shared" si="5"/>
        <v>746.66666666666697</v>
      </c>
      <c r="F34" s="23">
        <f t="shared" si="6"/>
        <v>0.12</v>
      </c>
      <c r="G34" s="160">
        <f t="shared" si="0"/>
        <v>580.00000000000034</v>
      </c>
      <c r="H34" s="160">
        <f t="shared" si="7"/>
        <v>166.66666666666666</v>
      </c>
      <c r="I34" s="161">
        <f t="shared" si="1"/>
        <v>57833.333333333365</v>
      </c>
      <c r="J34" s="162">
        <f t="shared" si="2"/>
        <v>746.66666666666697</v>
      </c>
      <c r="S34" s="126"/>
    </row>
    <row r="35" spans="2:19">
      <c r="B35" s="159"/>
      <c r="C35">
        <f t="shared" ref="C35:C45" si="8">1+C34</f>
        <v>2</v>
      </c>
      <c r="D35" s="161">
        <f t="shared" si="4"/>
        <v>57833.333333333365</v>
      </c>
      <c r="E35" s="11">
        <f t="shared" si="5"/>
        <v>745.00000000000034</v>
      </c>
      <c r="F35" s="23">
        <f t="shared" si="6"/>
        <v>0.12</v>
      </c>
      <c r="G35" s="160">
        <f t="shared" si="0"/>
        <v>578.33333333333371</v>
      </c>
      <c r="H35" s="160">
        <f t="shared" si="7"/>
        <v>166.66666666666666</v>
      </c>
      <c r="I35" s="161">
        <f t="shared" si="1"/>
        <v>57666.666666666701</v>
      </c>
      <c r="J35" s="162">
        <f t="shared" si="2"/>
        <v>745.00000000000034</v>
      </c>
      <c r="S35" s="126"/>
    </row>
    <row r="36" spans="2:19">
      <c r="B36" s="159"/>
      <c r="C36">
        <f t="shared" si="8"/>
        <v>3</v>
      </c>
      <c r="D36" s="161">
        <f t="shared" si="4"/>
        <v>57666.666666666701</v>
      </c>
      <c r="E36" s="11">
        <f t="shared" si="5"/>
        <v>743.3333333333336</v>
      </c>
      <c r="F36" s="23">
        <f t="shared" si="6"/>
        <v>0.12</v>
      </c>
      <c r="G36" s="160">
        <f t="shared" si="0"/>
        <v>576.66666666666697</v>
      </c>
      <c r="H36" s="160">
        <f t="shared" si="7"/>
        <v>166.66666666666666</v>
      </c>
      <c r="I36" s="161">
        <f t="shared" si="1"/>
        <v>57500.000000000036</v>
      </c>
      <c r="J36" s="162">
        <f t="shared" si="2"/>
        <v>743.3333333333336</v>
      </c>
      <c r="S36" s="126"/>
    </row>
    <row r="37" spans="2:19">
      <c r="B37" s="159"/>
      <c r="C37">
        <f t="shared" si="8"/>
        <v>4</v>
      </c>
      <c r="D37" s="161">
        <f t="shared" si="4"/>
        <v>57500.000000000036</v>
      </c>
      <c r="E37" s="11">
        <f t="shared" si="5"/>
        <v>741.66666666666697</v>
      </c>
      <c r="F37" s="23">
        <f t="shared" si="6"/>
        <v>0.12</v>
      </c>
      <c r="G37" s="160">
        <f t="shared" si="0"/>
        <v>575.00000000000034</v>
      </c>
      <c r="H37" s="160">
        <f t="shared" si="7"/>
        <v>166.66666666666666</v>
      </c>
      <c r="I37" s="161">
        <f t="shared" si="1"/>
        <v>57333.333333333372</v>
      </c>
      <c r="J37" s="162">
        <f t="shared" si="2"/>
        <v>741.66666666666697</v>
      </c>
      <c r="S37" s="126"/>
    </row>
    <row r="38" spans="2:19">
      <c r="B38" s="159"/>
      <c r="C38">
        <f t="shared" si="8"/>
        <v>5</v>
      </c>
      <c r="D38" s="161">
        <f t="shared" si="4"/>
        <v>57333.333333333372</v>
      </c>
      <c r="E38" s="11">
        <f t="shared" si="5"/>
        <v>740.00000000000034</v>
      </c>
      <c r="F38" s="23">
        <f t="shared" si="6"/>
        <v>0.12</v>
      </c>
      <c r="G38" s="160">
        <f t="shared" si="0"/>
        <v>573.33333333333371</v>
      </c>
      <c r="H38" s="160">
        <f t="shared" si="7"/>
        <v>166.66666666666666</v>
      </c>
      <c r="I38" s="161">
        <f t="shared" si="1"/>
        <v>57166.666666666708</v>
      </c>
      <c r="J38" s="162">
        <f t="shared" si="2"/>
        <v>740.00000000000034</v>
      </c>
      <c r="S38" s="126"/>
    </row>
    <row r="39" spans="2:19">
      <c r="B39" s="159"/>
      <c r="C39">
        <f t="shared" si="8"/>
        <v>6</v>
      </c>
      <c r="D39" s="161">
        <f t="shared" si="4"/>
        <v>57166.666666666708</v>
      </c>
      <c r="E39" s="11">
        <f t="shared" si="5"/>
        <v>738.33333333333371</v>
      </c>
      <c r="F39" s="23">
        <f t="shared" si="6"/>
        <v>0.12</v>
      </c>
      <c r="G39" s="160">
        <f t="shared" si="0"/>
        <v>571.66666666666708</v>
      </c>
      <c r="H39" s="160">
        <f t="shared" si="7"/>
        <v>166.66666666666666</v>
      </c>
      <c r="I39" s="161">
        <f t="shared" si="1"/>
        <v>57000.000000000044</v>
      </c>
      <c r="J39" s="162">
        <f t="shared" si="2"/>
        <v>738.33333333333371</v>
      </c>
      <c r="S39" s="126"/>
    </row>
    <row r="40" spans="2:19">
      <c r="B40" s="159"/>
      <c r="C40">
        <f t="shared" si="8"/>
        <v>7</v>
      </c>
      <c r="D40" s="161">
        <f t="shared" si="4"/>
        <v>57000.000000000044</v>
      </c>
      <c r="E40" s="11">
        <f t="shared" si="5"/>
        <v>736.66666666666708</v>
      </c>
      <c r="F40" s="23">
        <f t="shared" si="6"/>
        <v>0.12</v>
      </c>
      <c r="G40" s="160">
        <f t="shared" si="0"/>
        <v>570.00000000000045</v>
      </c>
      <c r="H40" s="160">
        <f t="shared" si="7"/>
        <v>166.66666666666666</v>
      </c>
      <c r="I40" s="161">
        <f t="shared" si="1"/>
        <v>56833.333333333379</v>
      </c>
      <c r="J40" s="162">
        <f t="shared" si="2"/>
        <v>736.66666666666708</v>
      </c>
      <c r="S40" s="126"/>
    </row>
    <row r="41" spans="2:19">
      <c r="B41" s="159"/>
      <c r="C41">
        <f t="shared" si="8"/>
        <v>8</v>
      </c>
      <c r="D41" s="161">
        <f t="shared" si="4"/>
        <v>56833.333333333379</v>
      </c>
      <c r="E41" s="11">
        <f t="shared" si="5"/>
        <v>735.00000000000045</v>
      </c>
      <c r="F41" s="23">
        <f t="shared" si="6"/>
        <v>0.12</v>
      </c>
      <c r="G41" s="160">
        <f t="shared" si="0"/>
        <v>568.33333333333383</v>
      </c>
      <c r="H41" s="160">
        <f t="shared" si="7"/>
        <v>166.66666666666666</v>
      </c>
      <c r="I41" s="161">
        <f t="shared" si="1"/>
        <v>56666.666666666715</v>
      </c>
      <c r="J41" s="162">
        <f t="shared" si="2"/>
        <v>735.00000000000045</v>
      </c>
      <c r="S41" s="126"/>
    </row>
    <row r="42" spans="2:19">
      <c r="B42" s="159"/>
      <c r="C42">
        <f t="shared" si="8"/>
        <v>9</v>
      </c>
      <c r="D42" s="161">
        <f t="shared" si="4"/>
        <v>56666.666666666715</v>
      </c>
      <c r="E42" s="11">
        <f t="shared" si="5"/>
        <v>733.33333333333383</v>
      </c>
      <c r="F42" s="23">
        <f t="shared" si="6"/>
        <v>0.12</v>
      </c>
      <c r="G42" s="160">
        <f t="shared" si="0"/>
        <v>566.6666666666672</v>
      </c>
      <c r="H42" s="160">
        <f t="shared" si="7"/>
        <v>166.66666666666666</v>
      </c>
      <c r="I42" s="161">
        <f t="shared" si="1"/>
        <v>56500.000000000051</v>
      </c>
      <c r="J42" s="162">
        <f t="shared" si="2"/>
        <v>733.33333333333383</v>
      </c>
      <c r="S42" s="126"/>
    </row>
    <row r="43" spans="2:19">
      <c r="B43" s="159"/>
      <c r="C43">
        <f t="shared" si="8"/>
        <v>10</v>
      </c>
      <c r="D43" s="161">
        <f t="shared" si="4"/>
        <v>56500.000000000051</v>
      </c>
      <c r="E43" s="11">
        <f t="shared" si="5"/>
        <v>731.6666666666672</v>
      </c>
      <c r="F43" s="23">
        <f t="shared" si="6"/>
        <v>0.12</v>
      </c>
      <c r="G43" s="160">
        <f t="shared" si="0"/>
        <v>565.00000000000057</v>
      </c>
      <c r="H43" s="160">
        <f t="shared" si="7"/>
        <v>166.66666666666666</v>
      </c>
      <c r="I43" s="161">
        <f t="shared" si="1"/>
        <v>56333.333333333387</v>
      </c>
      <c r="J43" s="162">
        <f t="shared" si="2"/>
        <v>731.6666666666672</v>
      </c>
      <c r="S43" s="126"/>
    </row>
    <row r="44" spans="2:19">
      <c r="B44" s="159"/>
      <c r="C44">
        <f t="shared" si="8"/>
        <v>11</v>
      </c>
      <c r="D44" s="161">
        <f t="shared" si="4"/>
        <v>56333.333333333387</v>
      </c>
      <c r="E44" s="11">
        <f t="shared" si="5"/>
        <v>730.00000000000045</v>
      </c>
      <c r="F44" s="23">
        <f t="shared" si="6"/>
        <v>0.12</v>
      </c>
      <c r="G44" s="160">
        <f t="shared" si="0"/>
        <v>563.33333333333383</v>
      </c>
      <c r="H44" s="160">
        <f t="shared" si="7"/>
        <v>166.66666666666666</v>
      </c>
      <c r="I44" s="161">
        <f t="shared" si="1"/>
        <v>56166.666666666722</v>
      </c>
      <c r="J44" s="162">
        <f t="shared" si="2"/>
        <v>730.00000000000045</v>
      </c>
      <c r="S44" s="126"/>
    </row>
    <row r="45" spans="2:19">
      <c r="B45" s="159"/>
      <c r="C45">
        <f t="shared" si="8"/>
        <v>12</v>
      </c>
      <c r="D45" s="161">
        <f t="shared" si="4"/>
        <v>56166.666666666722</v>
      </c>
      <c r="E45" s="11">
        <f t="shared" si="5"/>
        <v>728.33333333333383</v>
      </c>
      <c r="F45" s="23">
        <f t="shared" si="6"/>
        <v>0.12</v>
      </c>
      <c r="G45" s="160">
        <f t="shared" si="0"/>
        <v>561.6666666666672</v>
      </c>
      <c r="H45" s="160">
        <f t="shared" si="7"/>
        <v>166.66666666666666</v>
      </c>
      <c r="I45" s="161">
        <f t="shared" si="1"/>
        <v>56000.000000000058</v>
      </c>
      <c r="J45" s="162">
        <f t="shared" si="2"/>
        <v>728.33333333333383</v>
      </c>
      <c r="S45" s="126"/>
    </row>
    <row r="46" spans="2:19">
      <c r="B46" s="159">
        <v>3</v>
      </c>
      <c r="C46">
        <v>1</v>
      </c>
      <c r="D46" s="161">
        <f t="shared" si="4"/>
        <v>56000.000000000058</v>
      </c>
      <c r="E46" s="11">
        <f t="shared" si="5"/>
        <v>726.6666666666672</v>
      </c>
      <c r="F46" s="23">
        <f t="shared" si="6"/>
        <v>0.12</v>
      </c>
      <c r="G46" s="160">
        <f t="shared" si="0"/>
        <v>560.00000000000057</v>
      </c>
      <c r="H46" s="160">
        <f t="shared" si="7"/>
        <v>166.66666666666666</v>
      </c>
      <c r="I46" s="161">
        <f t="shared" si="1"/>
        <v>55833.333333333394</v>
      </c>
      <c r="J46" s="162">
        <f t="shared" si="2"/>
        <v>726.6666666666672</v>
      </c>
      <c r="S46" s="126"/>
    </row>
    <row r="47" spans="2:19">
      <c r="B47" s="159"/>
      <c r="C47">
        <f t="shared" ref="C47:C57" si="9">1+C46</f>
        <v>2</v>
      </c>
      <c r="D47" s="161">
        <f t="shared" si="4"/>
        <v>55833.333333333394</v>
      </c>
      <c r="E47" s="11">
        <f t="shared" si="5"/>
        <v>725.00000000000057</v>
      </c>
      <c r="F47" s="23">
        <f t="shared" si="6"/>
        <v>0.12</v>
      </c>
      <c r="G47" s="160">
        <f t="shared" si="0"/>
        <v>558.33333333333394</v>
      </c>
      <c r="H47" s="160">
        <f t="shared" si="7"/>
        <v>166.66666666666666</v>
      </c>
      <c r="I47" s="161">
        <f t="shared" si="1"/>
        <v>55666.66666666673</v>
      </c>
      <c r="J47" s="162">
        <f t="shared" si="2"/>
        <v>725.00000000000057</v>
      </c>
      <c r="S47" s="126"/>
    </row>
    <row r="48" spans="2:19">
      <c r="B48" s="159"/>
      <c r="C48">
        <f t="shared" si="9"/>
        <v>3</v>
      </c>
      <c r="D48" s="161">
        <f t="shared" si="4"/>
        <v>55666.66666666673</v>
      </c>
      <c r="E48" s="11">
        <f t="shared" si="5"/>
        <v>723.33333333333394</v>
      </c>
      <c r="F48" s="23">
        <f t="shared" si="6"/>
        <v>0.12</v>
      </c>
      <c r="G48" s="160">
        <f t="shared" si="0"/>
        <v>556.66666666666731</v>
      </c>
      <c r="H48" s="160">
        <f t="shared" si="7"/>
        <v>166.66666666666666</v>
      </c>
      <c r="I48" s="161">
        <f t="shared" si="1"/>
        <v>55500.000000000065</v>
      </c>
      <c r="J48" s="162">
        <f t="shared" si="2"/>
        <v>723.33333333333394</v>
      </c>
      <c r="S48" s="126"/>
    </row>
    <row r="49" spans="2:19">
      <c r="B49" s="159"/>
      <c r="C49">
        <f t="shared" si="9"/>
        <v>4</v>
      </c>
      <c r="D49" s="161">
        <f t="shared" si="4"/>
        <v>55500.000000000065</v>
      </c>
      <c r="E49" s="11">
        <f t="shared" si="5"/>
        <v>721.66666666666731</v>
      </c>
      <c r="F49" s="23">
        <f t="shared" si="6"/>
        <v>0.12</v>
      </c>
      <c r="G49" s="160">
        <f t="shared" si="0"/>
        <v>555.00000000000068</v>
      </c>
      <c r="H49" s="160">
        <f t="shared" si="7"/>
        <v>166.66666666666666</v>
      </c>
      <c r="I49" s="161">
        <f t="shared" si="1"/>
        <v>55333.333333333401</v>
      </c>
      <c r="J49" s="162">
        <f t="shared" si="2"/>
        <v>721.66666666666731</v>
      </c>
      <c r="S49" s="126"/>
    </row>
    <row r="50" spans="2:19">
      <c r="B50" s="159"/>
      <c r="C50">
        <f t="shared" si="9"/>
        <v>5</v>
      </c>
      <c r="D50" s="161">
        <f t="shared" si="4"/>
        <v>55333.333333333401</v>
      </c>
      <c r="E50" s="11">
        <f t="shared" si="5"/>
        <v>720.00000000000068</v>
      </c>
      <c r="F50" s="23">
        <f t="shared" si="6"/>
        <v>0.12</v>
      </c>
      <c r="G50" s="160">
        <f t="shared" si="0"/>
        <v>553.33333333333405</v>
      </c>
      <c r="H50" s="160">
        <f t="shared" si="7"/>
        <v>166.66666666666666</v>
      </c>
      <c r="I50" s="161">
        <f t="shared" si="1"/>
        <v>55166.666666666737</v>
      </c>
      <c r="J50" s="162">
        <f t="shared" si="2"/>
        <v>720.00000000000068</v>
      </c>
      <c r="S50" s="126"/>
    </row>
    <row r="51" spans="2:19">
      <c r="B51" s="159"/>
      <c r="C51">
        <f t="shared" si="9"/>
        <v>6</v>
      </c>
      <c r="D51" s="161">
        <f t="shared" si="4"/>
        <v>55166.666666666737</v>
      </c>
      <c r="E51" s="11">
        <f t="shared" si="5"/>
        <v>718.33333333333405</v>
      </c>
      <c r="F51" s="23">
        <f t="shared" si="6"/>
        <v>0.12</v>
      </c>
      <c r="G51" s="160">
        <f t="shared" si="0"/>
        <v>551.66666666666742</v>
      </c>
      <c r="H51" s="160">
        <f t="shared" si="7"/>
        <v>166.66666666666666</v>
      </c>
      <c r="I51" s="161">
        <f t="shared" si="1"/>
        <v>55000.000000000073</v>
      </c>
      <c r="J51" s="162">
        <f t="shared" si="2"/>
        <v>718.33333333333405</v>
      </c>
      <c r="S51" s="126"/>
    </row>
    <row r="52" spans="2:19">
      <c r="B52" s="159"/>
      <c r="C52">
        <f t="shared" si="9"/>
        <v>7</v>
      </c>
      <c r="D52" s="161">
        <f t="shared" si="4"/>
        <v>55000.000000000073</v>
      </c>
      <c r="E52" s="11">
        <f t="shared" si="5"/>
        <v>716.66666666666742</v>
      </c>
      <c r="F52" s="23">
        <f t="shared" si="6"/>
        <v>0.12</v>
      </c>
      <c r="G52" s="160">
        <f t="shared" si="0"/>
        <v>550.0000000000008</v>
      </c>
      <c r="H52" s="160">
        <f t="shared" si="7"/>
        <v>166.66666666666666</v>
      </c>
      <c r="I52" s="161">
        <f t="shared" si="1"/>
        <v>54833.333333333409</v>
      </c>
      <c r="J52" s="162">
        <f t="shared" si="2"/>
        <v>716.66666666666742</v>
      </c>
      <c r="S52" s="126"/>
    </row>
    <row r="53" spans="2:19">
      <c r="B53" s="159"/>
      <c r="C53">
        <f t="shared" si="9"/>
        <v>8</v>
      </c>
      <c r="D53" s="161">
        <f t="shared" si="4"/>
        <v>54833.333333333409</v>
      </c>
      <c r="E53" s="11">
        <f t="shared" si="5"/>
        <v>715.00000000000068</v>
      </c>
      <c r="F53" s="23">
        <f t="shared" si="6"/>
        <v>0.12</v>
      </c>
      <c r="G53" s="160">
        <f t="shared" si="0"/>
        <v>548.33333333333405</v>
      </c>
      <c r="H53" s="160">
        <f t="shared" si="7"/>
        <v>166.66666666666666</v>
      </c>
      <c r="I53" s="161">
        <f t="shared" si="1"/>
        <v>54666.666666666744</v>
      </c>
      <c r="J53" s="162">
        <f t="shared" si="2"/>
        <v>715.00000000000068</v>
      </c>
      <c r="S53" s="126"/>
    </row>
    <row r="54" spans="2:19">
      <c r="B54" s="159"/>
      <c r="C54">
        <f t="shared" si="9"/>
        <v>9</v>
      </c>
      <c r="D54" s="161">
        <f t="shared" si="4"/>
        <v>54666.666666666744</v>
      </c>
      <c r="E54" s="11">
        <f t="shared" si="5"/>
        <v>713.33333333333405</v>
      </c>
      <c r="F54" s="23">
        <f t="shared" si="6"/>
        <v>0.12</v>
      </c>
      <c r="G54" s="160">
        <f t="shared" si="0"/>
        <v>546.66666666666742</v>
      </c>
      <c r="H54" s="160">
        <f t="shared" si="7"/>
        <v>166.66666666666666</v>
      </c>
      <c r="I54" s="161">
        <f t="shared" si="1"/>
        <v>54500.00000000008</v>
      </c>
      <c r="J54" s="162">
        <f t="shared" si="2"/>
        <v>713.33333333333405</v>
      </c>
      <c r="S54" s="126"/>
    </row>
    <row r="55" spans="2:19">
      <c r="B55" s="159"/>
      <c r="C55">
        <f t="shared" si="9"/>
        <v>10</v>
      </c>
      <c r="D55" s="161">
        <f t="shared" si="4"/>
        <v>54500.00000000008</v>
      </c>
      <c r="E55" s="11">
        <f t="shared" si="5"/>
        <v>711.66666666666742</v>
      </c>
      <c r="F55" s="23">
        <f t="shared" ref="F55:F81" si="10">F54</f>
        <v>0.12</v>
      </c>
      <c r="G55" s="160">
        <f t="shared" si="0"/>
        <v>545.0000000000008</v>
      </c>
      <c r="H55" s="160">
        <f t="shared" si="7"/>
        <v>166.66666666666666</v>
      </c>
      <c r="I55" s="161">
        <f t="shared" si="1"/>
        <v>54333.333333333416</v>
      </c>
      <c r="J55" s="162">
        <f t="shared" si="2"/>
        <v>711.66666666666742</v>
      </c>
      <c r="S55" s="126"/>
    </row>
    <row r="56" spans="2:19">
      <c r="B56" s="159"/>
      <c r="C56">
        <f t="shared" si="9"/>
        <v>11</v>
      </c>
      <c r="D56" s="161">
        <f t="shared" si="4"/>
        <v>54333.333333333416</v>
      </c>
      <c r="E56" s="11">
        <f t="shared" si="5"/>
        <v>710.0000000000008</v>
      </c>
      <c r="F56" s="23">
        <f t="shared" si="10"/>
        <v>0.12</v>
      </c>
      <c r="G56" s="160">
        <f t="shared" si="0"/>
        <v>543.33333333333417</v>
      </c>
      <c r="H56" s="160">
        <f t="shared" si="7"/>
        <v>166.66666666666666</v>
      </c>
      <c r="I56" s="161">
        <f t="shared" si="1"/>
        <v>54166.666666666752</v>
      </c>
      <c r="J56" s="162">
        <f t="shared" si="2"/>
        <v>710.0000000000008</v>
      </c>
      <c r="S56" s="126"/>
    </row>
    <row r="57" spans="2:19">
      <c r="B57" s="159"/>
      <c r="C57">
        <f t="shared" si="9"/>
        <v>12</v>
      </c>
      <c r="D57" s="161">
        <f t="shared" si="4"/>
        <v>54166.666666666752</v>
      </c>
      <c r="E57" s="11">
        <f t="shared" si="5"/>
        <v>708.33333333333417</v>
      </c>
      <c r="F57" s="23">
        <f t="shared" si="10"/>
        <v>0.12</v>
      </c>
      <c r="G57" s="160">
        <f t="shared" si="0"/>
        <v>541.66666666666754</v>
      </c>
      <c r="H57" s="160">
        <f t="shared" si="7"/>
        <v>166.66666666666666</v>
      </c>
      <c r="I57" s="161">
        <f t="shared" si="1"/>
        <v>54000.000000000087</v>
      </c>
      <c r="J57" s="162">
        <f t="shared" si="2"/>
        <v>708.33333333333417</v>
      </c>
      <c r="S57" s="126"/>
    </row>
    <row r="58" spans="2:19">
      <c r="B58" s="159">
        <v>4</v>
      </c>
      <c r="C58">
        <v>1</v>
      </c>
      <c r="D58" s="161">
        <f t="shared" si="4"/>
        <v>54000.000000000087</v>
      </c>
      <c r="E58" s="11">
        <f t="shared" si="5"/>
        <v>706.66666666666754</v>
      </c>
      <c r="F58" s="23">
        <f t="shared" si="10"/>
        <v>0.12</v>
      </c>
      <c r="G58" s="160">
        <f t="shared" si="0"/>
        <v>540.00000000000091</v>
      </c>
      <c r="H58" s="160">
        <f t="shared" si="7"/>
        <v>166.66666666666666</v>
      </c>
      <c r="I58" s="161">
        <f t="shared" si="1"/>
        <v>53833.333333333423</v>
      </c>
      <c r="J58" s="162">
        <f t="shared" si="2"/>
        <v>706.66666666666754</v>
      </c>
      <c r="S58" s="126"/>
    </row>
    <row r="59" spans="2:19">
      <c r="B59" s="159"/>
      <c r="C59">
        <f t="shared" ref="C59:C69" si="11">1+C58</f>
        <v>2</v>
      </c>
      <c r="D59" s="161">
        <f t="shared" si="4"/>
        <v>53833.333333333423</v>
      </c>
      <c r="E59" s="11">
        <f t="shared" si="5"/>
        <v>705.00000000000091</v>
      </c>
      <c r="F59" s="23">
        <f t="shared" si="10"/>
        <v>0.12</v>
      </c>
      <c r="G59" s="160">
        <f t="shared" si="0"/>
        <v>538.33333333333428</v>
      </c>
      <c r="H59" s="160">
        <f t="shared" si="7"/>
        <v>166.66666666666666</v>
      </c>
      <c r="I59" s="161">
        <f t="shared" si="1"/>
        <v>53666.666666666759</v>
      </c>
      <c r="J59" s="162">
        <f t="shared" si="2"/>
        <v>705.00000000000091</v>
      </c>
      <c r="S59" s="126"/>
    </row>
    <row r="60" spans="2:19">
      <c r="B60" s="159"/>
      <c r="C60">
        <f t="shared" si="11"/>
        <v>3</v>
      </c>
      <c r="D60" s="161">
        <f t="shared" si="4"/>
        <v>53666.666666666759</v>
      </c>
      <c r="E60" s="11">
        <f t="shared" si="5"/>
        <v>703.33333333333428</v>
      </c>
      <c r="F60" s="23">
        <f t="shared" si="10"/>
        <v>0.12</v>
      </c>
      <c r="G60" s="160">
        <f t="shared" si="0"/>
        <v>536.66666666666765</v>
      </c>
      <c r="H60" s="160">
        <f t="shared" si="7"/>
        <v>166.66666666666666</v>
      </c>
      <c r="I60" s="161">
        <f t="shared" si="1"/>
        <v>53500.000000000095</v>
      </c>
      <c r="J60" s="162">
        <f t="shared" si="2"/>
        <v>703.33333333333428</v>
      </c>
      <c r="S60" s="126"/>
    </row>
    <row r="61" spans="2:19">
      <c r="B61" s="159"/>
      <c r="C61">
        <f t="shared" si="11"/>
        <v>4</v>
      </c>
      <c r="D61" s="161">
        <f t="shared" si="4"/>
        <v>53500.000000000095</v>
      </c>
      <c r="E61" s="11">
        <f t="shared" si="5"/>
        <v>701.66666666666754</v>
      </c>
      <c r="F61" s="23">
        <f t="shared" si="10"/>
        <v>0.12</v>
      </c>
      <c r="G61" s="160">
        <f t="shared" si="0"/>
        <v>535.00000000000091</v>
      </c>
      <c r="H61" s="160">
        <f t="shared" si="7"/>
        <v>166.66666666666666</v>
      </c>
      <c r="I61" s="161">
        <f t="shared" si="1"/>
        <v>53333.33333333343</v>
      </c>
      <c r="J61" s="162">
        <f t="shared" si="2"/>
        <v>701.66666666666754</v>
      </c>
      <c r="S61" s="126"/>
    </row>
    <row r="62" spans="2:19">
      <c r="B62" s="159"/>
      <c r="C62">
        <f t="shared" si="11"/>
        <v>5</v>
      </c>
      <c r="D62" s="161">
        <f t="shared" si="4"/>
        <v>53333.33333333343</v>
      </c>
      <c r="E62" s="11">
        <f t="shared" si="5"/>
        <v>700.00000000000091</v>
      </c>
      <c r="F62" s="23">
        <f t="shared" si="10"/>
        <v>0.12</v>
      </c>
      <c r="G62" s="160">
        <f t="shared" si="0"/>
        <v>533.33333333333428</v>
      </c>
      <c r="H62" s="160">
        <f t="shared" si="7"/>
        <v>166.66666666666666</v>
      </c>
      <c r="I62" s="161">
        <f t="shared" si="1"/>
        <v>53166.666666666766</v>
      </c>
      <c r="J62" s="162">
        <f t="shared" si="2"/>
        <v>700.00000000000091</v>
      </c>
      <c r="S62" s="126"/>
    </row>
    <row r="63" spans="2:19">
      <c r="B63" s="159"/>
      <c r="C63">
        <f t="shared" si="11"/>
        <v>6</v>
      </c>
      <c r="D63" s="161">
        <f t="shared" si="4"/>
        <v>53166.666666666766</v>
      </c>
      <c r="E63" s="11">
        <f t="shared" si="5"/>
        <v>698.33333333333428</v>
      </c>
      <c r="F63" s="23">
        <f t="shared" si="10"/>
        <v>0.12</v>
      </c>
      <c r="G63" s="160">
        <f t="shared" si="0"/>
        <v>531.66666666666765</v>
      </c>
      <c r="H63" s="160">
        <f t="shared" si="7"/>
        <v>166.66666666666666</v>
      </c>
      <c r="I63" s="161">
        <f t="shared" si="1"/>
        <v>53000.000000000102</v>
      </c>
      <c r="J63" s="162">
        <f t="shared" si="2"/>
        <v>698.33333333333428</v>
      </c>
      <c r="S63" s="126"/>
    </row>
    <row r="64" spans="2:19">
      <c r="B64" s="159"/>
      <c r="C64">
        <f t="shared" si="11"/>
        <v>7</v>
      </c>
      <c r="D64" s="161">
        <f t="shared" si="4"/>
        <v>53000.000000000102</v>
      </c>
      <c r="E64" s="11">
        <f t="shared" si="5"/>
        <v>696.66666666666765</v>
      </c>
      <c r="F64" s="23">
        <f t="shared" si="10"/>
        <v>0.12</v>
      </c>
      <c r="G64" s="160">
        <f t="shared" si="0"/>
        <v>530.00000000000102</v>
      </c>
      <c r="H64" s="160">
        <f t="shared" si="7"/>
        <v>166.66666666666666</v>
      </c>
      <c r="I64" s="161">
        <f t="shared" si="1"/>
        <v>52833.333333333438</v>
      </c>
      <c r="J64" s="162">
        <f t="shared" si="2"/>
        <v>696.66666666666765</v>
      </c>
      <c r="S64" s="126"/>
    </row>
    <row r="65" spans="2:19">
      <c r="B65" s="159"/>
      <c r="C65">
        <f t="shared" si="11"/>
        <v>8</v>
      </c>
      <c r="D65" s="161">
        <f t="shared" si="4"/>
        <v>52833.333333333438</v>
      </c>
      <c r="E65" s="11">
        <f t="shared" si="5"/>
        <v>695.00000000000102</v>
      </c>
      <c r="F65" s="23">
        <f t="shared" si="10"/>
        <v>0.12</v>
      </c>
      <c r="G65" s="160">
        <f t="shared" si="0"/>
        <v>528.33333333333439</v>
      </c>
      <c r="H65" s="160">
        <f t="shared" si="7"/>
        <v>166.66666666666666</v>
      </c>
      <c r="I65" s="161">
        <f t="shared" si="1"/>
        <v>52666.666666666773</v>
      </c>
      <c r="J65" s="162">
        <f t="shared" si="2"/>
        <v>695.00000000000102</v>
      </c>
      <c r="K65" s="11"/>
      <c r="S65" s="126"/>
    </row>
    <row r="66" spans="2:19">
      <c r="B66" s="159"/>
      <c r="C66">
        <f t="shared" si="11"/>
        <v>9</v>
      </c>
      <c r="D66" s="161">
        <f t="shared" si="4"/>
        <v>52666.666666666773</v>
      </c>
      <c r="E66" s="11">
        <f t="shared" si="5"/>
        <v>693.33333333333439</v>
      </c>
      <c r="F66" s="23">
        <f t="shared" si="10"/>
        <v>0.12</v>
      </c>
      <c r="G66" s="160">
        <f t="shared" si="0"/>
        <v>526.66666666666777</v>
      </c>
      <c r="H66" s="160">
        <f t="shared" si="7"/>
        <v>166.66666666666666</v>
      </c>
      <c r="I66" s="161">
        <f t="shared" si="1"/>
        <v>52500.000000000109</v>
      </c>
      <c r="J66" s="162">
        <f t="shared" si="2"/>
        <v>693.33333333333439</v>
      </c>
      <c r="S66" s="126"/>
    </row>
    <row r="67" spans="2:19">
      <c r="B67" s="159"/>
      <c r="C67">
        <f t="shared" si="11"/>
        <v>10</v>
      </c>
      <c r="D67" s="161">
        <f t="shared" si="4"/>
        <v>52500.000000000109</v>
      </c>
      <c r="E67" s="11">
        <f t="shared" si="5"/>
        <v>691.66666666666777</v>
      </c>
      <c r="F67" s="23">
        <f t="shared" si="10"/>
        <v>0.12</v>
      </c>
      <c r="G67" s="160">
        <f t="shared" si="0"/>
        <v>525.00000000000114</v>
      </c>
      <c r="H67" s="160">
        <f t="shared" si="7"/>
        <v>166.66666666666666</v>
      </c>
      <c r="I67" s="161">
        <f t="shared" si="1"/>
        <v>52333.333333333445</v>
      </c>
      <c r="J67" s="162">
        <f t="shared" si="2"/>
        <v>691.66666666666777</v>
      </c>
      <c r="S67" s="126"/>
    </row>
    <row r="68" spans="2:19">
      <c r="B68" s="159"/>
      <c r="C68">
        <f t="shared" si="11"/>
        <v>11</v>
      </c>
      <c r="D68" s="161">
        <f t="shared" si="4"/>
        <v>52333.333333333445</v>
      </c>
      <c r="E68" s="11">
        <f t="shared" si="5"/>
        <v>690.00000000000114</v>
      </c>
      <c r="F68" s="23">
        <f t="shared" si="10"/>
        <v>0.12</v>
      </c>
      <c r="G68" s="160">
        <f t="shared" si="0"/>
        <v>523.33333333333451</v>
      </c>
      <c r="H68" s="160">
        <f t="shared" si="7"/>
        <v>166.66666666666666</v>
      </c>
      <c r="I68" s="161">
        <f t="shared" si="1"/>
        <v>52166.666666666781</v>
      </c>
      <c r="J68" s="162">
        <f t="shared" si="2"/>
        <v>690.00000000000114</v>
      </c>
      <c r="S68" s="126"/>
    </row>
    <row r="69" spans="2:19">
      <c r="B69" s="159"/>
      <c r="C69">
        <f t="shared" si="11"/>
        <v>12</v>
      </c>
      <c r="D69" s="161">
        <f t="shared" si="4"/>
        <v>52166.666666666781</v>
      </c>
      <c r="E69" s="11">
        <f t="shared" si="5"/>
        <v>688.33333333333439</v>
      </c>
      <c r="F69" s="23">
        <f t="shared" si="10"/>
        <v>0.12</v>
      </c>
      <c r="G69" s="160">
        <f t="shared" si="0"/>
        <v>521.66666666666777</v>
      </c>
      <c r="H69" s="160">
        <f t="shared" si="7"/>
        <v>166.66666666666666</v>
      </c>
      <c r="I69" s="161">
        <f t="shared" si="1"/>
        <v>52000.000000000116</v>
      </c>
      <c r="J69" s="162">
        <f t="shared" si="2"/>
        <v>688.33333333333439</v>
      </c>
      <c r="S69" s="126"/>
    </row>
    <row r="70" spans="2:19">
      <c r="B70" s="159">
        <v>5</v>
      </c>
      <c r="C70">
        <v>1</v>
      </c>
      <c r="D70" s="161">
        <f t="shared" si="4"/>
        <v>52000.000000000116</v>
      </c>
      <c r="E70" s="11">
        <f t="shared" si="5"/>
        <v>686.66666666666777</v>
      </c>
      <c r="F70" s="23">
        <f t="shared" si="10"/>
        <v>0.12</v>
      </c>
      <c r="G70" s="160">
        <f t="shared" si="0"/>
        <v>520.00000000000114</v>
      </c>
      <c r="H70" s="160">
        <f t="shared" si="7"/>
        <v>166.66666666666666</v>
      </c>
      <c r="I70" s="161">
        <f t="shared" si="1"/>
        <v>51833.333333333452</v>
      </c>
      <c r="J70" s="162">
        <f t="shared" si="2"/>
        <v>686.66666666666777</v>
      </c>
      <c r="S70" s="126"/>
    </row>
    <row r="71" spans="2:19">
      <c r="B71" s="159"/>
      <c r="C71">
        <f t="shared" ref="C71:C81" si="12">1+C70</f>
        <v>2</v>
      </c>
      <c r="D71" s="161">
        <f t="shared" si="4"/>
        <v>51833.333333333452</v>
      </c>
      <c r="E71" s="11">
        <f t="shared" si="5"/>
        <v>685.00000000000114</v>
      </c>
      <c r="F71" s="23">
        <f t="shared" si="10"/>
        <v>0.12</v>
      </c>
      <c r="G71" s="160">
        <f t="shared" si="0"/>
        <v>518.33333333333451</v>
      </c>
      <c r="H71" s="160">
        <f t="shared" si="7"/>
        <v>166.66666666666666</v>
      </c>
      <c r="I71" s="161">
        <f t="shared" si="1"/>
        <v>51666.666666666788</v>
      </c>
      <c r="J71" s="162">
        <f t="shared" si="2"/>
        <v>685.00000000000114</v>
      </c>
      <c r="S71" s="126"/>
    </row>
    <row r="72" spans="2:19">
      <c r="B72" s="159"/>
      <c r="C72">
        <f t="shared" si="12"/>
        <v>3</v>
      </c>
      <c r="D72" s="161">
        <f t="shared" si="4"/>
        <v>51666.666666666788</v>
      </c>
      <c r="E72" s="11">
        <f t="shared" si="5"/>
        <v>683.33333333333451</v>
      </c>
      <c r="F72" s="23">
        <f t="shared" si="10"/>
        <v>0.12</v>
      </c>
      <c r="G72" s="160">
        <f t="shared" si="0"/>
        <v>516.66666666666788</v>
      </c>
      <c r="H72" s="160">
        <f t="shared" si="7"/>
        <v>166.66666666666666</v>
      </c>
      <c r="I72" s="161">
        <f t="shared" si="1"/>
        <v>51500.000000000124</v>
      </c>
      <c r="J72" s="162">
        <f t="shared" si="2"/>
        <v>683.33333333333451</v>
      </c>
      <c r="S72" s="126"/>
    </row>
    <row r="73" spans="2:19">
      <c r="B73" s="159"/>
      <c r="C73">
        <f t="shared" si="12"/>
        <v>4</v>
      </c>
      <c r="D73" s="161">
        <f t="shared" si="4"/>
        <v>51500.000000000124</v>
      </c>
      <c r="E73" s="11">
        <f t="shared" si="5"/>
        <v>681.66666666666788</v>
      </c>
      <c r="F73" s="23">
        <f t="shared" si="10"/>
        <v>0.12</v>
      </c>
      <c r="G73" s="160">
        <f t="shared" si="0"/>
        <v>515.00000000000125</v>
      </c>
      <c r="H73" s="160">
        <f t="shared" si="7"/>
        <v>166.66666666666666</v>
      </c>
      <c r="I73" s="161">
        <f t="shared" si="1"/>
        <v>51333.333333333459</v>
      </c>
      <c r="J73" s="162">
        <f t="shared" si="2"/>
        <v>681.66666666666788</v>
      </c>
      <c r="S73" s="126"/>
    </row>
    <row r="74" spans="2:19">
      <c r="B74" s="159"/>
      <c r="C74">
        <f t="shared" si="12"/>
        <v>5</v>
      </c>
      <c r="D74" s="161">
        <f t="shared" si="4"/>
        <v>51333.333333333459</v>
      </c>
      <c r="E74" s="11">
        <f t="shared" si="5"/>
        <v>680.00000000000125</v>
      </c>
      <c r="F74" s="23">
        <f t="shared" si="10"/>
        <v>0.12</v>
      </c>
      <c r="G74" s="160">
        <f t="shared" si="0"/>
        <v>513.33333333333462</v>
      </c>
      <c r="H74" s="160">
        <f t="shared" si="7"/>
        <v>166.66666666666666</v>
      </c>
      <c r="I74" s="161">
        <f t="shared" si="1"/>
        <v>51166.666666666795</v>
      </c>
      <c r="J74" s="162">
        <f t="shared" si="2"/>
        <v>680.00000000000125</v>
      </c>
      <c r="S74" s="126"/>
    </row>
    <row r="75" spans="2:19">
      <c r="B75" s="159"/>
      <c r="C75">
        <f t="shared" si="12"/>
        <v>6</v>
      </c>
      <c r="D75" s="161">
        <f t="shared" si="4"/>
        <v>51166.666666666795</v>
      </c>
      <c r="E75" s="11">
        <f t="shared" si="5"/>
        <v>678.33333333333462</v>
      </c>
      <c r="F75" s="23">
        <f t="shared" si="10"/>
        <v>0.12</v>
      </c>
      <c r="G75" s="160">
        <f t="shared" si="0"/>
        <v>511.66666666666794</v>
      </c>
      <c r="H75" s="160">
        <f t="shared" si="7"/>
        <v>166.66666666666666</v>
      </c>
      <c r="I75" s="161">
        <f t="shared" si="1"/>
        <v>51000.000000000131</v>
      </c>
      <c r="J75" s="162">
        <f t="shared" si="2"/>
        <v>678.33333333333462</v>
      </c>
      <c r="S75" s="126"/>
    </row>
    <row r="76" spans="2:19">
      <c r="B76" s="159"/>
      <c r="C76">
        <f t="shared" si="12"/>
        <v>7</v>
      </c>
      <c r="D76" s="161">
        <f t="shared" si="4"/>
        <v>51000.000000000131</v>
      </c>
      <c r="E76" s="11">
        <f t="shared" si="5"/>
        <v>676.66666666666799</v>
      </c>
      <c r="F76" s="23">
        <f t="shared" si="10"/>
        <v>0.12</v>
      </c>
      <c r="G76" s="160">
        <f t="shared" si="0"/>
        <v>510.00000000000131</v>
      </c>
      <c r="H76" s="160">
        <f t="shared" si="7"/>
        <v>166.66666666666666</v>
      </c>
      <c r="I76" s="161">
        <f t="shared" si="1"/>
        <v>50833.333333333467</v>
      </c>
      <c r="J76" s="162">
        <f t="shared" si="2"/>
        <v>676.66666666666799</v>
      </c>
      <c r="S76" s="126"/>
    </row>
    <row r="77" spans="2:19">
      <c r="B77" s="159"/>
      <c r="C77">
        <f t="shared" si="12"/>
        <v>8</v>
      </c>
      <c r="D77" s="161">
        <f t="shared" si="4"/>
        <v>50833.333333333467</v>
      </c>
      <c r="E77" s="11">
        <f t="shared" si="5"/>
        <v>675.00000000000136</v>
      </c>
      <c r="F77" s="23">
        <f t="shared" si="10"/>
        <v>0.12</v>
      </c>
      <c r="G77" s="160">
        <f t="shared" si="0"/>
        <v>508.33333333333468</v>
      </c>
      <c r="H77" s="160">
        <f t="shared" si="7"/>
        <v>166.66666666666666</v>
      </c>
      <c r="I77" s="161">
        <f t="shared" si="1"/>
        <v>50666.666666666802</v>
      </c>
      <c r="J77" s="162">
        <f t="shared" si="2"/>
        <v>675.00000000000136</v>
      </c>
      <c r="S77" s="126"/>
    </row>
    <row r="78" spans="2:19">
      <c r="B78" s="159"/>
      <c r="C78">
        <f t="shared" si="12"/>
        <v>9</v>
      </c>
      <c r="D78" s="161">
        <f t="shared" si="4"/>
        <v>50666.666666666802</v>
      </c>
      <c r="E78" s="11">
        <f t="shared" si="5"/>
        <v>673.33333333333474</v>
      </c>
      <c r="F78" s="23">
        <f t="shared" si="10"/>
        <v>0.12</v>
      </c>
      <c r="G78" s="160">
        <f t="shared" si="0"/>
        <v>506.66666666666805</v>
      </c>
      <c r="H78" s="160">
        <f t="shared" si="7"/>
        <v>166.66666666666666</v>
      </c>
      <c r="I78" s="161">
        <f t="shared" si="1"/>
        <v>50500.000000000138</v>
      </c>
      <c r="J78" s="162">
        <f t="shared" si="2"/>
        <v>673.33333333333474</v>
      </c>
      <c r="S78" s="126"/>
    </row>
    <row r="79" spans="2:19">
      <c r="B79" s="159"/>
      <c r="C79">
        <f t="shared" si="12"/>
        <v>10</v>
      </c>
      <c r="D79" s="161">
        <f t="shared" si="4"/>
        <v>50500.000000000138</v>
      </c>
      <c r="E79" s="11">
        <f t="shared" si="5"/>
        <v>671.66666666666811</v>
      </c>
      <c r="F79" s="23">
        <f t="shared" si="10"/>
        <v>0.12</v>
      </c>
      <c r="G79" s="160">
        <f t="shared" si="0"/>
        <v>505.00000000000142</v>
      </c>
      <c r="H79" s="160">
        <f t="shared" si="7"/>
        <v>166.66666666666666</v>
      </c>
      <c r="I79" s="161">
        <f t="shared" si="1"/>
        <v>50333.333333333474</v>
      </c>
      <c r="J79" s="162">
        <f t="shared" si="2"/>
        <v>671.66666666666811</v>
      </c>
      <c r="S79" s="126"/>
    </row>
    <row r="80" spans="2:19">
      <c r="B80" s="159"/>
      <c r="C80">
        <f t="shared" si="12"/>
        <v>11</v>
      </c>
      <c r="D80" s="161">
        <f t="shared" si="4"/>
        <v>50333.333333333474</v>
      </c>
      <c r="E80" s="11">
        <f t="shared" si="5"/>
        <v>670.00000000000136</v>
      </c>
      <c r="F80" s="23">
        <f t="shared" si="10"/>
        <v>0.12</v>
      </c>
      <c r="G80" s="160">
        <f t="shared" si="0"/>
        <v>503.33333333333474</v>
      </c>
      <c r="H80" s="160">
        <f t="shared" si="7"/>
        <v>166.66666666666666</v>
      </c>
      <c r="I80" s="161">
        <f t="shared" si="1"/>
        <v>50166.66666666681</v>
      </c>
      <c r="J80" s="162">
        <f t="shared" si="2"/>
        <v>670.00000000000136</v>
      </c>
      <c r="S80" s="126"/>
    </row>
    <row r="81" spans="2:19">
      <c r="B81" s="159"/>
      <c r="C81">
        <f t="shared" si="12"/>
        <v>12</v>
      </c>
      <c r="D81" s="161">
        <f t="shared" si="4"/>
        <v>50166.66666666681</v>
      </c>
      <c r="E81" s="11">
        <f t="shared" si="5"/>
        <v>668.33333333333474</v>
      </c>
      <c r="F81" s="23">
        <f t="shared" si="10"/>
        <v>0.12</v>
      </c>
      <c r="G81" s="160">
        <f t="shared" si="0"/>
        <v>501.66666666666811</v>
      </c>
      <c r="H81" s="160">
        <f t="shared" si="7"/>
        <v>166.66666666666666</v>
      </c>
      <c r="I81" s="161">
        <f t="shared" si="1"/>
        <v>50000.000000000146</v>
      </c>
      <c r="J81" s="163">
        <f>E81+I81</f>
        <v>50668.333333333481</v>
      </c>
      <c r="S81" s="126"/>
    </row>
    <row r="82" spans="2:19" ht="13" thickBot="1">
      <c r="B82" s="159"/>
      <c r="D82" s="160"/>
      <c r="E82" s="160"/>
      <c r="F82" s="23"/>
      <c r="G82" s="160"/>
      <c r="H82" s="160"/>
      <c r="I82" s="160"/>
      <c r="J82" s="126"/>
      <c r="S82" s="126"/>
    </row>
    <row r="83" spans="2:19" ht="13.5" thickBot="1">
      <c r="B83" s="159"/>
      <c r="D83" s="154" t="s">
        <v>826</v>
      </c>
      <c r="E83" s="164"/>
      <c r="F83" s="155">
        <f>IRR(J21:J81,+E9/12)*12</f>
        <v>0.12881361833739557</v>
      </c>
      <c r="G83" s="160"/>
      <c r="H83" s="160"/>
      <c r="I83" s="160"/>
      <c r="J83" s="126"/>
      <c r="S83" s="126"/>
    </row>
    <row r="84" spans="2:19" ht="13" thickBot="1">
      <c r="B84" s="134"/>
      <c r="C84" s="4"/>
      <c r="D84" s="4"/>
      <c r="E84" s="4"/>
      <c r="F84" s="4"/>
      <c r="G84" s="4"/>
      <c r="H84" s="4"/>
      <c r="I84" s="4"/>
      <c r="J84" s="135"/>
      <c r="S84" s="126"/>
    </row>
    <row r="85" spans="2:19" ht="13" thickBot="1">
      <c r="B85" s="134"/>
      <c r="C85" s="4"/>
      <c r="D85" s="4"/>
      <c r="E85" s="4"/>
      <c r="F85" s="4"/>
      <c r="G85" s="4"/>
      <c r="H85" s="4"/>
      <c r="I85" s="4"/>
      <c r="J85" s="4"/>
      <c r="K85" s="4"/>
      <c r="L85" s="4"/>
      <c r="M85" s="4"/>
      <c r="N85" s="4"/>
      <c r="O85" s="4"/>
      <c r="P85" s="4"/>
      <c r="Q85" s="4"/>
      <c r="R85" s="4"/>
      <c r="S85" s="135"/>
    </row>
  </sheetData>
  <mergeCells count="3">
    <mergeCell ref="B2:S2"/>
    <mergeCell ref="B3:S3"/>
    <mergeCell ref="B6:F6"/>
  </mergeCells>
  <phoneticPr fontId="0" type="noConversion"/>
  <pageMargins left="0.75" right="0.75" top="1" bottom="1" header="0.5" footer="0.5"/>
  <headerFooter alignWithMargins="0"/>
  <ignoredErrors>
    <ignoredError sqref="B22" numberStoredAsText="1"/>
  </ignoredErrors>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8"/>
  <dimension ref="B1:EO428"/>
  <sheetViews>
    <sheetView topLeftCell="C1" workbookViewId="0">
      <selection activeCell="R87" sqref="R87"/>
    </sheetView>
  </sheetViews>
  <sheetFormatPr defaultRowHeight="12.5"/>
  <cols>
    <col min="2" max="2" width="21.453125" customWidth="1"/>
    <col min="4" max="4" width="14" customWidth="1"/>
    <col min="5" max="5" width="19.1796875" customWidth="1"/>
    <col min="6" max="6" width="11.54296875" customWidth="1"/>
    <col min="10" max="10" width="21.453125" customWidth="1"/>
    <col min="11" max="11" width="15.54296875" customWidth="1"/>
    <col min="13" max="13" width="20.81640625" customWidth="1"/>
    <col min="15" max="15" width="9.453125" customWidth="1"/>
    <col min="17" max="17" width="19.26953125" customWidth="1"/>
  </cols>
  <sheetData>
    <row r="1" spans="2:145" ht="13" thickBot="1"/>
    <row r="2" spans="2:145" ht="18.5" thickBot="1">
      <c r="B2" s="1525" t="s">
        <v>1008</v>
      </c>
      <c r="C2" s="1557"/>
      <c r="D2" s="1557"/>
      <c r="E2" s="1557"/>
      <c r="F2" s="1557"/>
      <c r="G2" s="1557"/>
      <c r="H2" s="1557"/>
      <c r="I2" s="1657"/>
      <c r="J2" s="1657"/>
      <c r="K2" s="1657"/>
      <c r="L2" s="1657"/>
      <c r="M2" s="1657"/>
      <c r="N2" s="1657"/>
      <c r="O2" s="1657"/>
      <c r="P2" s="1657"/>
      <c r="Q2" s="1657"/>
      <c r="R2" s="1657"/>
      <c r="S2" s="1657"/>
      <c r="T2" s="1657"/>
      <c r="U2" s="1536"/>
      <c r="V2" s="1536"/>
      <c r="W2" s="1534"/>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row>
    <row r="3" spans="2:145" ht="16" thickBot="1">
      <c r="B3" s="1528" t="s">
        <v>609</v>
      </c>
      <c r="C3" s="1540"/>
      <c r="D3" s="1540"/>
      <c r="E3" s="1540"/>
      <c r="F3" s="1540"/>
      <c r="G3" s="1540"/>
      <c r="H3" s="1540"/>
      <c r="I3" s="1659"/>
      <c r="J3" s="1659"/>
      <c r="K3" s="1659"/>
      <c r="L3" s="1659"/>
      <c r="M3" s="1659"/>
      <c r="N3" s="1659"/>
      <c r="O3" s="1659"/>
      <c r="P3" s="1659"/>
      <c r="Q3" s="1659"/>
      <c r="R3" s="1659"/>
      <c r="S3" s="1659"/>
      <c r="T3" s="1659"/>
      <c r="U3" s="1536"/>
      <c r="V3" s="1536"/>
      <c r="W3" s="1534"/>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row>
    <row r="4" spans="2:145">
      <c r="B4" s="124"/>
      <c r="I4" s="37"/>
      <c r="J4" s="39"/>
      <c r="K4" s="39"/>
      <c r="L4" s="39"/>
      <c r="M4" s="39"/>
      <c r="N4" s="39"/>
      <c r="O4" s="39"/>
      <c r="P4" s="39"/>
      <c r="Q4" s="39"/>
      <c r="R4" s="39"/>
      <c r="S4" s="39"/>
      <c r="T4" s="39"/>
      <c r="U4" s="39"/>
      <c r="V4" s="39"/>
      <c r="W4" s="146"/>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row>
    <row r="5" spans="2:145" ht="13">
      <c r="B5" s="1661" t="s">
        <v>1106</v>
      </c>
      <c r="C5" s="1662"/>
      <c r="D5" s="1662"/>
      <c r="E5" s="1662"/>
      <c r="F5" s="1662"/>
      <c r="G5" s="1662"/>
      <c r="H5" s="1662"/>
      <c r="I5" s="212"/>
      <c r="J5" s="39"/>
      <c r="K5" s="39"/>
      <c r="L5" s="39"/>
      <c r="M5" s="39"/>
      <c r="N5" s="39"/>
      <c r="O5" s="39"/>
      <c r="P5" s="39"/>
      <c r="Q5" s="39"/>
      <c r="R5" s="39"/>
      <c r="S5" s="39"/>
      <c r="T5" s="39"/>
      <c r="U5" s="39"/>
      <c r="V5" s="39"/>
      <c r="W5" s="146"/>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39"/>
      <c r="EO5" s="39"/>
    </row>
    <row r="6" spans="2:145" ht="13" thickBot="1">
      <c r="B6" s="223"/>
      <c r="C6" s="212"/>
      <c r="D6" s="212"/>
      <c r="E6" s="212"/>
      <c r="F6" s="212"/>
      <c r="G6" s="212"/>
      <c r="H6" s="212"/>
      <c r="I6" s="37"/>
      <c r="J6" s="39"/>
      <c r="K6" s="39"/>
      <c r="L6" s="39"/>
      <c r="M6" s="39"/>
      <c r="N6" s="39"/>
      <c r="O6" s="39"/>
      <c r="P6" s="39"/>
      <c r="Q6" s="39"/>
      <c r="R6" s="39"/>
      <c r="S6" s="39"/>
      <c r="T6" s="39"/>
      <c r="U6" s="39"/>
      <c r="V6" s="39"/>
      <c r="W6" s="146"/>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row>
    <row r="7" spans="2:145" ht="13.5" thickBot="1">
      <c r="B7" s="1617" t="s">
        <v>506</v>
      </c>
      <c r="C7" s="1538"/>
      <c r="D7" s="1538"/>
      <c r="E7" s="1538"/>
      <c r="F7" s="1538"/>
      <c r="G7" s="1538"/>
      <c r="H7" s="1539"/>
      <c r="I7" s="37"/>
      <c r="J7" s="1617" t="s">
        <v>507</v>
      </c>
      <c r="K7" s="1538"/>
      <c r="L7" s="1538"/>
      <c r="M7" s="1538"/>
      <c r="N7" s="1538"/>
      <c r="O7" s="1539"/>
      <c r="P7" s="39"/>
      <c r="Q7" s="39"/>
      <c r="R7" s="39"/>
      <c r="S7" s="39"/>
      <c r="T7" s="39"/>
      <c r="U7" s="39"/>
      <c r="V7" s="39"/>
      <c r="W7" s="146"/>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row>
    <row r="8" spans="2:145" ht="13" thickBot="1">
      <c r="B8" s="171"/>
      <c r="C8" s="39"/>
      <c r="D8" s="39"/>
      <c r="E8" s="39"/>
      <c r="F8" s="39"/>
      <c r="G8" s="39"/>
      <c r="H8" s="39"/>
      <c r="I8" s="37"/>
      <c r="J8" s="39"/>
      <c r="K8" s="39"/>
      <c r="L8" s="39"/>
      <c r="M8" s="39"/>
      <c r="N8" s="39"/>
      <c r="O8" s="39"/>
      <c r="P8" s="39"/>
      <c r="Q8" s="39"/>
      <c r="R8" s="39"/>
      <c r="S8" s="39"/>
      <c r="T8" s="39"/>
      <c r="U8" s="39"/>
      <c r="V8" s="39"/>
      <c r="W8" s="146"/>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row>
    <row r="9" spans="2:145" ht="13.5" thickBot="1">
      <c r="B9" s="1583" t="s">
        <v>207</v>
      </c>
      <c r="C9" s="1532"/>
      <c r="D9" s="1532"/>
      <c r="E9" s="1532"/>
      <c r="F9" s="1532"/>
      <c r="G9" s="1533"/>
      <c r="H9" s="39"/>
      <c r="I9" s="37"/>
      <c r="J9" s="1583" t="s">
        <v>508</v>
      </c>
      <c r="K9" s="1532"/>
      <c r="L9" s="1532"/>
      <c r="M9" s="1532"/>
      <c r="N9" s="1532"/>
      <c r="O9" s="1533"/>
      <c r="P9" s="39"/>
      <c r="Q9" s="39"/>
      <c r="R9" s="39"/>
      <c r="S9" s="39"/>
      <c r="T9" s="39"/>
      <c r="U9" s="39"/>
      <c r="V9" s="39"/>
      <c r="W9" s="146"/>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row>
    <row r="10" spans="2:145" ht="13.5" thickBot="1">
      <c r="B10" s="124" t="s">
        <v>509</v>
      </c>
      <c r="D10" s="128">
        <v>200000</v>
      </c>
      <c r="E10" s="243" t="s">
        <v>363</v>
      </c>
      <c r="G10" s="126"/>
      <c r="J10" s="124" t="s">
        <v>510</v>
      </c>
      <c r="L10" s="128">
        <v>250000</v>
      </c>
      <c r="M10" s="243" t="s">
        <v>363</v>
      </c>
      <c r="O10" s="146"/>
      <c r="Q10" s="1648" t="s">
        <v>1110</v>
      </c>
      <c r="R10" s="1602"/>
      <c r="S10" s="1602"/>
      <c r="T10" s="1647"/>
      <c r="U10" s="39"/>
      <c r="V10" s="39"/>
      <c r="W10" s="146"/>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row>
    <row r="11" spans="2:145">
      <c r="B11" s="124" t="s">
        <v>512</v>
      </c>
      <c r="D11" s="128">
        <f>0.2*D10</f>
        <v>40000</v>
      </c>
      <c r="E11" t="s">
        <v>513</v>
      </c>
      <c r="G11" s="618">
        <v>19</v>
      </c>
      <c r="J11" s="124" t="s">
        <v>398</v>
      </c>
      <c r="L11" s="128">
        <v>200000</v>
      </c>
      <c r="M11" t="s">
        <v>514</v>
      </c>
      <c r="O11" s="248">
        <v>0.28000000000000003</v>
      </c>
      <c r="Q11" s="171" t="s">
        <v>515</v>
      </c>
      <c r="R11" s="39"/>
      <c r="S11" s="152">
        <v>45000</v>
      </c>
      <c r="T11" s="146"/>
      <c r="U11" s="39"/>
      <c r="V11" s="39"/>
      <c r="W11" s="146"/>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row>
    <row r="12" spans="2:145">
      <c r="B12" s="124" t="s">
        <v>516</v>
      </c>
      <c r="D12" s="128">
        <f>0.8*D10</f>
        <v>160000</v>
      </c>
      <c r="E12" t="s">
        <v>517</v>
      </c>
      <c r="G12" s="618">
        <v>0.28000000000000003</v>
      </c>
      <c r="J12" s="124" t="s">
        <v>518</v>
      </c>
      <c r="L12" s="128">
        <f>0.8*L11</f>
        <v>160000</v>
      </c>
      <c r="M12" t="s">
        <v>517</v>
      </c>
      <c r="O12" s="248">
        <v>0.28000000000000003</v>
      </c>
      <c r="Q12" s="171" t="s">
        <v>519</v>
      </c>
      <c r="R12" s="39"/>
      <c r="S12" s="152">
        <v>0.04</v>
      </c>
      <c r="T12" s="146"/>
      <c r="U12" s="39"/>
      <c r="V12" s="39"/>
      <c r="W12" s="146"/>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row>
    <row r="13" spans="2:145">
      <c r="B13" s="124" t="s">
        <v>520</v>
      </c>
      <c r="D13" s="128">
        <v>0.5</v>
      </c>
      <c r="E13" t="s">
        <v>521</v>
      </c>
      <c r="G13" s="618">
        <v>0.28000000000000003</v>
      </c>
      <c r="J13" s="124" t="s">
        <v>522</v>
      </c>
      <c r="L13" s="128">
        <f>0.2*L11</f>
        <v>40000</v>
      </c>
      <c r="M13" t="s">
        <v>523</v>
      </c>
      <c r="O13" s="248">
        <v>19</v>
      </c>
      <c r="Q13" s="171" t="s">
        <v>268</v>
      </c>
      <c r="R13" s="39"/>
      <c r="S13" s="152">
        <v>0.1</v>
      </c>
      <c r="T13" s="146"/>
      <c r="U13" s="39"/>
      <c r="V13" s="39"/>
      <c r="W13" s="146"/>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row>
    <row r="14" spans="2:145">
      <c r="B14" s="124" t="s">
        <v>524</v>
      </c>
      <c r="D14" s="128">
        <v>0.04</v>
      </c>
      <c r="G14" s="126"/>
      <c r="J14" s="124" t="s">
        <v>524</v>
      </c>
      <c r="L14" s="128">
        <v>0.03</v>
      </c>
      <c r="O14" s="146"/>
      <c r="Q14" s="171" t="s">
        <v>525</v>
      </c>
      <c r="R14" s="39"/>
      <c r="S14" s="152">
        <v>200000</v>
      </c>
      <c r="T14" s="146"/>
      <c r="U14" s="39"/>
      <c r="V14" s="39"/>
      <c r="W14" s="146"/>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row>
    <row r="15" spans="2:145">
      <c r="B15" s="124" t="s">
        <v>526</v>
      </c>
      <c r="D15" s="128">
        <v>0.03</v>
      </c>
      <c r="G15" s="126"/>
      <c r="J15" s="124" t="s">
        <v>520</v>
      </c>
      <c r="L15" s="128">
        <v>0.5</v>
      </c>
      <c r="O15" s="146"/>
      <c r="Q15" s="171" t="s">
        <v>527</v>
      </c>
      <c r="R15" s="39"/>
      <c r="S15" s="152">
        <v>200000</v>
      </c>
      <c r="T15" s="146"/>
      <c r="U15" s="39"/>
      <c r="V15" s="39"/>
      <c r="W15" s="146"/>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row>
    <row r="16" spans="2:145">
      <c r="B16" s="124" t="s">
        <v>368</v>
      </c>
      <c r="D16" s="128">
        <v>0.75</v>
      </c>
      <c r="G16" s="126"/>
      <c r="J16" s="124" t="s">
        <v>526</v>
      </c>
      <c r="L16" s="128">
        <v>0.03</v>
      </c>
      <c r="O16" s="146"/>
      <c r="Q16" s="171" t="s">
        <v>528</v>
      </c>
      <c r="R16" s="39"/>
      <c r="S16" s="152">
        <f>IF(S14=S15,0.75*(L10+S14),L19+S15)</f>
        <v>337500</v>
      </c>
      <c r="T16" s="146"/>
      <c r="U16" s="39"/>
      <c r="V16" s="39"/>
      <c r="W16" s="146"/>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row>
    <row r="17" spans="2:145">
      <c r="B17" s="124" t="s">
        <v>529</v>
      </c>
      <c r="D17" s="128">
        <f>D16*D10</f>
        <v>150000</v>
      </c>
      <c r="G17" s="126"/>
      <c r="J17" s="124" t="s">
        <v>530</v>
      </c>
      <c r="L17" s="128">
        <v>289819</v>
      </c>
      <c r="O17" s="146"/>
      <c r="Q17" s="171" t="s">
        <v>212</v>
      </c>
      <c r="R17" s="39"/>
      <c r="S17" s="152">
        <v>0.11</v>
      </c>
      <c r="T17" s="146"/>
      <c r="U17" s="39"/>
      <c r="V17" s="39"/>
      <c r="W17" s="146"/>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row>
    <row r="18" spans="2:145">
      <c r="B18" s="124" t="s">
        <v>212</v>
      </c>
      <c r="D18" s="128">
        <v>0.11</v>
      </c>
      <c r="G18" s="126"/>
      <c r="J18" s="124" t="s">
        <v>477</v>
      </c>
      <c r="L18" s="128">
        <v>0.06</v>
      </c>
      <c r="O18" s="146"/>
      <c r="Q18" s="171" t="s">
        <v>531</v>
      </c>
      <c r="R18" s="39"/>
      <c r="S18" s="152">
        <v>15</v>
      </c>
      <c r="T18" s="146"/>
      <c r="U18" s="39"/>
      <c r="V18" s="39"/>
      <c r="W18" s="146"/>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row>
    <row r="19" spans="2:145">
      <c r="B19" s="124" t="s">
        <v>532</v>
      </c>
      <c r="D19" s="128">
        <v>25</v>
      </c>
      <c r="G19" s="126"/>
      <c r="J19" s="124" t="s">
        <v>529</v>
      </c>
      <c r="L19" s="128">
        <f>142432</f>
        <v>142432</v>
      </c>
      <c r="O19" s="146"/>
      <c r="Q19" s="171" t="s">
        <v>470</v>
      </c>
      <c r="R19" s="39"/>
      <c r="S19" s="152">
        <v>12</v>
      </c>
      <c r="T19" s="146"/>
      <c r="U19" s="39"/>
      <c r="V19" s="39"/>
      <c r="W19" s="146"/>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row>
    <row r="20" spans="2:145">
      <c r="B20" s="124" t="s">
        <v>470</v>
      </c>
      <c r="D20" s="128">
        <v>12</v>
      </c>
      <c r="G20" s="126"/>
      <c r="J20" s="124" t="s">
        <v>212</v>
      </c>
      <c r="L20" s="128">
        <v>0.11</v>
      </c>
      <c r="O20" s="146"/>
      <c r="Q20" s="171" t="s">
        <v>533</v>
      </c>
      <c r="R20" s="39"/>
      <c r="S20" s="152">
        <v>31.5</v>
      </c>
      <c r="T20" s="146"/>
      <c r="U20" s="39"/>
      <c r="V20" s="39"/>
      <c r="W20" s="146"/>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row>
    <row r="21" spans="2:145">
      <c r="B21" s="124" t="s">
        <v>534</v>
      </c>
      <c r="D21" s="128">
        <v>5</v>
      </c>
      <c r="G21" s="126"/>
      <c r="J21" s="124" t="s">
        <v>532</v>
      </c>
      <c r="L21" s="128">
        <f>D19-D21</f>
        <v>20</v>
      </c>
      <c r="O21" s="146"/>
      <c r="Q21" s="171" t="s">
        <v>376</v>
      </c>
      <c r="R21" s="39"/>
      <c r="S21" s="152">
        <v>5</v>
      </c>
      <c r="T21" s="146"/>
      <c r="U21" s="39"/>
      <c r="V21" s="39"/>
      <c r="W21" s="146"/>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row>
    <row r="22" spans="2:145">
      <c r="B22" s="124" t="s">
        <v>477</v>
      </c>
      <c r="D22" s="128">
        <v>0.06</v>
      </c>
      <c r="G22" s="126"/>
      <c r="J22" s="124" t="s">
        <v>470</v>
      </c>
      <c r="L22" s="128">
        <v>12</v>
      </c>
      <c r="O22" s="146"/>
      <c r="Q22" s="171" t="s">
        <v>535</v>
      </c>
      <c r="R22" s="39"/>
      <c r="S22" s="152">
        <v>5</v>
      </c>
      <c r="T22" s="146"/>
      <c r="U22" s="39"/>
      <c r="V22" s="39"/>
      <c r="W22" s="146"/>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row>
    <row r="23" spans="2:145" ht="13" thickBot="1">
      <c r="B23" s="619" t="s">
        <v>536</v>
      </c>
      <c r="C23" s="57"/>
      <c r="D23" s="620">
        <v>250000</v>
      </c>
      <c r="E23" s="57"/>
      <c r="F23" s="57"/>
      <c r="G23" s="370"/>
      <c r="J23" s="124" t="s">
        <v>537</v>
      </c>
      <c r="L23" s="128">
        <v>10</v>
      </c>
      <c r="O23" s="146"/>
      <c r="Q23" s="171"/>
      <c r="R23" s="39"/>
      <c r="S23" s="39"/>
      <c r="T23" s="146"/>
      <c r="U23" s="39"/>
      <c r="V23" s="39"/>
      <c r="W23" s="146"/>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row>
    <row r="24" spans="2:145" ht="13.5" thickBot="1">
      <c r="B24" s="619"/>
      <c r="C24" s="57"/>
      <c r="D24" s="57"/>
      <c r="E24" s="57"/>
      <c r="F24" s="57"/>
      <c r="G24" s="370"/>
      <c r="J24" s="243" t="s">
        <v>538</v>
      </c>
      <c r="O24" s="146"/>
      <c r="Q24" s="243" t="s">
        <v>539</v>
      </c>
      <c r="R24" s="39"/>
      <c r="S24" s="39"/>
      <c r="T24" s="146"/>
      <c r="U24" s="39"/>
      <c r="V24" s="39"/>
      <c r="W24" s="146"/>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row>
    <row r="25" spans="2:145">
      <c r="B25" s="369" t="s">
        <v>291</v>
      </c>
      <c r="C25" s="620">
        <f>D11+D12-D17</f>
        <v>50000</v>
      </c>
      <c r="D25" s="57"/>
      <c r="E25" s="57"/>
      <c r="F25" s="57"/>
      <c r="G25" s="370"/>
      <c r="H25" s="34"/>
      <c r="I25" s="34"/>
      <c r="J25" s="369" t="s">
        <v>291</v>
      </c>
      <c r="K25" s="620">
        <f>L11-L19</f>
        <v>57568</v>
      </c>
      <c r="L25" s="57"/>
      <c r="M25" s="39"/>
      <c r="N25" s="39"/>
      <c r="O25" s="146"/>
      <c r="Q25" s="369" t="s">
        <v>540</v>
      </c>
      <c r="R25" s="620">
        <f>IF(S14&gt;S15,S14-S15,S14-(S16-L19))</f>
        <v>4932</v>
      </c>
      <c r="S25" s="57"/>
      <c r="T25" s="146"/>
      <c r="U25" s="39"/>
      <c r="V25" s="39"/>
      <c r="W25" s="146"/>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row>
    <row r="26" spans="2:145">
      <c r="B26" s="369" t="s">
        <v>381</v>
      </c>
      <c r="C26" s="620">
        <f>D17</f>
        <v>150000</v>
      </c>
      <c r="D26" s="57"/>
      <c r="E26" s="57"/>
      <c r="F26" s="57"/>
      <c r="G26" s="370"/>
      <c r="H26" s="34"/>
      <c r="I26" s="34"/>
      <c r="J26" s="369" t="s">
        <v>381</v>
      </c>
      <c r="K26" s="620">
        <f>L19</f>
        <v>142432</v>
      </c>
      <c r="L26" s="57"/>
      <c r="M26" s="39"/>
      <c r="N26" s="39"/>
      <c r="O26" s="146"/>
      <c r="Q26" s="369" t="s">
        <v>381</v>
      </c>
      <c r="R26" s="620">
        <f>S16</f>
        <v>337500</v>
      </c>
      <c r="S26" s="57"/>
      <c r="T26" s="146"/>
      <c r="U26" s="39"/>
      <c r="V26" s="39"/>
      <c r="W26" s="146"/>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row>
    <row r="27" spans="2:145" ht="13">
      <c r="B27" s="369" t="s">
        <v>382</v>
      </c>
      <c r="C27" s="620">
        <f>PMT(D18/D20,D19*D20,-C26)*D20</f>
        <v>17642.035384501487</v>
      </c>
      <c r="D27" s="29"/>
      <c r="E27" s="29"/>
      <c r="F27" s="29"/>
      <c r="G27" s="405"/>
      <c r="H27" s="34"/>
      <c r="I27" s="34"/>
      <c r="J27" s="369" t="s">
        <v>541</v>
      </c>
      <c r="K27" s="620">
        <f>PMT(L20/L22,L21*L22,-L19)*L22</f>
        <v>17641.998852348781</v>
      </c>
      <c r="L27" s="29"/>
      <c r="M27" s="39"/>
      <c r="N27" s="39"/>
      <c r="O27" s="146"/>
      <c r="Q27" s="369" t="s">
        <v>541</v>
      </c>
      <c r="R27" s="620">
        <f>PMT(S17/S19,S18*S19,-R26)*S19</f>
        <v>46032.175849521591</v>
      </c>
      <c r="S27" s="29"/>
      <c r="T27" s="146"/>
      <c r="U27" s="39"/>
      <c r="V27" s="39"/>
      <c r="W27" s="146"/>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row>
    <row r="28" spans="2:145" ht="13" thickBot="1">
      <c r="B28" s="371" t="s">
        <v>383</v>
      </c>
      <c r="C28" s="621">
        <f>PV($D$18/$D$20,($D$19-D21)*$D$20,-($C$27/$D$20))</f>
        <v>142432.29494093184</v>
      </c>
      <c r="D28" s="372" t="s">
        <v>542</v>
      </c>
      <c r="E28" s="372"/>
      <c r="F28" s="372"/>
      <c r="G28" s="373"/>
      <c r="H28" s="34"/>
      <c r="I28" s="34"/>
      <c r="J28" s="371" t="s">
        <v>543</v>
      </c>
      <c r="K28" s="621">
        <f>PV(L20/L22,(L21-L23)*L22,-(K27/L22))</f>
        <v>106727.14704273001</v>
      </c>
      <c r="L28" s="622" t="s">
        <v>544</v>
      </c>
      <c r="M28" s="623">
        <f>L23</f>
        <v>10</v>
      </c>
      <c r="N28" s="63"/>
      <c r="O28" s="149"/>
      <c r="Q28" s="371" t="s">
        <v>543</v>
      </c>
      <c r="R28" s="621">
        <f>PV($S$17/$S$19,($S$18-S21)*$S$19,-($R$27/$S$19))</f>
        <v>278476.54008517379</v>
      </c>
      <c r="S28" s="622" t="s">
        <v>544</v>
      </c>
      <c r="T28" s="624">
        <f>S21</f>
        <v>5</v>
      </c>
      <c r="U28" s="39"/>
      <c r="V28" s="39"/>
      <c r="W28" s="146"/>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row>
    <row r="29" spans="2:145">
      <c r="B29" s="171"/>
      <c r="C29" s="39"/>
      <c r="D29" s="57"/>
      <c r="E29" s="57"/>
      <c r="F29" s="57"/>
      <c r="G29" s="57"/>
      <c r="H29" s="34"/>
      <c r="I29" s="34"/>
      <c r="J29" s="39"/>
      <c r="K29" s="39"/>
      <c r="L29" s="39"/>
      <c r="M29" s="39"/>
      <c r="N29" s="39"/>
      <c r="O29" s="39"/>
      <c r="P29" s="39"/>
      <c r="Q29" s="39"/>
      <c r="R29" s="39"/>
      <c r="S29" s="39"/>
      <c r="T29" s="39"/>
      <c r="U29" s="39"/>
      <c r="V29" s="39"/>
      <c r="W29" s="146"/>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row>
    <row r="30" spans="2:145" ht="13" thickBot="1">
      <c r="B30" s="369"/>
      <c r="C30" s="57"/>
      <c r="D30" s="57"/>
      <c r="E30" s="57"/>
      <c r="F30" s="57"/>
      <c r="G30" s="57"/>
      <c r="H30" s="39"/>
      <c r="I30" s="39"/>
      <c r="J30" s="39"/>
      <c r="K30" s="34"/>
      <c r="L30" s="34"/>
      <c r="M30" s="34"/>
      <c r="N30" s="34"/>
      <c r="O30" s="39"/>
      <c r="P30" s="51"/>
      <c r="Q30" s="52"/>
      <c r="R30" s="52"/>
      <c r="S30" s="52"/>
      <c r="T30" s="52"/>
      <c r="U30" s="39"/>
      <c r="V30" s="39"/>
      <c r="W30" s="146"/>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row>
    <row r="31" spans="2:145" ht="13.5" thickBot="1">
      <c r="B31" s="1617" t="s">
        <v>385</v>
      </c>
      <c r="C31" s="1538"/>
      <c r="D31" s="1538"/>
      <c r="E31" s="1538"/>
      <c r="F31" s="1538"/>
      <c r="G31" s="1539"/>
      <c r="H31" s="39"/>
      <c r="I31" s="39"/>
      <c r="J31" s="633"/>
      <c r="K31" s="277"/>
      <c r="L31" s="277"/>
      <c r="M31" s="277"/>
      <c r="N31" s="278"/>
      <c r="O31" s="643" t="s">
        <v>545</v>
      </c>
      <c r="P31" s="576">
        <v>1</v>
      </c>
      <c r="Q31" s="576">
        <v>2</v>
      </c>
      <c r="R31" s="576">
        <v>3</v>
      </c>
      <c r="S31" s="576">
        <v>4</v>
      </c>
      <c r="T31" s="576">
        <v>5</v>
      </c>
      <c r="U31" s="39"/>
      <c r="V31" s="39"/>
      <c r="W31" s="146"/>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row>
    <row r="32" spans="2:145" ht="13.5" thickBot="1">
      <c r="B32" s="576" t="s">
        <v>386</v>
      </c>
      <c r="C32" s="576">
        <v>1</v>
      </c>
      <c r="D32" s="576">
        <f>(1+C32)</f>
        <v>2</v>
      </c>
      <c r="E32" s="576">
        <f>(1+D32)</f>
        <v>3</v>
      </c>
      <c r="F32" s="576">
        <f>(1+E32)</f>
        <v>4</v>
      </c>
      <c r="G32" s="576">
        <f>(1+F32)</f>
        <v>5</v>
      </c>
      <c r="H32" s="39"/>
      <c r="I32" s="39"/>
      <c r="J32" s="576">
        <v>6</v>
      </c>
      <c r="K32" s="576">
        <v>7</v>
      </c>
      <c r="L32" s="576">
        <v>8</v>
      </c>
      <c r="M32" s="576">
        <v>9</v>
      </c>
      <c r="N32" s="576">
        <v>10</v>
      </c>
      <c r="O32" s="39"/>
      <c r="P32" s="576">
        <v>6</v>
      </c>
      <c r="Q32" s="576">
        <v>7</v>
      </c>
      <c r="R32" s="576">
        <v>8</v>
      </c>
      <c r="S32" s="576">
        <v>9</v>
      </c>
      <c r="T32" s="576">
        <v>10</v>
      </c>
      <c r="U32" s="39"/>
      <c r="V32" s="39"/>
      <c r="W32" s="146"/>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row>
    <row r="33" spans="2:145">
      <c r="B33" s="369" t="s">
        <v>209</v>
      </c>
      <c r="C33" s="57">
        <f>$C$27</f>
        <v>17642.035384501487</v>
      </c>
      <c r="D33" s="57">
        <f>$C$27</f>
        <v>17642.035384501487</v>
      </c>
      <c r="E33" s="57">
        <f>$C$27</f>
        <v>17642.035384501487</v>
      </c>
      <c r="F33" s="57">
        <f>$C$27</f>
        <v>17642.035384501487</v>
      </c>
      <c r="G33" s="370">
        <f>$C$27</f>
        <v>17642.035384501487</v>
      </c>
      <c r="H33" s="39"/>
      <c r="I33" s="39"/>
      <c r="J33" s="619">
        <f>$C$27</f>
        <v>17642.035384501487</v>
      </c>
      <c r="K33" s="57">
        <f>$C$27</f>
        <v>17642.035384501487</v>
      </c>
      <c r="L33" s="57">
        <f>$C$27</f>
        <v>17642.035384501487</v>
      </c>
      <c r="M33" s="57">
        <f>$C$27</f>
        <v>17642.035384501487</v>
      </c>
      <c r="N33" s="370">
        <f>$C$27</f>
        <v>17642.035384501487</v>
      </c>
      <c r="O33" s="39"/>
      <c r="P33" s="619">
        <f>$R$27</f>
        <v>46032.175849521591</v>
      </c>
      <c r="Q33" s="57">
        <f>$R$27</f>
        <v>46032.175849521591</v>
      </c>
      <c r="R33" s="57">
        <f>$R$27</f>
        <v>46032.175849521591</v>
      </c>
      <c r="S33" s="57">
        <f>$R$27</f>
        <v>46032.175849521591</v>
      </c>
      <c r="T33" s="370">
        <f>$R$27</f>
        <v>46032.175849521591</v>
      </c>
      <c r="U33" s="39"/>
      <c r="V33" s="39"/>
      <c r="W33" s="146"/>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row>
    <row r="34" spans="2:145">
      <c r="B34" s="369" t="s">
        <v>383</v>
      </c>
      <c r="C34" s="57">
        <f>PV($D$18/$D$20,($D$19-C32)*$D$20,-($C$27/$D$20))</f>
        <v>148798.59085828881</v>
      </c>
      <c r="D34" s="57">
        <f>PV($D$18/$D$20,($D$19-D32)*$D$20,-($C$27/$D$20))</f>
        <v>147458.1560489042</v>
      </c>
      <c r="E34" s="57">
        <f>PV($D$18/$D$20,($D$19-E32)*$D$20,-($C$27/$D$20))</f>
        <v>145962.60768338203</v>
      </c>
      <c r="F34" s="57">
        <f>PV($D$18/$D$20,($D$19-F32)*$D$20,-($C$27/$D$20))</f>
        <v>144293.996201528</v>
      </c>
      <c r="G34" s="370">
        <f>PV($D$18/$D$20,($D$19-G32)*$D$20,-($C$27/$D$20))</f>
        <v>142432.29494093184</v>
      </c>
      <c r="H34" s="39"/>
      <c r="I34" s="39"/>
      <c r="J34" s="619">
        <f>PV($D$18/$D$20,($D$19-J32)*$D$20,-($C$27/$D$20))</f>
        <v>140355.15977711632</v>
      </c>
      <c r="K34" s="57">
        <f>PV($D$18/$D$20,($D$19-K32)*$D$20,-($C$27/$D$20))</f>
        <v>138037.66094952388</v>
      </c>
      <c r="L34" s="57">
        <f>PV($D$18/$D$20,($D$19-L32)*$D$20,-($C$27/$D$20))</f>
        <v>135451.98385471874</v>
      </c>
      <c r="M34" s="57">
        <f>PV($D$18/$D$20,($D$19-M32)*$D$20,-($C$27/$D$20))</f>
        <v>132567.09521572609</v>
      </c>
      <c r="N34" s="370">
        <f>PV($D$18/$D$20,($D$19-N32)*$D$20,-($C$27/$D$20))</f>
        <v>129348.37062087639</v>
      </c>
      <c r="O34" s="39"/>
      <c r="P34" s="619">
        <f>PV($S$17/$S$19,($S$18-P31)*$S$19,-($R$27/$S$19))</f>
        <v>328129.74524461263</v>
      </c>
      <c r="Q34" s="57">
        <f>PV($S$17/$S$19,($S$18-Q31)*$S$19,-($R$27/$S$19))</f>
        <v>317675.17551407788</v>
      </c>
      <c r="R34" s="57">
        <f>PV($S$17/$S$19,($S$18-R31)*$S$19,-($R$27/$S$19))</f>
        <v>306010.81514140376</v>
      </c>
      <c r="S34" s="57">
        <f>PV($S$17/$S$19,($S$18-S31)*$S$19,-($R$27/$S$19))</f>
        <v>292996.66856144235</v>
      </c>
      <c r="T34" s="370">
        <f>PV($S$17/$S$19,($S$18-T31)*$S$19,-($R$27/$S$19))</f>
        <v>278476.54008517379</v>
      </c>
      <c r="U34" s="39"/>
      <c r="V34" s="39"/>
      <c r="W34" s="146"/>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row>
    <row r="35" spans="2:145">
      <c r="B35" s="369" t="s">
        <v>210</v>
      </c>
      <c r="C35" s="57">
        <f>($C$27-(C26-C34))</f>
        <v>16440.626242790295</v>
      </c>
      <c r="D35" s="57">
        <f>IF(C34&gt;0,($C$27-((C34-D34))),0)</f>
        <v>16301.600575116881</v>
      </c>
      <c r="E35" s="57">
        <f>IF(D34&gt;0,($C$27-((D34-E34))),0)</f>
        <v>16146.487018979311</v>
      </c>
      <c r="F35" s="57">
        <f>IF(E34&gt;0,($C$27-((E34-F34))),0)</f>
        <v>15973.423902647464</v>
      </c>
      <c r="G35" s="370">
        <f>IF(F34&gt;0,($C$27-((F34-G34))),0)</f>
        <v>15780.334123905322</v>
      </c>
      <c r="H35" s="39"/>
      <c r="I35" s="39"/>
      <c r="J35" s="619">
        <f>IF(G34&gt;0,($C$27-((G34-J34))),0)</f>
        <v>15564.90022068597</v>
      </c>
      <c r="K35" s="57">
        <f>IF(J34&gt;0,($C$27-((J34-K34))),0)</f>
        <v>15324.536556909046</v>
      </c>
      <c r="L35" s="57">
        <f>IF(K34&gt;0,($C$27-((K34-L34))),0)</f>
        <v>15056.358289696345</v>
      </c>
      <c r="M35" s="57">
        <f>IF(L34&gt;0,($C$27-((L34-M34))),0)</f>
        <v>14757.146745508839</v>
      </c>
      <c r="N35" s="370">
        <f>IF(M34&gt;0,($C$27-((M34-N34))),0)</f>
        <v>14423.310789651787</v>
      </c>
      <c r="O35" s="39"/>
      <c r="P35" s="619">
        <f>R27-(R26-P34)</f>
        <v>36661.921094134217</v>
      </c>
      <c r="Q35" s="57">
        <f>IF(P34&gt;0,($R$27-((P34-Q34))),0)</f>
        <v>35577.606118986849</v>
      </c>
      <c r="R35" s="57">
        <f>IF(Q34&gt;0,($R$27-((Q34-R34))),0)</f>
        <v>34367.815476847463</v>
      </c>
      <c r="S35" s="57">
        <f>IF(R34&gt;0,($R$27-((R34-S34))),0)</f>
        <v>33018.029269560182</v>
      </c>
      <c r="T35" s="370">
        <f>IF(S34&gt;0,($R$27-((S34-T34))),0)</f>
        <v>31512.047373253037</v>
      </c>
      <c r="U35" s="39"/>
      <c r="V35" s="39"/>
      <c r="W35" s="146"/>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row>
    <row r="36" spans="2:145" ht="13" thickBot="1">
      <c r="B36" s="371" t="s">
        <v>387</v>
      </c>
      <c r="C36" s="372">
        <f>C33-C35</f>
        <v>1201.4091417111922</v>
      </c>
      <c r="D36" s="372">
        <f>D33-D35</f>
        <v>1340.4348093846056</v>
      </c>
      <c r="E36" s="372">
        <f>E33-E35</f>
        <v>1495.548365522176</v>
      </c>
      <c r="F36" s="372">
        <f>F33-F35</f>
        <v>1668.6114818540227</v>
      </c>
      <c r="G36" s="373">
        <f>G33-G35</f>
        <v>1861.7012605961645</v>
      </c>
      <c r="H36" s="39"/>
      <c r="I36" s="39"/>
      <c r="J36" s="634">
        <f>J33-J35</f>
        <v>2077.1351638155174</v>
      </c>
      <c r="K36" s="372">
        <f>K33-K35</f>
        <v>2317.4988275924406</v>
      </c>
      <c r="L36" s="372">
        <f>L33-L35</f>
        <v>2585.6770948051417</v>
      </c>
      <c r="M36" s="372">
        <f>M33-M35</f>
        <v>2884.8886389926483</v>
      </c>
      <c r="N36" s="373">
        <f>N33-N35</f>
        <v>3218.7245948497002</v>
      </c>
      <c r="O36" s="39"/>
      <c r="P36" s="634">
        <f>P33-P35</f>
        <v>9370.2547553873737</v>
      </c>
      <c r="Q36" s="372">
        <f>Q33-Q35</f>
        <v>10454.569730534742</v>
      </c>
      <c r="R36" s="372">
        <f>R33-R35</f>
        <v>11664.360372674128</v>
      </c>
      <c r="S36" s="372">
        <f>S33-S35</f>
        <v>13014.146579961409</v>
      </c>
      <c r="T36" s="373">
        <f>T33-T35</f>
        <v>14520.128476268554</v>
      </c>
      <c r="U36" s="39"/>
      <c r="V36" s="39"/>
      <c r="W36" s="146"/>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row>
    <row r="37" spans="2:145">
      <c r="B37" s="369"/>
      <c r="C37" s="57"/>
      <c r="D37" s="57"/>
      <c r="E37" s="57"/>
      <c r="F37" s="57"/>
      <c r="G37" s="57"/>
      <c r="H37" s="39"/>
      <c r="I37" s="39"/>
      <c r="J37" s="57"/>
      <c r="K37" s="57"/>
      <c r="L37" s="57"/>
      <c r="M37" s="57"/>
      <c r="N37" s="57"/>
      <c r="O37" s="39"/>
      <c r="P37" s="57"/>
      <c r="Q37" s="57"/>
      <c r="R37" s="57"/>
      <c r="S37" s="57"/>
      <c r="T37" s="57"/>
      <c r="U37" s="39"/>
      <c r="V37" s="39"/>
      <c r="W37" s="146"/>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row>
    <row r="38" spans="2:145" ht="13" thickBot="1">
      <c r="B38" s="467"/>
      <c r="C38" s="61"/>
      <c r="D38" s="61"/>
      <c r="E38" s="61"/>
      <c r="F38" s="61"/>
      <c r="G38" s="61"/>
      <c r="H38" s="39"/>
      <c r="I38" s="39"/>
      <c r="J38" s="34"/>
      <c r="K38" s="39"/>
      <c r="L38" s="39"/>
      <c r="M38" s="39"/>
      <c r="N38" s="39"/>
      <c r="O38" s="39"/>
      <c r="P38" s="34"/>
      <c r="Q38" s="39"/>
      <c r="R38" s="39"/>
      <c r="S38" s="39"/>
      <c r="T38" s="39"/>
      <c r="U38" s="39"/>
      <c r="V38" s="39"/>
      <c r="W38" s="146"/>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row>
    <row r="39" spans="2:145" ht="13.5" thickBot="1">
      <c r="B39" s="1617" t="s">
        <v>546</v>
      </c>
      <c r="C39" s="1538"/>
      <c r="D39" s="1538"/>
      <c r="E39" s="1538"/>
      <c r="F39" s="1538"/>
      <c r="G39" s="1539"/>
      <c r="H39" s="39"/>
      <c r="I39" s="39"/>
      <c r="J39" s="39"/>
      <c r="K39" s="39"/>
      <c r="L39" s="39"/>
      <c r="M39" s="39"/>
      <c r="N39" s="39"/>
      <c r="O39" s="39"/>
      <c r="P39" s="39"/>
      <c r="Q39" s="39"/>
      <c r="R39" s="39"/>
      <c r="S39" s="39"/>
      <c r="T39" s="39"/>
      <c r="U39" s="39"/>
      <c r="V39" s="39"/>
      <c r="W39" s="146"/>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row>
    <row r="40" spans="2:145" ht="13.5" thickBot="1">
      <c r="B40" s="576" t="s">
        <v>262</v>
      </c>
      <c r="C40" s="576">
        <v>1</v>
      </c>
      <c r="D40" s="576">
        <f>1+C40</f>
        <v>2</v>
      </c>
      <c r="E40" s="576">
        <f>1+D40</f>
        <v>3</v>
      </c>
      <c r="F40" s="576">
        <f>1+E40</f>
        <v>4</v>
      </c>
      <c r="G40" s="576">
        <f>1+F40</f>
        <v>5</v>
      </c>
      <c r="H40" s="39"/>
      <c r="I40" s="39"/>
      <c r="J40" s="576">
        <f>1+G40</f>
        <v>6</v>
      </c>
      <c r="K40" s="576">
        <f>1+J40</f>
        <v>7</v>
      </c>
      <c r="L40" s="576">
        <f>1+K40</f>
        <v>8</v>
      </c>
      <c r="M40" s="576">
        <f>1+L40</f>
        <v>9</v>
      </c>
      <c r="N40" s="576">
        <f>1+M40</f>
        <v>10</v>
      </c>
      <c r="O40" s="39"/>
      <c r="P40" s="576">
        <v>6</v>
      </c>
      <c r="Q40" s="576">
        <v>7</v>
      </c>
      <c r="R40" s="576">
        <v>8</v>
      </c>
      <c r="S40" s="576">
        <v>9</v>
      </c>
      <c r="T40" s="576">
        <f>1+S40</f>
        <v>10</v>
      </c>
      <c r="U40" s="576">
        <v>11</v>
      </c>
      <c r="V40" s="39"/>
      <c r="W40" s="146"/>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s="39"/>
    </row>
    <row r="41" spans="2:145">
      <c r="B41" s="171" t="s">
        <v>547</v>
      </c>
      <c r="C41" s="625">
        <v>39000</v>
      </c>
      <c r="D41" s="625">
        <f>C41*(1+$D$14)</f>
        <v>40560</v>
      </c>
      <c r="E41" s="625">
        <f>D41*(1+$D$14)</f>
        <v>42182.400000000001</v>
      </c>
      <c r="F41" s="625">
        <f>E41*(1+$D$14)</f>
        <v>43869.696000000004</v>
      </c>
      <c r="G41" s="626">
        <f>F41*(1+$D$14)</f>
        <v>45624.483840000008</v>
      </c>
      <c r="H41" s="39"/>
      <c r="I41" s="39"/>
      <c r="J41" s="635">
        <f>G41*(1+$D14)</f>
        <v>47449.463193600008</v>
      </c>
      <c r="K41" s="625">
        <f>J41*(1+$L14)</f>
        <v>48872.947089408008</v>
      </c>
      <c r="L41" s="625">
        <f>K41*(1+$L14)</f>
        <v>50339.135502090248</v>
      </c>
      <c r="M41" s="625">
        <f>L41*(1+$L14)</f>
        <v>51849.309567152959</v>
      </c>
      <c r="N41" s="626">
        <f>M41*(1+$L14)</f>
        <v>53404.788854167549</v>
      </c>
      <c r="O41" s="39"/>
      <c r="P41" s="641" t="s">
        <v>265</v>
      </c>
      <c r="Q41" s="642" t="s">
        <v>265</v>
      </c>
      <c r="R41" s="642" t="s">
        <v>265</v>
      </c>
      <c r="S41" s="642" t="s">
        <v>265</v>
      </c>
      <c r="T41" s="642" t="s">
        <v>265</v>
      </c>
      <c r="U41" s="146"/>
      <c r="V41" s="39"/>
      <c r="W41" s="146"/>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s="39"/>
    </row>
    <row r="42" spans="2:145">
      <c r="B42" s="171" t="s">
        <v>548</v>
      </c>
      <c r="C42" s="39">
        <f>$D$13*C41</f>
        <v>19500</v>
      </c>
      <c r="D42" s="39">
        <f>$D$13*D41</f>
        <v>20280</v>
      </c>
      <c r="E42" s="627">
        <f>$D$13*E41</f>
        <v>21091.200000000001</v>
      </c>
      <c r="F42" s="627">
        <f>$D$13*F41</f>
        <v>21934.848000000002</v>
      </c>
      <c r="G42" s="628">
        <f>$D$13*G41</f>
        <v>22812.241920000004</v>
      </c>
      <c r="H42" s="39"/>
      <c r="I42" s="39"/>
      <c r="J42" s="636">
        <f>$L15*J41</f>
        <v>23724.731596800004</v>
      </c>
      <c r="K42" s="627">
        <f>$L15*K41</f>
        <v>24436.473544704004</v>
      </c>
      <c r="L42" s="627">
        <f>$L15*L41</f>
        <v>25169.567751045124</v>
      </c>
      <c r="M42" s="627">
        <f>$L15*M41</f>
        <v>25924.65478357648</v>
      </c>
      <c r="N42" s="628">
        <f>$L15*N41</f>
        <v>26702.394427083775</v>
      </c>
      <c r="O42" s="39"/>
      <c r="P42" s="641" t="s">
        <v>265</v>
      </c>
      <c r="Q42" s="642" t="s">
        <v>265</v>
      </c>
      <c r="R42" s="642" t="s">
        <v>265</v>
      </c>
      <c r="S42" s="642" t="s">
        <v>265</v>
      </c>
      <c r="T42" s="642" t="s">
        <v>265</v>
      </c>
      <c r="U42" s="146"/>
      <c r="V42" s="39"/>
      <c r="W42" s="146"/>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s="39"/>
    </row>
    <row r="43" spans="2:145">
      <c r="B43" s="171" t="s">
        <v>279</v>
      </c>
      <c r="C43" s="69">
        <f>C41-C42</f>
        <v>19500</v>
      </c>
      <c r="D43" s="69">
        <f>D41-D42</f>
        <v>20280</v>
      </c>
      <c r="E43" s="69">
        <f>E41-E42</f>
        <v>21091.200000000001</v>
      </c>
      <c r="F43" s="69">
        <f>F41-F42</f>
        <v>21934.848000000002</v>
      </c>
      <c r="G43" s="629">
        <f>G41-G42</f>
        <v>22812.241920000004</v>
      </c>
      <c r="H43" s="39"/>
      <c r="I43" s="39"/>
      <c r="J43" s="637">
        <f>J41-J42</f>
        <v>23724.731596800004</v>
      </c>
      <c r="K43" s="69">
        <f>K41-K42</f>
        <v>24436.473544704004</v>
      </c>
      <c r="L43" s="69">
        <f>L41-L42</f>
        <v>25169.567751045124</v>
      </c>
      <c r="M43" s="69">
        <f>M41-M42</f>
        <v>25924.65478357648</v>
      </c>
      <c r="N43" s="629">
        <f>N41-N42</f>
        <v>26702.394427083775</v>
      </c>
      <c r="O43" s="39"/>
      <c r="P43" s="637">
        <f>S11</f>
        <v>45000</v>
      </c>
      <c r="Q43" s="69">
        <f>P43*(1+$S$12)</f>
        <v>46800</v>
      </c>
      <c r="R43" s="69">
        <f>Q43*(1+$S$12)</f>
        <v>48672</v>
      </c>
      <c r="S43" s="69">
        <f>R43*(1+$S$12)</f>
        <v>50618.880000000005</v>
      </c>
      <c r="T43" s="69">
        <f>S43*(1+$S$12)</f>
        <v>52643.635200000004</v>
      </c>
      <c r="U43" s="629">
        <f>T43*(1+$S$12)</f>
        <v>54749.380608000007</v>
      </c>
      <c r="V43" s="39"/>
      <c r="W43" s="146"/>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s="39"/>
    </row>
    <row r="44" spans="2:145">
      <c r="B44" s="171" t="s">
        <v>437</v>
      </c>
      <c r="C44" s="69">
        <f>C33</f>
        <v>17642.035384501487</v>
      </c>
      <c r="D44" s="69">
        <f>D33</f>
        <v>17642.035384501487</v>
      </c>
      <c r="E44" s="69">
        <f>E33</f>
        <v>17642.035384501487</v>
      </c>
      <c r="F44" s="69">
        <f>F33</f>
        <v>17642.035384501487</v>
      </c>
      <c r="G44" s="629">
        <f>G33</f>
        <v>17642.035384501487</v>
      </c>
      <c r="H44" s="39"/>
      <c r="I44" s="39"/>
      <c r="J44" s="637">
        <f>J33</f>
        <v>17642.035384501487</v>
      </c>
      <c r="K44" s="69">
        <f>K33</f>
        <v>17642.035384501487</v>
      </c>
      <c r="L44" s="69">
        <f>L33</f>
        <v>17642.035384501487</v>
      </c>
      <c r="M44" s="69">
        <f>M33</f>
        <v>17642.035384501487</v>
      </c>
      <c r="N44" s="629">
        <f>N33</f>
        <v>17642.035384501487</v>
      </c>
      <c r="O44" s="39"/>
      <c r="P44" s="637">
        <f>P33</f>
        <v>46032.175849521591</v>
      </c>
      <c r="Q44" s="69">
        <f>Q33</f>
        <v>46032.175849521591</v>
      </c>
      <c r="R44" s="69">
        <f>R33</f>
        <v>46032.175849521591</v>
      </c>
      <c r="S44" s="69">
        <f>S33</f>
        <v>46032.175849521591</v>
      </c>
      <c r="T44" s="69">
        <f>T33</f>
        <v>46032.175849521591</v>
      </c>
      <c r="U44" s="146"/>
      <c r="V44" s="39"/>
      <c r="W44" s="146"/>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row>
    <row r="45" spans="2:145" ht="13.5" thickBot="1">
      <c r="B45" s="168" t="s">
        <v>408</v>
      </c>
      <c r="C45" s="70">
        <f>C43-C44</f>
        <v>1857.964615498513</v>
      </c>
      <c r="D45" s="70">
        <f>D43-D44</f>
        <v>2637.964615498513</v>
      </c>
      <c r="E45" s="70">
        <f>E43-E44</f>
        <v>3449.1646154985137</v>
      </c>
      <c r="F45" s="70">
        <f>F43-F44</f>
        <v>4292.8126154985148</v>
      </c>
      <c r="G45" s="632">
        <f>G43-G44</f>
        <v>5170.206535498517</v>
      </c>
      <c r="H45" s="39"/>
      <c r="I45" s="39"/>
      <c r="J45" s="639">
        <f>J43-J44</f>
        <v>6082.6962122985169</v>
      </c>
      <c r="K45" s="70">
        <f>K43-K44</f>
        <v>6794.4381602025169</v>
      </c>
      <c r="L45" s="70">
        <f>L43-L44</f>
        <v>7527.5323665436372</v>
      </c>
      <c r="M45" s="70">
        <f>M43-M44</f>
        <v>8282.6193990749925</v>
      </c>
      <c r="N45" s="632">
        <f>N43-N44</f>
        <v>9060.3590425822877</v>
      </c>
      <c r="O45" s="39"/>
      <c r="P45" s="639">
        <f>P43-P44</f>
        <v>-1032.1758495215909</v>
      </c>
      <c r="Q45" s="70">
        <f>Q43-Q44</f>
        <v>767.82415047840914</v>
      </c>
      <c r="R45" s="70">
        <f>R43-R44</f>
        <v>2639.8241504784091</v>
      </c>
      <c r="S45" s="70">
        <f>S43-S44</f>
        <v>4586.7041504784138</v>
      </c>
      <c r="T45" s="70">
        <f>T43-T44</f>
        <v>6611.4593504784134</v>
      </c>
      <c r="U45" s="146"/>
      <c r="V45" s="39"/>
      <c r="W45" s="146"/>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s="39"/>
    </row>
    <row r="46" spans="2:145" ht="13" thickTop="1">
      <c r="B46" s="171"/>
      <c r="C46" s="39"/>
      <c r="D46" s="39"/>
      <c r="E46" s="39"/>
      <c r="F46" s="39"/>
      <c r="G46" s="146"/>
      <c r="H46" s="39"/>
      <c r="I46" s="39"/>
      <c r="J46" s="171"/>
      <c r="K46" s="39"/>
      <c r="L46" s="39"/>
      <c r="M46" s="39"/>
      <c r="N46" s="146"/>
      <c r="O46" s="39"/>
      <c r="P46" s="171"/>
      <c r="Q46" s="39"/>
      <c r="R46" s="39"/>
      <c r="S46" s="39"/>
      <c r="T46" s="39"/>
      <c r="U46" s="146"/>
      <c r="V46" s="39"/>
      <c r="W46" s="146"/>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s="39"/>
    </row>
    <row r="47" spans="2:145">
      <c r="B47" s="171" t="s">
        <v>279</v>
      </c>
      <c r="C47" s="34">
        <f>C43</f>
        <v>19500</v>
      </c>
      <c r="D47" s="34">
        <f>D43</f>
        <v>20280</v>
      </c>
      <c r="E47" s="34">
        <f>E43</f>
        <v>21091.200000000001</v>
      </c>
      <c r="F47" s="34">
        <f>F43</f>
        <v>21934.848000000002</v>
      </c>
      <c r="G47" s="309">
        <f>G43</f>
        <v>22812.241920000004</v>
      </c>
      <c r="H47" s="39"/>
      <c r="I47" s="39"/>
      <c r="J47" s="387">
        <f>J43</f>
        <v>23724.731596800004</v>
      </c>
      <c r="K47" s="34">
        <f>K43</f>
        <v>24436.473544704004</v>
      </c>
      <c r="L47" s="34">
        <f>L43</f>
        <v>25169.567751045124</v>
      </c>
      <c r="M47" s="34">
        <f>M43</f>
        <v>25924.65478357648</v>
      </c>
      <c r="N47" s="309">
        <f>N43</f>
        <v>26702.394427083775</v>
      </c>
      <c r="O47" s="39"/>
      <c r="P47" s="387">
        <f>P43</f>
        <v>45000</v>
      </c>
      <c r="Q47" s="34">
        <f>Q43</f>
        <v>46800</v>
      </c>
      <c r="R47" s="34">
        <f>R43</f>
        <v>48672</v>
      </c>
      <c r="S47" s="34">
        <f>S43</f>
        <v>50618.880000000005</v>
      </c>
      <c r="T47" s="34">
        <f>T43</f>
        <v>52643.635200000004</v>
      </c>
      <c r="U47" s="146"/>
      <c r="V47" s="39"/>
      <c r="W47" s="146"/>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39"/>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s="39"/>
    </row>
    <row r="48" spans="2:145">
      <c r="B48" s="369" t="s">
        <v>549</v>
      </c>
      <c r="C48" s="34">
        <f>C35</f>
        <v>16440.626242790295</v>
      </c>
      <c r="D48" s="34">
        <f>D35</f>
        <v>16301.600575116881</v>
      </c>
      <c r="E48" s="34">
        <f>E35</f>
        <v>16146.487018979311</v>
      </c>
      <c r="F48" s="34">
        <f>F35</f>
        <v>15973.423902647464</v>
      </c>
      <c r="G48" s="309">
        <f>G35</f>
        <v>15780.334123905322</v>
      </c>
      <c r="H48" s="39"/>
      <c r="I48" s="39"/>
      <c r="J48" s="387">
        <f>J35</f>
        <v>15564.90022068597</v>
      </c>
      <c r="K48" s="34">
        <f>K35</f>
        <v>15324.536556909046</v>
      </c>
      <c r="L48" s="34">
        <f>L35</f>
        <v>15056.358289696345</v>
      </c>
      <c r="M48" s="34">
        <f>M35</f>
        <v>14757.146745508839</v>
      </c>
      <c r="N48" s="309">
        <f>N35</f>
        <v>14423.310789651787</v>
      </c>
      <c r="O48" s="39"/>
      <c r="P48" s="387">
        <f>P35</f>
        <v>36661.921094134217</v>
      </c>
      <c r="Q48" s="34">
        <f>Q35</f>
        <v>35577.606118986849</v>
      </c>
      <c r="R48" s="34">
        <f>R35</f>
        <v>34367.815476847463</v>
      </c>
      <c r="S48" s="34">
        <f>S35</f>
        <v>33018.029269560182</v>
      </c>
      <c r="T48" s="34">
        <f>T35</f>
        <v>31512.047373253037</v>
      </c>
      <c r="U48" s="146"/>
      <c r="V48" s="39"/>
      <c r="W48" s="146"/>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39"/>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s="39"/>
    </row>
    <row r="49" spans="2:145">
      <c r="B49" s="369" t="s">
        <v>492</v>
      </c>
      <c r="C49" s="34">
        <f>$D$12/$G$11</f>
        <v>8421.0526315789466</v>
      </c>
      <c r="D49" s="34">
        <f>$D$12/$G$11</f>
        <v>8421.0526315789466</v>
      </c>
      <c r="E49" s="34">
        <f>$D$12/$G$11</f>
        <v>8421.0526315789466</v>
      </c>
      <c r="F49" s="34">
        <f>$D$12/$G$11</f>
        <v>8421.0526315789466</v>
      </c>
      <c r="G49" s="309">
        <f>$D$12/$G$11</f>
        <v>8421.0526315789466</v>
      </c>
      <c r="H49" s="39"/>
      <c r="I49" s="39"/>
      <c r="J49" s="387">
        <f>$L$12/$O$13</f>
        <v>8421.0526315789466</v>
      </c>
      <c r="K49" s="34">
        <f>$L$12/$O$13</f>
        <v>8421.0526315789466</v>
      </c>
      <c r="L49" s="34">
        <f>$L$12/$O$13</f>
        <v>8421.0526315789466</v>
      </c>
      <c r="M49" s="34">
        <f>$L$12/$O$13</f>
        <v>8421.0526315789466</v>
      </c>
      <c r="N49" s="309">
        <f>$L$12/$O$13</f>
        <v>8421.0526315789466</v>
      </c>
      <c r="O49" s="39"/>
      <c r="P49" s="387">
        <f>J49+($S$14/$S$20)</f>
        <v>14770.258980785296</v>
      </c>
      <c r="Q49" s="34">
        <f>K49+($S$14/$S$20)</f>
        <v>14770.258980785296</v>
      </c>
      <c r="R49" s="34">
        <f>L49+($S$14/$S$20)</f>
        <v>14770.258980785296</v>
      </c>
      <c r="S49" s="34">
        <f>M49+($S$14/$S$20)</f>
        <v>14770.258980785296</v>
      </c>
      <c r="T49" s="34">
        <f>N49+($S$14/$S$20)</f>
        <v>14770.258980785296</v>
      </c>
      <c r="U49" s="146"/>
      <c r="V49" s="39"/>
      <c r="W49" s="146"/>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39"/>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s="39"/>
    </row>
    <row r="50" spans="2:145">
      <c r="B50" s="384" t="s">
        <v>550</v>
      </c>
      <c r="C50" s="34">
        <f>C47-C48-C49</f>
        <v>-5361.6788743692414</v>
      </c>
      <c r="D50" s="34">
        <f>D47-D48-D49</f>
        <v>-4442.653206695828</v>
      </c>
      <c r="E50" s="34">
        <f>E47-E48-E49</f>
        <v>-3476.3396505582568</v>
      </c>
      <c r="F50" s="34">
        <f>F47-F48-F49</f>
        <v>-2459.6285342264091</v>
      </c>
      <c r="G50" s="309">
        <f>G47-G48-G49</f>
        <v>-1389.1448354842651</v>
      </c>
      <c r="H50" s="39"/>
      <c r="I50" s="39"/>
      <c r="J50" s="387">
        <f>J47-J48-J49</f>
        <v>-261.22125546491225</v>
      </c>
      <c r="K50" s="34">
        <f>K47-K48-K49</f>
        <v>690.88435621601093</v>
      </c>
      <c r="L50" s="34">
        <f>L47-L48-L49</f>
        <v>1692.1568297698323</v>
      </c>
      <c r="M50" s="34">
        <f>M47-M48-M49</f>
        <v>2746.4554064886943</v>
      </c>
      <c r="N50" s="309">
        <f>N47-N48-N49</f>
        <v>3858.0310058530413</v>
      </c>
      <c r="O50" s="39"/>
      <c r="P50" s="387">
        <f>P47-P48-P49</f>
        <v>-6432.1800749195136</v>
      </c>
      <c r="Q50" s="34">
        <f>Q47-Q48-Q49</f>
        <v>-3547.8650997721452</v>
      </c>
      <c r="R50" s="34">
        <f>R47-R48-R49</f>
        <v>-466.07445763275973</v>
      </c>
      <c r="S50" s="34">
        <f>S47-S48-S49</f>
        <v>2830.5917496545262</v>
      </c>
      <c r="T50" s="34">
        <f>T47-T48-T49</f>
        <v>6361.3288459616706</v>
      </c>
      <c r="U50" s="146"/>
      <c r="V50" s="39"/>
      <c r="W50" s="146"/>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39"/>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c r="EO50" s="39"/>
    </row>
    <row r="51" spans="2:145" ht="13.5" thickBot="1">
      <c r="B51" s="444" t="s">
        <v>551</v>
      </c>
      <c r="C51" s="35">
        <f>(($G13)*C50)</f>
        <v>-1501.2700848233878</v>
      </c>
      <c r="D51" s="35">
        <f>(($G13)*D50)</f>
        <v>-1243.9428978748319</v>
      </c>
      <c r="E51" s="35">
        <f>(($G13)*E50)</f>
        <v>-973.37510215631198</v>
      </c>
      <c r="F51" s="35">
        <f>(($G13)*F50)</f>
        <v>-688.69598958339463</v>
      </c>
      <c r="G51" s="538">
        <f>(($G13)*G50)</f>
        <v>-388.96055393559425</v>
      </c>
      <c r="H51" s="39"/>
      <c r="I51" s="39"/>
      <c r="J51" s="640">
        <f>(($O11)*J50)</f>
        <v>-73.141951530175433</v>
      </c>
      <c r="K51" s="35">
        <f>(($O11)*K50)</f>
        <v>193.44761974048308</v>
      </c>
      <c r="L51" s="35">
        <f>(($O11)*L50)</f>
        <v>473.80391233555309</v>
      </c>
      <c r="M51" s="35">
        <f>(($O11)*M50)</f>
        <v>769.00751381683449</v>
      </c>
      <c r="N51" s="538">
        <f>(($O11)*N50)</f>
        <v>1080.2486816388516</v>
      </c>
      <c r="O51" s="39"/>
      <c r="P51" s="640">
        <f>(($O11)*P50)</f>
        <v>-1801.010420977464</v>
      </c>
      <c r="Q51" s="35">
        <f>(($O11)*Q50)</f>
        <v>-993.4022279362008</v>
      </c>
      <c r="R51" s="35">
        <f>(($O11)*R50)</f>
        <v>-130.50084813717274</v>
      </c>
      <c r="S51" s="35">
        <f>(($O11)*S50)</f>
        <v>792.56568990326741</v>
      </c>
      <c r="T51" s="35">
        <f>(($O11)*T50)</f>
        <v>1781.172076869268</v>
      </c>
      <c r="U51" s="146"/>
      <c r="V51" s="39"/>
      <c r="W51" s="146"/>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s="39"/>
    </row>
    <row r="52" spans="2:145" ht="13" thickTop="1">
      <c r="B52" s="171"/>
      <c r="C52" s="39"/>
      <c r="D52" s="39"/>
      <c r="E52" s="39"/>
      <c r="F52" s="39"/>
      <c r="G52" s="146"/>
      <c r="H52" s="39"/>
      <c r="I52" s="39"/>
      <c r="J52" s="171"/>
      <c r="K52" s="39"/>
      <c r="L52" s="39"/>
      <c r="M52" s="39"/>
      <c r="N52" s="146"/>
      <c r="O52" s="39"/>
      <c r="P52" s="171"/>
      <c r="Q52" s="39"/>
      <c r="R52" s="39"/>
      <c r="S52" s="39"/>
      <c r="T52" s="39"/>
      <c r="U52" s="146"/>
      <c r="V52" s="39"/>
      <c r="W52" s="146"/>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39"/>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s="39"/>
    </row>
    <row r="53" spans="2:145">
      <c r="B53" s="171" t="s">
        <v>408</v>
      </c>
      <c r="C53" s="34">
        <f>C45</f>
        <v>1857.964615498513</v>
      </c>
      <c r="D53" s="34">
        <f>D45</f>
        <v>2637.964615498513</v>
      </c>
      <c r="E53" s="34">
        <f>E45</f>
        <v>3449.1646154985137</v>
      </c>
      <c r="F53" s="34">
        <f>F45</f>
        <v>4292.8126154985148</v>
      </c>
      <c r="G53" s="309">
        <f>G45</f>
        <v>5170.206535498517</v>
      </c>
      <c r="H53" s="39"/>
      <c r="I53" s="39"/>
      <c r="J53" s="387">
        <f>J45</f>
        <v>6082.6962122985169</v>
      </c>
      <c r="K53" s="34">
        <f>K45</f>
        <v>6794.4381602025169</v>
      </c>
      <c r="L53" s="34">
        <f>L45</f>
        <v>7527.5323665436372</v>
      </c>
      <c r="M53" s="34">
        <f>M45</f>
        <v>8282.6193990749925</v>
      </c>
      <c r="N53" s="309">
        <f>N45</f>
        <v>9060.3590425822877</v>
      </c>
      <c r="O53" s="39"/>
      <c r="P53" s="387">
        <f>P45</f>
        <v>-1032.1758495215909</v>
      </c>
      <c r="Q53" s="34">
        <f>Q45</f>
        <v>767.82415047840914</v>
      </c>
      <c r="R53" s="34">
        <f>R45</f>
        <v>2639.8241504784091</v>
      </c>
      <c r="S53" s="34">
        <f>S45</f>
        <v>4586.7041504784138</v>
      </c>
      <c r="T53" s="34">
        <f>T45</f>
        <v>6611.4593504784134</v>
      </c>
      <c r="U53" s="146"/>
      <c r="V53" s="39"/>
      <c r="W53" s="146"/>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39"/>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s="39"/>
    </row>
    <row r="54" spans="2:145">
      <c r="B54" s="171" t="s">
        <v>393</v>
      </c>
      <c r="C54" s="34">
        <f>C51</f>
        <v>-1501.2700848233878</v>
      </c>
      <c r="D54" s="34">
        <f>D51</f>
        <v>-1243.9428978748319</v>
      </c>
      <c r="E54" s="34">
        <f>E51</f>
        <v>-973.37510215631198</v>
      </c>
      <c r="F54" s="34">
        <f>F51</f>
        <v>-688.69598958339463</v>
      </c>
      <c r="G54" s="309">
        <f>G51</f>
        <v>-388.96055393559425</v>
      </c>
      <c r="H54" s="39"/>
      <c r="I54" s="39"/>
      <c r="J54" s="387">
        <f>J51</f>
        <v>-73.141951530175433</v>
      </c>
      <c r="K54" s="34">
        <f>K51</f>
        <v>193.44761974048308</v>
      </c>
      <c r="L54" s="34">
        <f>L51</f>
        <v>473.80391233555309</v>
      </c>
      <c r="M54" s="34">
        <f>M51</f>
        <v>769.00751381683449</v>
      </c>
      <c r="N54" s="309">
        <f>N51</f>
        <v>1080.2486816388516</v>
      </c>
      <c r="O54" s="39"/>
      <c r="P54" s="387">
        <f>P51</f>
        <v>-1801.010420977464</v>
      </c>
      <c r="Q54" s="34">
        <f>Q51</f>
        <v>-993.4022279362008</v>
      </c>
      <c r="R54" s="34">
        <f>R51</f>
        <v>-130.50084813717274</v>
      </c>
      <c r="S54" s="34">
        <f>S51</f>
        <v>792.56568990326741</v>
      </c>
      <c r="T54" s="34">
        <f>T51</f>
        <v>1781.172076869268</v>
      </c>
      <c r="U54" s="146"/>
      <c r="V54" s="39"/>
      <c r="W54" s="146"/>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39"/>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s="39"/>
    </row>
    <row r="55" spans="2:145" ht="13.5" thickBot="1">
      <c r="B55" s="375" t="s">
        <v>409</v>
      </c>
      <c r="C55" s="630">
        <f>(C53-C54)</f>
        <v>3359.2347003219011</v>
      </c>
      <c r="D55" s="630">
        <f>(D53-D54)</f>
        <v>3881.907513373345</v>
      </c>
      <c r="E55" s="630">
        <f>(E53-E54)</f>
        <v>4422.5397176548258</v>
      </c>
      <c r="F55" s="630">
        <f>(F53-F54)</f>
        <v>4981.5086050819091</v>
      </c>
      <c r="G55" s="631">
        <f>(G53-G54)</f>
        <v>5559.1670894341114</v>
      </c>
      <c r="H55" s="39"/>
      <c r="I55" s="39"/>
      <c r="J55" s="638">
        <f>(J53-J54)</f>
        <v>6155.8381638286919</v>
      </c>
      <c r="K55" s="630">
        <f>(K53-K54)</f>
        <v>6600.990540462034</v>
      </c>
      <c r="L55" s="630">
        <f>(L53-L54)</f>
        <v>7053.7284542080843</v>
      </c>
      <c r="M55" s="630">
        <f>(M53-M54)</f>
        <v>7513.6118852581585</v>
      </c>
      <c r="N55" s="631">
        <f>(N53-N54)</f>
        <v>7980.1103609434358</v>
      </c>
      <c r="O55" s="39"/>
      <c r="P55" s="638">
        <f>(P53-P54)</f>
        <v>768.83457145587317</v>
      </c>
      <c r="Q55" s="630">
        <f>(Q53-Q54)</f>
        <v>1761.2263784146098</v>
      </c>
      <c r="R55" s="630">
        <f>(R53-R54)</f>
        <v>2770.324998615582</v>
      </c>
      <c r="S55" s="630">
        <f>(S53-S54)</f>
        <v>3794.1384605751464</v>
      </c>
      <c r="T55" s="630">
        <f>(T53-T54)</f>
        <v>4830.2872736091449</v>
      </c>
      <c r="U55" s="149"/>
      <c r="V55" s="39"/>
      <c r="W55" s="146"/>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39"/>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s="39"/>
    </row>
    <row r="56" spans="2:145" ht="13">
      <c r="B56" s="168"/>
      <c r="C56" s="71"/>
      <c r="D56" s="71"/>
      <c r="E56" s="71"/>
      <c r="F56" s="71"/>
      <c r="G56" s="71"/>
      <c r="H56" s="39"/>
      <c r="I56" s="39"/>
      <c r="J56" s="71"/>
      <c r="K56" s="71"/>
      <c r="L56" s="71"/>
      <c r="M56" s="71"/>
      <c r="N56" s="71"/>
      <c r="O56" s="39"/>
      <c r="P56" s="71"/>
      <c r="Q56" s="71"/>
      <c r="R56" s="71"/>
      <c r="S56" s="71"/>
      <c r="T56" s="71"/>
      <c r="U56" s="39"/>
      <c r="V56" s="39"/>
      <c r="W56" s="146"/>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39"/>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s="39"/>
    </row>
    <row r="57" spans="2:145" ht="13" thickBot="1">
      <c r="B57" s="225"/>
      <c r="C57" s="51"/>
      <c r="D57" s="51"/>
      <c r="E57" s="51"/>
      <c r="F57" s="51"/>
      <c r="G57" s="51"/>
      <c r="H57" s="39"/>
      <c r="I57" s="39"/>
      <c r="J57" s="39"/>
      <c r="K57" s="39"/>
      <c r="L57" s="39"/>
      <c r="M57" s="39"/>
      <c r="N57" s="39"/>
      <c r="O57" s="39"/>
      <c r="P57" s="39"/>
      <c r="Q57" s="39"/>
      <c r="R57" s="39"/>
      <c r="S57" s="39"/>
      <c r="T57" s="39"/>
      <c r="U57" s="39"/>
      <c r="V57" s="39"/>
      <c r="W57" s="146"/>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39"/>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s="39"/>
    </row>
    <row r="58" spans="2:145" ht="13.5" thickBot="1">
      <c r="B58" s="1617" t="s">
        <v>443</v>
      </c>
      <c r="C58" s="1538"/>
      <c r="D58" s="1538"/>
      <c r="E58" s="1538"/>
      <c r="F58" s="1538"/>
      <c r="G58" s="1539"/>
      <c r="H58" s="39"/>
      <c r="I58" s="39"/>
      <c r="J58" s="276"/>
      <c r="K58" s="277"/>
      <c r="L58" s="277"/>
      <c r="M58" s="277"/>
      <c r="N58" s="278"/>
      <c r="O58" s="39"/>
      <c r="P58" s="276"/>
      <c r="Q58" s="277"/>
      <c r="R58" s="277"/>
      <c r="S58" s="277"/>
      <c r="T58" s="277"/>
      <c r="U58" s="278"/>
      <c r="V58" s="39"/>
      <c r="W58" s="146"/>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39"/>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s="39"/>
    </row>
    <row r="59" spans="2:145">
      <c r="B59" s="369" t="s">
        <v>444</v>
      </c>
      <c r="C59" s="57"/>
      <c r="D59" s="57"/>
      <c r="E59" s="57">
        <f>D23</f>
        <v>250000</v>
      </c>
      <c r="F59" s="39"/>
      <c r="G59" s="146"/>
      <c r="H59" s="69"/>
      <c r="I59" s="69"/>
      <c r="J59" s="369" t="s">
        <v>444</v>
      </c>
      <c r="K59" s="57"/>
      <c r="L59" s="57"/>
      <c r="M59" s="57">
        <f>L17</f>
        <v>289819</v>
      </c>
      <c r="N59" s="146"/>
      <c r="O59" s="39"/>
      <c r="P59" s="369" t="s">
        <v>444</v>
      </c>
      <c r="Q59" s="57"/>
      <c r="R59" s="57"/>
      <c r="S59" s="57">
        <f>U43/S13</f>
        <v>547493.80608000001</v>
      </c>
      <c r="T59" s="39"/>
      <c r="U59" s="146"/>
      <c r="V59" s="39"/>
      <c r="W59" s="146"/>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39"/>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s="39"/>
    </row>
    <row r="60" spans="2:145">
      <c r="B60" s="369" t="s">
        <v>396</v>
      </c>
      <c r="C60" s="57"/>
      <c r="D60" s="57"/>
      <c r="E60" s="57">
        <f>E59*L18</f>
        <v>15000</v>
      </c>
      <c r="F60" s="39"/>
      <c r="G60" s="146"/>
      <c r="H60" s="69"/>
      <c r="I60" s="69"/>
      <c r="J60" s="369" t="s">
        <v>396</v>
      </c>
      <c r="K60" s="57"/>
      <c r="L60" s="57"/>
      <c r="M60" s="57">
        <f>M59*L18</f>
        <v>17389.14</v>
      </c>
      <c r="N60" s="146"/>
      <c r="O60" s="39"/>
      <c r="P60" s="369" t="s">
        <v>396</v>
      </c>
      <c r="Q60" s="57"/>
      <c r="R60" s="57"/>
      <c r="S60" s="57">
        <f>S59*L18</f>
        <v>32849.628364800003</v>
      </c>
      <c r="T60" s="39"/>
      <c r="U60" s="146"/>
      <c r="V60" s="39"/>
      <c r="W60" s="146"/>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row>
    <row r="61" spans="2:145">
      <c r="B61" s="369" t="s">
        <v>383</v>
      </c>
      <c r="C61" s="57"/>
      <c r="D61" s="57"/>
      <c r="E61" s="61">
        <f>IF(C21&gt;0,0,C28)</f>
        <v>142432.29494093184</v>
      </c>
      <c r="F61" s="39"/>
      <c r="G61" s="146"/>
      <c r="H61" s="69"/>
      <c r="I61" s="69"/>
      <c r="J61" s="369" t="s">
        <v>383</v>
      </c>
      <c r="K61" s="57"/>
      <c r="L61" s="57"/>
      <c r="M61" s="61">
        <f>N34</f>
        <v>129348.37062087639</v>
      </c>
      <c r="N61" s="146"/>
      <c r="O61" s="39"/>
      <c r="P61" s="369" t="s">
        <v>383</v>
      </c>
      <c r="Q61" s="57"/>
      <c r="R61" s="57"/>
      <c r="S61" s="61">
        <f>T34</f>
        <v>278476.54008517379</v>
      </c>
      <c r="T61" s="39"/>
      <c r="U61" s="146"/>
      <c r="V61" s="39"/>
      <c r="W61" s="146"/>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39"/>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s="39"/>
    </row>
    <row r="62" spans="2:145">
      <c r="B62" s="369" t="s">
        <v>439</v>
      </c>
      <c r="C62" s="57"/>
      <c r="D62" s="57"/>
      <c r="E62" s="57">
        <f>E59-E60-E61</f>
        <v>92567.705059068161</v>
      </c>
      <c r="F62" s="39"/>
      <c r="G62" s="146"/>
      <c r="H62" s="69"/>
      <c r="I62" s="69"/>
      <c r="J62" s="369" t="s">
        <v>439</v>
      </c>
      <c r="K62" s="57"/>
      <c r="L62" s="57"/>
      <c r="M62" s="57">
        <f>M59-M60-M61</f>
        <v>143081.48937912361</v>
      </c>
      <c r="N62" s="146"/>
      <c r="O62" s="39"/>
      <c r="P62" s="369" t="s">
        <v>439</v>
      </c>
      <c r="Q62" s="57"/>
      <c r="R62" s="57"/>
      <c r="S62" s="57">
        <f>S59-S60-S61</f>
        <v>236167.63763002621</v>
      </c>
      <c r="T62" s="39"/>
      <c r="U62" s="146"/>
      <c r="V62" s="39"/>
      <c r="W62" s="146"/>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39"/>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s="39"/>
    </row>
    <row r="63" spans="2:145">
      <c r="B63" s="384"/>
      <c r="C63" s="57"/>
      <c r="D63" s="57"/>
      <c r="E63" s="57"/>
      <c r="F63" s="69"/>
      <c r="G63" s="146"/>
      <c r="H63" s="39"/>
      <c r="I63" s="39"/>
      <c r="J63" s="384"/>
      <c r="K63" s="57"/>
      <c r="L63" s="57"/>
      <c r="M63" s="57"/>
      <c r="N63" s="146"/>
      <c r="O63" s="39"/>
      <c r="P63" s="384"/>
      <c r="Q63" s="57"/>
      <c r="R63" s="57"/>
      <c r="S63" s="57"/>
      <c r="T63" s="39"/>
      <c r="U63" s="146"/>
      <c r="V63" s="39"/>
      <c r="W63" s="146"/>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39"/>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s="39"/>
    </row>
    <row r="64" spans="2:145">
      <c r="B64" s="369" t="s">
        <v>446</v>
      </c>
      <c r="C64" s="57"/>
      <c r="D64" s="57">
        <f>E59</f>
        <v>250000</v>
      </c>
      <c r="E64" s="57"/>
      <c r="F64" s="69"/>
      <c r="G64" s="146"/>
      <c r="H64" s="39"/>
      <c r="I64" s="39"/>
      <c r="J64" s="369" t="s">
        <v>446</v>
      </c>
      <c r="K64" s="57"/>
      <c r="L64" s="57">
        <f>M59</f>
        <v>289819</v>
      </c>
      <c r="M64" s="57"/>
      <c r="N64" s="146"/>
      <c r="O64" s="39"/>
      <c r="P64" s="369" t="s">
        <v>446</v>
      </c>
      <c r="Q64" s="57"/>
      <c r="R64" s="57">
        <f>S59</f>
        <v>547493.80608000001</v>
      </c>
      <c r="S64" s="57"/>
      <c r="T64" s="39"/>
      <c r="U64" s="146"/>
      <c r="V64" s="39"/>
      <c r="W64" s="146"/>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row>
    <row r="65" spans="2:145">
      <c r="B65" s="369" t="s">
        <v>447</v>
      </c>
      <c r="C65" s="57"/>
      <c r="D65" s="57">
        <f>E60</f>
        <v>15000</v>
      </c>
      <c r="E65" s="57"/>
      <c r="F65" s="69"/>
      <c r="G65" s="146"/>
      <c r="H65" s="39"/>
      <c r="I65" s="39"/>
      <c r="J65" s="369" t="s">
        <v>447</v>
      </c>
      <c r="K65" s="57"/>
      <c r="L65" s="57">
        <f>M60</f>
        <v>17389.14</v>
      </c>
      <c r="M65" s="57"/>
      <c r="N65" s="146"/>
      <c r="O65" s="39"/>
      <c r="P65" s="369" t="s">
        <v>447</v>
      </c>
      <c r="Q65" s="57"/>
      <c r="R65" s="57">
        <f>S60</f>
        <v>32849.628364800003</v>
      </c>
      <c r="S65" s="57"/>
      <c r="T65" s="39"/>
      <c r="U65" s="146"/>
      <c r="V65" s="39"/>
      <c r="W65" s="146"/>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39"/>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s="39"/>
    </row>
    <row r="66" spans="2:145">
      <c r="B66" s="384"/>
      <c r="C66" s="57"/>
      <c r="D66" s="57"/>
      <c r="E66" s="57"/>
      <c r="F66" s="69"/>
      <c r="G66" s="146"/>
      <c r="H66" s="39"/>
      <c r="I66" s="39"/>
      <c r="J66" s="384"/>
      <c r="K66" s="57"/>
      <c r="L66" s="57"/>
      <c r="M66" s="57"/>
      <c r="N66" s="146"/>
      <c r="O66" s="39"/>
      <c r="P66" s="384"/>
      <c r="Q66" s="57"/>
      <c r="R66" s="57"/>
      <c r="S66" s="57"/>
      <c r="T66" s="39"/>
      <c r="U66" s="146"/>
      <c r="V66" s="39"/>
      <c r="W66" s="146"/>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39"/>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s="39"/>
    </row>
    <row r="67" spans="2:145">
      <c r="B67" s="369" t="s">
        <v>398</v>
      </c>
      <c r="C67" s="57">
        <f>D10</f>
        <v>200000</v>
      </c>
      <c r="D67" s="57"/>
      <c r="E67" s="57"/>
      <c r="F67" s="69"/>
      <c r="G67" s="146"/>
      <c r="H67" s="39"/>
      <c r="I67" s="39"/>
      <c r="J67" s="369" t="s">
        <v>552</v>
      </c>
      <c r="K67" s="57">
        <f>L11</f>
        <v>200000</v>
      </c>
      <c r="L67" s="57"/>
      <c r="M67" s="57"/>
      <c r="N67" s="146"/>
      <c r="O67" s="39"/>
      <c r="P67" s="369" t="s">
        <v>552</v>
      </c>
      <c r="Q67" s="57">
        <f>K67+S14</f>
        <v>400000</v>
      </c>
      <c r="R67" s="57"/>
      <c r="S67" s="57"/>
      <c r="T67" s="39"/>
      <c r="U67" s="146"/>
      <c r="V67" s="39"/>
      <c r="W67" s="146"/>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39"/>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s="39"/>
    </row>
    <row r="68" spans="2:145">
      <c r="B68" s="369" t="s">
        <v>399</v>
      </c>
      <c r="C68" s="61">
        <f>C49*D21</f>
        <v>42105.263157894733</v>
      </c>
      <c r="D68" s="57"/>
      <c r="E68" s="57"/>
      <c r="F68" s="69"/>
      <c r="G68" s="146"/>
      <c r="H68" s="39"/>
      <c r="I68" s="39"/>
      <c r="J68" s="369" t="s">
        <v>553</v>
      </c>
      <c r="K68" s="61">
        <f>J49*L23</f>
        <v>84210.526315789466</v>
      </c>
      <c r="L68" s="57"/>
      <c r="M68" s="57"/>
      <c r="N68" s="146"/>
      <c r="O68" s="39"/>
      <c r="P68" s="369" t="s">
        <v>553</v>
      </c>
      <c r="Q68" s="61">
        <f>(P49*S21)+L12/O13*S22</f>
        <v>115956.55806182121</v>
      </c>
      <c r="R68" s="57"/>
      <c r="S68" s="57"/>
      <c r="T68" s="39"/>
      <c r="U68" s="146"/>
      <c r="V68" s="39"/>
      <c r="W68" s="146"/>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39"/>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s="39"/>
    </row>
    <row r="69" spans="2:145">
      <c r="B69" s="369" t="s">
        <v>400</v>
      </c>
      <c r="C69" s="57"/>
      <c r="D69" s="57">
        <f>C67-C68</f>
        <v>157894.73684210528</v>
      </c>
      <c r="E69" s="57"/>
      <c r="F69" s="69"/>
      <c r="G69" s="146"/>
      <c r="H69" s="39"/>
      <c r="I69" s="39"/>
      <c r="J69" s="369" t="s">
        <v>554</v>
      </c>
      <c r="K69" s="57"/>
      <c r="L69" s="57">
        <f>K67-K68</f>
        <v>115789.47368421053</v>
      </c>
      <c r="M69" s="57"/>
      <c r="N69" s="146"/>
      <c r="O69" s="39"/>
      <c r="P69" s="369" t="s">
        <v>554</v>
      </c>
      <c r="Q69" s="57"/>
      <c r="R69" s="57">
        <f>Q67-Q68</f>
        <v>284043.44193817879</v>
      </c>
      <c r="S69" s="57"/>
      <c r="T69" s="39"/>
      <c r="U69" s="146"/>
      <c r="V69" s="39"/>
      <c r="W69" s="146"/>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39"/>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s="39"/>
    </row>
    <row r="70" spans="2:145">
      <c r="B70" s="384"/>
      <c r="C70" s="57"/>
      <c r="D70" s="57"/>
      <c r="E70" s="57"/>
      <c r="F70" s="39"/>
      <c r="G70" s="146"/>
      <c r="H70" s="69"/>
      <c r="I70" s="69"/>
      <c r="J70" s="384"/>
      <c r="K70" s="57"/>
      <c r="L70" s="57"/>
      <c r="M70" s="57"/>
      <c r="N70" s="146"/>
      <c r="O70" s="39"/>
      <c r="P70" s="384"/>
      <c r="Q70" s="57"/>
      <c r="R70" s="57"/>
      <c r="S70" s="57"/>
      <c r="T70" s="39"/>
      <c r="U70" s="146"/>
      <c r="V70" s="39"/>
      <c r="W70" s="146"/>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39"/>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s="39"/>
    </row>
    <row r="71" spans="2:145">
      <c r="B71" s="369" t="s">
        <v>401</v>
      </c>
      <c r="C71" s="57"/>
      <c r="D71" s="57">
        <f>D64-D65-D69</f>
        <v>77105.263157894718</v>
      </c>
      <c r="E71" s="57"/>
      <c r="F71" s="39"/>
      <c r="G71" s="146"/>
      <c r="H71" s="39"/>
      <c r="I71" s="39"/>
      <c r="J71" s="369" t="s">
        <v>401</v>
      </c>
      <c r="K71" s="57"/>
      <c r="L71" s="57">
        <f>L64-L65-L69</f>
        <v>156640.38631578945</v>
      </c>
      <c r="M71" s="57"/>
      <c r="N71" s="146"/>
      <c r="O71" s="39"/>
      <c r="P71" s="369" t="s">
        <v>401</v>
      </c>
      <c r="Q71" s="57"/>
      <c r="R71" s="57">
        <f>R64-R65-R69</f>
        <v>230600.73577702121</v>
      </c>
      <c r="S71" s="57"/>
      <c r="T71" s="39"/>
      <c r="U71" s="146"/>
      <c r="V71" s="39"/>
      <c r="W71" s="146"/>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row>
    <row r="72" spans="2:145">
      <c r="B72" s="369" t="s">
        <v>449</v>
      </c>
      <c r="C72" s="57"/>
      <c r="D72" s="57"/>
      <c r="E72" s="57">
        <f>D71*G12</f>
        <v>21589.473684210523</v>
      </c>
      <c r="F72" s="39"/>
      <c r="G72" s="146"/>
      <c r="H72" s="69"/>
      <c r="I72" s="69"/>
      <c r="J72" s="369" t="s">
        <v>449</v>
      </c>
      <c r="K72" s="57"/>
      <c r="L72" s="57"/>
      <c r="M72" s="57">
        <f>L71*O11</f>
        <v>43859.308168421048</v>
      </c>
      <c r="N72" s="146"/>
      <c r="O72" s="39"/>
      <c r="P72" s="369" t="s">
        <v>449</v>
      </c>
      <c r="Q72" s="57"/>
      <c r="R72" s="57"/>
      <c r="S72" s="57">
        <f>R71*O12</f>
        <v>64568.206017565943</v>
      </c>
      <c r="T72" s="39"/>
      <c r="U72" s="146"/>
      <c r="V72" s="39"/>
      <c r="W72" s="146"/>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39"/>
      <c r="DK72" s="39"/>
      <c r="DL72" s="39"/>
      <c r="DM72" s="39"/>
      <c r="DN72" s="39"/>
      <c r="DO72" s="39"/>
      <c r="DP72" s="39"/>
      <c r="DQ72" s="39"/>
      <c r="DR72" s="39"/>
      <c r="DS72" s="39"/>
      <c r="DT72" s="39"/>
      <c r="DU72" s="39"/>
      <c r="DV72" s="39"/>
      <c r="DW72" s="39"/>
      <c r="DX72" s="39"/>
      <c r="DY72" s="39"/>
      <c r="DZ72" s="39"/>
      <c r="EA72" s="39"/>
      <c r="EB72" s="39"/>
      <c r="EC72" s="39"/>
      <c r="ED72" s="39"/>
      <c r="EE72" s="39"/>
      <c r="EF72" s="39"/>
      <c r="EG72" s="39"/>
      <c r="EH72" s="39"/>
      <c r="EI72" s="39"/>
      <c r="EJ72" s="39"/>
      <c r="EK72" s="39"/>
      <c r="EL72" s="39"/>
      <c r="EM72" s="39"/>
      <c r="EN72" s="39"/>
      <c r="EO72" s="39"/>
    </row>
    <row r="73" spans="2:145" ht="13.5" thickBot="1">
      <c r="B73" s="557" t="s">
        <v>405</v>
      </c>
      <c r="C73" s="561"/>
      <c r="D73" s="561"/>
      <c r="E73" s="558">
        <f>E62-E72</f>
        <v>70978.231374857642</v>
      </c>
      <c r="F73" s="63"/>
      <c r="G73" s="149"/>
      <c r="H73" s="39"/>
      <c r="I73" s="39"/>
      <c r="J73" s="557" t="s">
        <v>405</v>
      </c>
      <c r="K73" s="561"/>
      <c r="L73" s="561"/>
      <c r="M73" s="558">
        <f>M62-M72</f>
        <v>99222.181210702562</v>
      </c>
      <c r="N73" s="149"/>
      <c r="O73" s="39"/>
      <c r="P73" s="557" t="s">
        <v>405</v>
      </c>
      <c r="Q73" s="561"/>
      <c r="R73" s="561"/>
      <c r="S73" s="558">
        <f>S62-S72</f>
        <v>171599.43161246026</v>
      </c>
      <c r="T73" s="63"/>
      <c r="U73" s="149"/>
      <c r="V73" s="39"/>
      <c r="W73" s="146"/>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row>
    <row r="74" spans="2:145" ht="13.5" thickBot="1">
      <c r="B74" s="444"/>
      <c r="C74" s="60"/>
      <c r="D74" s="60"/>
      <c r="E74" s="60"/>
      <c r="F74" s="39"/>
      <c r="G74" s="39"/>
      <c r="H74" s="39"/>
      <c r="I74" s="39"/>
      <c r="J74" s="58"/>
      <c r="K74" s="60"/>
      <c r="L74" s="60"/>
      <c r="M74" s="60"/>
      <c r="N74" s="39"/>
      <c r="O74" s="39"/>
      <c r="P74" s="58"/>
      <c r="Q74" s="60"/>
      <c r="R74" s="60"/>
      <c r="S74" s="60"/>
      <c r="T74" s="39"/>
      <c r="U74" s="39"/>
      <c r="V74" s="39"/>
      <c r="W74" s="146"/>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39"/>
      <c r="DK74" s="39"/>
      <c r="DL74" s="39"/>
      <c r="DM74" s="39"/>
      <c r="DN74" s="39"/>
      <c r="DO74" s="39"/>
      <c r="DP74" s="39"/>
      <c r="DQ74" s="39"/>
      <c r="DR74" s="39"/>
      <c r="DS74" s="39"/>
      <c r="DT74" s="39"/>
      <c r="DU74" s="39"/>
      <c r="DV74" s="39"/>
      <c r="DW74" s="39"/>
      <c r="DX74" s="39"/>
      <c r="DY74" s="39"/>
      <c r="DZ74" s="39"/>
      <c r="EA74" s="39"/>
      <c r="EB74" s="39"/>
      <c r="EC74" s="39"/>
      <c r="ED74" s="39"/>
      <c r="EE74" s="39"/>
      <c r="EF74" s="39"/>
      <c r="EG74" s="39"/>
      <c r="EH74" s="39"/>
      <c r="EI74" s="39"/>
      <c r="EJ74" s="39"/>
      <c r="EK74" s="39"/>
      <c r="EL74" s="39"/>
      <c r="EM74" s="39"/>
      <c r="EN74" s="39"/>
      <c r="EO74" s="39"/>
    </row>
    <row r="75" spans="2:145" ht="13.5" thickBot="1">
      <c r="B75" s="1547" t="s">
        <v>1111</v>
      </c>
      <c r="C75" s="1538"/>
      <c r="D75" s="1538"/>
      <c r="E75" s="1538"/>
      <c r="F75" s="1538"/>
      <c r="G75" s="1538"/>
      <c r="H75" s="1539"/>
      <c r="I75" s="39"/>
      <c r="J75" s="1547" t="s">
        <v>1112</v>
      </c>
      <c r="K75" s="1548"/>
      <c r="L75" s="1548"/>
      <c r="M75" s="1548"/>
      <c r="N75" s="1548"/>
      <c r="O75" s="1549"/>
      <c r="P75" s="276"/>
      <c r="Q75" s="277"/>
      <c r="R75" s="277"/>
      <c r="S75" s="277"/>
      <c r="T75" s="277"/>
      <c r="U75" s="277"/>
      <c r="V75" s="277"/>
      <c r="W75" s="278"/>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39"/>
      <c r="DK75" s="39"/>
      <c r="DL75" s="39"/>
      <c r="DM75" s="39"/>
      <c r="DN75" s="39"/>
      <c r="DO75" s="39"/>
      <c r="DP75" s="39"/>
      <c r="DQ75" s="39"/>
      <c r="DR75" s="39"/>
      <c r="DS75" s="39"/>
      <c r="DT75" s="39"/>
      <c r="DU75" s="39"/>
      <c r="DV75" s="39"/>
      <c r="DW75" s="39"/>
      <c r="DX75" s="39"/>
      <c r="DY75" s="39"/>
      <c r="DZ75" s="39"/>
      <c r="EA75" s="39"/>
      <c r="EB75" s="39"/>
      <c r="EC75" s="39"/>
      <c r="ED75" s="39"/>
      <c r="EE75" s="39"/>
      <c r="EF75" s="39"/>
      <c r="EG75" s="39"/>
      <c r="EH75" s="39"/>
      <c r="EI75" s="39"/>
      <c r="EJ75" s="39"/>
      <c r="EK75" s="39"/>
      <c r="EL75" s="39"/>
      <c r="EM75" s="39"/>
      <c r="EN75" s="39"/>
      <c r="EO75" s="39"/>
    </row>
    <row r="76" spans="2:145" ht="13.5" thickBot="1">
      <c r="B76" s="576" t="s">
        <v>386</v>
      </c>
      <c r="C76" s="576">
        <v>0</v>
      </c>
      <c r="D76" s="576">
        <f>(1+C76)</f>
        <v>1</v>
      </c>
      <c r="E76" s="576">
        <f>(1+D76)</f>
        <v>2</v>
      </c>
      <c r="F76" s="576">
        <f>(1+E76)</f>
        <v>3</v>
      </c>
      <c r="G76" s="576">
        <f>(1+F76)</f>
        <v>4</v>
      </c>
      <c r="H76" s="576">
        <f>(1+G76)</f>
        <v>5</v>
      </c>
      <c r="I76" s="39"/>
      <c r="J76" s="576">
        <v>5</v>
      </c>
      <c r="K76" s="576">
        <f>(1+H76)</f>
        <v>6</v>
      </c>
      <c r="L76" s="576">
        <f>(1+K76)</f>
        <v>7</v>
      </c>
      <c r="M76" s="576">
        <f>(1+L76)</f>
        <v>8</v>
      </c>
      <c r="N76" s="576">
        <f>(1+M76)</f>
        <v>9</v>
      </c>
      <c r="O76" s="576">
        <f>(1+N76)</f>
        <v>10</v>
      </c>
      <c r="P76" s="171"/>
      <c r="Q76" s="39"/>
      <c r="R76" s="576">
        <v>5</v>
      </c>
      <c r="S76" s="576">
        <v>6</v>
      </c>
      <c r="T76" s="576">
        <f>(1+S76)</f>
        <v>7</v>
      </c>
      <c r="U76" s="576">
        <f>(1+T76)</f>
        <v>8</v>
      </c>
      <c r="V76" s="576">
        <f>(1+U76)</f>
        <v>9</v>
      </c>
      <c r="W76" s="576">
        <f>(1+V76)</f>
        <v>10</v>
      </c>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39"/>
      <c r="DK76" s="39"/>
      <c r="DL76" s="39"/>
      <c r="DM76" s="39"/>
      <c r="DN76" s="39"/>
      <c r="DO76" s="39"/>
      <c r="DP76" s="39"/>
      <c r="DQ76" s="39"/>
      <c r="DR76" s="39"/>
      <c r="DS76" s="39"/>
      <c r="DT76" s="39"/>
      <c r="DU76" s="39"/>
      <c r="DV76" s="39"/>
      <c r="DW76" s="39"/>
      <c r="DX76" s="39"/>
      <c r="DY76" s="39"/>
      <c r="DZ76" s="39"/>
      <c r="EA76" s="39"/>
      <c r="EB76" s="39"/>
      <c r="EC76" s="39"/>
      <c r="ED76" s="39"/>
      <c r="EE76" s="39"/>
      <c r="EF76" s="39"/>
      <c r="EG76" s="39"/>
      <c r="EH76" s="39"/>
      <c r="EI76" s="39"/>
      <c r="EJ76" s="39"/>
      <c r="EK76" s="39"/>
      <c r="EL76" s="39"/>
      <c r="EM76" s="39"/>
      <c r="EN76" s="39"/>
      <c r="EO76" s="39"/>
    </row>
    <row r="77" spans="2:145">
      <c r="B77" s="171" t="s">
        <v>408</v>
      </c>
      <c r="C77" s="34">
        <f>-C25</f>
        <v>-50000</v>
      </c>
      <c r="D77" s="34">
        <f>C45</f>
        <v>1857.964615498513</v>
      </c>
      <c r="E77" s="34">
        <f>D45</f>
        <v>2637.964615498513</v>
      </c>
      <c r="F77" s="34">
        <f>E45</f>
        <v>3449.1646154985137</v>
      </c>
      <c r="G77" s="34">
        <f>F45</f>
        <v>4292.8126154985148</v>
      </c>
      <c r="H77" s="309">
        <f>G45+E62</f>
        <v>97737.911594566685</v>
      </c>
      <c r="I77" s="39"/>
      <c r="J77" s="387">
        <f>-$E$73</f>
        <v>-70978.231374857642</v>
      </c>
      <c r="K77" s="34">
        <f>J45</f>
        <v>6082.6962122985169</v>
      </c>
      <c r="L77" s="34">
        <f>K45</f>
        <v>6794.4381602025169</v>
      </c>
      <c r="M77" s="34">
        <f>L45</f>
        <v>7527.5323665436372</v>
      </c>
      <c r="N77" s="34">
        <f>M45</f>
        <v>8282.6193990749925</v>
      </c>
      <c r="O77" s="309">
        <f>N45+M62</f>
        <v>152141.84842170589</v>
      </c>
      <c r="P77" s="171" t="s">
        <v>555</v>
      </c>
      <c r="Q77" s="39"/>
      <c r="R77" s="74" t="s">
        <v>265</v>
      </c>
      <c r="S77" s="34">
        <f>P55</f>
        <v>768.83457145587317</v>
      </c>
      <c r="T77" s="34">
        <f>Q55</f>
        <v>1761.2263784146098</v>
      </c>
      <c r="U77" s="34">
        <f>R55</f>
        <v>2770.324998615582</v>
      </c>
      <c r="V77" s="34">
        <f>S55</f>
        <v>3794.1384605751464</v>
      </c>
      <c r="W77" s="309">
        <f>T55+S73</f>
        <v>176429.7188860694</v>
      </c>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39"/>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s="39"/>
    </row>
    <row r="78" spans="2:145">
      <c r="B78" s="171" t="s">
        <v>409</v>
      </c>
      <c r="C78" s="34">
        <f>-C25</f>
        <v>-50000</v>
      </c>
      <c r="D78" s="34">
        <f>C55</f>
        <v>3359.2347003219011</v>
      </c>
      <c r="E78" s="34">
        <f>D55</f>
        <v>3881.907513373345</v>
      </c>
      <c r="F78" s="34">
        <f>E55</f>
        <v>4422.5397176548258</v>
      </c>
      <c r="G78" s="34">
        <f>F55</f>
        <v>4981.5086050819091</v>
      </c>
      <c r="H78" s="309">
        <f>G55+E73</f>
        <v>76537.398464291749</v>
      </c>
      <c r="I78" s="39"/>
      <c r="J78" s="387">
        <f>-$E$73</f>
        <v>-70978.231374857642</v>
      </c>
      <c r="K78" s="34">
        <f>$J$55</f>
        <v>6155.8381638286919</v>
      </c>
      <c r="L78" s="34">
        <f>$K$55</f>
        <v>6600.990540462034</v>
      </c>
      <c r="M78" s="34">
        <f>$L$55</f>
        <v>7053.7284542080843</v>
      </c>
      <c r="N78" s="34">
        <f>$M$55</f>
        <v>7513.6118852581585</v>
      </c>
      <c r="O78" s="309">
        <f>$N$55+$M$73</f>
        <v>107202.291571646</v>
      </c>
      <c r="P78" s="171" t="s">
        <v>556</v>
      </c>
      <c r="Q78" s="39"/>
      <c r="R78" s="37" t="s">
        <v>265</v>
      </c>
      <c r="S78" s="34">
        <f>$J$55</f>
        <v>6155.8381638286919</v>
      </c>
      <c r="T78" s="34">
        <f>$K$55</f>
        <v>6600.990540462034</v>
      </c>
      <c r="U78" s="34">
        <f>$L$55</f>
        <v>7053.7284542080843</v>
      </c>
      <c r="V78" s="34">
        <f>$M$55</f>
        <v>7513.6118852581585</v>
      </c>
      <c r="W78" s="309">
        <f>$N$55+$M$73</f>
        <v>107202.291571646</v>
      </c>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39"/>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s="39"/>
    </row>
    <row r="79" spans="2:145" ht="13" thickBot="1">
      <c r="B79" s="171"/>
      <c r="C79" s="39"/>
      <c r="D79" s="39"/>
      <c r="E79" s="39"/>
      <c r="F79" s="39"/>
      <c r="G79" s="39"/>
      <c r="H79" s="146"/>
      <c r="I79" s="39"/>
      <c r="J79" s="171"/>
      <c r="K79" s="39"/>
      <c r="L79" s="39"/>
      <c r="M79" s="39"/>
      <c r="N79" s="39"/>
      <c r="O79" s="146"/>
      <c r="P79" s="171" t="s">
        <v>557</v>
      </c>
      <c r="Q79" s="39"/>
      <c r="R79" s="34">
        <f>-R25</f>
        <v>-4932</v>
      </c>
      <c r="S79" s="34">
        <f>S77-S78</f>
        <v>-5387.0035923728192</v>
      </c>
      <c r="T79" s="34">
        <f>T77-T78</f>
        <v>-4839.7641620474242</v>
      </c>
      <c r="U79" s="34">
        <f>U77-U78</f>
        <v>-4283.4034555925027</v>
      </c>
      <c r="V79" s="34">
        <f>V77-V78</f>
        <v>-3719.4734246830121</v>
      </c>
      <c r="W79" s="309">
        <f>W77-W78</f>
        <v>69227.427314423403</v>
      </c>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39"/>
      <c r="DK79" s="39"/>
      <c r="DL79" s="39"/>
      <c r="DM79" s="39"/>
      <c r="DN79" s="39"/>
      <c r="DO79" s="39"/>
      <c r="DP79" s="39"/>
      <c r="DQ79" s="39"/>
      <c r="DR79" s="39"/>
      <c r="DS79" s="39"/>
      <c r="DT79" s="39"/>
      <c r="DU79" s="39"/>
      <c r="DV79" s="39"/>
      <c r="DW79" s="39"/>
      <c r="DX79" s="39"/>
      <c r="DY79" s="39"/>
      <c r="DZ79" s="39"/>
      <c r="EA79" s="39"/>
      <c r="EB79" s="39"/>
      <c r="EC79" s="39"/>
      <c r="ED79" s="39"/>
      <c r="EE79" s="39"/>
      <c r="EF79" s="39"/>
      <c r="EG79" s="39"/>
      <c r="EH79" s="39"/>
      <c r="EI79" s="39"/>
      <c r="EJ79" s="39"/>
      <c r="EK79" s="39"/>
      <c r="EL79" s="39"/>
      <c r="EM79" s="39"/>
      <c r="EN79" s="39"/>
      <c r="EO79" s="39"/>
    </row>
    <row r="80" spans="2:145" ht="13.5" thickBot="1">
      <c r="B80" s="168" t="s">
        <v>558</v>
      </c>
      <c r="C80" s="1"/>
      <c r="D80" s="155">
        <f>IRR(C77:H77,0.1)</f>
        <v>0.18255971237780888</v>
      </c>
      <c r="E80" s="39"/>
      <c r="F80" s="39"/>
      <c r="G80" s="39"/>
      <c r="H80" s="146"/>
      <c r="I80" s="39"/>
      <c r="J80" s="168" t="s">
        <v>558</v>
      </c>
      <c r="K80" s="1"/>
      <c r="L80" s="155">
        <f>IRR(J77:O77,0.1)</f>
        <v>0.23064558334191121</v>
      </c>
      <c r="M80" s="39"/>
      <c r="N80" s="39"/>
      <c r="O80" s="146"/>
      <c r="P80" s="168"/>
      <c r="Q80" s="1"/>
      <c r="R80" s="56"/>
      <c r="S80" s="39"/>
      <c r="T80" s="39"/>
      <c r="U80" s="39"/>
      <c r="V80" s="39"/>
      <c r="W80" s="146"/>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39"/>
      <c r="DK80" s="39"/>
      <c r="DL80" s="39"/>
      <c r="DM80" s="39"/>
      <c r="DN80" s="39"/>
      <c r="DO80" s="39"/>
      <c r="DP80" s="39"/>
      <c r="DQ80" s="39"/>
      <c r="DR80" s="39"/>
      <c r="DS80" s="39"/>
      <c r="DT80" s="39"/>
      <c r="DU80" s="39"/>
      <c r="DV80" s="39"/>
      <c r="DW80" s="39"/>
      <c r="DX80" s="39"/>
      <c r="DY80" s="39"/>
      <c r="DZ80" s="39"/>
      <c r="EA80" s="39"/>
      <c r="EB80" s="39"/>
      <c r="EC80" s="39"/>
      <c r="ED80" s="39"/>
      <c r="EE80" s="39"/>
      <c r="EF80" s="39"/>
      <c r="EG80" s="39"/>
      <c r="EH80" s="39"/>
      <c r="EI80" s="39"/>
      <c r="EJ80" s="39"/>
      <c r="EK80" s="39"/>
      <c r="EL80" s="39"/>
      <c r="EM80" s="39"/>
      <c r="EN80" s="39"/>
      <c r="EO80" s="39"/>
    </row>
    <row r="81" spans="2:145" ht="13.5" thickBot="1">
      <c r="B81" s="375" t="s">
        <v>559</v>
      </c>
      <c r="C81" s="65"/>
      <c r="D81" s="155">
        <f>IRR(C78:H78,0.1)</f>
        <v>0.14825017874839297</v>
      </c>
      <c r="E81" s="63"/>
      <c r="F81" s="63"/>
      <c r="G81" s="63"/>
      <c r="H81" s="149"/>
      <c r="I81" s="39"/>
      <c r="J81" s="375" t="s">
        <v>559</v>
      </c>
      <c r="K81" s="65"/>
      <c r="L81" s="155">
        <f>IRR(J78:O78,0.1)</f>
        <v>0.15596075151609168</v>
      </c>
      <c r="M81" s="63"/>
      <c r="N81" s="63"/>
      <c r="O81" s="149"/>
      <c r="P81" s="375" t="s">
        <v>560</v>
      </c>
      <c r="Q81" s="65"/>
      <c r="R81" s="392"/>
      <c r="S81" s="646">
        <f>IRR(R79:W79)</f>
        <v>0.37466574587470358</v>
      </c>
      <c r="T81" s="63"/>
      <c r="U81" s="63"/>
      <c r="V81" s="63"/>
      <c r="W81" s="14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39"/>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s="39"/>
    </row>
    <row r="82" spans="2:145" ht="13" thickBot="1">
      <c r="B82" s="171"/>
      <c r="C82" s="39"/>
      <c r="D82" s="39"/>
      <c r="E82" s="39"/>
      <c r="F82" s="39"/>
      <c r="G82" s="39"/>
      <c r="H82" s="39"/>
      <c r="I82" s="39"/>
      <c r="J82" s="39"/>
      <c r="K82" s="39"/>
      <c r="L82" s="39"/>
      <c r="M82" s="39"/>
      <c r="N82" s="39"/>
      <c r="O82" s="39"/>
      <c r="P82" s="39"/>
      <c r="Q82" s="39"/>
      <c r="R82" s="39"/>
      <c r="S82" s="39"/>
      <c r="T82" s="39"/>
      <c r="U82" s="39"/>
      <c r="V82" s="39"/>
      <c r="W82" s="146"/>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39"/>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s="39"/>
    </row>
    <row r="83" spans="2:145" ht="13.5" thickBot="1">
      <c r="B83" s="1547" t="s">
        <v>610</v>
      </c>
      <c r="C83" s="1538"/>
      <c r="D83" s="1538"/>
      <c r="E83" s="1538"/>
      <c r="F83" s="1539"/>
      <c r="G83" s="39"/>
      <c r="H83" s="39"/>
      <c r="I83" s="39"/>
      <c r="J83" s="39"/>
      <c r="K83" s="39"/>
      <c r="L83" s="39"/>
      <c r="M83" s="39"/>
      <c r="N83" s="39"/>
      <c r="O83" s="39"/>
      <c r="P83" s="39"/>
      <c r="Q83" s="39"/>
      <c r="R83" s="39"/>
      <c r="S83" s="39"/>
      <c r="T83" s="39"/>
      <c r="U83" s="39"/>
      <c r="V83" s="39"/>
      <c r="W83" s="146"/>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39"/>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s="39"/>
    </row>
    <row r="84" spans="2:145" ht="13">
      <c r="B84" s="171"/>
      <c r="C84" s="39"/>
      <c r="D84" s="1" t="s">
        <v>867</v>
      </c>
      <c r="E84" s="77">
        <v>0.13</v>
      </c>
      <c r="F84" s="126"/>
      <c r="G84" s="39"/>
      <c r="H84" s="39"/>
      <c r="I84" s="39"/>
      <c r="J84" s="39"/>
      <c r="K84" s="39"/>
      <c r="L84" s="39"/>
      <c r="M84" s="39"/>
      <c r="N84" s="39"/>
      <c r="O84" s="39"/>
      <c r="P84" s="39"/>
      <c r="Q84" s="39"/>
      <c r="R84" s="39"/>
      <c r="S84" s="39"/>
      <c r="T84" s="39"/>
      <c r="U84" s="39"/>
      <c r="V84" s="39"/>
      <c r="W84" s="146"/>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39"/>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s="39"/>
    </row>
    <row r="85" spans="2:145">
      <c r="B85" s="171" t="s">
        <v>612</v>
      </c>
      <c r="C85" s="39"/>
      <c r="D85" s="39"/>
      <c r="E85" s="78">
        <v>17987.559074546542</v>
      </c>
      <c r="F85" s="146"/>
      <c r="G85" s="39"/>
      <c r="H85" s="39"/>
      <c r="I85" s="39"/>
      <c r="J85" s="39"/>
      <c r="K85" s="39"/>
      <c r="L85" s="39"/>
      <c r="M85" s="39"/>
      <c r="N85" s="39"/>
      <c r="O85" s="39"/>
      <c r="P85" s="39"/>
      <c r="Q85" s="39"/>
      <c r="R85" s="39"/>
      <c r="S85" s="39"/>
      <c r="T85" s="39"/>
      <c r="U85" s="39"/>
      <c r="V85" s="39"/>
      <c r="W85" s="146"/>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39"/>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s="39"/>
    </row>
    <row r="86" spans="2:145">
      <c r="B86" s="171" t="s">
        <v>613</v>
      </c>
      <c r="C86" s="39"/>
      <c r="D86" s="39"/>
      <c r="E86" s="78">
        <v>38524.140318371959</v>
      </c>
      <c r="F86" s="146"/>
      <c r="G86" s="39"/>
      <c r="H86" s="39"/>
      <c r="I86" s="39"/>
      <c r="J86" s="69"/>
      <c r="K86" s="39"/>
      <c r="L86" s="39"/>
      <c r="M86" s="39"/>
      <c r="N86" s="39"/>
      <c r="O86" s="39"/>
      <c r="P86" s="39"/>
      <c r="Q86" s="39"/>
      <c r="R86" s="39"/>
      <c r="S86" s="39"/>
      <c r="T86" s="39"/>
      <c r="U86" s="39"/>
      <c r="V86" s="39"/>
      <c r="W86" s="146"/>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row>
    <row r="87" spans="2:145" ht="13" thickBot="1">
      <c r="B87" s="171" t="s">
        <v>614</v>
      </c>
      <c r="C87" s="39"/>
      <c r="D87" s="39"/>
      <c r="E87" s="78">
        <f>C26</f>
        <v>150000</v>
      </c>
      <c r="F87" s="146"/>
      <c r="G87" s="39"/>
      <c r="H87" s="39"/>
      <c r="I87" s="39"/>
      <c r="J87" s="39"/>
      <c r="K87" s="39"/>
      <c r="L87" s="39"/>
      <c r="M87" s="39"/>
      <c r="N87" s="39"/>
      <c r="O87" s="39"/>
      <c r="P87" s="39"/>
      <c r="Q87" s="39"/>
      <c r="R87" s="39"/>
      <c r="S87" s="39"/>
      <c r="T87" s="39"/>
      <c r="U87" s="39"/>
      <c r="V87" s="39"/>
      <c r="W87" s="146"/>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row>
    <row r="88" spans="2:145" ht="13.5" thickBot="1">
      <c r="B88" s="168" t="s">
        <v>342</v>
      </c>
      <c r="C88" s="1"/>
      <c r="D88" s="1"/>
      <c r="E88" s="645">
        <f>E90+E91+E87</f>
        <v>203674.60494597972</v>
      </c>
      <c r="F88" s="146"/>
      <c r="G88" s="39"/>
      <c r="H88" s="39"/>
      <c r="I88" s="39"/>
      <c r="J88" s="39"/>
      <c r="K88" s="39"/>
      <c r="L88" s="39"/>
      <c r="M88" s="39"/>
      <c r="N88" s="39"/>
      <c r="O88" s="39"/>
      <c r="P88" s="39"/>
      <c r="Q88" s="39"/>
      <c r="R88" s="39"/>
      <c r="S88" s="39"/>
      <c r="T88" s="39"/>
      <c r="U88" s="39"/>
      <c r="V88" s="39"/>
      <c r="W88" s="146"/>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row>
    <row r="89" spans="2:145">
      <c r="B89" s="171"/>
      <c r="C89" s="39"/>
      <c r="D89" s="39"/>
      <c r="E89" s="39"/>
      <c r="F89" s="146"/>
      <c r="G89" s="39"/>
      <c r="H89" s="69"/>
      <c r="I89" s="69"/>
      <c r="J89" s="39"/>
      <c r="K89" s="39"/>
      <c r="L89" s="39"/>
      <c r="M89" s="39"/>
      <c r="N89" s="39"/>
      <c r="O89" s="39"/>
      <c r="P89" s="39"/>
      <c r="Q89" s="39"/>
      <c r="R89" s="39"/>
      <c r="S89" s="39"/>
      <c r="T89" s="39"/>
      <c r="U89" s="39"/>
      <c r="V89" s="39"/>
      <c r="W89" s="146"/>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row>
    <row r="90" spans="2:145">
      <c r="B90" s="171" t="s">
        <v>612</v>
      </c>
      <c r="C90" s="39"/>
      <c r="D90" s="39"/>
      <c r="E90" s="78">
        <f>NPV(((E84)),C55:G55)</f>
        <v>15150.464627607918</v>
      </c>
      <c r="F90" s="146"/>
      <c r="G90" s="39"/>
      <c r="H90" s="39"/>
      <c r="I90" s="39"/>
      <c r="J90" s="39"/>
      <c r="K90" s="39"/>
      <c r="L90" s="39"/>
      <c r="M90" s="39"/>
      <c r="N90" s="39"/>
      <c r="O90" s="39"/>
      <c r="P90" s="39"/>
      <c r="Q90" s="39"/>
      <c r="R90" s="39"/>
      <c r="S90" s="39"/>
      <c r="T90" s="39"/>
      <c r="U90" s="39"/>
      <c r="V90" s="39"/>
      <c r="W90" s="146"/>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row>
    <row r="91" spans="2:145">
      <c r="B91" s="171" t="s">
        <v>613</v>
      </c>
      <c r="C91" s="39"/>
      <c r="D91" s="39"/>
      <c r="E91" s="78">
        <f>(+E73)/(((1+((E84)))^((D21-C32)+1)))</f>
        <v>38524.140318371785</v>
      </c>
      <c r="F91" s="146"/>
      <c r="G91" s="39"/>
      <c r="H91" s="39"/>
      <c r="I91" s="39"/>
      <c r="J91" s="39"/>
      <c r="K91" s="39"/>
      <c r="L91" s="39"/>
      <c r="M91" s="39"/>
      <c r="N91" s="39"/>
      <c r="O91" s="39"/>
      <c r="P91" s="39"/>
      <c r="Q91" s="39"/>
      <c r="R91" s="39"/>
      <c r="S91" s="39"/>
      <c r="T91" s="39"/>
      <c r="U91" s="39"/>
      <c r="V91" s="39"/>
      <c r="W91" s="146"/>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row>
    <row r="92" spans="2:145" ht="13" thickBot="1">
      <c r="B92" s="171" t="s">
        <v>615</v>
      </c>
      <c r="C92" s="39"/>
      <c r="D92" s="39"/>
      <c r="E92" s="78">
        <f>C25</f>
        <v>50000</v>
      </c>
      <c r="F92" s="146"/>
      <c r="G92" s="39"/>
      <c r="H92" s="39"/>
      <c r="I92" s="39"/>
      <c r="J92" s="39"/>
      <c r="K92" s="39"/>
      <c r="L92" s="39"/>
      <c r="M92" s="39"/>
      <c r="N92" s="39"/>
      <c r="O92" s="39"/>
      <c r="P92" s="39"/>
      <c r="Q92" s="39"/>
      <c r="R92" s="39"/>
      <c r="S92" s="39"/>
      <c r="T92" s="39"/>
      <c r="U92" s="39"/>
      <c r="V92" s="39"/>
      <c r="W92" s="146"/>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row>
    <row r="93" spans="2:145" ht="13.5" thickBot="1">
      <c r="B93" s="644" t="s">
        <v>413</v>
      </c>
      <c r="C93" s="435"/>
      <c r="D93" s="435"/>
      <c r="E93" s="645">
        <f>((E90+E91)-E92)</f>
        <v>3674.6049459797068</v>
      </c>
      <c r="F93" s="149"/>
      <c r="G93" s="39"/>
      <c r="H93" s="39"/>
      <c r="I93" s="39"/>
      <c r="J93" s="39"/>
      <c r="K93" s="39"/>
      <c r="L93" s="39"/>
      <c r="M93" s="39"/>
      <c r="N93" s="39"/>
      <c r="O93" s="39"/>
      <c r="P93" s="39"/>
      <c r="Q93" s="39"/>
      <c r="R93" s="39"/>
      <c r="S93" s="39"/>
      <c r="T93" s="39"/>
      <c r="U93" s="39"/>
      <c r="V93" s="39"/>
      <c r="W93" s="146"/>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row>
    <row r="94" spans="2:145" ht="13" thickBot="1">
      <c r="B94" s="228"/>
      <c r="C94" s="63"/>
      <c r="D94" s="63"/>
      <c r="E94" s="63"/>
      <c r="F94" s="63"/>
      <c r="G94" s="63"/>
      <c r="H94" s="63"/>
      <c r="I94" s="63"/>
      <c r="J94" s="63"/>
      <c r="K94" s="63"/>
      <c r="L94" s="63"/>
      <c r="M94" s="63"/>
      <c r="N94" s="63"/>
      <c r="O94" s="63"/>
      <c r="P94" s="63"/>
      <c r="Q94" s="63"/>
      <c r="R94" s="63"/>
      <c r="S94" s="63"/>
      <c r="T94" s="63"/>
      <c r="U94" s="63"/>
      <c r="V94" s="63"/>
      <c r="W94" s="14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row>
    <row r="95" spans="2:145">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row>
    <row r="96" spans="2:145">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row>
    <row r="97" spans="2:145">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row>
    <row r="98" spans="2:145">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row>
    <row r="99" spans="2:145">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row>
    <row r="100" spans="2:145">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row>
    <row r="101" spans="2:145">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row>
    <row r="102" spans="2:145">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row>
    <row r="103" spans="2:145">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row>
    <row r="104" spans="2:145">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row>
    <row r="105" spans="2:145">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row>
    <row r="106" spans="2:145">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row>
    <row r="107" spans="2:145">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row>
    <row r="108" spans="2:145">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row>
    <row r="109" spans="2:145">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39"/>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s="39"/>
    </row>
    <row r="110" spans="2:145">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39"/>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s="39"/>
    </row>
    <row r="111" spans="2:145">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39"/>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s="39"/>
    </row>
    <row r="112" spans="2:145">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s="39"/>
    </row>
    <row r="113" spans="2:145">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39"/>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row>
    <row r="114" spans="2:145">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39"/>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s="39"/>
    </row>
    <row r="115" spans="2:145">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39"/>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s="39"/>
    </row>
    <row r="116" spans="2:145">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39"/>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s="39"/>
    </row>
    <row r="117" spans="2:145">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s="39"/>
    </row>
    <row r="118" spans="2:145">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row>
    <row r="119" spans="2:145">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row>
    <row r="120" spans="2:145">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row>
    <row r="121" spans="2:145">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row>
    <row r="122" spans="2:145">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row>
    <row r="123" spans="2:145">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39"/>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s="39"/>
    </row>
    <row r="124" spans="2:145">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39"/>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s="39"/>
    </row>
    <row r="125" spans="2:145">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39"/>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s="39"/>
    </row>
    <row r="126" spans="2:145">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39"/>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s="39"/>
    </row>
    <row r="127" spans="2:145">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39"/>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s="39"/>
    </row>
    <row r="128" spans="2:145">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39"/>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s="39"/>
    </row>
    <row r="129" spans="2:145">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39"/>
      <c r="DK129" s="39"/>
      <c r="DL129" s="39"/>
      <c r="DM129" s="39"/>
      <c r="DN129" s="39"/>
      <c r="DO129" s="39"/>
      <c r="DP129" s="39"/>
      <c r="DQ129" s="39"/>
      <c r="DR129" s="39"/>
      <c r="DS129" s="39"/>
      <c r="DT129" s="39"/>
      <c r="DU129" s="39"/>
      <c r="DV129" s="39"/>
      <c r="DW129" s="39"/>
      <c r="DX129" s="39"/>
      <c r="DY129" s="39"/>
      <c r="DZ129" s="39"/>
      <c r="EA129" s="39"/>
      <c r="EB129" s="39"/>
      <c r="EC129" s="39"/>
      <c r="ED129" s="39"/>
      <c r="EE129" s="39"/>
      <c r="EF129" s="39"/>
      <c r="EG129" s="39"/>
      <c r="EH129" s="39"/>
      <c r="EI129" s="39"/>
      <c r="EJ129" s="39"/>
      <c r="EK129" s="39"/>
      <c r="EL129" s="39"/>
      <c r="EM129" s="39"/>
      <c r="EN129" s="39"/>
      <c r="EO129" s="39"/>
    </row>
    <row r="130" spans="2:145">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39"/>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s="39"/>
    </row>
    <row r="131" spans="2:145">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39"/>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s="39"/>
    </row>
    <row r="132" spans="2:145">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39"/>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s="39"/>
    </row>
    <row r="133" spans="2:145">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39"/>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s="39"/>
    </row>
    <row r="134" spans="2:145">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39"/>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s="39"/>
    </row>
    <row r="135" spans="2:145">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39"/>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s="39"/>
    </row>
    <row r="136" spans="2:145">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39"/>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s="39"/>
    </row>
    <row r="137" spans="2:145">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39"/>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s="39"/>
    </row>
    <row r="138" spans="2:145">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39"/>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s="39"/>
    </row>
    <row r="139" spans="2:145">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39"/>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s="39"/>
    </row>
    <row r="140" spans="2:145">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39"/>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s="39"/>
    </row>
    <row r="141" spans="2:145">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39"/>
      <c r="DK141" s="39"/>
      <c r="DL141" s="39"/>
      <c r="DM141" s="39"/>
      <c r="DN141" s="39"/>
      <c r="DO141" s="39"/>
      <c r="DP141" s="39"/>
      <c r="DQ141" s="39"/>
      <c r="DR141" s="39"/>
      <c r="DS141" s="39"/>
      <c r="DT141" s="39"/>
      <c r="DU141" s="39"/>
      <c r="DV141" s="39"/>
      <c r="DW141" s="39"/>
      <c r="DX141" s="39"/>
      <c r="DY141" s="39"/>
      <c r="DZ141" s="39"/>
      <c r="EA141" s="39"/>
      <c r="EB141" s="39"/>
      <c r="EC141" s="39"/>
      <c r="ED141" s="39"/>
      <c r="EE141" s="39"/>
      <c r="EF141" s="39"/>
      <c r="EG141" s="39"/>
      <c r="EH141" s="39"/>
      <c r="EI141" s="39"/>
      <c r="EJ141" s="39"/>
      <c r="EK141" s="39"/>
      <c r="EL141" s="39"/>
      <c r="EM141" s="39"/>
      <c r="EN141" s="39"/>
      <c r="EO141" s="39"/>
    </row>
    <row r="142" spans="2:145">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39"/>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s="39"/>
    </row>
    <row r="143" spans="2:145">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39"/>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s="39"/>
    </row>
    <row r="144" spans="2:145">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39"/>
      <c r="DK144" s="39"/>
      <c r="DL144" s="39"/>
      <c r="DM144" s="39"/>
      <c r="DN144" s="39"/>
      <c r="DO144" s="39"/>
      <c r="DP144" s="39"/>
      <c r="DQ144" s="39"/>
      <c r="DR144" s="39"/>
      <c r="DS144" s="39"/>
      <c r="DT144" s="39"/>
      <c r="DU144" s="39"/>
      <c r="DV144" s="39"/>
      <c r="DW144" s="39"/>
      <c r="DX144" s="39"/>
      <c r="DY144" s="39"/>
      <c r="DZ144" s="39"/>
      <c r="EA144" s="39"/>
      <c r="EB144" s="39"/>
      <c r="EC144" s="39"/>
      <c r="ED144" s="39"/>
      <c r="EE144" s="39"/>
      <c r="EF144" s="39"/>
      <c r="EG144" s="39"/>
      <c r="EH144" s="39"/>
      <c r="EI144" s="39"/>
      <c r="EJ144" s="39"/>
      <c r="EK144" s="39"/>
      <c r="EL144" s="39"/>
      <c r="EM144" s="39"/>
      <c r="EN144" s="39"/>
      <c r="EO144" s="39"/>
    </row>
    <row r="145" spans="2:145">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39"/>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s="39"/>
    </row>
    <row r="146" spans="2:145">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39"/>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s="39"/>
    </row>
    <row r="147" spans="2:145">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39"/>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s="39"/>
    </row>
    <row r="148" spans="2:145">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39"/>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s="39"/>
    </row>
    <row r="149" spans="2:145">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39"/>
      <c r="DK149" s="39"/>
      <c r="DL149" s="39"/>
      <c r="DM149" s="39"/>
      <c r="DN149" s="39"/>
      <c r="DO149" s="39"/>
      <c r="DP149" s="39"/>
      <c r="DQ149" s="39"/>
      <c r="DR149" s="39"/>
      <c r="DS149" s="39"/>
      <c r="DT149" s="39"/>
      <c r="DU149" s="39"/>
      <c r="DV149" s="39"/>
      <c r="DW149" s="39"/>
      <c r="DX149" s="39"/>
      <c r="DY149" s="39"/>
      <c r="DZ149" s="39"/>
      <c r="EA149" s="39"/>
      <c r="EB149" s="39"/>
      <c r="EC149" s="39"/>
      <c r="ED149" s="39"/>
      <c r="EE149" s="39"/>
      <c r="EF149" s="39"/>
      <c r="EG149" s="39"/>
      <c r="EH149" s="39"/>
      <c r="EI149" s="39"/>
      <c r="EJ149" s="39"/>
      <c r="EK149" s="39"/>
      <c r="EL149" s="39"/>
      <c r="EM149" s="39"/>
      <c r="EN149" s="39"/>
      <c r="EO149" s="39"/>
    </row>
    <row r="150" spans="2:145">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39"/>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s="39"/>
    </row>
    <row r="151" spans="2:145">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39"/>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s="39"/>
    </row>
    <row r="152" spans="2:145">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c r="BP152" s="39"/>
      <c r="BQ152" s="39"/>
      <c r="BR152" s="39"/>
      <c r="BS152" s="39"/>
      <c r="BT152" s="39"/>
      <c r="BU152" s="39"/>
      <c r="BV152" s="39"/>
      <c r="BW152" s="39"/>
      <c r="BX152" s="39"/>
      <c r="BY152" s="39"/>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39"/>
      <c r="DK152" s="39"/>
      <c r="DL152" s="39"/>
      <c r="DM152" s="39"/>
      <c r="DN152" s="39"/>
      <c r="DO152" s="39"/>
      <c r="DP152" s="39"/>
      <c r="DQ152" s="39"/>
      <c r="DR152" s="39"/>
      <c r="DS152" s="39"/>
      <c r="DT152" s="39"/>
      <c r="DU152" s="39"/>
      <c r="DV152" s="39"/>
      <c r="DW152" s="39"/>
      <c r="DX152" s="39"/>
      <c r="DY152" s="39"/>
      <c r="DZ152" s="39"/>
      <c r="EA152" s="39"/>
      <c r="EB152" s="39"/>
      <c r="EC152" s="39"/>
      <c r="ED152" s="39"/>
      <c r="EE152" s="39"/>
      <c r="EF152" s="39"/>
      <c r="EG152" s="39"/>
      <c r="EH152" s="39"/>
      <c r="EI152" s="39"/>
      <c r="EJ152" s="39"/>
      <c r="EK152" s="39"/>
      <c r="EL152" s="39"/>
      <c r="EM152" s="39"/>
      <c r="EN152" s="39"/>
      <c r="EO152" s="39"/>
    </row>
    <row r="153" spans="2:145">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39"/>
      <c r="BQ153" s="39"/>
      <c r="BR153" s="39"/>
      <c r="BS153" s="39"/>
      <c r="BT153" s="39"/>
      <c r="BU153" s="39"/>
      <c r="BV153" s="39"/>
      <c r="BW153" s="39"/>
      <c r="BX153" s="39"/>
      <c r="BY153" s="39"/>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39"/>
      <c r="DK153" s="39"/>
      <c r="DL153" s="39"/>
      <c r="DM153" s="39"/>
      <c r="DN153" s="39"/>
      <c r="DO153" s="39"/>
      <c r="DP153" s="39"/>
      <c r="DQ153" s="39"/>
      <c r="DR153" s="39"/>
      <c r="DS153" s="39"/>
      <c r="DT153" s="39"/>
      <c r="DU153" s="39"/>
      <c r="DV153" s="39"/>
      <c r="DW153" s="39"/>
      <c r="DX153" s="39"/>
      <c r="DY153" s="39"/>
      <c r="DZ153" s="39"/>
      <c r="EA153" s="39"/>
      <c r="EB153" s="39"/>
      <c r="EC153" s="39"/>
      <c r="ED153" s="39"/>
      <c r="EE153" s="39"/>
      <c r="EF153" s="39"/>
      <c r="EG153" s="39"/>
      <c r="EH153" s="39"/>
      <c r="EI153" s="39"/>
      <c r="EJ153" s="39"/>
      <c r="EK153" s="39"/>
      <c r="EL153" s="39"/>
      <c r="EM153" s="39"/>
      <c r="EN153" s="39"/>
      <c r="EO153" s="39"/>
    </row>
    <row r="154" spans="2:145">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39"/>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O154" s="39"/>
    </row>
    <row r="155" spans="2:145">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39"/>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39"/>
      <c r="DK155" s="39"/>
      <c r="DL155" s="39"/>
      <c r="DM155" s="39"/>
      <c r="DN155" s="39"/>
      <c r="DO155" s="39"/>
      <c r="DP155" s="39"/>
      <c r="DQ155" s="39"/>
      <c r="DR155" s="39"/>
      <c r="DS155" s="39"/>
      <c r="DT155" s="39"/>
      <c r="DU155" s="39"/>
      <c r="DV155" s="39"/>
      <c r="DW155" s="39"/>
      <c r="DX155" s="39"/>
      <c r="DY155" s="39"/>
      <c r="DZ155" s="39"/>
      <c r="EA155" s="39"/>
      <c r="EB155" s="39"/>
      <c r="EC155" s="39"/>
      <c r="ED155" s="39"/>
      <c r="EE155" s="39"/>
      <c r="EF155" s="39"/>
      <c r="EG155" s="39"/>
      <c r="EH155" s="39"/>
      <c r="EI155" s="39"/>
      <c r="EJ155" s="39"/>
      <c r="EK155" s="39"/>
      <c r="EL155" s="39"/>
      <c r="EM155" s="39"/>
      <c r="EN155" s="39"/>
      <c r="EO155" s="39"/>
    </row>
    <row r="156" spans="2:145">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39"/>
      <c r="DK156" s="39"/>
      <c r="DL156" s="39"/>
      <c r="DM156" s="39"/>
      <c r="DN156" s="39"/>
      <c r="DO156" s="39"/>
      <c r="DP156" s="39"/>
      <c r="DQ156" s="39"/>
      <c r="DR156" s="39"/>
      <c r="DS156" s="39"/>
      <c r="DT156" s="39"/>
      <c r="DU156" s="39"/>
      <c r="DV156" s="39"/>
      <c r="DW156" s="39"/>
      <c r="DX156" s="39"/>
      <c r="DY156" s="39"/>
      <c r="DZ156" s="39"/>
      <c r="EA156" s="39"/>
      <c r="EB156" s="39"/>
      <c r="EC156" s="39"/>
      <c r="ED156" s="39"/>
      <c r="EE156" s="39"/>
      <c r="EF156" s="39"/>
      <c r="EG156" s="39"/>
      <c r="EH156" s="39"/>
      <c r="EI156" s="39"/>
      <c r="EJ156" s="39"/>
      <c r="EK156" s="39"/>
      <c r="EL156" s="39"/>
      <c r="EM156" s="39"/>
      <c r="EN156" s="39"/>
      <c r="EO156" s="39"/>
    </row>
    <row r="157" spans="2:145">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39"/>
      <c r="BQ157" s="39"/>
      <c r="BR157" s="39"/>
      <c r="BS157" s="39"/>
      <c r="BT157" s="39"/>
      <c r="BU157" s="39"/>
      <c r="BV157" s="39"/>
      <c r="BW157" s="39"/>
      <c r="BX157" s="39"/>
      <c r="BY157" s="39"/>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39"/>
      <c r="DK157" s="39"/>
      <c r="DL157" s="39"/>
      <c r="DM157" s="39"/>
      <c r="DN157" s="39"/>
      <c r="DO157" s="39"/>
      <c r="DP157" s="39"/>
      <c r="DQ157" s="39"/>
      <c r="DR157" s="39"/>
      <c r="DS157" s="39"/>
      <c r="DT157" s="39"/>
      <c r="DU157" s="39"/>
      <c r="DV157" s="39"/>
      <c r="DW157" s="39"/>
      <c r="DX157" s="39"/>
      <c r="DY157" s="39"/>
      <c r="DZ157" s="39"/>
      <c r="EA157" s="39"/>
      <c r="EB157" s="39"/>
      <c r="EC157" s="39"/>
      <c r="ED157" s="39"/>
      <c r="EE157" s="39"/>
      <c r="EF157" s="39"/>
      <c r="EG157" s="39"/>
      <c r="EH157" s="39"/>
      <c r="EI157" s="39"/>
      <c r="EJ157" s="39"/>
      <c r="EK157" s="39"/>
      <c r="EL157" s="39"/>
      <c r="EM157" s="39"/>
      <c r="EN157" s="39"/>
      <c r="EO157" s="39"/>
    </row>
    <row r="158" spans="2:145">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39"/>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O158" s="39"/>
    </row>
    <row r="159" spans="2:145">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39"/>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O159" s="39"/>
    </row>
    <row r="160" spans="2:145">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39"/>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O160" s="39"/>
    </row>
    <row r="161" spans="2:145">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39"/>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O161" s="39"/>
    </row>
    <row r="162" spans="2:145">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39"/>
      <c r="DK162" s="39"/>
      <c r="DL162" s="39"/>
      <c r="DM162" s="39"/>
      <c r="DN162" s="39"/>
      <c r="DO162" s="39"/>
      <c r="DP162" s="39"/>
      <c r="DQ162" s="39"/>
      <c r="DR162" s="39"/>
      <c r="DS162" s="39"/>
      <c r="DT162" s="39"/>
      <c r="DU162" s="39"/>
      <c r="DV162" s="39"/>
      <c r="DW162" s="39"/>
      <c r="DX162" s="39"/>
      <c r="DY162" s="39"/>
      <c r="DZ162" s="39"/>
      <c r="EA162" s="39"/>
      <c r="EB162" s="39"/>
      <c r="EC162" s="39"/>
      <c r="ED162" s="39"/>
      <c r="EE162" s="39"/>
      <c r="EF162" s="39"/>
      <c r="EG162" s="39"/>
      <c r="EH162" s="39"/>
      <c r="EI162" s="39"/>
      <c r="EJ162" s="39"/>
      <c r="EK162" s="39"/>
      <c r="EL162" s="39"/>
      <c r="EM162" s="39"/>
      <c r="EN162" s="39"/>
      <c r="EO162" s="39"/>
    </row>
    <row r="163" spans="2:145">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39"/>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O163" s="39"/>
    </row>
    <row r="164" spans="2:145">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39"/>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O164" s="39"/>
    </row>
    <row r="165" spans="2:145">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39"/>
      <c r="BQ165" s="39"/>
      <c r="BR165" s="39"/>
      <c r="BS165" s="39"/>
      <c r="BT165" s="39"/>
      <c r="BU165" s="39"/>
      <c r="BV165" s="39"/>
      <c r="BW165" s="39"/>
      <c r="BX165" s="39"/>
      <c r="BY165" s="39"/>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39"/>
      <c r="DK165" s="39"/>
      <c r="DL165" s="39"/>
      <c r="DM165" s="39"/>
      <c r="DN165" s="39"/>
      <c r="DO165" s="39"/>
      <c r="DP165" s="39"/>
      <c r="DQ165" s="39"/>
      <c r="DR165" s="39"/>
      <c r="DS165" s="39"/>
      <c r="DT165" s="39"/>
      <c r="DU165" s="39"/>
      <c r="DV165" s="39"/>
      <c r="DW165" s="39"/>
      <c r="DX165" s="39"/>
      <c r="DY165" s="39"/>
      <c r="DZ165" s="39"/>
      <c r="EA165" s="39"/>
      <c r="EB165" s="39"/>
      <c r="EC165" s="39"/>
      <c r="ED165" s="39"/>
      <c r="EE165" s="39"/>
      <c r="EF165" s="39"/>
      <c r="EG165" s="39"/>
      <c r="EH165" s="39"/>
      <c r="EI165" s="39"/>
      <c r="EJ165" s="39"/>
      <c r="EK165" s="39"/>
      <c r="EL165" s="39"/>
      <c r="EM165" s="39"/>
      <c r="EN165" s="39"/>
      <c r="EO165" s="39"/>
    </row>
    <row r="166" spans="2:145">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39"/>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O166" s="39"/>
    </row>
    <row r="167" spans="2:145">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39"/>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O167" s="39"/>
    </row>
    <row r="168" spans="2:145">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39"/>
      <c r="BQ168" s="39"/>
      <c r="BR168" s="39"/>
      <c r="BS168" s="39"/>
      <c r="BT168" s="39"/>
      <c r="BU168" s="39"/>
      <c r="BV168" s="39"/>
      <c r="BW168" s="39"/>
      <c r="BX168" s="39"/>
      <c r="BY168" s="39"/>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39"/>
      <c r="DK168" s="39"/>
      <c r="DL168" s="39"/>
      <c r="DM168" s="39"/>
      <c r="DN168" s="39"/>
      <c r="DO168" s="39"/>
      <c r="DP168" s="39"/>
      <c r="DQ168" s="39"/>
      <c r="DR168" s="39"/>
      <c r="DS168" s="39"/>
      <c r="DT168" s="39"/>
      <c r="DU168" s="39"/>
      <c r="DV168" s="39"/>
      <c r="DW168" s="39"/>
      <c r="DX168" s="39"/>
      <c r="DY168" s="39"/>
      <c r="DZ168" s="39"/>
      <c r="EA168" s="39"/>
      <c r="EB168" s="39"/>
      <c r="EC168" s="39"/>
      <c r="ED168" s="39"/>
      <c r="EE168" s="39"/>
      <c r="EF168" s="39"/>
      <c r="EG168" s="39"/>
      <c r="EH168" s="39"/>
      <c r="EI168" s="39"/>
      <c r="EJ168" s="39"/>
      <c r="EK168" s="39"/>
      <c r="EL168" s="39"/>
      <c r="EM168" s="39"/>
      <c r="EN168" s="39"/>
      <c r="EO168" s="39"/>
    </row>
    <row r="169" spans="2:145">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39"/>
      <c r="BQ169" s="39"/>
      <c r="BR169" s="39"/>
      <c r="BS169" s="39"/>
      <c r="BT169" s="39"/>
      <c r="BU169" s="39"/>
      <c r="BV169" s="39"/>
      <c r="BW169" s="39"/>
      <c r="BX169" s="39"/>
      <c r="BY169" s="39"/>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39"/>
      <c r="DK169" s="39"/>
      <c r="DL169" s="39"/>
      <c r="DM169" s="39"/>
      <c r="DN169" s="39"/>
      <c r="DO169" s="39"/>
      <c r="DP169" s="39"/>
      <c r="DQ169" s="39"/>
      <c r="DR169" s="39"/>
      <c r="DS169" s="39"/>
      <c r="DT169" s="39"/>
      <c r="DU169" s="39"/>
      <c r="DV169" s="39"/>
      <c r="DW169" s="39"/>
      <c r="DX169" s="39"/>
      <c r="DY169" s="39"/>
      <c r="DZ169" s="39"/>
      <c r="EA169" s="39"/>
      <c r="EB169" s="39"/>
      <c r="EC169" s="39"/>
      <c r="ED169" s="39"/>
      <c r="EE169" s="39"/>
      <c r="EF169" s="39"/>
      <c r="EG169" s="39"/>
      <c r="EH169" s="39"/>
      <c r="EI169" s="39"/>
      <c r="EJ169" s="39"/>
      <c r="EK169" s="39"/>
      <c r="EL169" s="39"/>
      <c r="EM169" s="39"/>
      <c r="EN169" s="39"/>
      <c r="EO169" s="39"/>
    </row>
    <row r="170" spans="2:145">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39"/>
      <c r="BQ170" s="39"/>
      <c r="BR170" s="39"/>
      <c r="BS170" s="39"/>
      <c r="BT170" s="39"/>
      <c r="BU170" s="39"/>
      <c r="BV170" s="39"/>
      <c r="BW170" s="39"/>
      <c r="BX170" s="39"/>
      <c r="BY170" s="39"/>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39"/>
      <c r="DK170" s="39"/>
      <c r="DL170" s="39"/>
      <c r="DM170" s="39"/>
      <c r="DN170" s="39"/>
      <c r="DO170" s="39"/>
      <c r="DP170" s="39"/>
      <c r="DQ170" s="39"/>
      <c r="DR170" s="39"/>
      <c r="DS170" s="39"/>
      <c r="DT170" s="39"/>
      <c r="DU170" s="39"/>
      <c r="DV170" s="39"/>
      <c r="DW170" s="39"/>
      <c r="DX170" s="39"/>
      <c r="DY170" s="39"/>
      <c r="DZ170" s="39"/>
      <c r="EA170" s="39"/>
      <c r="EB170" s="39"/>
      <c r="EC170" s="39"/>
      <c r="ED170" s="39"/>
      <c r="EE170" s="39"/>
      <c r="EF170" s="39"/>
      <c r="EG170" s="39"/>
      <c r="EH170" s="39"/>
      <c r="EI170" s="39"/>
      <c r="EJ170" s="39"/>
      <c r="EK170" s="39"/>
      <c r="EL170" s="39"/>
      <c r="EM170" s="39"/>
      <c r="EN170" s="39"/>
      <c r="EO170" s="39"/>
    </row>
    <row r="171" spans="2:145">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39"/>
      <c r="DK171" s="39"/>
      <c r="DL171" s="39"/>
      <c r="DM171" s="39"/>
      <c r="DN171" s="39"/>
      <c r="DO171" s="39"/>
      <c r="DP171" s="39"/>
      <c r="DQ171" s="39"/>
      <c r="DR171" s="39"/>
      <c r="DS171" s="39"/>
      <c r="DT171" s="39"/>
      <c r="DU171" s="39"/>
      <c r="DV171" s="39"/>
      <c r="DW171" s="39"/>
      <c r="DX171" s="39"/>
      <c r="DY171" s="39"/>
      <c r="DZ171" s="39"/>
      <c r="EA171" s="39"/>
      <c r="EB171" s="39"/>
      <c r="EC171" s="39"/>
      <c r="ED171" s="39"/>
      <c r="EE171" s="39"/>
      <c r="EF171" s="39"/>
      <c r="EG171" s="39"/>
      <c r="EH171" s="39"/>
      <c r="EI171" s="39"/>
      <c r="EJ171" s="39"/>
      <c r="EK171" s="39"/>
      <c r="EL171" s="39"/>
      <c r="EM171" s="39"/>
      <c r="EN171" s="39"/>
      <c r="EO171" s="39"/>
    </row>
    <row r="172" spans="2:145">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39"/>
      <c r="DK172" s="39"/>
      <c r="DL172" s="39"/>
      <c r="DM172" s="39"/>
      <c r="DN172" s="39"/>
      <c r="DO172" s="39"/>
      <c r="DP172" s="39"/>
      <c r="DQ172" s="39"/>
      <c r="DR172" s="39"/>
      <c r="DS172" s="39"/>
      <c r="DT172" s="39"/>
      <c r="DU172" s="39"/>
      <c r="DV172" s="39"/>
      <c r="DW172" s="39"/>
      <c r="DX172" s="39"/>
      <c r="DY172" s="39"/>
      <c r="DZ172" s="39"/>
      <c r="EA172" s="39"/>
      <c r="EB172" s="39"/>
      <c r="EC172" s="39"/>
      <c r="ED172" s="39"/>
      <c r="EE172" s="39"/>
      <c r="EF172" s="39"/>
      <c r="EG172" s="39"/>
      <c r="EH172" s="39"/>
      <c r="EI172" s="39"/>
      <c r="EJ172" s="39"/>
      <c r="EK172" s="39"/>
      <c r="EL172" s="39"/>
      <c r="EM172" s="39"/>
      <c r="EN172" s="39"/>
      <c r="EO172" s="39"/>
    </row>
    <row r="173" spans="2:145">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39"/>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O173" s="39"/>
    </row>
    <row r="174" spans="2:145">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39"/>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O174" s="39"/>
    </row>
    <row r="175" spans="2:145">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39"/>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O175" s="39"/>
    </row>
    <row r="176" spans="2:145">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39"/>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O176" s="39"/>
    </row>
    <row r="177" spans="2:145">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39"/>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O177" s="39"/>
    </row>
    <row r="178" spans="2:145">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39"/>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O178" s="39"/>
    </row>
    <row r="179" spans="2:145">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39"/>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O179" s="39"/>
    </row>
    <row r="180" spans="2:145">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39"/>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O180" s="39"/>
    </row>
    <row r="181" spans="2:145">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39"/>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O181" s="39"/>
    </row>
    <row r="182" spans="2:145">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39"/>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O182" s="39"/>
    </row>
    <row r="183" spans="2:145">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39"/>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O183" s="39"/>
    </row>
    <row r="184" spans="2:145">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39"/>
      <c r="CZ184" s="39"/>
      <c r="DA184" s="39"/>
      <c r="DB184" s="39"/>
      <c r="DC184" s="39"/>
      <c r="DD184" s="39"/>
      <c r="DE184" s="39"/>
      <c r="DF184" s="39"/>
      <c r="DG184" s="39"/>
      <c r="DH184" s="39"/>
      <c r="DI184" s="39"/>
      <c r="DJ184" s="39"/>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O184" s="39"/>
    </row>
    <row r="185" spans="2:145">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c r="CT185" s="39"/>
      <c r="CU185" s="39"/>
      <c r="CV185" s="39"/>
      <c r="CW185" s="39"/>
      <c r="CX185" s="39"/>
      <c r="CY185" s="39"/>
      <c r="CZ185" s="39"/>
      <c r="DA185" s="39"/>
      <c r="DB185" s="39"/>
      <c r="DC185" s="39"/>
      <c r="DD185" s="39"/>
      <c r="DE185" s="39"/>
      <c r="DF185" s="39"/>
      <c r="DG185" s="39"/>
      <c r="DH185" s="39"/>
      <c r="DI185" s="39"/>
      <c r="DJ185" s="39"/>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O185" s="39"/>
    </row>
    <row r="186" spans="2:145">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39"/>
      <c r="BQ186" s="39"/>
      <c r="BR186" s="39"/>
      <c r="BS186" s="39"/>
      <c r="BT186" s="39"/>
      <c r="BU186" s="39"/>
      <c r="BV186" s="39"/>
      <c r="BW186" s="39"/>
      <c r="BX186" s="39"/>
      <c r="BY186" s="39"/>
      <c r="BZ186" s="39"/>
      <c r="CA186" s="39"/>
      <c r="CB186" s="39"/>
      <c r="CC186" s="39"/>
      <c r="CD186" s="39"/>
      <c r="CE186" s="39"/>
      <c r="CF186" s="39"/>
      <c r="CG186" s="39"/>
      <c r="CH186" s="39"/>
      <c r="CI186" s="39"/>
      <c r="CJ186" s="39"/>
      <c r="CK186" s="39"/>
      <c r="CL186" s="39"/>
      <c r="CM186" s="39"/>
      <c r="CN186" s="39"/>
      <c r="CO186" s="39"/>
      <c r="CP186" s="39"/>
      <c r="CQ186" s="39"/>
      <c r="CR186" s="39"/>
      <c r="CS186" s="39"/>
      <c r="CT186" s="39"/>
      <c r="CU186" s="39"/>
      <c r="CV186" s="39"/>
      <c r="CW186" s="39"/>
      <c r="CX186" s="39"/>
      <c r="CY186" s="39"/>
      <c r="CZ186" s="39"/>
      <c r="DA186" s="39"/>
      <c r="DB186" s="39"/>
      <c r="DC186" s="39"/>
      <c r="DD186" s="39"/>
      <c r="DE186" s="39"/>
      <c r="DF186" s="39"/>
      <c r="DG186" s="39"/>
      <c r="DH186" s="39"/>
      <c r="DI186" s="39"/>
      <c r="DJ186" s="39"/>
      <c r="DK186" s="39"/>
      <c r="DL186" s="39"/>
      <c r="DM186" s="39"/>
      <c r="DN186" s="39"/>
      <c r="DO186" s="39"/>
      <c r="DP186" s="39"/>
      <c r="DQ186" s="39"/>
      <c r="DR186" s="39"/>
      <c r="DS186" s="39"/>
      <c r="DT186" s="39"/>
      <c r="DU186" s="39"/>
      <c r="DV186" s="39"/>
      <c r="DW186" s="39"/>
      <c r="DX186" s="39"/>
      <c r="DY186" s="39"/>
      <c r="DZ186" s="39"/>
      <c r="EA186" s="39"/>
      <c r="EB186" s="39"/>
      <c r="EC186" s="39"/>
      <c r="ED186" s="39"/>
      <c r="EE186" s="39"/>
      <c r="EF186" s="39"/>
      <c r="EG186" s="39"/>
      <c r="EH186" s="39"/>
      <c r="EI186" s="39"/>
      <c r="EJ186" s="39"/>
      <c r="EK186" s="39"/>
      <c r="EL186" s="39"/>
      <c r="EM186" s="39"/>
      <c r="EN186" s="39"/>
      <c r="EO186" s="39"/>
    </row>
    <row r="187" spans="2:145">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39"/>
      <c r="BQ187" s="39"/>
      <c r="BR187" s="39"/>
      <c r="BS187" s="39"/>
      <c r="BT187" s="39"/>
      <c r="BU187" s="39"/>
      <c r="BV187" s="39"/>
      <c r="BW187" s="39"/>
      <c r="BX187" s="39"/>
      <c r="BY187" s="39"/>
      <c r="BZ187" s="39"/>
      <c r="CA187" s="39"/>
      <c r="CB187" s="39"/>
      <c r="CC187" s="39"/>
      <c r="CD187" s="39"/>
      <c r="CE187" s="39"/>
      <c r="CF187" s="39"/>
      <c r="CG187" s="39"/>
      <c r="CH187" s="39"/>
      <c r="CI187" s="39"/>
      <c r="CJ187" s="39"/>
      <c r="CK187" s="39"/>
      <c r="CL187" s="39"/>
      <c r="CM187" s="39"/>
      <c r="CN187" s="39"/>
      <c r="CO187" s="39"/>
      <c r="CP187" s="39"/>
      <c r="CQ187" s="39"/>
      <c r="CR187" s="39"/>
      <c r="CS187" s="39"/>
      <c r="CT187" s="39"/>
      <c r="CU187" s="39"/>
      <c r="CV187" s="39"/>
      <c r="CW187" s="39"/>
      <c r="CX187" s="39"/>
      <c r="CY187" s="39"/>
      <c r="CZ187" s="39"/>
      <c r="DA187" s="39"/>
      <c r="DB187" s="39"/>
      <c r="DC187" s="39"/>
      <c r="DD187" s="39"/>
      <c r="DE187" s="39"/>
      <c r="DF187" s="39"/>
      <c r="DG187" s="39"/>
      <c r="DH187" s="39"/>
      <c r="DI187" s="39"/>
      <c r="DJ187" s="39"/>
      <c r="DK187" s="39"/>
      <c r="DL187" s="39"/>
      <c r="DM187" s="39"/>
      <c r="DN187" s="39"/>
      <c r="DO187" s="39"/>
      <c r="DP187" s="39"/>
      <c r="DQ187" s="39"/>
      <c r="DR187" s="39"/>
      <c r="DS187" s="39"/>
      <c r="DT187" s="39"/>
      <c r="DU187" s="39"/>
      <c r="DV187" s="39"/>
      <c r="DW187" s="39"/>
      <c r="DX187" s="39"/>
      <c r="DY187" s="39"/>
      <c r="DZ187" s="39"/>
      <c r="EA187" s="39"/>
      <c r="EB187" s="39"/>
      <c r="EC187" s="39"/>
      <c r="ED187" s="39"/>
      <c r="EE187" s="39"/>
      <c r="EF187" s="39"/>
      <c r="EG187" s="39"/>
      <c r="EH187" s="39"/>
      <c r="EI187" s="39"/>
      <c r="EJ187" s="39"/>
      <c r="EK187" s="39"/>
      <c r="EL187" s="39"/>
      <c r="EM187" s="39"/>
      <c r="EN187" s="39"/>
      <c r="EO187" s="39"/>
    </row>
    <row r="188" spans="2:145">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9"/>
      <c r="DC188" s="39"/>
      <c r="DD188" s="39"/>
      <c r="DE188" s="39"/>
      <c r="DF188" s="39"/>
      <c r="DG188" s="39"/>
      <c r="DH188" s="39"/>
      <c r="DI188" s="39"/>
      <c r="DJ188" s="39"/>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O188" s="39"/>
    </row>
    <row r="189" spans="2:145">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39"/>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O189" s="39"/>
    </row>
    <row r="190" spans="2:145">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39"/>
      <c r="CZ190" s="39"/>
      <c r="DA190" s="39"/>
      <c r="DB190" s="39"/>
      <c r="DC190" s="39"/>
      <c r="DD190" s="39"/>
      <c r="DE190" s="39"/>
      <c r="DF190" s="39"/>
      <c r="DG190" s="39"/>
      <c r="DH190" s="39"/>
      <c r="DI190" s="39"/>
      <c r="DJ190" s="39"/>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O190" s="39"/>
    </row>
    <row r="191" spans="2:145">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c r="CT191" s="39"/>
      <c r="CU191" s="39"/>
      <c r="CV191" s="39"/>
      <c r="CW191" s="39"/>
      <c r="CX191" s="39"/>
      <c r="CY191" s="39"/>
      <c r="CZ191" s="39"/>
      <c r="DA191" s="39"/>
      <c r="DB191" s="39"/>
      <c r="DC191" s="39"/>
      <c r="DD191" s="39"/>
      <c r="DE191" s="39"/>
      <c r="DF191" s="39"/>
      <c r="DG191" s="39"/>
      <c r="DH191" s="39"/>
      <c r="DI191" s="39"/>
      <c r="DJ191" s="39"/>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O191" s="39"/>
    </row>
    <row r="192" spans="2:145">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39"/>
      <c r="BQ192" s="39"/>
      <c r="BR192" s="39"/>
      <c r="BS192" s="39"/>
      <c r="BT192" s="39"/>
      <c r="BU192" s="39"/>
      <c r="BV192" s="39"/>
      <c r="BW192" s="39"/>
      <c r="BX192" s="39"/>
      <c r="BY192" s="39"/>
      <c r="BZ192" s="39"/>
      <c r="CA192" s="39"/>
      <c r="CB192" s="39"/>
      <c r="CC192" s="39"/>
      <c r="CD192" s="39"/>
      <c r="CE192" s="39"/>
      <c r="CF192" s="39"/>
      <c r="CG192" s="39"/>
      <c r="CH192" s="39"/>
      <c r="CI192" s="39"/>
      <c r="CJ192" s="39"/>
      <c r="CK192" s="39"/>
      <c r="CL192" s="39"/>
      <c r="CM192" s="39"/>
      <c r="CN192" s="39"/>
      <c r="CO192" s="39"/>
      <c r="CP192" s="39"/>
      <c r="CQ192" s="39"/>
      <c r="CR192" s="39"/>
      <c r="CS192" s="39"/>
      <c r="CT192" s="39"/>
      <c r="CU192" s="39"/>
      <c r="CV192" s="39"/>
      <c r="CW192" s="39"/>
      <c r="CX192" s="39"/>
      <c r="CY192" s="39"/>
      <c r="CZ192" s="39"/>
      <c r="DA192" s="39"/>
      <c r="DB192" s="39"/>
      <c r="DC192" s="39"/>
      <c r="DD192" s="39"/>
      <c r="DE192" s="39"/>
      <c r="DF192" s="39"/>
      <c r="DG192" s="39"/>
      <c r="DH192" s="39"/>
      <c r="DI192" s="39"/>
      <c r="DJ192" s="39"/>
      <c r="DK192" s="39"/>
      <c r="DL192" s="39"/>
      <c r="DM192" s="39"/>
      <c r="DN192" s="39"/>
      <c r="DO192" s="39"/>
      <c r="DP192" s="39"/>
      <c r="DQ192" s="39"/>
      <c r="DR192" s="39"/>
      <c r="DS192" s="39"/>
      <c r="DT192" s="39"/>
      <c r="DU192" s="39"/>
      <c r="DV192" s="39"/>
      <c r="DW192" s="39"/>
      <c r="DX192" s="39"/>
      <c r="DY192" s="39"/>
      <c r="DZ192" s="39"/>
      <c r="EA192" s="39"/>
      <c r="EB192" s="39"/>
      <c r="EC192" s="39"/>
      <c r="ED192" s="39"/>
      <c r="EE192" s="39"/>
      <c r="EF192" s="39"/>
      <c r="EG192" s="39"/>
      <c r="EH192" s="39"/>
      <c r="EI192" s="39"/>
      <c r="EJ192" s="39"/>
      <c r="EK192" s="39"/>
      <c r="EL192" s="39"/>
      <c r="EM192" s="39"/>
      <c r="EN192" s="39"/>
      <c r="EO192" s="39"/>
    </row>
    <row r="193" spans="2:145">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39"/>
      <c r="BQ193" s="39"/>
      <c r="BR193" s="39"/>
      <c r="BS193" s="39"/>
      <c r="BT193" s="39"/>
      <c r="BU193" s="39"/>
      <c r="BV193" s="39"/>
      <c r="BW193" s="39"/>
      <c r="BX193" s="39"/>
      <c r="BY193" s="39"/>
      <c r="BZ193" s="39"/>
      <c r="CA193" s="39"/>
      <c r="CB193" s="39"/>
      <c r="CC193" s="39"/>
      <c r="CD193" s="39"/>
      <c r="CE193" s="39"/>
      <c r="CF193" s="39"/>
      <c r="CG193" s="39"/>
      <c r="CH193" s="39"/>
      <c r="CI193" s="39"/>
      <c r="CJ193" s="39"/>
      <c r="CK193" s="39"/>
      <c r="CL193" s="39"/>
      <c r="CM193" s="39"/>
      <c r="CN193" s="39"/>
      <c r="CO193" s="39"/>
      <c r="CP193" s="39"/>
      <c r="CQ193" s="39"/>
      <c r="CR193" s="39"/>
      <c r="CS193" s="39"/>
      <c r="CT193" s="39"/>
      <c r="CU193" s="39"/>
      <c r="CV193" s="39"/>
      <c r="CW193" s="39"/>
      <c r="CX193" s="39"/>
      <c r="CY193" s="39"/>
      <c r="CZ193" s="39"/>
      <c r="DA193" s="39"/>
      <c r="DB193" s="39"/>
      <c r="DC193" s="39"/>
      <c r="DD193" s="39"/>
      <c r="DE193" s="39"/>
      <c r="DF193" s="39"/>
      <c r="DG193" s="39"/>
      <c r="DH193" s="39"/>
      <c r="DI193" s="39"/>
      <c r="DJ193" s="39"/>
      <c r="DK193" s="39"/>
      <c r="DL193" s="39"/>
      <c r="DM193" s="39"/>
      <c r="DN193" s="39"/>
      <c r="DO193" s="39"/>
      <c r="DP193" s="39"/>
      <c r="DQ193" s="39"/>
      <c r="DR193" s="39"/>
      <c r="DS193" s="39"/>
      <c r="DT193" s="39"/>
      <c r="DU193" s="39"/>
      <c r="DV193" s="39"/>
      <c r="DW193" s="39"/>
      <c r="DX193" s="39"/>
      <c r="DY193" s="39"/>
      <c r="DZ193" s="39"/>
      <c r="EA193" s="39"/>
      <c r="EB193" s="39"/>
      <c r="EC193" s="39"/>
      <c r="ED193" s="39"/>
      <c r="EE193" s="39"/>
      <c r="EF193" s="39"/>
      <c r="EG193" s="39"/>
      <c r="EH193" s="39"/>
      <c r="EI193" s="39"/>
      <c r="EJ193" s="39"/>
      <c r="EK193" s="39"/>
      <c r="EL193" s="39"/>
      <c r="EM193" s="39"/>
      <c r="EN193" s="39"/>
      <c r="EO193" s="39"/>
    </row>
    <row r="194" spans="2:145">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c r="BP194" s="39"/>
      <c r="BQ194" s="39"/>
      <c r="BR194" s="39"/>
      <c r="BS194" s="39"/>
      <c r="BT194" s="39"/>
      <c r="BU194" s="39"/>
      <c r="BV194" s="39"/>
      <c r="BW194" s="39"/>
      <c r="BX194" s="39"/>
      <c r="BY194" s="39"/>
      <c r="BZ194" s="39"/>
      <c r="CA194" s="39"/>
      <c r="CB194" s="39"/>
      <c r="CC194" s="39"/>
      <c r="CD194" s="39"/>
      <c r="CE194" s="39"/>
      <c r="CF194" s="39"/>
      <c r="CG194" s="39"/>
      <c r="CH194" s="39"/>
      <c r="CI194" s="39"/>
      <c r="CJ194" s="39"/>
      <c r="CK194" s="39"/>
      <c r="CL194" s="39"/>
      <c r="CM194" s="39"/>
      <c r="CN194" s="39"/>
      <c r="CO194" s="39"/>
      <c r="CP194" s="39"/>
      <c r="CQ194" s="39"/>
      <c r="CR194" s="39"/>
      <c r="CS194" s="39"/>
      <c r="CT194" s="39"/>
      <c r="CU194" s="39"/>
      <c r="CV194" s="39"/>
      <c r="CW194" s="39"/>
      <c r="CX194" s="39"/>
      <c r="CY194" s="39"/>
      <c r="CZ194" s="39"/>
      <c r="DA194" s="39"/>
      <c r="DB194" s="39"/>
      <c r="DC194" s="39"/>
      <c r="DD194" s="39"/>
      <c r="DE194" s="39"/>
      <c r="DF194" s="39"/>
      <c r="DG194" s="39"/>
      <c r="DH194" s="39"/>
      <c r="DI194" s="39"/>
      <c r="DJ194" s="39"/>
      <c r="DK194" s="39"/>
      <c r="DL194" s="39"/>
      <c r="DM194" s="39"/>
      <c r="DN194" s="39"/>
      <c r="DO194" s="39"/>
      <c r="DP194" s="39"/>
      <c r="DQ194" s="39"/>
      <c r="DR194" s="39"/>
      <c r="DS194" s="39"/>
      <c r="DT194" s="39"/>
      <c r="DU194" s="39"/>
      <c r="DV194" s="39"/>
      <c r="DW194" s="39"/>
      <c r="DX194" s="39"/>
      <c r="DY194" s="39"/>
      <c r="DZ194" s="39"/>
      <c r="EA194" s="39"/>
      <c r="EB194" s="39"/>
      <c r="EC194" s="39"/>
      <c r="ED194" s="39"/>
      <c r="EE194" s="39"/>
      <c r="EF194" s="39"/>
      <c r="EG194" s="39"/>
      <c r="EH194" s="39"/>
      <c r="EI194" s="39"/>
      <c r="EJ194" s="39"/>
      <c r="EK194" s="39"/>
      <c r="EL194" s="39"/>
      <c r="EM194" s="39"/>
      <c r="EN194" s="39"/>
      <c r="EO194" s="39"/>
    </row>
    <row r="195" spans="2:145">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c r="CT195" s="39"/>
      <c r="CU195" s="39"/>
      <c r="CV195" s="39"/>
      <c r="CW195" s="39"/>
      <c r="CX195" s="39"/>
      <c r="CY195" s="39"/>
      <c r="CZ195" s="39"/>
      <c r="DA195" s="39"/>
      <c r="DB195" s="39"/>
      <c r="DC195" s="39"/>
      <c r="DD195" s="39"/>
      <c r="DE195" s="39"/>
      <c r="DF195" s="39"/>
      <c r="DG195" s="39"/>
      <c r="DH195" s="39"/>
      <c r="DI195" s="39"/>
      <c r="DJ195" s="39"/>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O195" s="39"/>
    </row>
    <row r="196" spans="2:145">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39"/>
      <c r="BQ196" s="39"/>
      <c r="BR196" s="39"/>
      <c r="BS196" s="39"/>
      <c r="BT196" s="39"/>
      <c r="BU196" s="39"/>
      <c r="BV196" s="39"/>
      <c r="BW196" s="39"/>
      <c r="BX196" s="39"/>
      <c r="BY196" s="39"/>
      <c r="BZ196" s="39"/>
      <c r="CA196" s="39"/>
      <c r="CB196" s="39"/>
      <c r="CC196" s="39"/>
      <c r="CD196" s="39"/>
      <c r="CE196" s="39"/>
      <c r="CF196" s="39"/>
      <c r="CG196" s="39"/>
      <c r="CH196" s="39"/>
      <c r="CI196" s="39"/>
      <c r="CJ196" s="39"/>
      <c r="CK196" s="39"/>
      <c r="CL196" s="39"/>
      <c r="CM196" s="39"/>
      <c r="CN196" s="39"/>
      <c r="CO196" s="39"/>
      <c r="CP196" s="39"/>
      <c r="CQ196" s="39"/>
      <c r="CR196" s="39"/>
      <c r="CS196" s="39"/>
      <c r="CT196" s="39"/>
      <c r="CU196" s="39"/>
      <c r="CV196" s="39"/>
      <c r="CW196" s="39"/>
      <c r="CX196" s="39"/>
      <c r="CY196" s="39"/>
      <c r="CZ196" s="39"/>
      <c r="DA196" s="39"/>
      <c r="DB196" s="39"/>
      <c r="DC196" s="39"/>
      <c r="DD196" s="39"/>
      <c r="DE196" s="39"/>
      <c r="DF196" s="39"/>
      <c r="DG196" s="39"/>
      <c r="DH196" s="39"/>
      <c r="DI196" s="39"/>
      <c r="DJ196" s="39"/>
      <c r="DK196" s="39"/>
      <c r="DL196" s="39"/>
      <c r="DM196" s="39"/>
      <c r="DN196" s="39"/>
      <c r="DO196" s="39"/>
      <c r="DP196" s="39"/>
      <c r="DQ196" s="39"/>
      <c r="DR196" s="39"/>
      <c r="DS196" s="39"/>
      <c r="DT196" s="39"/>
      <c r="DU196" s="39"/>
      <c r="DV196" s="39"/>
      <c r="DW196" s="39"/>
      <c r="DX196" s="39"/>
      <c r="DY196" s="39"/>
      <c r="DZ196" s="39"/>
      <c r="EA196" s="39"/>
      <c r="EB196" s="39"/>
      <c r="EC196" s="39"/>
      <c r="ED196" s="39"/>
      <c r="EE196" s="39"/>
      <c r="EF196" s="39"/>
      <c r="EG196" s="39"/>
      <c r="EH196" s="39"/>
      <c r="EI196" s="39"/>
      <c r="EJ196" s="39"/>
      <c r="EK196" s="39"/>
      <c r="EL196" s="39"/>
      <c r="EM196" s="39"/>
      <c r="EN196" s="39"/>
      <c r="EO196" s="39"/>
    </row>
    <row r="197" spans="2:145">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c r="CT197" s="39"/>
      <c r="CU197" s="39"/>
      <c r="CV197" s="39"/>
      <c r="CW197" s="39"/>
      <c r="CX197" s="39"/>
      <c r="CY197" s="39"/>
      <c r="CZ197" s="39"/>
      <c r="DA197" s="39"/>
      <c r="DB197" s="39"/>
      <c r="DC197" s="39"/>
      <c r="DD197" s="39"/>
      <c r="DE197" s="39"/>
      <c r="DF197" s="39"/>
      <c r="DG197" s="39"/>
      <c r="DH197" s="39"/>
      <c r="DI197" s="39"/>
      <c r="DJ197" s="39"/>
      <c r="DK197" s="39"/>
      <c r="DL197" s="39"/>
      <c r="DM197" s="39"/>
      <c r="DN197" s="39"/>
      <c r="DO197" s="39"/>
      <c r="DP197" s="39"/>
      <c r="DQ197" s="39"/>
      <c r="DR197" s="39"/>
      <c r="DS197" s="39"/>
      <c r="DT197" s="39"/>
      <c r="DU197" s="39"/>
      <c r="DV197" s="39"/>
      <c r="DW197" s="39"/>
      <c r="DX197" s="39"/>
      <c r="DY197" s="39"/>
      <c r="DZ197" s="39"/>
      <c r="EA197" s="39"/>
      <c r="EB197" s="39"/>
      <c r="EC197" s="39"/>
      <c r="ED197" s="39"/>
      <c r="EE197" s="39"/>
      <c r="EF197" s="39"/>
      <c r="EG197" s="39"/>
      <c r="EH197" s="39"/>
      <c r="EI197" s="39"/>
      <c r="EJ197" s="39"/>
      <c r="EK197" s="39"/>
      <c r="EL197" s="39"/>
      <c r="EM197" s="39"/>
      <c r="EN197" s="39"/>
      <c r="EO197" s="39"/>
    </row>
    <row r="198" spans="2:145">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c r="CT198" s="39"/>
      <c r="CU198" s="39"/>
      <c r="CV198" s="39"/>
      <c r="CW198" s="39"/>
      <c r="CX198" s="39"/>
      <c r="CY198" s="39"/>
      <c r="CZ198" s="39"/>
      <c r="DA198" s="39"/>
      <c r="DB198" s="39"/>
      <c r="DC198" s="39"/>
      <c r="DD198" s="39"/>
      <c r="DE198" s="39"/>
      <c r="DF198" s="39"/>
      <c r="DG198" s="39"/>
      <c r="DH198" s="39"/>
      <c r="DI198" s="39"/>
      <c r="DJ198" s="39"/>
      <c r="DK198" s="39"/>
      <c r="DL198" s="39"/>
      <c r="DM198" s="39"/>
      <c r="DN198" s="39"/>
      <c r="DO198" s="39"/>
      <c r="DP198" s="39"/>
      <c r="DQ198" s="39"/>
      <c r="DR198" s="39"/>
      <c r="DS198" s="39"/>
      <c r="DT198" s="39"/>
      <c r="DU198" s="39"/>
      <c r="DV198" s="39"/>
      <c r="DW198" s="39"/>
      <c r="DX198" s="39"/>
      <c r="DY198" s="39"/>
      <c r="DZ198" s="39"/>
      <c r="EA198" s="39"/>
      <c r="EB198" s="39"/>
      <c r="EC198" s="39"/>
      <c r="ED198" s="39"/>
      <c r="EE198" s="39"/>
      <c r="EF198" s="39"/>
      <c r="EG198" s="39"/>
      <c r="EH198" s="39"/>
      <c r="EI198" s="39"/>
      <c r="EJ198" s="39"/>
      <c r="EK198" s="39"/>
      <c r="EL198" s="39"/>
      <c r="EM198" s="39"/>
      <c r="EN198" s="39"/>
      <c r="EO198" s="39"/>
    </row>
    <row r="199" spans="2:145">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c r="CT199" s="39"/>
      <c r="CU199" s="39"/>
      <c r="CV199" s="39"/>
      <c r="CW199" s="39"/>
      <c r="CX199" s="39"/>
      <c r="CY199" s="39"/>
      <c r="CZ199" s="39"/>
      <c r="DA199" s="39"/>
      <c r="DB199" s="39"/>
      <c r="DC199" s="39"/>
      <c r="DD199" s="39"/>
      <c r="DE199" s="39"/>
      <c r="DF199" s="39"/>
      <c r="DG199" s="39"/>
      <c r="DH199" s="39"/>
      <c r="DI199" s="39"/>
      <c r="DJ199" s="39"/>
      <c r="DK199" s="39"/>
      <c r="DL199" s="39"/>
      <c r="DM199" s="39"/>
      <c r="DN199" s="39"/>
      <c r="DO199" s="39"/>
      <c r="DP199" s="39"/>
      <c r="DQ199" s="39"/>
      <c r="DR199" s="39"/>
      <c r="DS199" s="39"/>
      <c r="DT199" s="39"/>
      <c r="DU199" s="39"/>
      <c r="DV199" s="39"/>
      <c r="DW199" s="39"/>
      <c r="DX199" s="39"/>
      <c r="DY199" s="39"/>
      <c r="DZ199" s="39"/>
      <c r="EA199" s="39"/>
      <c r="EB199" s="39"/>
      <c r="EC199" s="39"/>
      <c r="ED199" s="39"/>
      <c r="EE199" s="39"/>
      <c r="EF199" s="39"/>
      <c r="EG199" s="39"/>
      <c r="EH199" s="39"/>
      <c r="EI199" s="39"/>
      <c r="EJ199" s="39"/>
      <c r="EK199" s="39"/>
      <c r="EL199" s="39"/>
      <c r="EM199" s="39"/>
      <c r="EN199" s="39"/>
      <c r="EO199" s="39"/>
    </row>
    <row r="200" spans="2:145">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39"/>
      <c r="BQ200" s="39"/>
      <c r="BR200" s="39"/>
      <c r="BS200" s="39"/>
      <c r="BT200" s="39"/>
      <c r="BU200" s="39"/>
      <c r="BV200" s="39"/>
      <c r="BW200" s="39"/>
      <c r="BX200" s="39"/>
      <c r="BY200" s="39"/>
      <c r="BZ200" s="39"/>
      <c r="CA200" s="39"/>
      <c r="CB200" s="39"/>
      <c r="CC200" s="39"/>
      <c r="CD200" s="39"/>
      <c r="CE200" s="39"/>
      <c r="CF200" s="39"/>
      <c r="CG200" s="39"/>
      <c r="CH200" s="39"/>
      <c r="CI200" s="39"/>
      <c r="CJ200" s="39"/>
      <c r="CK200" s="39"/>
      <c r="CL200" s="39"/>
      <c r="CM200" s="39"/>
      <c r="CN200" s="39"/>
      <c r="CO200" s="39"/>
      <c r="CP200" s="39"/>
      <c r="CQ200" s="39"/>
      <c r="CR200" s="39"/>
      <c r="CS200" s="39"/>
      <c r="CT200" s="39"/>
      <c r="CU200" s="39"/>
      <c r="CV200" s="39"/>
      <c r="CW200" s="39"/>
      <c r="CX200" s="39"/>
      <c r="CY200" s="39"/>
      <c r="CZ200" s="39"/>
      <c r="DA200" s="39"/>
      <c r="DB200" s="39"/>
      <c r="DC200" s="39"/>
      <c r="DD200" s="39"/>
      <c r="DE200" s="39"/>
      <c r="DF200" s="39"/>
      <c r="DG200" s="39"/>
      <c r="DH200" s="39"/>
      <c r="DI200" s="39"/>
      <c r="DJ200" s="39"/>
      <c r="DK200" s="39"/>
      <c r="DL200" s="39"/>
      <c r="DM200" s="39"/>
      <c r="DN200" s="39"/>
      <c r="DO200" s="39"/>
      <c r="DP200" s="39"/>
      <c r="DQ200" s="39"/>
      <c r="DR200" s="39"/>
      <c r="DS200" s="39"/>
      <c r="DT200" s="39"/>
      <c r="DU200" s="39"/>
      <c r="DV200" s="39"/>
      <c r="DW200" s="39"/>
      <c r="DX200" s="39"/>
      <c r="DY200" s="39"/>
      <c r="DZ200" s="39"/>
      <c r="EA200" s="39"/>
      <c r="EB200" s="39"/>
      <c r="EC200" s="39"/>
      <c r="ED200" s="39"/>
      <c r="EE200" s="39"/>
      <c r="EF200" s="39"/>
      <c r="EG200" s="39"/>
      <c r="EH200" s="39"/>
      <c r="EI200" s="39"/>
      <c r="EJ200" s="39"/>
      <c r="EK200" s="39"/>
      <c r="EL200" s="39"/>
      <c r="EM200" s="39"/>
      <c r="EN200" s="39"/>
      <c r="EO200" s="39"/>
    </row>
    <row r="201" spans="2:145">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39"/>
      <c r="BQ201" s="39"/>
      <c r="BR201" s="39"/>
      <c r="BS201" s="39"/>
      <c r="BT201" s="39"/>
      <c r="BU201" s="39"/>
      <c r="BV201" s="39"/>
      <c r="BW201" s="39"/>
      <c r="BX201" s="39"/>
      <c r="BY201" s="39"/>
      <c r="BZ201" s="39"/>
      <c r="CA201" s="39"/>
      <c r="CB201" s="39"/>
      <c r="CC201" s="39"/>
      <c r="CD201" s="39"/>
      <c r="CE201" s="39"/>
      <c r="CF201" s="39"/>
      <c r="CG201" s="39"/>
      <c r="CH201" s="39"/>
      <c r="CI201" s="39"/>
      <c r="CJ201" s="39"/>
      <c r="CK201" s="39"/>
      <c r="CL201" s="39"/>
      <c r="CM201" s="39"/>
      <c r="CN201" s="39"/>
      <c r="CO201" s="39"/>
      <c r="CP201" s="39"/>
      <c r="CQ201" s="39"/>
      <c r="CR201" s="39"/>
      <c r="CS201" s="39"/>
      <c r="CT201" s="39"/>
      <c r="CU201" s="39"/>
      <c r="CV201" s="39"/>
      <c r="CW201" s="39"/>
      <c r="CX201" s="39"/>
      <c r="CY201" s="39"/>
      <c r="CZ201" s="39"/>
      <c r="DA201" s="39"/>
      <c r="DB201" s="39"/>
      <c r="DC201" s="39"/>
      <c r="DD201" s="39"/>
      <c r="DE201" s="39"/>
      <c r="DF201" s="39"/>
      <c r="DG201" s="39"/>
      <c r="DH201" s="39"/>
      <c r="DI201" s="39"/>
      <c r="DJ201" s="39"/>
      <c r="DK201" s="39"/>
      <c r="DL201" s="39"/>
      <c r="DM201" s="39"/>
      <c r="DN201" s="39"/>
      <c r="DO201" s="39"/>
      <c r="DP201" s="39"/>
      <c r="DQ201" s="39"/>
      <c r="DR201" s="39"/>
      <c r="DS201" s="39"/>
      <c r="DT201" s="39"/>
      <c r="DU201" s="39"/>
      <c r="DV201" s="39"/>
      <c r="DW201" s="39"/>
      <c r="DX201" s="39"/>
      <c r="DY201" s="39"/>
      <c r="DZ201" s="39"/>
      <c r="EA201" s="39"/>
      <c r="EB201" s="39"/>
      <c r="EC201" s="39"/>
      <c r="ED201" s="39"/>
      <c r="EE201" s="39"/>
      <c r="EF201" s="39"/>
      <c r="EG201" s="39"/>
      <c r="EH201" s="39"/>
      <c r="EI201" s="39"/>
      <c r="EJ201" s="39"/>
      <c r="EK201" s="39"/>
      <c r="EL201" s="39"/>
      <c r="EM201" s="39"/>
      <c r="EN201" s="39"/>
      <c r="EO201" s="39"/>
    </row>
    <row r="202" spans="2:145">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c r="CT202" s="39"/>
      <c r="CU202" s="39"/>
      <c r="CV202" s="39"/>
      <c r="CW202" s="39"/>
      <c r="CX202" s="39"/>
      <c r="CY202" s="39"/>
      <c r="CZ202" s="39"/>
      <c r="DA202" s="39"/>
      <c r="DB202" s="39"/>
      <c r="DC202" s="39"/>
      <c r="DD202" s="39"/>
      <c r="DE202" s="39"/>
      <c r="DF202" s="39"/>
      <c r="DG202" s="39"/>
      <c r="DH202" s="39"/>
      <c r="DI202" s="39"/>
      <c r="DJ202" s="39"/>
      <c r="DK202" s="39"/>
      <c r="DL202" s="39"/>
      <c r="DM202" s="39"/>
      <c r="DN202" s="39"/>
      <c r="DO202" s="39"/>
      <c r="DP202" s="39"/>
      <c r="DQ202" s="39"/>
      <c r="DR202" s="39"/>
      <c r="DS202" s="39"/>
      <c r="DT202" s="39"/>
      <c r="DU202" s="39"/>
      <c r="DV202" s="39"/>
      <c r="DW202" s="39"/>
      <c r="DX202" s="39"/>
      <c r="DY202" s="39"/>
      <c r="DZ202" s="39"/>
      <c r="EA202" s="39"/>
      <c r="EB202" s="39"/>
      <c r="EC202" s="39"/>
      <c r="ED202" s="39"/>
      <c r="EE202" s="39"/>
      <c r="EF202" s="39"/>
      <c r="EG202" s="39"/>
      <c r="EH202" s="39"/>
      <c r="EI202" s="39"/>
      <c r="EJ202" s="39"/>
      <c r="EK202" s="39"/>
      <c r="EL202" s="39"/>
      <c r="EM202" s="39"/>
      <c r="EN202" s="39"/>
      <c r="EO202" s="39"/>
    </row>
    <row r="203" spans="2:145">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c r="BP203" s="39"/>
      <c r="BQ203" s="39"/>
      <c r="BR203" s="39"/>
      <c r="BS203" s="39"/>
      <c r="BT203" s="39"/>
      <c r="BU203" s="39"/>
      <c r="BV203" s="39"/>
      <c r="BW203" s="39"/>
      <c r="BX203" s="39"/>
      <c r="BY203" s="39"/>
      <c r="BZ203" s="39"/>
      <c r="CA203" s="39"/>
      <c r="CB203" s="39"/>
      <c r="CC203" s="39"/>
      <c r="CD203" s="39"/>
      <c r="CE203" s="39"/>
      <c r="CF203" s="39"/>
      <c r="CG203" s="39"/>
      <c r="CH203" s="39"/>
      <c r="CI203" s="39"/>
      <c r="CJ203" s="39"/>
      <c r="CK203" s="39"/>
      <c r="CL203" s="39"/>
      <c r="CM203" s="39"/>
      <c r="CN203" s="39"/>
      <c r="CO203" s="39"/>
      <c r="CP203" s="39"/>
      <c r="CQ203" s="39"/>
      <c r="CR203" s="39"/>
      <c r="CS203" s="39"/>
      <c r="CT203" s="39"/>
      <c r="CU203" s="39"/>
      <c r="CV203" s="39"/>
      <c r="CW203" s="39"/>
      <c r="CX203" s="39"/>
      <c r="CY203" s="39"/>
      <c r="CZ203" s="39"/>
      <c r="DA203" s="39"/>
      <c r="DB203" s="39"/>
      <c r="DC203" s="39"/>
      <c r="DD203" s="39"/>
      <c r="DE203" s="39"/>
      <c r="DF203" s="39"/>
      <c r="DG203" s="39"/>
      <c r="DH203" s="39"/>
      <c r="DI203" s="39"/>
      <c r="DJ203" s="39"/>
      <c r="DK203" s="39"/>
      <c r="DL203" s="39"/>
      <c r="DM203" s="39"/>
      <c r="DN203" s="39"/>
      <c r="DO203" s="39"/>
      <c r="DP203" s="39"/>
      <c r="DQ203" s="39"/>
      <c r="DR203" s="39"/>
      <c r="DS203" s="39"/>
      <c r="DT203" s="39"/>
      <c r="DU203" s="39"/>
      <c r="DV203" s="39"/>
      <c r="DW203" s="39"/>
      <c r="DX203" s="39"/>
      <c r="DY203" s="39"/>
      <c r="DZ203" s="39"/>
      <c r="EA203" s="39"/>
      <c r="EB203" s="39"/>
      <c r="EC203" s="39"/>
      <c r="ED203" s="39"/>
      <c r="EE203" s="39"/>
      <c r="EF203" s="39"/>
      <c r="EG203" s="39"/>
      <c r="EH203" s="39"/>
      <c r="EI203" s="39"/>
      <c r="EJ203" s="39"/>
      <c r="EK203" s="39"/>
      <c r="EL203" s="39"/>
      <c r="EM203" s="39"/>
      <c r="EN203" s="39"/>
      <c r="EO203" s="39"/>
    </row>
    <row r="204" spans="2:145">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c r="BP204" s="39"/>
      <c r="BQ204" s="39"/>
      <c r="BR204" s="39"/>
      <c r="BS204" s="39"/>
      <c r="BT204" s="39"/>
      <c r="BU204" s="39"/>
      <c r="BV204" s="39"/>
      <c r="BW204" s="39"/>
      <c r="BX204" s="39"/>
      <c r="BY204" s="39"/>
      <c r="BZ204" s="39"/>
      <c r="CA204" s="39"/>
      <c r="CB204" s="39"/>
      <c r="CC204" s="39"/>
      <c r="CD204" s="39"/>
      <c r="CE204" s="39"/>
      <c r="CF204" s="39"/>
      <c r="CG204" s="39"/>
      <c r="CH204" s="39"/>
      <c r="CI204" s="39"/>
      <c r="CJ204" s="39"/>
      <c r="CK204" s="39"/>
      <c r="CL204" s="39"/>
      <c r="CM204" s="39"/>
      <c r="CN204" s="39"/>
      <c r="CO204" s="39"/>
      <c r="CP204" s="39"/>
      <c r="CQ204" s="39"/>
      <c r="CR204" s="39"/>
      <c r="CS204" s="39"/>
      <c r="CT204" s="39"/>
      <c r="CU204" s="39"/>
      <c r="CV204" s="39"/>
      <c r="CW204" s="39"/>
      <c r="CX204" s="39"/>
      <c r="CY204" s="39"/>
      <c r="CZ204" s="39"/>
      <c r="DA204" s="39"/>
      <c r="DB204" s="39"/>
      <c r="DC204" s="39"/>
      <c r="DD204" s="39"/>
      <c r="DE204" s="39"/>
      <c r="DF204" s="39"/>
      <c r="DG204" s="39"/>
      <c r="DH204" s="39"/>
      <c r="DI204" s="39"/>
      <c r="DJ204" s="39"/>
      <c r="DK204" s="39"/>
      <c r="DL204" s="39"/>
      <c r="DM204" s="39"/>
      <c r="DN204" s="39"/>
      <c r="DO204" s="39"/>
      <c r="DP204" s="39"/>
      <c r="DQ204" s="39"/>
      <c r="DR204" s="39"/>
      <c r="DS204" s="39"/>
      <c r="DT204" s="39"/>
      <c r="DU204" s="39"/>
      <c r="DV204" s="39"/>
      <c r="DW204" s="39"/>
      <c r="DX204" s="39"/>
      <c r="DY204" s="39"/>
      <c r="DZ204" s="39"/>
      <c r="EA204" s="39"/>
      <c r="EB204" s="39"/>
      <c r="EC204" s="39"/>
      <c r="ED204" s="39"/>
      <c r="EE204" s="39"/>
      <c r="EF204" s="39"/>
      <c r="EG204" s="39"/>
      <c r="EH204" s="39"/>
      <c r="EI204" s="39"/>
      <c r="EJ204" s="39"/>
      <c r="EK204" s="39"/>
      <c r="EL204" s="39"/>
      <c r="EM204" s="39"/>
      <c r="EN204" s="39"/>
      <c r="EO204" s="39"/>
    </row>
    <row r="205" spans="2:145">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39"/>
      <c r="BQ205" s="39"/>
      <c r="BR205" s="39"/>
      <c r="BS205" s="39"/>
      <c r="BT205" s="39"/>
      <c r="BU205" s="39"/>
      <c r="BV205" s="39"/>
      <c r="BW205" s="39"/>
      <c r="BX205" s="39"/>
      <c r="BY205" s="39"/>
      <c r="BZ205" s="39"/>
      <c r="CA205" s="39"/>
      <c r="CB205" s="39"/>
      <c r="CC205" s="39"/>
      <c r="CD205" s="39"/>
      <c r="CE205" s="39"/>
      <c r="CF205" s="39"/>
      <c r="CG205" s="39"/>
      <c r="CH205" s="39"/>
      <c r="CI205" s="39"/>
      <c r="CJ205" s="39"/>
      <c r="CK205" s="39"/>
      <c r="CL205" s="39"/>
      <c r="CM205" s="39"/>
      <c r="CN205" s="39"/>
      <c r="CO205" s="39"/>
      <c r="CP205" s="39"/>
      <c r="CQ205" s="39"/>
      <c r="CR205" s="39"/>
      <c r="CS205" s="39"/>
      <c r="CT205" s="39"/>
      <c r="CU205" s="39"/>
      <c r="CV205" s="39"/>
      <c r="CW205" s="39"/>
      <c r="CX205" s="39"/>
      <c r="CY205" s="39"/>
      <c r="CZ205" s="39"/>
      <c r="DA205" s="39"/>
      <c r="DB205" s="39"/>
      <c r="DC205" s="39"/>
      <c r="DD205" s="39"/>
      <c r="DE205" s="39"/>
      <c r="DF205" s="39"/>
      <c r="DG205" s="39"/>
      <c r="DH205" s="39"/>
      <c r="DI205" s="39"/>
      <c r="DJ205" s="39"/>
      <c r="DK205" s="39"/>
      <c r="DL205" s="39"/>
      <c r="DM205" s="39"/>
      <c r="DN205" s="39"/>
      <c r="DO205" s="39"/>
      <c r="DP205" s="39"/>
      <c r="DQ205" s="39"/>
      <c r="DR205" s="39"/>
      <c r="DS205" s="39"/>
      <c r="DT205" s="39"/>
      <c r="DU205" s="39"/>
      <c r="DV205" s="39"/>
      <c r="DW205" s="39"/>
      <c r="DX205" s="39"/>
      <c r="DY205" s="39"/>
      <c r="DZ205" s="39"/>
      <c r="EA205" s="39"/>
      <c r="EB205" s="39"/>
      <c r="EC205" s="39"/>
      <c r="ED205" s="39"/>
      <c r="EE205" s="39"/>
      <c r="EF205" s="39"/>
      <c r="EG205" s="39"/>
      <c r="EH205" s="39"/>
      <c r="EI205" s="39"/>
      <c r="EJ205" s="39"/>
      <c r="EK205" s="39"/>
      <c r="EL205" s="39"/>
      <c r="EM205" s="39"/>
      <c r="EN205" s="39"/>
      <c r="EO205" s="39"/>
    </row>
    <row r="206" spans="2:145">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c r="CT206" s="39"/>
      <c r="CU206" s="39"/>
      <c r="CV206" s="39"/>
      <c r="CW206" s="39"/>
      <c r="CX206" s="39"/>
      <c r="CY206" s="39"/>
      <c r="CZ206" s="39"/>
      <c r="DA206" s="39"/>
      <c r="DB206" s="39"/>
      <c r="DC206" s="39"/>
      <c r="DD206" s="39"/>
      <c r="DE206" s="39"/>
      <c r="DF206" s="39"/>
      <c r="DG206" s="39"/>
      <c r="DH206" s="39"/>
      <c r="DI206" s="39"/>
      <c r="DJ206" s="39"/>
      <c r="DK206" s="39"/>
      <c r="DL206" s="39"/>
      <c r="DM206" s="39"/>
      <c r="DN206" s="39"/>
      <c r="DO206" s="39"/>
      <c r="DP206" s="39"/>
      <c r="DQ206" s="39"/>
      <c r="DR206" s="39"/>
      <c r="DS206" s="39"/>
      <c r="DT206" s="39"/>
      <c r="DU206" s="39"/>
      <c r="DV206" s="39"/>
      <c r="DW206" s="39"/>
      <c r="DX206" s="39"/>
      <c r="DY206" s="39"/>
      <c r="DZ206" s="39"/>
      <c r="EA206" s="39"/>
      <c r="EB206" s="39"/>
      <c r="EC206" s="39"/>
      <c r="ED206" s="39"/>
      <c r="EE206" s="39"/>
      <c r="EF206" s="39"/>
      <c r="EG206" s="39"/>
      <c r="EH206" s="39"/>
      <c r="EI206" s="39"/>
      <c r="EJ206" s="39"/>
      <c r="EK206" s="39"/>
      <c r="EL206" s="39"/>
      <c r="EM206" s="39"/>
      <c r="EN206" s="39"/>
      <c r="EO206" s="39"/>
    </row>
    <row r="207" spans="2:145">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c r="CT207" s="39"/>
      <c r="CU207" s="39"/>
      <c r="CV207" s="39"/>
      <c r="CW207" s="39"/>
      <c r="CX207" s="39"/>
      <c r="CY207" s="39"/>
      <c r="CZ207" s="39"/>
      <c r="DA207" s="39"/>
      <c r="DB207" s="39"/>
      <c r="DC207" s="39"/>
      <c r="DD207" s="39"/>
      <c r="DE207" s="39"/>
      <c r="DF207" s="39"/>
      <c r="DG207" s="39"/>
      <c r="DH207" s="39"/>
      <c r="DI207" s="39"/>
      <c r="DJ207" s="39"/>
      <c r="DK207" s="39"/>
      <c r="DL207" s="39"/>
      <c r="DM207" s="39"/>
      <c r="DN207" s="39"/>
      <c r="DO207" s="39"/>
      <c r="DP207" s="39"/>
      <c r="DQ207" s="39"/>
      <c r="DR207" s="39"/>
      <c r="DS207" s="39"/>
      <c r="DT207" s="39"/>
      <c r="DU207" s="39"/>
      <c r="DV207" s="39"/>
      <c r="DW207" s="39"/>
      <c r="DX207" s="39"/>
      <c r="DY207" s="39"/>
      <c r="DZ207" s="39"/>
      <c r="EA207" s="39"/>
      <c r="EB207" s="39"/>
      <c r="EC207" s="39"/>
      <c r="ED207" s="39"/>
      <c r="EE207" s="39"/>
      <c r="EF207" s="39"/>
      <c r="EG207" s="39"/>
      <c r="EH207" s="39"/>
      <c r="EI207" s="39"/>
      <c r="EJ207" s="39"/>
      <c r="EK207" s="39"/>
      <c r="EL207" s="39"/>
      <c r="EM207" s="39"/>
      <c r="EN207" s="39"/>
      <c r="EO207" s="39"/>
    </row>
    <row r="208" spans="2:145">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39"/>
      <c r="BQ208" s="39"/>
      <c r="BR208" s="39"/>
      <c r="BS208" s="39"/>
      <c r="BT208" s="39"/>
      <c r="BU208" s="39"/>
      <c r="BV208" s="39"/>
      <c r="BW208" s="39"/>
      <c r="BX208" s="39"/>
      <c r="BY208" s="39"/>
      <c r="BZ208" s="39"/>
      <c r="CA208" s="39"/>
      <c r="CB208" s="39"/>
      <c r="CC208" s="39"/>
      <c r="CD208" s="39"/>
      <c r="CE208" s="39"/>
      <c r="CF208" s="39"/>
      <c r="CG208" s="39"/>
      <c r="CH208" s="39"/>
      <c r="CI208" s="39"/>
      <c r="CJ208" s="39"/>
      <c r="CK208" s="39"/>
      <c r="CL208" s="39"/>
      <c r="CM208" s="39"/>
      <c r="CN208" s="39"/>
      <c r="CO208" s="39"/>
      <c r="CP208" s="39"/>
      <c r="CQ208" s="39"/>
      <c r="CR208" s="39"/>
      <c r="CS208" s="39"/>
      <c r="CT208" s="39"/>
      <c r="CU208" s="39"/>
      <c r="CV208" s="39"/>
      <c r="CW208" s="39"/>
      <c r="CX208" s="39"/>
      <c r="CY208" s="39"/>
      <c r="CZ208" s="39"/>
      <c r="DA208" s="39"/>
      <c r="DB208" s="39"/>
      <c r="DC208" s="39"/>
      <c r="DD208" s="39"/>
      <c r="DE208" s="39"/>
      <c r="DF208" s="39"/>
      <c r="DG208" s="39"/>
      <c r="DH208" s="39"/>
      <c r="DI208" s="39"/>
      <c r="DJ208" s="39"/>
      <c r="DK208" s="39"/>
      <c r="DL208" s="39"/>
      <c r="DM208" s="39"/>
      <c r="DN208" s="39"/>
      <c r="DO208" s="39"/>
      <c r="DP208" s="39"/>
      <c r="DQ208" s="39"/>
      <c r="DR208" s="39"/>
      <c r="DS208" s="39"/>
      <c r="DT208" s="39"/>
      <c r="DU208" s="39"/>
      <c r="DV208" s="39"/>
      <c r="DW208" s="39"/>
      <c r="DX208" s="39"/>
      <c r="DY208" s="39"/>
      <c r="DZ208" s="39"/>
      <c r="EA208" s="39"/>
      <c r="EB208" s="39"/>
      <c r="EC208" s="39"/>
      <c r="ED208" s="39"/>
      <c r="EE208" s="39"/>
      <c r="EF208" s="39"/>
      <c r="EG208" s="39"/>
      <c r="EH208" s="39"/>
      <c r="EI208" s="39"/>
      <c r="EJ208" s="39"/>
      <c r="EK208" s="39"/>
      <c r="EL208" s="39"/>
      <c r="EM208" s="39"/>
      <c r="EN208" s="39"/>
      <c r="EO208" s="39"/>
    </row>
    <row r="209" spans="2:145">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39"/>
      <c r="BQ209" s="39"/>
      <c r="BR209" s="39"/>
      <c r="BS209" s="39"/>
      <c r="BT209" s="39"/>
      <c r="BU209" s="39"/>
      <c r="BV209" s="39"/>
      <c r="BW209" s="39"/>
      <c r="BX209" s="39"/>
      <c r="BY209" s="39"/>
      <c r="BZ209" s="39"/>
      <c r="CA209" s="39"/>
      <c r="CB209" s="39"/>
      <c r="CC209" s="39"/>
      <c r="CD209" s="39"/>
      <c r="CE209" s="39"/>
      <c r="CF209" s="39"/>
      <c r="CG209" s="39"/>
      <c r="CH209" s="39"/>
      <c r="CI209" s="39"/>
      <c r="CJ209" s="39"/>
      <c r="CK209" s="39"/>
      <c r="CL209" s="39"/>
      <c r="CM209" s="39"/>
      <c r="CN209" s="39"/>
      <c r="CO209" s="39"/>
      <c r="CP209" s="39"/>
      <c r="CQ209" s="39"/>
      <c r="CR209" s="39"/>
      <c r="CS209" s="39"/>
      <c r="CT209" s="39"/>
      <c r="CU209" s="39"/>
      <c r="CV209" s="39"/>
      <c r="CW209" s="39"/>
      <c r="CX209" s="39"/>
      <c r="CY209" s="39"/>
      <c r="CZ209" s="39"/>
      <c r="DA209" s="39"/>
      <c r="DB209" s="39"/>
      <c r="DC209" s="39"/>
      <c r="DD209" s="39"/>
      <c r="DE209" s="39"/>
      <c r="DF209" s="39"/>
      <c r="DG209" s="39"/>
      <c r="DH209" s="39"/>
      <c r="DI209" s="39"/>
      <c r="DJ209" s="39"/>
      <c r="DK209" s="39"/>
      <c r="DL209" s="39"/>
      <c r="DM209" s="39"/>
      <c r="DN209" s="39"/>
      <c r="DO209" s="39"/>
      <c r="DP209" s="39"/>
      <c r="DQ209" s="39"/>
      <c r="DR209" s="39"/>
      <c r="DS209" s="39"/>
      <c r="DT209" s="39"/>
      <c r="DU209" s="39"/>
      <c r="DV209" s="39"/>
      <c r="DW209" s="39"/>
      <c r="DX209" s="39"/>
      <c r="DY209" s="39"/>
      <c r="DZ209" s="39"/>
      <c r="EA209" s="39"/>
      <c r="EB209" s="39"/>
      <c r="EC209" s="39"/>
      <c r="ED209" s="39"/>
      <c r="EE209" s="39"/>
      <c r="EF209" s="39"/>
      <c r="EG209" s="39"/>
      <c r="EH209" s="39"/>
      <c r="EI209" s="39"/>
      <c r="EJ209" s="39"/>
      <c r="EK209" s="39"/>
      <c r="EL209" s="39"/>
      <c r="EM209" s="39"/>
      <c r="EN209" s="39"/>
      <c r="EO209" s="39"/>
    </row>
    <row r="210" spans="2:145">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c r="BU210" s="39"/>
      <c r="BV210" s="39"/>
      <c r="BW210" s="39"/>
      <c r="BX210" s="39"/>
      <c r="BY210" s="39"/>
      <c r="BZ210" s="39"/>
      <c r="CA210" s="39"/>
      <c r="CB210" s="39"/>
      <c r="CC210" s="39"/>
      <c r="CD210" s="39"/>
      <c r="CE210" s="39"/>
      <c r="CF210" s="39"/>
      <c r="CG210" s="39"/>
      <c r="CH210" s="39"/>
      <c r="CI210" s="39"/>
      <c r="CJ210" s="39"/>
      <c r="CK210" s="39"/>
      <c r="CL210" s="39"/>
      <c r="CM210" s="39"/>
      <c r="CN210" s="39"/>
      <c r="CO210" s="39"/>
      <c r="CP210" s="39"/>
      <c r="CQ210" s="39"/>
      <c r="CR210" s="39"/>
      <c r="CS210" s="39"/>
      <c r="CT210" s="39"/>
      <c r="CU210" s="39"/>
      <c r="CV210" s="39"/>
      <c r="CW210" s="39"/>
      <c r="CX210" s="39"/>
      <c r="CY210" s="39"/>
      <c r="CZ210" s="39"/>
      <c r="DA210" s="39"/>
      <c r="DB210" s="39"/>
      <c r="DC210" s="39"/>
      <c r="DD210" s="39"/>
      <c r="DE210" s="39"/>
      <c r="DF210" s="39"/>
      <c r="DG210" s="39"/>
      <c r="DH210" s="39"/>
      <c r="DI210" s="39"/>
      <c r="DJ210" s="39"/>
      <c r="DK210" s="39"/>
      <c r="DL210" s="39"/>
      <c r="DM210" s="39"/>
      <c r="DN210" s="39"/>
      <c r="DO210" s="39"/>
      <c r="DP210" s="39"/>
      <c r="DQ210" s="39"/>
      <c r="DR210" s="39"/>
      <c r="DS210" s="39"/>
      <c r="DT210" s="39"/>
      <c r="DU210" s="39"/>
      <c r="DV210" s="39"/>
      <c r="DW210" s="39"/>
      <c r="DX210" s="39"/>
      <c r="DY210" s="39"/>
      <c r="DZ210" s="39"/>
      <c r="EA210" s="39"/>
      <c r="EB210" s="39"/>
      <c r="EC210" s="39"/>
      <c r="ED210" s="39"/>
      <c r="EE210" s="39"/>
      <c r="EF210" s="39"/>
      <c r="EG210" s="39"/>
      <c r="EH210" s="39"/>
      <c r="EI210" s="39"/>
      <c r="EJ210" s="39"/>
      <c r="EK210" s="39"/>
      <c r="EL210" s="39"/>
      <c r="EM210" s="39"/>
      <c r="EN210" s="39"/>
      <c r="EO210" s="39"/>
    </row>
    <row r="211" spans="2:145">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39"/>
      <c r="CX211" s="39"/>
      <c r="CY211" s="39"/>
      <c r="CZ211" s="39"/>
      <c r="DA211" s="39"/>
      <c r="DB211" s="39"/>
      <c r="DC211" s="39"/>
      <c r="DD211" s="39"/>
      <c r="DE211" s="39"/>
      <c r="DF211" s="39"/>
      <c r="DG211" s="39"/>
      <c r="DH211" s="39"/>
      <c r="DI211" s="39"/>
      <c r="DJ211" s="39"/>
      <c r="DK211" s="39"/>
      <c r="DL211" s="39"/>
      <c r="DM211" s="39"/>
      <c r="DN211" s="39"/>
      <c r="DO211" s="39"/>
      <c r="DP211" s="39"/>
      <c r="DQ211" s="39"/>
      <c r="DR211" s="39"/>
      <c r="DS211" s="39"/>
      <c r="DT211" s="39"/>
      <c r="DU211" s="39"/>
      <c r="DV211" s="39"/>
      <c r="DW211" s="39"/>
      <c r="DX211" s="39"/>
      <c r="DY211" s="39"/>
      <c r="DZ211" s="39"/>
      <c r="EA211" s="39"/>
      <c r="EB211" s="39"/>
      <c r="EC211" s="39"/>
      <c r="ED211" s="39"/>
      <c r="EE211" s="39"/>
      <c r="EF211" s="39"/>
      <c r="EG211" s="39"/>
      <c r="EH211" s="39"/>
      <c r="EI211" s="39"/>
      <c r="EJ211" s="39"/>
      <c r="EK211" s="39"/>
      <c r="EL211" s="39"/>
      <c r="EM211" s="39"/>
      <c r="EN211" s="39"/>
      <c r="EO211" s="39"/>
    </row>
    <row r="212" spans="2:145">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39"/>
      <c r="CX212" s="39"/>
      <c r="CY212" s="39"/>
      <c r="CZ212" s="39"/>
      <c r="DA212" s="39"/>
      <c r="DB212" s="39"/>
      <c r="DC212" s="39"/>
      <c r="DD212" s="39"/>
      <c r="DE212" s="39"/>
      <c r="DF212" s="39"/>
      <c r="DG212" s="39"/>
      <c r="DH212" s="39"/>
      <c r="DI212" s="39"/>
      <c r="DJ212" s="39"/>
      <c r="DK212" s="39"/>
      <c r="DL212" s="39"/>
      <c r="DM212" s="39"/>
      <c r="DN212" s="39"/>
      <c r="DO212" s="39"/>
      <c r="DP212" s="39"/>
      <c r="DQ212" s="39"/>
      <c r="DR212" s="39"/>
      <c r="DS212" s="39"/>
      <c r="DT212" s="39"/>
      <c r="DU212" s="39"/>
      <c r="DV212" s="39"/>
      <c r="DW212" s="39"/>
      <c r="DX212" s="39"/>
      <c r="DY212" s="39"/>
      <c r="DZ212" s="39"/>
      <c r="EA212" s="39"/>
      <c r="EB212" s="39"/>
      <c r="EC212" s="39"/>
      <c r="ED212" s="39"/>
      <c r="EE212" s="39"/>
      <c r="EF212" s="39"/>
      <c r="EG212" s="39"/>
      <c r="EH212" s="39"/>
      <c r="EI212" s="39"/>
      <c r="EJ212" s="39"/>
      <c r="EK212" s="39"/>
      <c r="EL212" s="39"/>
      <c r="EM212" s="39"/>
      <c r="EN212" s="39"/>
      <c r="EO212" s="39"/>
    </row>
    <row r="213" spans="2:145">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c r="BP213" s="39"/>
      <c r="BQ213" s="39"/>
      <c r="BR213" s="39"/>
      <c r="BS213" s="39"/>
      <c r="BT213" s="39"/>
      <c r="BU213" s="39"/>
      <c r="BV213" s="39"/>
      <c r="BW213" s="39"/>
      <c r="BX213" s="39"/>
      <c r="BY213" s="39"/>
      <c r="BZ213" s="39"/>
      <c r="CA213" s="39"/>
      <c r="CB213" s="39"/>
      <c r="CC213" s="39"/>
      <c r="CD213" s="39"/>
      <c r="CE213" s="39"/>
      <c r="CF213" s="39"/>
      <c r="CG213" s="39"/>
      <c r="CH213" s="39"/>
      <c r="CI213" s="39"/>
      <c r="CJ213" s="39"/>
      <c r="CK213" s="39"/>
      <c r="CL213" s="39"/>
      <c r="CM213" s="39"/>
      <c r="CN213" s="39"/>
      <c r="CO213" s="39"/>
      <c r="CP213" s="39"/>
      <c r="CQ213" s="39"/>
      <c r="CR213" s="39"/>
      <c r="CS213" s="39"/>
      <c r="CT213" s="39"/>
      <c r="CU213" s="39"/>
      <c r="CV213" s="39"/>
      <c r="CW213" s="39"/>
      <c r="CX213" s="39"/>
      <c r="CY213" s="39"/>
      <c r="CZ213" s="39"/>
      <c r="DA213" s="39"/>
      <c r="DB213" s="39"/>
      <c r="DC213" s="39"/>
      <c r="DD213" s="39"/>
      <c r="DE213" s="39"/>
      <c r="DF213" s="39"/>
      <c r="DG213" s="39"/>
      <c r="DH213" s="39"/>
      <c r="DI213" s="39"/>
      <c r="DJ213" s="39"/>
      <c r="DK213" s="39"/>
      <c r="DL213" s="39"/>
      <c r="DM213" s="39"/>
      <c r="DN213" s="39"/>
      <c r="DO213" s="39"/>
      <c r="DP213" s="39"/>
      <c r="DQ213" s="39"/>
      <c r="DR213" s="39"/>
      <c r="DS213" s="39"/>
      <c r="DT213" s="39"/>
      <c r="DU213" s="39"/>
      <c r="DV213" s="39"/>
      <c r="DW213" s="39"/>
      <c r="DX213" s="39"/>
      <c r="DY213" s="39"/>
      <c r="DZ213" s="39"/>
      <c r="EA213" s="39"/>
      <c r="EB213" s="39"/>
      <c r="EC213" s="39"/>
      <c r="ED213" s="39"/>
      <c r="EE213" s="39"/>
      <c r="EF213" s="39"/>
      <c r="EG213" s="39"/>
      <c r="EH213" s="39"/>
      <c r="EI213" s="39"/>
      <c r="EJ213" s="39"/>
      <c r="EK213" s="39"/>
      <c r="EL213" s="39"/>
      <c r="EM213" s="39"/>
      <c r="EN213" s="39"/>
      <c r="EO213" s="39"/>
    </row>
    <row r="214" spans="2:145">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39"/>
      <c r="CX214" s="39"/>
      <c r="CY214" s="39"/>
      <c r="CZ214" s="39"/>
      <c r="DA214" s="39"/>
      <c r="DB214" s="39"/>
      <c r="DC214" s="39"/>
      <c r="DD214" s="39"/>
      <c r="DE214" s="39"/>
      <c r="DF214" s="39"/>
      <c r="DG214" s="39"/>
      <c r="DH214" s="39"/>
      <c r="DI214" s="39"/>
      <c r="DJ214" s="39"/>
      <c r="DK214" s="39"/>
      <c r="DL214" s="39"/>
      <c r="DM214" s="39"/>
      <c r="DN214" s="39"/>
      <c r="DO214" s="39"/>
      <c r="DP214" s="39"/>
      <c r="DQ214" s="39"/>
      <c r="DR214" s="39"/>
      <c r="DS214" s="39"/>
      <c r="DT214" s="39"/>
      <c r="DU214" s="39"/>
      <c r="DV214" s="39"/>
      <c r="DW214" s="39"/>
      <c r="DX214" s="39"/>
      <c r="DY214" s="39"/>
      <c r="DZ214" s="39"/>
      <c r="EA214" s="39"/>
      <c r="EB214" s="39"/>
      <c r="EC214" s="39"/>
      <c r="ED214" s="39"/>
      <c r="EE214" s="39"/>
      <c r="EF214" s="39"/>
      <c r="EG214" s="39"/>
      <c r="EH214" s="39"/>
      <c r="EI214" s="39"/>
      <c r="EJ214" s="39"/>
      <c r="EK214" s="39"/>
      <c r="EL214" s="39"/>
      <c r="EM214" s="39"/>
      <c r="EN214" s="39"/>
      <c r="EO214" s="39"/>
    </row>
    <row r="215" spans="2:145">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c r="CT215" s="39"/>
      <c r="CU215" s="39"/>
      <c r="CV215" s="39"/>
      <c r="CW215" s="39"/>
      <c r="CX215" s="39"/>
      <c r="CY215" s="39"/>
      <c r="CZ215" s="39"/>
      <c r="DA215" s="39"/>
      <c r="DB215" s="39"/>
      <c r="DC215" s="39"/>
      <c r="DD215" s="39"/>
      <c r="DE215" s="39"/>
      <c r="DF215" s="39"/>
      <c r="DG215" s="39"/>
      <c r="DH215" s="39"/>
      <c r="DI215" s="39"/>
      <c r="DJ215" s="39"/>
      <c r="DK215" s="39"/>
      <c r="DL215" s="39"/>
      <c r="DM215" s="39"/>
      <c r="DN215" s="39"/>
      <c r="DO215" s="39"/>
      <c r="DP215" s="39"/>
      <c r="DQ215" s="39"/>
      <c r="DR215" s="39"/>
      <c r="DS215" s="39"/>
      <c r="DT215" s="39"/>
      <c r="DU215" s="39"/>
      <c r="DV215" s="39"/>
      <c r="DW215" s="39"/>
      <c r="DX215" s="39"/>
      <c r="DY215" s="39"/>
      <c r="DZ215" s="39"/>
      <c r="EA215" s="39"/>
      <c r="EB215" s="39"/>
      <c r="EC215" s="39"/>
      <c r="ED215" s="39"/>
      <c r="EE215" s="39"/>
      <c r="EF215" s="39"/>
      <c r="EG215" s="39"/>
      <c r="EH215" s="39"/>
      <c r="EI215" s="39"/>
      <c r="EJ215" s="39"/>
      <c r="EK215" s="39"/>
      <c r="EL215" s="39"/>
      <c r="EM215" s="39"/>
      <c r="EN215" s="39"/>
      <c r="EO215" s="39"/>
    </row>
    <row r="216" spans="2:145">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c r="CT216" s="39"/>
      <c r="CU216" s="39"/>
      <c r="CV216" s="39"/>
      <c r="CW216" s="39"/>
      <c r="CX216" s="39"/>
      <c r="CY216" s="39"/>
      <c r="CZ216" s="39"/>
      <c r="DA216" s="39"/>
      <c r="DB216" s="39"/>
      <c r="DC216" s="39"/>
      <c r="DD216" s="39"/>
      <c r="DE216" s="39"/>
      <c r="DF216" s="39"/>
      <c r="DG216" s="39"/>
      <c r="DH216" s="39"/>
      <c r="DI216" s="39"/>
      <c r="DJ216" s="39"/>
      <c r="DK216" s="39"/>
      <c r="DL216" s="39"/>
      <c r="DM216" s="39"/>
      <c r="DN216" s="39"/>
      <c r="DO216" s="39"/>
      <c r="DP216" s="39"/>
      <c r="DQ216" s="39"/>
      <c r="DR216" s="39"/>
      <c r="DS216" s="39"/>
      <c r="DT216" s="39"/>
      <c r="DU216" s="39"/>
      <c r="DV216" s="39"/>
      <c r="DW216" s="39"/>
      <c r="DX216" s="39"/>
      <c r="DY216" s="39"/>
      <c r="DZ216" s="39"/>
      <c r="EA216" s="39"/>
      <c r="EB216" s="39"/>
      <c r="EC216" s="39"/>
      <c r="ED216" s="39"/>
      <c r="EE216" s="39"/>
      <c r="EF216" s="39"/>
      <c r="EG216" s="39"/>
      <c r="EH216" s="39"/>
      <c r="EI216" s="39"/>
      <c r="EJ216" s="39"/>
      <c r="EK216" s="39"/>
      <c r="EL216" s="39"/>
      <c r="EM216" s="39"/>
      <c r="EN216" s="39"/>
      <c r="EO216" s="39"/>
    </row>
    <row r="217" spans="2:145">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c r="BP217" s="39"/>
      <c r="BQ217" s="39"/>
      <c r="BR217" s="39"/>
      <c r="BS217" s="39"/>
      <c r="BT217" s="39"/>
      <c r="BU217" s="39"/>
      <c r="BV217" s="39"/>
      <c r="BW217" s="39"/>
      <c r="BX217" s="39"/>
      <c r="BY217" s="39"/>
      <c r="BZ217" s="39"/>
      <c r="CA217" s="39"/>
      <c r="CB217" s="39"/>
      <c r="CC217" s="39"/>
      <c r="CD217" s="39"/>
      <c r="CE217" s="39"/>
      <c r="CF217" s="39"/>
      <c r="CG217" s="39"/>
      <c r="CH217" s="39"/>
      <c r="CI217" s="39"/>
      <c r="CJ217" s="39"/>
      <c r="CK217" s="39"/>
      <c r="CL217" s="39"/>
      <c r="CM217" s="39"/>
      <c r="CN217" s="39"/>
      <c r="CO217" s="39"/>
      <c r="CP217" s="39"/>
      <c r="CQ217" s="39"/>
      <c r="CR217" s="39"/>
      <c r="CS217" s="39"/>
      <c r="CT217" s="39"/>
      <c r="CU217" s="39"/>
      <c r="CV217" s="39"/>
      <c r="CW217" s="39"/>
      <c r="CX217" s="39"/>
      <c r="CY217" s="39"/>
      <c r="CZ217" s="39"/>
      <c r="DA217" s="39"/>
      <c r="DB217" s="39"/>
      <c r="DC217" s="39"/>
      <c r="DD217" s="39"/>
      <c r="DE217" s="39"/>
      <c r="DF217" s="39"/>
      <c r="DG217" s="39"/>
      <c r="DH217" s="39"/>
      <c r="DI217" s="39"/>
      <c r="DJ217" s="39"/>
      <c r="DK217" s="39"/>
      <c r="DL217" s="39"/>
      <c r="DM217" s="39"/>
      <c r="DN217" s="39"/>
      <c r="DO217" s="39"/>
      <c r="DP217" s="39"/>
      <c r="DQ217" s="39"/>
      <c r="DR217" s="39"/>
      <c r="DS217" s="39"/>
      <c r="DT217" s="39"/>
      <c r="DU217" s="39"/>
      <c r="DV217" s="39"/>
      <c r="DW217" s="39"/>
      <c r="DX217" s="39"/>
      <c r="DY217" s="39"/>
      <c r="DZ217" s="39"/>
      <c r="EA217" s="39"/>
      <c r="EB217" s="39"/>
      <c r="EC217" s="39"/>
      <c r="ED217" s="39"/>
      <c r="EE217" s="39"/>
      <c r="EF217" s="39"/>
      <c r="EG217" s="39"/>
      <c r="EH217" s="39"/>
      <c r="EI217" s="39"/>
      <c r="EJ217" s="39"/>
      <c r="EK217" s="39"/>
      <c r="EL217" s="39"/>
      <c r="EM217" s="39"/>
      <c r="EN217" s="39"/>
      <c r="EO217" s="39"/>
    </row>
    <row r="218" spans="2:145">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39"/>
      <c r="BQ218" s="39"/>
      <c r="BR218" s="39"/>
      <c r="BS218" s="39"/>
      <c r="BT218" s="39"/>
      <c r="BU218" s="39"/>
      <c r="BV218" s="39"/>
      <c r="BW218" s="39"/>
      <c r="BX218" s="39"/>
      <c r="BY218" s="39"/>
      <c r="BZ218" s="39"/>
      <c r="CA218" s="39"/>
      <c r="CB218" s="39"/>
      <c r="CC218" s="39"/>
      <c r="CD218" s="39"/>
      <c r="CE218" s="39"/>
      <c r="CF218" s="39"/>
      <c r="CG218" s="39"/>
      <c r="CH218" s="39"/>
      <c r="CI218" s="39"/>
      <c r="CJ218" s="39"/>
      <c r="CK218" s="39"/>
      <c r="CL218" s="39"/>
      <c r="CM218" s="39"/>
      <c r="CN218" s="39"/>
      <c r="CO218" s="39"/>
      <c r="CP218" s="39"/>
      <c r="CQ218" s="39"/>
      <c r="CR218" s="39"/>
      <c r="CS218" s="39"/>
      <c r="CT218" s="39"/>
      <c r="CU218" s="39"/>
      <c r="CV218" s="39"/>
      <c r="CW218" s="39"/>
      <c r="CX218" s="39"/>
      <c r="CY218" s="39"/>
      <c r="CZ218" s="39"/>
      <c r="DA218" s="39"/>
      <c r="DB218" s="39"/>
      <c r="DC218" s="39"/>
      <c r="DD218" s="39"/>
      <c r="DE218" s="39"/>
      <c r="DF218" s="39"/>
      <c r="DG218" s="39"/>
      <c r="DH218" s="39"/>
      <c r="DI218" s="39"/>
      <c r="DJ218" s="39"/>
      <c r="DK218" s="39"/>
      <c r="DL218" s="39"/>
      <c r="DM218" s="39"/>
      <c r="DN218" s="39"/>
      <c r="DO218" s="39"/>
      <c r="DP218" s="39"/>
      <c r="DQ218" s="39"/>
      <c r="DR218" s="39"/>
      <c r="DS218" s="39"/>
      <c r="DT218" s="39"/>
      <c r="DU218" s="39"/>
      <c r="DV218" s="39"/>
      <c r="DW218" s="39"/>
      <c r="DX218" s="39"/>
      <c r="DY218" s="39"/>
      <c r="DZ218" s="39"/>
      <c r="EA218" s="39"/>
      <c r="EB218" s="39"/>
      <c r="EC218" s="39"/>
      <c r="ED218" s="39"/>
      <c r="EE218" s="39"/>
      <c r="EF218" s="39"/>
      <c r="EG218" s="39"/>
      <c r="EH218" s="39"/>
      <c r="EI218" s="39"/>
      <c r="EJ218" s="39"/>
      <c r="EK218" s="39"/>
      <c r="EL218" s="39"/>
      <c r="EM218" s="39"/>
      <c r="EN218" s="39"/>
      <c r="EO218" s="39"/>
    </row>
    <row r="219" spans="2:145">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c r="BP219" s="39"/>
      <c r="BQ219" s="39"/>
      <c r="BR219" s="39"/>
      <c r="BS219" s="39"/>
      <c r="BT219" s="39"/>
      <c r="BU219" s="39"/>
      <c r="BV219" s="39"/>
      <c r="BW219" s="39"/>
      <c r="BX219" s="39"/>
      <c r="BY219" s="39"/>
      <c r="BZ219" s="39"/>
      <c r="CA219" s="39"/>
      <c r="CB219" s="39"/>
      <c r="CC219" s="39"/>
      <c r="CD219" s="39"/>
      <c r="CE219" s="39"/>
      <c r="CF219" s="39"/>
      <c r="CG219" s="39"/>
      <c r="CH219" s="39"/>
      <c r="CI219" s="39"/>
      <c r="CJ219" s="39"/>
      <c r="CK219" s="39"/>
      <c r="CL219" s="39"/>
      <c r="CM219" s="39"/>
      <c r="CN219" s="39"/>
      <c r="CO219" s="39"/>
      <c r="CP219" s="39"/>
      <c r="CQ219" s="39"/>
      <c r="CR219" s="39"/>
      <c r="CS219" s="39"/>
      <c r="CT219" s="39"/>
      <c r="CU219" s="39"/>
      <c r="CV219" s="39"/>
      <c r="CW219" s="39"/>
      <c r="CX219" s="39"/>
      <c r="CY219" s="39"/>
      <c r="CZ219" s="39"/>
      <c r="DA219" s="39"/>
      <c r="DB219" s="39"/>
      <c r="DC219" s="39"/>
      <c r="DD219" s="39"/>
      <c r="DE219" s="39"/>
      <c r="DF219" s="39"/>
      <c r="DG219" s="39"/>
      <c r="DH219" s="39"/>
      <c r="DI219" s="39"/>
      <c r="DJ219" s="39"/>
      <c r="DK219" s="39"/>
      <c r="DL219" s="39"/>
      <c r="DM219" s="39"/>
      <c r="DN219" s="39"/>
      <c r="DO219" s="39"/>
      <c r="DP219" s="39"/>
      <c r="DQ219" s="39"/>
      <c r="DR219" s="39"/>
      <c r="DS219" s="39"/>
      <c r="DT219" s="39"/>
      <c r="DU219" s="39"/>
      <c r="DV219" s="39"/>
      <c r="DW219" s="39"/>
      <c r="DX219" s="39"/>
      <c r="DY219" s="39"/>
      <c r="DZ219" s="39"/>
      <c r="EA219" s="39"/>
      <c r="EB219" s="39"/>
      <c r="EC219" s="39"/>
      <c r="ED219" s="39"/>
      <c r="EE219" s="39"/>
      <c r="EF219" s="39"/>
      <c r="EG219" s="39"/>
      <c r="EH219" s="39"/>
      <c r="EI219" s="39"/>
      <c r="EJ219" s="39"/>
      <c r="EK219" s="39"/>
      <c r="EL219" s="39"/>
      <c r="EM219" s="39"/>
      <c r="EN219" s="39"/>
      <c r="EO219" s="39"/>
    </row>
    <row r="220" spans="2:145">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39"/>
      <c r="BQ220" s="39"/>
      <c r="BR220" s="39"/>
      <c r="BS220" s="39"/>
      <c r="BT220" s="39"/>
      <c r="BU220" s="39"/>
      <c r="BV220" s="39"/>
      <c r="BW220" s="39"/>
      <c r="BX220" s="39"/>
      <c r="BY220" s="39"/>
      <c r="BZ220" s="39"/>
      <c r="CA220" s="39"/>
      <c r="CB220" s="39"/>
      <c r="CC220" s="39"/>
      <c r="CD220" s="39"/>
      <c r="CE220" s="39"/>
      <c r="CF220" s="39"/>
      <c r="CG220" s="39"/>
      <c r="CH220" s="39"/>
      <c r="CI220" s="39"/>
      <c r="CJ220" s="39"/>
      <c r="CK220" s="39"/>
      <c r="CL220" s="39"/>
      <c r="CM220" s="39"/>
      <c r="CN220" s="39"/>
      <c r="CO220" s="39"/>
      <c r="CP220" s="39"/>
      <c r="CQ220" s="39"/>
      <c r="CR220" s="39"/>
      <c r="CS220" s="39"/>
      <c r="CT220" s="39"/>
      <c r="CU220" s="39"/>
      <c r="CV220" s="39"/>
      <c r="CW220" s="39"/>
      <c r="CX220" s="39"/>
      <c r="CY220" s="39"/>
      <c r="CZ220" s="39"/>
      <c r="DA220" s="39"/>
      <c r="DB220" s="39"/>
      <c r="DC220" s="39"/>
      <c r="DD220" s="39"/>
      <c r="DE220" s="39"/>
      <c r="DF220" s="39"/>
      <c r="DG220" s="39"/>
      <c r="DH220" s="39"/>
      <c r="DI220" s="39"/>
      <c r="DJ220" s="39"/>
      <c r="DK220" s="39"/>
      <c r="DL220" s="39"/>
      <c r="DM220" s="39"/>
      <c r="DN220" s="39"/>
      <c r="DO220" s="39"/>
      <c r="DP220" s="39"/>
      <c r="DQ220" s="39"/>
      <c r="DR220" s="39"/>
      <c r="DS220" s="39"/>
      <c r="DT220" s="39"/>
      <c r="DU220" s="39"/>
      <c r="DV220" s="39"/>
      <c r="DW220" s="39"/>
      <c r="DX220" s="39"/>
      <c r="DY220" s="39"/>
      <c r="DZ220" s="39"/>
      <c r="EA220" s="39"/>
      <c r="EB220" s="39"/>
      <c r="EC220" s="39"/>
      <c r="ED220" s="39"/>
      <c r="EE220" s="39"/>
      <c r="EF220" s="39"/>
      <c r="EG220" s="39"/>
      <c r="EH220" s="39"/>
      <c r="EI220" s="39"/>
      <c r="EJ220" s="39"/>
      <c r="EK220" s="39"/>
      <c r="EL220" s="39"/>
      <c r="EM220" s="39"/>
      <c r="EN220" s="39"/>
      <c r="EO220" s="39"/>
    </row>
    <row r="221" spans="2:145">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c r="BP221" s="39"/>
      <c r="BQ221" s="39"/>
      <c r="BR221" s="39"/>
      <c r="BS221" s="39"/>
      <c r="BT221" s="39"/>
      <c r="BU221" s="39"/>
      <c r="BV221" s="39"/>
      <c r="BW221" s="39"/>
      <c r="BX221" s="39"/>
      <c r="BY221" s="39"/>
      <c r="BZ221" s="39"/>
      <c r="CA221" s="39"/>
      <c r="CB221" s="39"/>
      <c r="CC221" s="39"/>
      <c r="CD221" s="39"/>
      <c r="CE221" s="39"/>
      <c r="CF221" s="39"/>
      <c r="CG221" s="39"/>
      <c r="CH221" s="39"/>
      <c r="CI221" s="39"/>
      <c r="CJ221" s="39"/>
      <c r="CK221" s="39"/>
      <c r="CL221" s="39"/>
      <c r="CM221" s="39"/>
      <c r="CN221" s="39"/>
      <c r="CO221" s="39"/>
      <c r="CP221" s="39"/>
      <c r="CQ221" s="39"/>
      <c r="CR221" s="39"/>
      <c r="CS221" s="39"/>
      <c r="CT221" s="39"/>
      <c r="CU221" s="39"/>
      <c r="CV221" s="39"/>
      <c r="CW221" s="39"/>
      <c r="CX221" s="39"/>
      <c r="CY221" s="39"/>
      <c r="CZ221" s="39"/>
      <c r="DA221" s="39"/>
      <c r="DB221" s="39"/>
      <c r="DC221" s="39"/>
      <c r="DD221" s="39"/>
      <c r="DE221" s="39"/>
      <c r="DF221" s="39"/>
      <c r="DG221" s="39"/>
      <c r="DH221" s="39"/>
      <c r="DI221" s="39"/>
      <c r="DJ221" s="39"/>
      <c r="DK221" s="39"/>
      <c r="DL221" s="39"/>
      <c r="DM221" s="39"/>
      <c r="DN221" s="39"/>
      <c r="DO221" s="39"/>
      <c r="DP221" s="39"/>
      <c r="DQ221" s="39"/>
      <c r="DR221" s="39"/>
      <c r="DS221" s="39"/>
      <c r="DT221" s="39"/>
      <c r="DU221" s="39"/>
      <c r="DV221" s="39"/>
      <c r="DW221" s="39"/>
      <c r="DX221" s="39"/>
      <c r="DY221" s="39"/>
      <c r="DZ221" s="39"/>
      <c r="EA221" s="39"/>
      <c r="EB221" s="39"/>
      <c r="EC221" s="39"/>
      <c r="ED221" s="39"/>
      <c r="EE221" s="39"/>
      <c r="EF221" s="39"/>
      <c r="EG221" s="39"/>
      <c r="EH221" s="39"/>
      <c r="EI221" s="39"/>
      <c r="EJ221" s="39"/>
      <c r="EK221" s="39"/>
      <c r="EL221" s="39"/>
      <c r="EM221" s="39"/>
      <c r="EN221" s="39"/>
      <c r="EO221" s="39"/>
    </row>
    <row r="222" spans="2:145">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39"/>
      <c r="DF222" s="39"/>
      <c r="DG222" s="39"/>
      <c r="DH222" s="39"/>
      <c r="DI222" s="39"/>
      <c r="DJ222" s="39"/>
      <c r="DK222" s="39"/>
      <c r="DL222" s="39"/>
      <c r="DM222" s="39"/>
      <c r="DN222" s="39"/>
      <c r="DO222" s="39"/>
      <c r="DP222" s="39"/>
      <c r="DQ222" s="39"/>
      <c r="DR222" s="39"/>
      <c r="DS222" s="39"/>
      <c r="DT222" s="39"/>
      <c r="DU222" s="39"/>
      <c r="DV222" s="39"/>
      <c r="DW222" s="39"/>
      <c r="DX222" s="39"/>
      <c r="DY222" s="39"/>
      <c r="DZ222" s="39"/>
      <c r="EA222" s="39"/>
      <c r="EB222" s="39"/>
      <c r="EC222" s="39"/>
      <c r="ED222" s="39"/>
      <c r="EE222" s="39"/>
      <c r="EF222" s="39"/>
      <c r="EG222" s="39"/>
      <c r="EH222" s="39"/>
      <c r="EI222" s="39"/>
      <c r="EJ222" s="39"/>
      <c r="EK222" s="39"/>
      <c r="EL222" s="39"/>
      <c r="EM222" s="39"/>
      <c r="EN222" s="39"/>
      <c r="EO222" s="39"/>
    </row>
    <row r="223" spans="2:145">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39"/>
      <c r="CZ223" s="39"/>
      <c r="DA223" s="39"/>
      <c r="DB223" s="39"/>
      <c r="DC223" s="39"/>
      <c r="DD223" s="39"/>
      <c r="DE223" s="39"/>
      <c r="DF223" s="39"/>
      <c r="DG223" s="39"/>
      <c r="DH223" s="39"/>
      <c r="DI223" s="39"/>
      <c r="DJ223" s="39"/>
      <c r="DK223" s="39"/>
      <c r="DL223" s="39"/>
      <c r="DM223" s="39"/>
      <c r="DN223" s="39"/>
      <c r="DO223" s="39"/>
      <c r="DP223" s="39"/>
      <c r="DQ223" s="39"/>
      <c r="DR223" s="39"/>
      <c r="DS223" s="39"/>
      <c r="DT223" s="39"/>
      <c r="DU223" s="39"/>
      <c r="DV223" s="39"/>
      <c r="DW223" s="39"/>
      <c r="DX223" s="39"/>
      <c r="DY223" s="39"/>
      <c r="DZ223" s="39"/>
      <c r="EA223" s="39"/>
      <c r="EB223" s="39"/>
      <c r="EC223" s="39"/>
      <c r="ED223" s="39"/>
      <c r="EE223" s="39"/>
      <c r="EF223" s="39"/>
      <c r="EG223" s="39"/>
      <c r="EH223" s="39"/>
      <c r="EI223" s="39"/>
      <c r="EJ223" s="39"/>
      <c r="EK223" s="39"/>
      <c r="EL223" s="39"/>
      <c r="EM223" s="39"/>
      <c r="EN223" s="39"/>
      <c r="EO223" s="39"/>
    </row>
    <row r="224" spans="2:145">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c r="BP224" s="39"/>
      <c r="BQ224" s="39"/>
      <c r="BR224" s="39"/>
      <c r="BS224" s="39"/>
      <c r="BT224" s="39"/>
      <c r="BU224" s="39"/>
      <c r="BV224" s="39"/>
      <c r="BW224" s="39"/>
      <c r="BX224" s="39"/>
      <c r="BY224" s="39"/>
      <c r="BZ224" s="39"/>
      <c r="CA224" s="39"/>
      <c r="CB224" s="39"/>
      <c r="CC224" s="39"/>
      <c r="CD224" s="39"/>
      <c r="CE224" s="39"/>
      <c r="CF224" s="39"/>
      <c r="CG224" s="39"/>
      <c r="CH224" s="39"/>
      <c r="CI224" s="39"/>
      <c r="CJ224" s="39"/>
      <c r="CK224" s="39"/>
      <c r="CL224" s="39"/>
      <c r="CM224" s="39"/>
      <c r="CN224" s="39"/>
      <c r="CO224" s="39"/>
      <c r="CP224" s="39"/>
      <c r="CQ224" s="39"/>
      <c r="CR224" s="39"/>
      <c r="CS224" s="39"/>
      <c r="CT224" s="39"/>
      <c r="CU224" s="39"/>
      <c r="CV224" s="39"/>
      <c r="CW224" s="39"/>
      <c r="CX224" s="39"/>
      <c r="CY224" s="39"/>
      <c r="CZ224" s="39"/>
      <c r="DA224" s="39"/>
      <c r="DB224" s="39"/>
      <c r="DC224" s="39"/>
      <c r="DD224" s="39"/>
      <c r="DE224" s="39"/>
      <c r="DF224" s="39"/>
      <c r="DG224" s="39"/>
      <c r="DH224" s="39"/>
      <c r="DI224" s="39"/>
      <c r="DJ224" s="39"/>
      <c r="DK224" s="39"/>
      <c r="DL224" s="39"/>
      <c r="DM224" s="39"/>
      <c r="DN224" s="39"/>
      <c r="DO224" s="39"/>
      <c r="DP224" s="39"/>
      <c r="DQ224" s="39"/>
      <c r="DR224" s="39"/>
      <c r="DS224" s="39"/>
      <c r="DT224" s="39"/>
      <c r="DU224" s="39"/>
      <c r="DV224" s="39"/>
      <c r="DW224" s="39"/>
      <c r="DX224" s="39"/>
      <c r="DY224" s="39"/>
      <c r="DZ224" s="39"/>
      <c r="EA224" s="39"/>
      <c r="EB224" s="39"/>
      <c r="EC224" s="39"/>
      <c r="ED224" s="39"/>
      <c r="EE224" s="39"/>
      <c r="EF224" s="39"/>
      <c r="EG224" s="39"/>
      <c r="EH224" s="39"/>
      <c r="EI224" s="39"/>
      <c r="EJ224" s="39"/>
      <c r="EK224" s="39"/>
      <c r="EL224" s="39"/>
      <c r="EM224" s="39"/>
      <c r="EN224" s="39"/>
      <c r="EO224" s="39"/>
    </row>
    <row r="225" spans="2:145">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c r="BP225" s="39"/>
      <c r="BQ225" s="39"/>
      <c r="BR225" s="39"/>
      <c r="BS225" s="39"/>
      <c r="BT225" s="39"/>
      <c r="BU225" s="39"/>
      <c r="BV225" s="39"/>
      <c r="BW225" s="39"/>
      <c r="BX225" s="39"/>
      <c r="BY225" s="39"/>
      <c r="BZ225" s="39"/>
      <c r="CA225" s="39"/>
      <c r="CB225" s="39"/>
      <c r="CC225" s="39"/>
      <c r="CD225" s="39"/>
      <c r="CE225" s="39"/>
      <c r="CF225" s="39"/>
      <c r="CG225" s="39"/>
      <c r="CH225" s="39"/>
      <c r="CI225" s="39"/>
      <c r="CJ225" s="39"/>
      <c r="CK225" s="39"/>
      <c r="CL225" s="39"/>
      <c r="CM225" s="39"/>
      <c r="CN225" s="39"/>
      <c r="CO225" s="39"/>
      <c r="CP225" s="39"/>
      <c r="CQ225" s="39"/>
      <c r="CR225" s="39"/>
      <c r="CS225" s="39"/>
      <c r="CT225" s="39"/>
      <c r="CU225" s="39"/>
      <c r="CV225" s="39"/>
      <c r="CW225" s="39"/>
      <c r="CX225" s="39"/>
      <c r="CY225" s="39"/>
      <c r="CZ225" s="39"/>
      <c r="DA225" s="39"/>
      <c r="DB225" s="39"/>
      <c r="DC225" s="39"/>
      <c r="DD225" s="39"/>
      <c r="DE225" s="39"/>
      <c r="DF225" s="39"/>
      <c r="DG225" s="39"/>
      <c r="DH225" s="39"/>
      <c r="DI225" s="39"/>
      <c r="DJ225" s="39"/>
      <c r="DK225" s="39"/>
      <c r="DL225" s="39"/>
      <c r="DM225" s="39"/>
      <c r="DN225" s="39"/>
      <c r="DO225" s="39"/>
      <c r="DP225" s="39"/>
      <c r="DQ225" s="39"/>
      <c r="DR225" s="39"/>
      <c r="DS225" s="39"/>
      <c r="DT225" s="39"/>
      <c r="DU225" s="39"/>
      <c r="DV225" s="39"/>
      <c r="DW225" s="39"/>
      <c r="DX225" s="39"/>
      <c r="DY225" s="39"/>
      <c r="DZ225" s="39"/>
      <c r="EA225" s="39"/>
      <c r="EB225" s="39"/>
      <c r="EC225" s="39"/>
      <c r="ED225" s="39"/>
      <c r="EE225" s="39"/>
      <c r="EF225" s="39"/>
      <c r="EG225" s="39"/>
      <c r="EH225" s="39"/>
      <c r="EI225" s="39"/>
      <c r="EJ225" s="39"/>
      <c r="EK225" s="39"/>
      <c r="EL225" s="39"/>
      <c r="EM225" s="39"/>
      <c r="EN225" s="39"/>
      <c r="EO225" s="39"/>
    </row>
    <row r="226" spans="2:145">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c r="BU226" s="39"/>
      <c r="BV226" s="39"/>
      <c r="BW226" s="39"/>
      <c r="BX226" s="39"/>
      <c r="BY226" s="39"/>
      <c r="BZ226" s="39"/>
      <c r="CA226" s="39"/>
      <c r="CB226" s="39"/>
      <c r="CC226" s="39"/>
      <c r="CD226" s="39"/>
      <c r="CE226" s="39"/>
      <c r="CF226" s="39"/>
      <c r="CG226" s="39"/>
      <c r="CH226" s="39"/>
      <c r="CI226" s="39"/>
      <c r="CJ226" s="39"/>
      <c r="CK226" s="39"/>
      <c r="CL226" s="39"/>
      <c r="CM226" s="39"/>
      <c r="CN226" s="39"/>
      <c r="CO226" s="39"/>
      <c r="CP226" s="39"/>
      <c r="CQ226" s="39"/>
      <c r="CR226" s="39"/>
      <c r="CS226" s="39"/>
      <c r="CT226" s="39"/>
      <c r="CU226" s="39"/>
      <c r="CV226" s="39"/>
      <c r="CW226" s="39"/>
      <c r="CX226" s="39"/>
      <c r="CY226" s="39"/>
      <c r="CZ226" s="39"/>
      <c r="DA226" s="39"/>
      <c r="DB226" s="39"/>
      <c r="DC226" s="39"/>
      <c r="DD226" s="39"/>
      <c r="DE226" s="39"/>
      <c r="DF226" s="39"/>
      <c r="DG226" s="39"/>
      <c r="DH226" s="39"/>
      <c r="DI226" s="39"/>
      <c r="DJ226" s="39"/>
      <c r="DK226" s="39"/>
      <c r="DL226" s="39"/>
      <c r="DM226" s="39"/>
      <c r="DN226" s="39"/>
      <c r="DO226" s="39"/>
      <c r="DP226" s="39"/>
      <c r="DQ226" s="39"/>
      <c r="DR226" s="39"/>
      <c r="DS226" s="39"/>
      <c r="DT226" s="39"/>
      <c r="DU226" s="39"/>
      <c r="DV226" s="39"/>
      <c r="DW226" s="39"/>
      <c r="DX226" s="39"/>
      <c r="DY226" s="39"/>
      <c r="DZ226" s="39"/>
      <c r="EA226" s="39"/>
      <c r="EB226" s="39"/>
      <c r="EC226" s="39"/>
      <c r="ED226" s="39"/>
      <c r="EE226" s="39"/>
      <c r="EF226" s="39"/>
      <c r="EG226" s="39"/>
      <c r="EH226" s="39"/>
      <c r="EI226" s="39"/>
      <c r="EJ226" s="39"/>
      <c r="EK226" s="39"/>
      <c r="EL226" s="39"/>
      <c r="EM226" s="39"/>
      <c r="EN226" s="39"/>
      <c r="EO226" s="39"/>
    </row>
    <row r="227" spans="2:145">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c r="BP227" s="39"/>
      <c r="BQ227" s="39"/>
      <c r="BR227" s="39"/>
      <c r="BS227" s="39"/>
      <c r="BT227" s="39"/>
      <c r="BU227" s="39"/>
      <c r="BV227" s="39"/>
      <c r="BW227" s="39"/>
      <c r="BX227" s="39"/>
      <c r="BY227" s="39"/>
      <c r="BZ227" s="39"/>
      <c r="CA227" s="39"/>
      <c r="CB227" s="39"/>
      <c r="CC227" s="39"/>
      <c r="CD227" s="39"/>
      <c r="CE227" s="39"/>
      <c r="CF227" s="39"/>
      <c r="CG227" s="39"/>
      <c r="CH227" s="39"/>
      <c r="CI227" s="39"/>
      <c r="CJ227" s="39"/>
      <c r="CK227" s="39"/>
      <c r="CL227" s="39"/>
      <c r="CM227" s="39"/>
      <c r="CN227" s="39"/>
      <c r="CO227" s="39"/>
      <c r="CP227" s="39"/>
      <c r="CQ227" s="39"/>
      <c r="CR227" s="39"/>
      <c r="CS227" s="39"/>
      <c r="CT227" s="39"/>
      <c r="CU227" s="39"/>
      <c r="CV227" s="39"/>
      <c r="CW227" s="39"/>
      <c r="CX227" s="39"/>
      <c r="CY227" s="39"/>
      <c r="CZ227" s="39"/>
      <c r="DA227" s="39"/>
      <c r="DB227" s="39"/>
      <c r="DC227" s="39"/>
      <c r="DD227" s="39"/>
      <c r="DE227" s="39"/>
      <c r="DF227" s="39"/>
      <c r="DG227" s="39"/>
      <c r="DH227" s="39"/>
      <c r="DI227" s="39"/>
      <c r="DJ227" s="39"/>
      <c r="DK227" s="39"/>
      <c r="DL227" s="39"/>
      <c r="DM227" s="39"/>
      <c r="DN227" s="39"/>
      <c r="DO227" s="39"/>
      <c r="DP227" s="39"/>
      <c r="DQ227" s="39"/>
      <c r="DR227" s="39"/>
      <c r="DS227" s="39"/>
      <c r="DT227" s="39"/>
      <c r="DU227" s="39"/>
      <c r="DV227" s="39"/>
      <c r="DW227" s="39"/>
      <c r="DX227" s="39"/>
      <c r="DY227" s="39"/>
      <c r="DZ227" s="39"/>
      <c r="EA227" s="39"/>
      <c r="EB227" s="39"/>
      <c r="EC227" s="39"/>
      <c r="ED227" s="39"/>
      <c r="EE227" s="39"/>
      <c r="EF227" s="39"/>
      <c r="EG227" s="39"/>
      <c r="EH227" s="39"/>
      <c r="EI227" s="39"/>
      <c r="EJ227" s="39"/>
      <c r="EK227" s="39"/>
      <c r="EL227" s="39"/>
      <c r="EM227" s="39"/>
      <c r="EN227" s="39"/>
      <c r="EO227" s="39"/>
    </row>
    <row r="228" spans="2:145">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c r="BU228" s="39"/>
      <c r="BV228" s="39"/>
      <c r="BW228" s="39"/>
      <c r="BX228" s="39"/>
      <c r="BY228" s="39"/>
      <c r="BZ228" s="39"/>
      <c r="CA228" s="39"/>
      <c r="CB228" s="39"/>
      <c r="CC228" s="39"/>
      <c r="CD228" s="39"/>
      <c r="CE228" s="39"/>
      <c r="CF228" s="39"/>
      <c r="CG228" s="39"/>
      <c r="CH228" s="39"/>
      <c r="CI228" s="39"/>
      <c r="CJ228" s="39"/>
      <c r="CK228" s="39"/>
      <c r="CL228" s="39"/>
      <c r="CM228" s="39"/>
      <c r="CN228" s="39"/>
      <c r="CO228" s="39"/>
      <c r="CP228" s="39"/>
      <c r="CQ228" s="39"/>
      <c r="CR228" s="39"/>
      <c r="CS228" s="39"/>
      <c r="CT228" s="39"/>
      <c r="CU228" s="39"/>
      <c r="CV228" s="39"/>
      <c r="CW228" s="39"/>
      <c r="CX228" s="39"/>
      <c r="CY228" s="39"/>
      <c r="CZ228" s="39"/>
      <c r="DA228" s="39"/>
      <c r="DB228" s="39"/>
      <c r="DC228" s="39"/>
      <c r="DD228" s="39"/>
      <c r="DE228" s="39"/>
      <c r="DF228" s="39"/>
      <c r="DG228" s="39"/>
      <c r="DH228" s="39"/>
      <c r="DI228" s="39"/>
      <c r="DJ228" s="39"/>
      <c r="DK228" s="39"/>
      <c r="DL228" s="39"/>
      <c r="DM228" s="39"/>
      <c r="DN228" s="39"/>
      <c r="DO228" s="39"/>
      <c r="DP228" s="39"/>
      <c r="DQ228" s="39"/>
      <c r="DR228" s="39"/>
      <c r="DS228" s="39"/>
      <c r="DT228" s="39"/>
      <c r="DU228" s="39"/>
      <c r="DV228" s="39"/>
      <c r="DW228" s="39"/>
      <c r="DX228" s="39"/>
      <c r="DY228" s="39"/>
      <c r="DZ228" s="39"/>
      <c r="EA228" s="39"/>
      <c r="EB228" s="39"/>
      <c r="EC228" s="39"/>
      <c r="ED228" s="39"/>
      <c r="EE228" s="39"/>
      <c r="EF228" s="39"/>
      <c r="EG228" s="39"/>
      <c r="EH228" s="39"/>
      <c r="EI228" s="39"/>
      <c r="EJ228" s="39"/>
      <c r="EK228" s="39"/>
      <c r="EL228" s="39"/>
      <c r="EM228" s="39"/>
      <c r="EN228" s="39"/>
      <c r="EO228" s="39"/>
    </row>
    <row r="229" spans="2:145">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c r="CT229" s="39"/>
      <c r="CU229" s="39"/>
      <c r="CV229" s="39"/>
      <c r="CW229" s="39"/>
      <c r="CX229" s="39"/>
      <c r="CY229" s="39"/>
      <c r="CZ229" s="39"/>
      <c r="DA229" s="39"/>
      <c r="DB229" s="39"/>
      <c r="DC229" s="39"/>
      <c r="DD229" s="39"/>
      <c r="DE229" s="39"/>
      <c r="DF229" s="39"/>
      <c r="DG229" s="39"/>
      <c r="DH229" s="39"/>
      <c r="DI229" s="39"/>
      <c r="DJ229" s="39"/>
      <c r="DK229" s="39"/>
      <c r="DL229" s="39"/>
      <c r="DM229" s="39"/>
      <c r="DN229" s="39"/>
      <c r="DO229" s="39"/>
      <c r="DP229" s="39"/>
      <c r="DQ229" s="39"/>
      <c r="DR229" s="39"/>
      <c r="DS229" s="39"/>
      <c r="DT229" s="39"/>
      <c r="DU229" s="39"/>
      <c r="DV229" s="39"/>
      <c r="DW229" s="39"/>
      <c r="DX229" s="39"/>
      <c r="DY229" s="39"/>
      <c r="DZ229" s="39"/>
      <c r="EA229" s="39"/>
      <c r="EB229" s="39"/>
      <c r="EC229" s="39"/>
      <c r="ED229" s="39"/>
      <c r="EE229" s="39"/>
      <c r="EF229" s="39"/>
      <c r="EG229" s="39"/>
      <c r="EH229" s="39"/>
      <c r="EI229" s="39"/>
      <c r="EJ229" s="39"/>
      <c r="EK229" s="39"/>
      <c r="EL229" s="39"/>
      <c r="EM229" s="39"/>
      <c r="EN229" s="39"/>
      <c r="EO229" s="39"/>
    </row>
    <row r="230" spans="2:145">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39"/>
      <c r="BQ230" s="39"/>
      <c r="BR230" s="39"/>
      <c r="BS230" s="39"/>
      <c r="BT230" s="39"/>
      <c r="BU230" s="39"/>
      <c r="BV230" s="39"/>
      <c r="BW230" s="39"/>
      <c r="BX230" s="39"/>
      <c r="BY230" s="39"/>
      <c r="BZ230" s="39"/>
      <c r="CA230" s="39"/>
      <c r="CB230" s="39"/>
      <c r="CC230" s="39"/>
      <c r="CD230" s="39"/>
      <c r="CE230" s="39"/>
      <c r="CF230" s="39"/>
      <c r="CG230" s="39"/>
      <c r="CH230" s="39"/>
      <c r="CI230" s="39"/>
      <c r="CJ230" s="39"/>
      <c r="CK230" s="39"/>
      <c r="CL230" s="39"/>
      <c r="CM230" s="39"/>
      <c r="CN230" s="39"/>
      <c r="CO230" s="39"/>
      <c r="CP230" s="39"/>
      <c r="CQ230" s="39"/>
      <c r="CR230" s="39"/>
      <c r="CS230" s="39"/>
      <c r="CT230" s="39"/>
      <c r="CU230" s="39"/>
      <c r="CV230" s="39"/>
      <c r="CW230" s="39"/>
      <c r="CX230" s="39"/>
      <c r="CY230" s="39"/>
      <c r="CZ230" s="39"/>
      <c r="DA230" s="39"/>
      <c r="DB230" s="39"/>
      <c r="DC230" s="39"/>
      <c r="DD230" s="39"/>
      <c r="DE230" s="39"/>
      <c r="DF230" s="39"/>
      <c r="DG230" s="39"/>
      <c r="DH230" s="39"/>
      <c r="DI230" s="39"/>
      <c r="DJ230" s="39"/>
      <c r="DK230" s="39"/>
      <c r="DL230" s="39"/>
      <c r="DM230" s="39"/>
      <c r="DN230" s="39"/>
      <c r="DO230" s="39"/>
      <c r="DP230" s="39"/>
      <c r="DQ230" s="39"/>
      <c r="DR230" s="39"/>
      <c r="DS230" s="39"/>
      <c r="DT230" s="39"/>
      <c r="DU230" s="39"/>
      <c r="DV230" s="39"/>
      <c r="DW230" s="39"/>
      <c r="DX230" s="39"/>
      <c r="DY230" s="39"/>
      <c r="DZ230" s="39"/>
      <c r="EA230" s="39"/>
      <c r="EB230" s="39"/>
      <c r="EC230" s="39"/>
      <c r="ED230" s="39"/>
      <c r="EE230" s="39"/>
      <c r="EF230" s="39"/>
      <c r="EG230" s="39"/>
      <c r="EH230" s="39"/>
      <c r="EI230" s="39"/>
      <c r="EJ230" s="39"/>
      <c r="EK230" s="39"/>
      <c r="EL230" s="39"/>
      <c r="EM230" s="39"/>
      <c r="EN230" s="39"/>
      <c r="EO230" s="39"/>
    </row>
    <row r="231" spans="2:145">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c r="BP231" s="39"/>
      <c r="BQ231" s="39"/>
      <c r="BR231" s="39"/>
      <c r="BS231" s="39"/>
      <c r="BT231" s="39"/>
      <c r="BU231" s="39"/>
      <c r="BV231" s="39"/>
      <c r="BW231" s="39"/>
      <c r="BX231" s="39"/>
      <c r="BY231" s="39"/>
      <c r="BZ231" s="39"/>
      <c r="CA231" s="39"/>
      <c r="CB231" s="39"/>
      <c r="CC231" s="39"/>
      <c r="CD231" s="39"/>
      <c r="CE231" s="39"/>
      <c r="CF231" s="39"/>
      <c r="CG231" s="39"/>
      <c r="CH231" s="39"/>
      <c r="CI231" s="39"/>
      <c r="CJ231" s="39"/>
      <c r="CK231" s="39"/>
      <c r="CL231" s="39"/>
      <c r="CM231" s="39"/>
      <c r="CN231" s="39"/>
      <c r="CO231" s="39"/>
      <c r="CP231" s="39"/>
      <c r="CQ231" s="39"/>
      <c r="CR231" s="39"/>
      <c r="CS231" s="39"/>
      <c r="CT231" s="39"/>
      <c r="CU231" s="39"/>
      <c r="CV231" s="39"/>
      <c r="CW231" s="39"/>
      <c r="CX231" s="39"/>
      <c r="CY231" s="39"/>
      <c r="CZ231" s="39"/>
      <c r="DA231" s="39"/>
      <c r="DB231" s="39"/>
      <c r="DC231" s="39"/>
      <c r="DD231" s="39"/>
      <c r="DE231" s="39"/>
      <c r="DF231" s="39"/>
      <c r="DG231" s="39"/>
      <c r="DH231" s="39"/>
      <c r="DI231" s="39"/>
      <c r="DJ231" s="39"/>
      <c r="DK231" s="39"/>
      <c r="DL231" s="39"/>
      <c r="DM231" s="39"/>
      <c r="DN231" s="39"/>
      <c r="DO231" s="39"/>
      <c r="DP231" s="39"/>
      <c r="DQ231" s="39"/>
      <c r="DR231" s="39"/>
      <c r="DS231" s="39"/>
      <c r="DT231" s="39"/>
      <c r="DU231" s="39"/>
      <c r="DV231" s="39"/>
      <c r="DW231" s="39"/>
      <c r="DX231" s="39"/>
      <c r="DY231" s="39"/>
      <c r="DZ231" s="39"/>
      <c r="EA231" s="39"/>
      <c r="EB231" s="39"/>
      <c r="EC231" s="39"/>
      <c r="ED231" s="39"/>
      <c r="EE231" s="39"/>
      <c r="EF231" s="39"/>
      <c r="EG231" s="39"/>
      <c r="EH231" s="39"/>
      <c r="EI231" s="39"/>
      <c r="EJ231" s="39"/>
      <c r="EK231" s="39"/>
      <c r="EL231" s="39"/>
      <c r="EM231" s="39"/>
      <c r="EN231" s="39"/>
      <c r="EO231" s="39"/>
    </row>
    <row r="232" spans="2:145">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c r="BQ232" s="39"/>
      <c r="BR232" s="39"/>
      <c r="BS232" s="39"/>
      <c r="BT232" s="39"/>
      <c r="BU232" s="39"/>
      <c r="BV232" s="39"/>
      <c r="BW232" s="39"/>
      <c r="BX232" s="39"/>
      <c r="BY232" s="39"/>
      <c r="BZ232" s="39"/>
      <c r="CA232" s="39"/>
      <c r="CB232" s="39"/>
      <c r="CC232" s="39"/>
      <c r="CD232" s="39"/>
      <c r="CE232" s="39"/>
      <c r="CF232" s="39"/>
      <c r="CG232" s="39"/>
      <c r="CH232" s="39"/>
      <c r="CI232" s="39"/>
      <c r="CJ232" s="39"/>
      <c r="CK232" s="39"/>
      <c r="CL232" s="39"/>
      <c r="CM232" s="39"/>
      <c r="CN232" s="39"/>
      <c r="CO232" s="39"/>
      <c r="CP232" s="39"/>
      <c r="CQ232" s="39"/>
      <c r="CR232" s="39"/>
      <c r="CS232" s="39"/>
      <c r="CT232" s="39"/>
      <c r="CU232" s="39"/>
      <c r="CV232" s="39"/>
      <c r="CW232" s="39"/>
      <c r="CX232" s="39"/>
      <c r="CY232" s="39"/>
      <c r="CZ232" s="39"/>
      <c r="DA232" s="39"/>
      <c r="DB232" s="39"/>
      <c r="DC232" s="39"/>
      <c r="DD232" s="39"/>
      <c r="DE232" s="39"/>
      <c r="DF232" s="39"/>
      <c r="DG232" s="39"/>
      <c r="DH232" s="39"/>
      <c r="DI232" s="39"/>
      <c r="DJ232" s="39"/>
      <c r="DK232" s="39"/>
      <c r="DL232" s="39"/>
      <c r="DM232" s="39"/>
      <c r="DN232" s="39"/>
      <c r="DO232" s="39"/>
      <c r="DP232" s="39"/>
      <c r="DQ232" s="39"/>
      <c r="DR232" s="39"/>
      <c r="DS232" s="39"/>
      <c r="DT232" s="39"/>
      <c r="DU232" s="39"/>
      <c r="DV232" s="39"/>
      <c r="DW232" s="39"/>
      <c r="DX232" s="39"/>
      <c r="DY232" s="39"/>
      <c r="DZ232" s="39"/>
      <c r="EA232" s="39"/>
      <c r="EB232" s="39"/>
      <c r="EC232" s="39"/>
      <c r="ED232" s="39"/>
      <c r="EE232" s="39"/>
      <c r="EF232" s="39"/>
      <c r="EG232" s="39"/>
      <c r="EH232" s="39"/>
      <c r="EI232" s="39"/>
      <c r="EJ232" s="39"/>
      <c r="EK232" s="39"/>
      <c r="EL232" s="39"/>
      <c r="EM232" s="39"/>
      <c r="EN232" s="39"/>
      <c r="EO232" s="39"/>
    </row>
    <row r="233" spans="2:145">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c r="CT233" s="39"/>
      <c r="CU233" s="39"/>
      <c r="CV233" s="39"/>
      <c r="CW233" s="39"/>
      <c r="CX233" s="39"/>
      <c r="CY233" s="39"/>
      <c r="CZ233" s="39"/>
      <c r="DA233" s="39"/>
      <c r="DB233" s="39"/>
      <c r="DC233" s="39"/>
      <c r="DD233" s="39"/>
      <c r="DE233" s="39"/>
      <c r="DF233" s="39"/>
      <c r="DG233" s="39"/>
      <c r="DH233" s="39"/>
      <c r="DI233" s="39"/>
      <c r="DJ233" s="39"/>
      <c r="DK233" s="39"/>
      <c r="DL233" s="39"/>
      <c r="DM233" s="39"/>
      <c r="DN233" s="39"/>
      <c r="DO233" s="39"/>
      <c r="DP233" s="39"/>
      <c r="DQ233" s="39"/>
      <c r="DR233" s="39"/>
      <c r="DS233" s="39"/>
      <c r="DT233" s="39"/>
      <c r="DU233" s="39"/>
      <c r="DV233" s="39"/>
      <c r="DW233" s="39"/>
      <c r="DX233" s="39"/>
      <c r="DY233" s="39"/>
      <c r="DZ233" s="39"/>
      <c r="EA233" s="39"/>
      <c r="EB233" s="39"/>
      <c r="EC233" s="39"/>
      <c r="ED233" s="39"/>
      <c r="EE233" s="39"/>
      <c r="EF233" s="39"/>
      <c r="EG233" s="39"/>
      <c r="EH233" s="39"/>
      <c r="EI233" s="39"/>
      <c r="EJ233" s="39"/>
      <c r="EK233" s="39"/>
      <c r="EL233" s="39"/>
      <c r="EM233" s="39"/>
      <c r="EN233" s="39"/>
      <c r="EO233" s="39"/>
    </row>
    <row r="234" spans="2:145">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c r="BQ234" s="39"/>
      <c r="BR234" s="39"/>
      <c r="BS234" s="39"/>
      <c r="BT234" s="39"/>
      <c r="BU234" s="39"/>
      <c r="BV234" s="39"/>
      <c r="BW234" s="39"/>
      <c r="BX234" s="39"/>
      <c r="BY234" s="39"/>
      <c r="BZ234" s="39"/>
      <c r="CA234" s="39"/>
      <c r="CB234" s="39"/>
      <c r="CC234" s="39"/>
      <c r="CD234" s="39"/>
      <c r="CE234" s="39"/>
      <c r="CF234" s="39"/>
      <c r="CG234" s="39"/>
      <c r="CH234" s="39"/>
      <c r="CI234" s="39"/>
      <c r="CJ234" s="39"/>
      <c r="CK234" s="39"/>
      <c r="CL234" s="39"/>
      <c r="CM234" s="39"/>
      <c r="CN234" s="39"/>
      <c r="CO234" s="39"/>
      <c r="CP234" s="39"/>
      <c r="CQ234" s="39"/>
      <c r="CR234" s="39"/>
      <c r="CS234" s="39"/>
      <c r="CT234" s="39"/>
      <c r="CU234" s="39"/>
      <c r="CV234" s="39"/>
      <c r="CW234" s="39"/>
      <c r="CX234" s="39"/>
      <c r="CY234" s="39"/>
      <c r="CZ234" s="39"/>
      <c r="DA234" s="39"/>
      <c r="DB234" s="39"/>
      <c r="DC234" s="39"/>
      <c r="DD234" s="39"/>
      <c r="DE234" s="39"/>
      <c r="DF234" s="39"/>
      <c r="DG234" s="39"/>
      <c r="DH234" s="39"/>
      <c r="DI234" s="39"/>
      <c r="DJ234" s="39"/>
      <c r="DK234" s="39"/>
      <c r="DL234" s="39"/>
      <c r="DM234" s="39"/>
      <c r="DN234" s="39"/>
      <c r="DO234" s="39"/>
      <c r="DP234" s="39"/>
      <c r="DQ234" s="39"/>
      <c r="DR234" s="39"/>
      <c r="DS234" s="39"/>
      <c r="DT234" s="39"/>
      <c r="DU234" s="39"/>
      <c r="DV234" s="39"/>
      <c r="DW234" s="39"/>
      <c r="DX234" s="39"/>
      <c r="DY234" s="39"/>
      <c r="DZ234" s="39"/>
      <c r="EA234" s="39"/>
      <c r="EB234" s="39"/>
      <c r="EC234" s="39"/>
      <c r="ED234" s="39"/>
      <c r="EE234" s="39"/>
      <c r="EF234" s="39"/>
      <c r="EG234" s="39"/>
      <c r="EH234" s="39"/>
      <c r="EI234" s="39"/>
      <c r="EJ234" s="39"/>
      <c r="EK234" s="39"/>
      <c r="EL234" s="39"/>
      <c r="EM234" s="39"/>
      <c r="EN234" s="39"/>
      <c r="EO234" s="39"/>
    </row>
    <row r="235" spans="2:145">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c r="BQ235" s="39"/>
      <c r="BR235" s="39"/>
      <c r="BS235" s="39"/>
      <c r="BT235" s="39"/>
      <c r="BU235" s="39"/>
      <c r="BV235" s="39"/>
      <c r="BW235" s="39"/>
      <c r="BX235" s="39"/>
      <c r="BY235" s="39"/>
      <c r="BZ235" s="39"/>
      <c r="CA235" s="39"/>
      <c r="CB235" s="39"/>
      <c r="CC235" s="39"/>
      <c r="CD235" s="39"/>
      <c r="CE235" s="39"/>
      <c r="CF235" s="39"/>
      <c r="CG235" s="39"/>
      <c r="CH235" s="39"/>
      <c r="CI235" s="39"/>
      <c r="CJ235" s="39"/>
      <c r="CK235" s="39"/>
      <c r="CL235" s="39"/>
      <c r="CM235" s="39"/>
      <c r="CN235" s="39"/>
      <c r="CO235" s="39"/>
      <c r="CP235" s="39"/>
      <c r="CQ235" s="39"/>
      <c r="CR235" s="39"/>
      <c r="CS235" s="39"/>
      <c r="CT235" s="39"/>
      <c r="CU235" s="39"/>
      <c r="CV235" s="39"/>
      <c r="CW235" s="39"/>
      <c r="CX235" s="39"/>
      <c r="CY235" s="39"/>
      <c r="CZ235" s="39"/>
      <c r="DA235" s="39"/>
      <c r="DB235" s="39"/>
      <c r="DC235" s="39"/>
      <c r="DD235" s="39"/>
      <c r="DE235" s="39"/>
      <c r="DF235" s="39"/>
      <c r="DG235" s="39"/>
      <c r="DH235" s="39"/>
      <c r="DI235" s="39"/>
      <c r="DJ235" s="39"/>
      <c r="DK235" s="39"/>
      <c r="DL235" s="39"/>
      <c r="DM235" s="39"/>
      <c r="DN235" s="39"/>
      <c r="DO235" s="39"/>
      <c r="DP235" s="39"/>
      <c r="DQ235" s="39"/>
      <c r="DR235" s="39"/>
      <c r="DS235" s="39"/>
      <c r="DT235" s="39"/>
      <c r="DU235" s="39"/>
      <c r="DV235" s="39"/>
      <c r="DW235" s="39"/>
      <c r="DX235" s="39"/>
      <c r="DY235" s="39"/>
      <c r="DZ235" s="39"/>
      <c r="EA235" s="39"/>
      <c r="EB235" s="39"/>
      <c r="EC235" s="39"/>
      <c r="ED235" s="39"/>
      <c r="EE235" s="39"/>
      <c r="EF235" s="39"/>
      <c r="EG235" s="39"/>
      <c r="EH235" s="39"/>
      <c r="EI235" s="39"/>
      <c r="EJ235" s="39"/>
      <c r="EK235" s="39"/>
      <c r="EL235" s="39"/>
      <c r="EM235" s="39"/>
      <c r="EN235" s="39"/>
      <c r="EO235" s="39"/>
    </row>
    <row r="236" spans="2:145">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c r="BQ236" s="39"/>
      <c r="BR236" s="39"/>
      <c r="BS236" s="39"/>
      <c r="BT236" s="39"/>
      <c r="BU236" s="39"/>
      <c r="BV236" s="39"/>
      <c r="BW236" s="39"/>
      <c r="BX236" s="39"/>
      <c r="BY236" s="39"/>
      <c r="BZ236" s="39"/>
      <c r="CA236" s="39"/>
      <c r="CB236" s="39"/>
      <c r="CC236" s="39"/>
      <c r="CD236" s="39"/>
      <c r="CE236" s="39"/>
      <c r="CF236" s="39"/>
      <c r="CG236" s="39"/>
      <c r="CH236" s="39"/>
      <c r="CI236" s="39"/>
      <c r="CJ236" s="39"/>
      <c r="CK236" s="39"/>
      <c r="CL236" s="39"/>
      <c r="CM236" s="39"/>
      <c r="CN236" s="39"/>
      <c r="CO236" s="39"/>
      <c r="CP236" s="39"/>
      <c r="CQ236" s="39"/>
      <c r="CR236" s="39"/>
      <c r="CS236" s="39"/>
      <c r="CT236" s="39"/>
      <c r="CU236" s="39"/>
      <c r="CV236" s="39"/>
      <c r="CW236" s="39"/>
      <c r="CX236" s="39"/>
      <c r="CY236" s="39"/>
      <c r="CZ236" s="39"/>
      <c r="DA236" s="39"/>
      <c r="DB236" s="39"/>
      <c r="DC236" s="39"/>
      <c r="DD236" s="39"/>
      <c r="DE236" s="39"/>
      <c r="DF236" s="39"/>
      <c r="DG236" s="39"/>
      <c r="DH236" s="39"/>
      <c r="DI236" s="39"/>
      <c r="DJ236" s="39"/>
      <c r="DK236" s="39"/>
      <c r="DL236" s="39"/>
      <c r="DM236" s="39"/>
      <c r="DN236" s="39"/>
      <c r="DO236" s="39"/>
      <c r="DP236" s="39"/>
      <c r="DQ236" s="39"/>
      <c r="DR236" s="39"/>
      <c r="DS236" s="39"/>
      <c r="DT236" s="39"/>
      <c r="DU236" s="39"/>
      <c r="DV236" s="39"/>
      <c r="DW236" s="39"/>
      <c r="DX236" s="39"/>
      <c r="DY236" s="39"/>
      <c r="DZ236" s="39"/>
      <c r="EA236" s="39"/>
      <c r="EB236" s="39"/>
      <c r="EC236" s="39"/>
      <c r="ED236" s="39"/>
      <c r="EE236" s="39"/>
      <c r="EF236" s="39"/>
      <c r="EG236" s="39"/>
      <c r="EH236" s="39"/>
      <c r="EI236" s="39"/>
      <c r="EJ236" s="39"/>
      <c r="EK236" s="39"/>
      <c r="EL236" s="39"/>
      <c r="EM236" s="39"/>
      <c r="EN236" s="39"/>
      <c r="EO236" s="39"/>
    </row>
    <row r="237" spans="2:145">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c r="BQ237" s="39"/>
      <c r="BR237" s="39"/>
      <c r="BS237" s="39"/>
      <c r="BT237" s="39"/>
      <c r="BU237" s="39"/>
      <c r="BV237" s="39"/>
      <c r="BW237" s="39"/>
      <c r="BX237" s="39"/>
      <c r="BY237" s="39"/>
      <c r="BZ237" s="39"/>
      <c r="CA237" s="39"/>
      <c r="CB237" s="39"/>
      <c r="CC237" s="39"/>
      <c r="CD237" s="39"/>
      <c r="CE237" s="39"/>
      <c r="CF237" s="39"/>
      <c r="CG237" s="39"/>
      <c r="CH237" s="39"/>
      <c r="CI237" s="39"/>
      <c r="CJ237" s="39"/>
      <c r="CK237" s="39"/>
      <c r="CL237" s="39"/>
      <c r="CM237" s="39"/>
      <c r="CN237" s="39"/>
      <c r="CO237" s="39"/>
      <c r="CP237" s="39"/>
      <c r="CQ237" s="39"/>
      <c r="CR237" s="39"/>
      <c r="CS237" s="39"/>
      <c r="CT237" s="39"/>
      <c r="CU237" s="39"/>
      <c r="CV237" s="39"/>
      <c r="CW237" s="39"/>
      <c r="CX237" s="39"/>
      <c r="CY237" s="39"/>
      <c r="CZ237" s="39"/>
      <c r="DA237" s="39"/>
      <c r="DB237" s="39"/>
      <c r="DC237" s="39"/>
      <c r="DD237" s="39"/>
      <c r="DE237" s="39"/>
      <c r="DF237" s="39"/>
      <c r="DG237" s="39"/>
      <c r="DH237" s="39"/>
      <c r="DI237" s="39"/>
      <c r="DJ237" s="39"/>
      <c r="DK237" s="39"/>
      <c r="DL237" s="39"/>
      <c r="DM237" s="39"/>
      <c r="DN237" s="39"/>
      <c r="DO237" s="39"/>
      <c r="DP237" s="39"/>
      <c r="DQ237" s="39"/>
      <c r="DR237" s="39"/>
      <c r="DS237" s="39"/>
      <c r="DT237" s="39"/>
      <c r="DU237" s="39"/>
      <c r="DV237" s="39"/>
      <c r="DW237" s="39"/>
      <c r="DX237" s="39"/>
      <c r="DY237" s="39"/>
      <c r="DZ237" s="39"/>
      <c r="EA237" s="39"/>
      <c r="EB237" s="39"/>
      <c r="EC237" s="39"/>
      <c r="ED237" s="39"/>
      <c r="EE237" s="39"/>
      <c r="EF237" s="39"/>
      <c r="EG237" s="39"/>
      <c r="EH237" s="39"/>
      <c r="EI237" s="39"/>
      <c r="EJ237" s="39"/>
      <c r="EK237" s="39"/>
      <c r="EL237" s="39"/>
      <c r="EM237" s="39"/>
      <c r="EN237" s="39"/>
      <c r="EO237" s="39"/>
    </row>
    <row r="238" spans="2:145">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c r="BQ238" s="39"/>
      <c r="BR238" s="39"/>
      <c r="BS238" s="39"/>
      <c r="BT238" s="39"/>
      <c r="BU238" s="39"/>
      <c r="BV238" s="39"/>
      <c r="BW238" s="39"/>
      <c r="BX238" s="39"/>
      <c r="BY238" s="39"/>
      <c r="BZ238" s="39"/>
      <c r="CA238" s="39"/>
      <c r="CB238" s="39"/>
      <c r="CC238" s="39"/>
      <c r="CD238" s="39"/>
      <c r="CE238" s="39"/>
      <c r="CF238" s="39"/>
      <c r="CG238" s="39"/>
      <c r="CH238" s="39"/>
      <c r="CI238" s="39"/>
      <c r="CJ238" s="39"/>
      <c r="CK238" s="39"/>
      <c r="CL238" s="39"/>
      <c r="CM238" s="39"/>
      <c r="CN238" s="39"/>
      <c r="CO238" s="39"/>
      <c r="CP238" s="39"/>
      <c r="CQ238" s="39"/>
      <c r="CR238" s="39"/>
      <c r="CS238" s="39"/>
      <c r="CT238" s="39"/>
      <c r="CU238" s="39"/>
      <c r="CV238" s="39"/>
      <c r="CW238" s="39"/>
      <c r="CX238" s="39"/>
      <c r="CY238" s="39"/>
      <c r="CZ238" s="39"/>
      <c r="DA238" s="39"/>
      <c r="DB238" s="39"/>
      <c r="DC238" s="39"/>
      <c r="DD238" s="39"/>
      <c r="DE238" s="39"/>
      <c r="DF238" s="39"/>
      <c r="DG238" s="39"/>
      <c r="DH238" s="39"/>
      <c r="DI238" s="39"/>
      <c r="DJ238" s="39"/>
      <c r="DK238" s="39"/>
      <c r="DL238" s="39"/>
      <c r="DM238" s="39"/>
      <c r="DN238" s="39"/>
      <c r="DO238" s="39"/>
      <c r="DP238" s="39"/>
      <c r="DQ238" s="39"/>
      <c r="DR238" s="39"/>
      <c r="DS238" s="39"/>
      <c r="DT238" s="39"/>
      <c r="DU238" s="39"/>
      <c r="DV238" s="39"/>
      <c r="DW238" s="39"/>
      <c r="DX238" s="39"/>
      <c r="DY238" s="39"/>
      <c r="DZ238" s="39"/>
      <c r="EA238" s="39"/>
      <c r="EB238" s="39"/>
      <c r="EC238" s="39"/>
      <c r="ED238" s="39"/>
      <c r="EE238" s="39"/>
      <c r="EF238" s="39"/>
      <c r="EG238" s="39"/>
      <c r="EH238" s="39"/>
      <c r="EI238" s="39"/>
      <c r="EJ238" s="39"/>
      <c r="EK238" s="39"/>
      <c r="EL238" s="39"/>
      <c r="EM238" s="39"/>
      <c r="EN238" s="39"/>
      <c r="EO238" s="39"/>
    </row>
    <row r="239" spans="2:145">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c r="BU239" s="39"/>
      <c r="BV239" s="39"/>
      <c r="BW239" s="39"/>
      <c r="BX239" s="39"/>
      <c r="BY239" s="39"/>
      <c r="BZ239" s="39"/>
      <c r="CA239" s="39"/>
      <c r="CB239" s="39"/>
      <c r="CC239" s="39"/>
      <c r="CD239" s="39"/>
      <c r="CE239" s="39"/>
      <c r="CF239" s="39"/>
      <c r="CG239" s="39"/>
      <c r="CH239" s="39"/>
      <c r="CI239" s="39"/>
      <c r="CJ239" s="39"/>
      <c r="CK239" s="39"/>
      <c r="CL239" s="39"/>
      <c r="CM239" s="39"/>
      <c r="CN239" s="39"/>
      <c r="CO239" s="39"/>
      <c r="CP239" s="39"/>
      <c r="CQ239" s="39"/>
      <c r="CR239" s="39"/>
      <c r="CS239" s="39"/>
      <c r="CT239" s="39"/>
      <c r="CU239" s="39"/>
      <c r="CV239" s="39"/>
      <c r="CW239" s="39"/>
      <c r="CX239" s="39"/>
      <c r="CY239" s="39"/>
      <c r="CZ239" s="39"/>
      <c r="DA239" s="39"/>
      <c r="DB239" s="39"/>
      <c r="DC239" s="39"/>
      <c r="DD239" s="39"/>
      <c r="DE239" s="39"/>
      <c r="DF239" s="39"/>
      <c r="DG239" s="39"/>
      <c r="DH239" s="39"/>
      <c r="DI239" s="39"/>
      <c r="DJ239" s="39"/>
      <c r="DK239" s="39"/>
      <c r="DL239" s="39"/>
      <c r="DM239" s="39"/>
      <c r="DN239" s="39"/>
      <c r="DO239" s="39"/>
      <c r="DP239" s="39"/>
      <c r="DQ239" s="39"/>
      <c r="DR239" s="39"/>
      <c r="DS239" s="39"/>
      <c r="DT239" s="39"/>
      <c r="DU239" s="39"/>
      <c r="DV239" s="39"/>
      <c r="DW239" s="39"/>
      <c r="DX239" s="39"/>
      <c r="DY239" s="39"/>
      <c r="DZ239" s="39"/>
      <c r="EA239" s="39"/>
      <c r="EB239" s="39"/>
      <c r="EC239" s="39"/>
      <c r="ED239" s="39"/>
      <c r="EE239" s="39"/>
      <c r="EF239" s="39"/>
      <c r="EG239" s="39"/>
      <c r="EH239" s="39"/>
      <c r="EI239" s="39"/>
      <c r="EJ239" s="39"/>
      <c r="EK239" s="39"/>
      <c r="EL239" s="39"/>
      <c r="EM239" s="39"/>
      <c r="EN239" s="39"/>
      <c r="EO239" s="39"/>
    </row>
    <row r="240" spans="2:145">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c r="BQ240" s="39"/>
      <c r="BR240" s="39"/>
      <c r="BS240" s="39"/>
      <c r="BT240" s="39"/>
      <c r="BU240" s="39"/>
      <c r="BV240" s="39"/>
      <c r="BW240" s="39"/>
      <c r="BX240" s="39"/>
      <c r="BY240" s="39"/>
      <c r="BZ240" s="39"/>
      <c r="CA240" s="39"/>
      <c r="CB240" s="39"/>
      <c r="CC240" s="39"/>
      <c r="CD240" s="39"/>
      <c r="CE240" s="39"/>
      <c r="CF240" s="39"/>
      <c r="CG240" s="39"/>
      <c r="CH240" s="39"/>
      <c r="CI240" s="39"/>
      <c r="CJ240" s="39"/>
      <c r="CK240" s="39"/>
      <c r="CL240" s="39"/>
      <c r="CM240" s="39"/>
      <c r="CN240" s="39"/>
      <c r="CO240" s="39"/>
      <c r="CP240" s="39"/>
      <c r="CQ240" s="39"/>
      <c r="CR240" s="39"/>
      <c r="CS240" s="39"/>
      <c r="CT240" s="39"/>
      <c r="CU240" s="39"/>
      <c r="CV240" s="39"/>
      <c r="CW240" s="39"/>
      <c r="CX240" s="39"/>
      <c r="CY240" s="39"/>
      <c r="CZ240" s="39"/>
      <c r="DA240" s="39"/>
      <c r="DB240" s="39"/>
      <c r="DC240" s="39"/>
      <c r="DD240" s="39"/>
      <c r="DE240" s="39"/>
      <c r="DF240" s="39"/>
      <c r="DG240" s="39"/>
      <c r="DH240" s="39"/>
      <c r="DI240" s="39"/>
      <c r="DJ240" s="39"/>
      <c r="DK240" s="39"/>
      <c r="DL240" s="39"/>
      <c r="DM240" s="39"/>
      <c r="DN240" s="39"/>
      <c r="DO240" s="39"/>
      <c r="DP240" s="39"/>
      <c r="DQ240" s="39"/>
      <c r="DR240" s="39"/>
      <c r="DS240" s="39"/>
      <c r="DT240" s="39"/>
      <c r="DU240" s="39"/>
      <c r="DV240" s="39"/>
      <c r="DW240" s="39"/>
      <c r="DX240" s="39"/>
      <c r="DY240" s="39"/>
      <c r="DZ240" s="39"/>
      <c r="EA240" s="39"/>
      <c r="EB240" s="39"/>
      <c r="EC240" s="39"/>
      <c r="ED240" s="39"/>
      <c r="EE240" s="39"/>
      <c r="EF240" s="39"/>
      <c r="EG240" s="39"/>
      <c r="EH240" s="39"/>
      <c r="EI240" s="39"/>
      <c r="EJ240" s="39"/>
      <c r="EK240" s="39"/>
      <c r="EL240" s="39"/>
      <c r="EM240" s="39"/>
      <c r="EN240" s="39"/>
      <c r="EO240" s="39"/>
    </row>
    <row r="241" spans="2:145">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c r="BQ241" s="39"/>
      <c r="BR241" s="39"/>
      <c r="BS241" s="39"/>
      <c r="BT241" s="39"/>
      <c r="BU241" s="39"/>
      <c r="BV241" s="39"/>
      <c r="BW241" s="39"/>
      <c r="BX241" s="39"/>
      <c r="BY241" s="39"/>
      <c r="BZ241" s="39"/>
      <c r="CA241" s="39"/>
      <c r="CB241" s="39"/>
      <c r="CC241" s="39"/>
      <c r="CD241" s="39"/>
      <c r="CE241" s="39"/>
      <c r="CF241" s="39"/>
      <c r="CG241" s="39"/>
      <c r="CH241" s="39"/>
      <c r="CI241" s="39"/>
      <c r="CJ241" s="39"/>
      <c r="CK241" s="39"/>
      <c r="CL241" s="39"/>
      <c r="CM241" s="39"/>
      <c r="CN241" s="39"/>
      <c r="CO241" s="39"/>
      <c r="CP241" s="39"/>
      <c r="CQ241" s="39"/>
      <c r="CR241" s="39"/>
      <c r="CS241" s="39"/>
      <c r="CT241" s="39"/>
      <c r="CU241" s="39"/>
      <c r="CV241" s="39"/>
      <c r="CW241" s="39"/>
      <c r="CX241" s="39"/>
      <c r="CY241" s="39"/>
      <c r="CZ241" s="39"/>
      <c r="DA241" s="39"/>
      <c r="DB241" s="39"/>
      <c r="DC241" s="39"/>
      <c r="DD241" s="39"/>
      <c r="DE241" s="39"/>
      <c r="DF241" s="39"/>
      <c r="DG241" s="39"/>
      <c r="DH241" s="39"/>
      <c r="DI241" s="39"/>
      <c r="DJ241" s="39"/>
      <c r="DK241" s="39"/>
      <c r="DL241" s="39"/>
      <c r="DM241" s="39"/>
      <c r="DN241" s="39"/>
      <c r="DO241" s="39"/>
      <c r="DP241" s="39"/>
      <c r="DQ241" s="39"/>
      <c r="DR241" s="39"/>
      <c r="DS241" s="39"/>
      <c r="DT241" s="39"/>
      <c r="DU241" s="39"/>
      <c r="DV241" s="39"/>
      <c r="DW241" s="39"/>
      <c r="DX241" s="39"/>
      <c r="DY241" s="39"/>
      <c r="DZ241" s="39"/>
      <c r="EA241" s="39"/>
      <c r="EB241" s="39"/>
      <c r="EC241" s="39"/>
      <c r="ED241" s="39"/>
      <c r="EE241" s="39"/>
      <c r="EF241" s="39"/>
      <c r="EG241" s="39"/>
      <c r="EH241" s="39"/>
      <c r="EI241" s="39"/>
      <c r="EJ241" s="39"/>
      <c r="EK241" s="39"/>
      <c r="EL241" s="39"/>
      <c r="EM241" s="39"/>
      <c r="EN241" s="39"/>
      <c r="EO241" s="39"/>
    </row>
    <row r="242" spans="2:145">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c r="BQ242" s="39"/>
      <c r="BR242" s="39"/>
      <c r="BS242" s="39"/>
      <c r="BT242" s="39"/>
      <c r="BU242" s="39"/>
      <c r="BV242" s="39"/>
      <c r="BW242" s="39"/>
      <c r="BX242" s="39"/>
      <c r="BY242" s="39"/>
      <c r="BZ242" s="39"/>
      <c r="CA242" s="39"/>
      <c r="CB242" s="39"/>
      <c r="CC242" s="39"/>
      <c r="CD242" s="39"/>
      <c r="CE242" s="39"/>
      <c r="CF242" s="39"/>
      <c r="CG242" s="39"/>
      <c r="CH242" s="39"/>
      <c r="CI242" s="39"/>
      <c r="CJ242" s="39"/>
      <c r="CK242" s="39"/>
      <c r="CL242" s="39"/>
      <c r="CM242" s="39"/>
      <c r="CN242" s="39"/>
      <c r="CO242" s="39"/>
      <c r="CP242" s="39"/>
      <c r="CQ242" s="39"/>
      <c r="CR242" s="39"/>
      <c r="CS242" s="39"/>
      <c r="CT242" s="39"/>
      <c r="CU242" s="39"/>
      <c r="CV242" s="39"/>
      <c r="CW242" s="39"/>
      <c r="CX242" s="39"/>
      <c r="CY242" s="39"/>
      <c r="CZ242" s="39"/>
      <c r="DA242" s="39"/>
      <c r="DB242" s="39"/>
      <c r="DC242" s="39"/>
      <c r="DD242" s="39"/>
      <c r="DE242" s="39"/>
      <c r="DF242" s="39"/>
      <c r="DG242" s="39"/>
      <c r="DH242" s="39"/>
      <c r="DI242" s="39"/>
      <c r="DJ242" s="39"/>
      <c r="DK242" s="39"/>
      <c r="DL242" s="39"/>
      <c r="DM242" s="39"/>
      <c r="DN242" s="39"/>
      <c r="DO242" s="39"/>
      <c r="DP242" s="39"/>
      <c r="DQ242" s="39"/>
      <c r="DR242" s="39"/>
      <c r="DS242" s="39"/>
      <c r="DT242" s="39"/>
      <c r="DU242" s="39"/>
      <c r="DV242" s="39"/>
      <c r="DW242" s="39"/>
      <c r="DX242" s="39"/>
      <c r="DY242" s="39"/>
      <c r="DZ242" s="39"/>
      <c r="EA242" s="39"/>
      <c r="EB242" s="39"/>
      <c r="EC242" s="39"/>
      <c r="ED242" s="39"/>
      <c r="EE242" s="39"/>
      <c r="EF242" s="39"/>
      <c r="EG242" s="39"/>
      <c r="EH242" s="39"/>
      <c r="EI242" s="39"/>
      <c r="EJ242" s="39"/>
      <c r="EK242" s="39"/>
      <c r="EL242" s="39"/>
      <c r="EM242" s="39"/>
      <c r="EN242" s="39"/>
      <c r="EO242" s="39"/>
    </row>
    <row r="243" spans="2:145">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c r="BP243" s="39"/>
      <c r="BQ243" s="39"/>
      <c r="BR243" s="39"/>
      <c r="BS243" s="39"/>
      <c r="BT243" s="39"/>
      <c r="BU243" s="39"/>
      <c r="BV243" s="39"/>
      <c r="BW243" s="39"/>
      <c r="BX243" s="39"/>
      <c r="BY243" s="39"/>
      <c r="BZ243" s="39"/>
      <c r="CA243" s="39"/>
      <c r="CB243" s="39"/>
      <c r="CC243" s="39"/>
      <c r="CD243" s="39"/>
      <c r="CE243" s="39"/>
      <c r="CF243" s="39"/>
      <c r="CG243" s="39"/>
      <c r="CH243" s="39"/>
      <c r="CI243" s="39"/>
      <c r="CJ243" s="39"/>
      <c r="CK243" s="39"/>
      <c r="CL243" s="39"/>
      <c r="CM243" s="39"/>
      <c r="CN243" s="39"/>
      <c r="CO243" s="39"/>
      <c r="CP243" s="39"/>
      <c r="CQ243" s="39"/>
      <c r="CR243" s="39"/>
      <c r="CS243" s="39"/>
      <c r="CT243" s="39"/>
      <c r="CU243" s="39"/>
      <c r="CV243" s="39"/>
      <c r="CW243" s="39"/>
      <c r="CX243" s="39"/>
      <c r="CY243" s="39"/>
      <c r="CZ243" s="39"/>
      <c r="DA243" s="39"/>
      <c r="DB243" s="39"/>
      <c r="DC243" s="39"/>
      <c r="DD243" s="39"/>
      <c r="DE243" s="39"/>
      <c r="DF243" s="39"/>
      <c r="DG243" s="39"/>
      <c r="DH243" s="39"/>
      <c r="DI243" s="39"/>
      <c r="DJ243" s="39"/>
      <c r="DK243" s="39"/>
      <c r="DL243" s="39"/>
      <c r="DM243" s="39"/>
      <c r="DN243" s="39"/>
      <c r="DO243" s="39"/>
      <c r="DP243" s="39"/>
      <c r="DQ243" s="39"/>
      <c r="DR243" s="39"/>
      <c r="DS243" s="39"/>
      <c r="DT243" s="39"/>
      <c r="DU243" s="39"/>
      <c r="DV243" s="39"/>
      <c r="DW243" s="39"/>
      <c r="DX243" s="39"/>
      <c r="DY243" s="39"/>
      <c r="DZ243" s="39"/>
      <c r="EA243" s="39"/>
      <c r="EB243" s="39"/>
      <c r="EC243" s="39"/>
      <c r="ED243" s="39"/>
      <c r="EE243" s="39"/>
      <c r="EF243" s="39"/>
      <c r="EG243" s="39"/>
      <c r="EH243" s="39"/>
      <c r="EI243" s="39"/>
      <c r="EJ243" s="39"/>
      <c r="EK243" s="39"/>
      <c r="EL243" s="39"/>
      <c r="EM243" s="39"/>
      <c r="EN243" s="39"/>
      <c r="EO243" s="39"/>
    </row>
    <row r="244" spans="2:145">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c r="BP244" s="39"/>
      <c r="BQ244" s="39"/>
      <c r="BR244" s="39"/>
      <c r="BS244" s="39"/>
      <c r="BT244" s="39"/>
      <c r="BU244" s="39"/>
      <c r="BV244" s="39"/>
      <c r="BW244" s="39"/>
      <c r="BX244" s="39"/>
      <c r="BY244" s="39"/>
      <c r="BZ244" s="39"/>
      <c r="CA244" s="39"/>
      <c r="CB244" s="39"/>
      <c r="CC244" s="39"/>
      <c r="CD244" s="39"/>
      <c r="CE244" s="39"/>
      <c r="CF244" s="39"/>
      <c r="CG244" s="39"/>
      <c r="CH244" s="39"/>
      <c r="CI244" s="39"/>
      <c r="CJ244" s="39"/>
      <c r="CK244" s="39"/>
      <c r="CL244" s="39"/>
      <c r="CM244" s="39"/>
      <c r="CN244" s="39"/>
      <c r="CO244" s="39"/>
      <c r="CP244" s="39"/>
      <c r="CQ244" s="39"/>
      <c r="CR244" s="39"/>
      <c r="CS244" s="39"/>
      <c r="CT244" s="39"/>
      <c r="CU244" s="39"/>
      <c r="CV244" s="39"/>
      <c r="CW244" s="39"/>
      <c r="CX244" s="39"/>
      <c r="CY244" s="39"/>
      <c r="CZ244" s="39"/>
      <c r="DA244" s="39"/>
      <c r="DB244" s="39"/>
      <c r="DC244" s="39"/>
      <c r="DD244" s="39"/>
      <c r="DE244" s="39"/>
      <c r="DF244" s="39"/>
      <c r="DG244" s="39"/>
      <c r="DH244" s="39"/>
      <c r="DI244" s="39"/>
      <c r="DJ244" s="39"/>
      <c r="DK244" s="39"/>
      <c r="DL244" s="39"/>
      <c r="DM244" s="39"/>
      <c r="DN244" s="39"/>
      <c r="DO244" s="39"/>
      <c r="DP244" s="39"/>
      <c r="DQ244" s="39"/>
      <c r="DR244" s="39"/>
      <c r="DS244" s="39"/>
      <c r="DT244" s="39"/>
      <c r="DU244" s="39"/>
      <c r="DV244" s="39"/>
      <c r="DW244" s="39"/>
      <c r="DX244" s="39"/>
      <c r="DY244" s="39"/>
      <c r="DZ244" s="39"/>
      <c r="EA244" s="39"/>
      <c r="EB244" s="39"/>
      <c r="EC244" s="39"/>
      <c r="ED244" s="39"/>
      <c r="EE244" s="39"/>
      <c r="EF244" s="39"/>
      <c r="EG244" s="39"/>
      <c r="EH244" s="39"/>
      <c r="EI244" s="39"/>
      <c r="EJ244" s="39"/>
      <c r="EK244" s="39"/>
      <c r="EL244" s="39"/>
      <c r="EM244" s="39"/>
      <c r="EN244" s="39"/>
      <c r="EO244" s="39"/>
    </row>
    <row r="245" spans="2:145">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39"/>
      <c r="BQ245" s="39"/>
      <c r="BR245" s="39"/>
      <c r="BS245" s="39"/>
      <c r="BT245" s="39"/>
      <c r="BU245" s="39"/>
      <c r="BV245" s="39"/>
      <c r="BW245" s="39"/>
      <c r="BX245" s="39"/>
      <c r="BY245" s="39"/>
      <c r="BZ245" s="39"/>
      <c r="CA245" s="39"/>
      <c r="CB245" s="39"/>
      <c r="CC245" s="39"/>
      <c r="CD245" s="39"/>
      <c r="CE245" s="39"/>
      <c r="CF245" s="39"/>
      <c r="CG245" s="39"/>
      <c r="CH245" s="39"/>
      <c r="CI245" s="39"/>
      <c r="CJ245" s="39"/>
      <c r="CK245" s="39"/>
      <c r="CL245" s="39"/>
      <c r="CM245" s="39"/>
      <c r="CN245" s="39"/>
      <c r="CO245" s="39"/>
      <c r="CP245" s="39"/>
      <c r="CQ245" s="39"/>
      <c r="CR245" s="39"/>
      <c r="CS245" s="39"/>
      <c r="CT245" s="39"/>
      <c r="CU245" s="39"/>
      <c r="CV245" s="39"/>
      <c r="CW245" s="39"/>
      <c r="CX245" s="39"/>
      <c r="CY245" s="39"/>
      <c r="CZ245" s="39"/>
      <c r="DA245" s="39"/>
      <c r="DB245" s="39"/>
      <c r="DC245" s="39"/>
      <c r="DD245" s="39"/>
      <c r="DE245" s="39"/>
      <c r="DF245" s="39"/>
      <c r="DG245" s="39"/>
      <c r="DH245" s="39"/>
      <c r="DI245" s="39"/>
      <c r="DJ245" s="39"/>
      <c r="DK245" s="39"/>
      <c r="DL245" s="39"/>
      <c r="DM245" s="39"/>
      <c r="DN245" s="39"/>
      <c r="DO245" s="39"/>
      <c r="DP245" s="39"/>
      <c r="DQ245" s="39"/>
      <c r="DR245" s="39"/>
      <c r="DS245" s="39"/>
      <c r="DT245" s="39"/>
      <c r="DU245" s="39"/>
      <c r="DV245" s="39"/>
      <c r="DW245" s="39"/>
      <c r="DX245" s="39"/>
      <c r="DY245" s="39"/>
      <c r="DZ245" s="39"/>
      <c r="EA245" s="39"/>
      <c r="EB245" s="39"/>
      <c r="EC245" s="39"/>
      <c r="ED245" s="39"/>
      <c r="EE245" s="39"/>
      <c r="EF245" s="39"/>
      <c r="EG245" s="39"/>
      <c r="EH245" s="39"/>
      <c r="EI245" s="39"/>
      <c r="EJ245" s="39"/>
      <c r="EK245" s="39"/>
      <c r="EL245" s="39"/>
      <c r="EM245" s="39"/>
      <c r="EN245" s="39"/>
      <c r="EO245" s="39"/>
    </row>
    <row r="246" spans="2:145">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c r="CT246" s="39"/>
      <c r="CU246" s="39"/>
      <c r="CV246" s="39"/>
      <c r="CW246" s="39"/>
      <c r="CX246" s="39"/>
      <c r="CY246" s="39"/>
      <c r="CZ246" s="39"/>
      <c r="DA246" s="39"/>
      <c r="DB246" s="39"/>
      <c r="DC246" s="39"/>
      <c r="DD246" s="39"/>
      <c r="DE246" s="39"/>
      <c r="DF246" s="39"/>
      <c r="DG246" s="39"/>
      <c r="DH246" s="39"/>
      <c r="DI246" s="39"/>
      <c r="DJ246" s="39"/>
      <c r="DK246" s="39"/>
      <c r="DL246" s="39"/>
      <c r="DM246" s="39"/>
      <c r="DN246" s="39"/>
      <c r="DO246" s="39"/>
      <c r="DP246" s="39"/>
      <c r="DQ246" s="39"/>
      <c r="DR246" s="39"/>
      <c r="DS246" s="39"/>
      <c r="DT246" s="39"/>
      <c r="DU246" s="39"/>
      <c r="DV246" s="39"/>
      <c r="DW246" s="39"/>
      <c r="DX246" s="39"/>
      <c r="DY246" s="39"/>
      <c r="DZ246" s="39"/>
      <c r="EA246" s="39"/>
      <c r="EB246" s="39"/>
      <c r="EC246" s="39"/>
      <c r="ED246" s="39"/>
      <c r="EE246" s="39"/>
      <c r="EF246" s="39"/>
      <c r="EG246" s="39"/>
      <c r="EH246" s="39"/>
      <c r="EI246" s="39"/>
      <c r="EJ246" s="39"/>
      <c r="EK246" s="39"/>
      <c r="EL246" s="39"/>
      <c r="EM246" s="39"/>
      <c r="EN246" s="39"/>
      <c r="EO246" s="39"/>
    </row>
    <row r="247" spans="2:145">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c r="BP247" s="39"/>
      <c r="BQ247" s="39"/>
      <c r="BR247" s="39"/>
      <c r="BS247" s="39"/>
      <c r="BT247" s="39"/>
      <c r="BU247" s="39"/>
      <c r="BV247" s="39"/>
      <c r="BW247" s="39"/>
      <c r="BX247" s="39"/>
      <c r="BY247" s="39"/>
      <c r="BZ247" s="39"/>
      <c r="CA247" s="39"/>
      <c r="CB247" s="39"/>
      <c r="CC247" s="39"/>
      <c r="CD247" s="39"/>
      <c r="CE247" s="39"/>
      <c r="CF247" s="39"/>
      <c r="CG247" s="39"/>
      <c r="CH247" s="39"/>
      <c r="CI247" s="39"/>
      <c r="CJ247" s="39"/>
      <c r="CK247" s="39"/>
      <c r="CL247" s="39"/>
      <c r="CM247" s="39"/>
      <c r="CN247" s="39"/>
      <c r="CO247" s="39"/>
      <c r="CP247" s="39"/>
      <c r="CQ247" s="39"/>
      <c r="CR247" s="39"/>
      <c r="CS247" s="39"/>
      <c r="CT247" s="39"/>
      <c r="CU247" s="39"/>
      <c r="CV247" s="39"/>
      <c r="CW247" s="39"/>
      <c r="CX247" s="39"/>
      <c r="CY247" s="39"/>
      <c r="CZ247" s="39"/>
      <c r="DA247" s="39"/>
      <c r="DB247" s="39"/>
      <c r="DC247" s="39"/>
      <c r="DD247" s="39"/>
      <c r="DE247" s="39"/>
      <c r="DF247" s="39"/>
      <c r="DG247" s="39"/>
      <c r="DH247" s="39"/>
      <c r="DI247" s="39"/>
      <c r="DJ247" s="39"/>
      <c r="DK247" s="39"/>
      <c r="DL247" s="39"/>
      <c r="DM247" s="39"/>
      <c r="DN247" s="39"/>
      <c r="DO247" s="39"/>
      <c r="DP247" s="39"/>
      <c r="DQ247" s="39"/>
      <c r="DR247" s="39"/>
      <c r="DS247" s="39"/>
      <c r="DT247" s="39"/>
      <c r="DU247" s="39"/>
      <c r="DV247" s="39"/>
      <c r="DW247" s="39"/>
      <c r="DX247" s="39"/>
      <c r="DY247" s="39"/>
      <c r="DZ247" s="39"/>
      <c r="EA247" s="39"/>
      <c r="EB247" s="39"/>
      <c r="EC247" s="39"/>
      <c r="ED247" s="39"/>
      <c r="EE247" s="39"/>
      <c r="EF247" s="39"/>
      <c r="EG247" s="39"/>
      <c r="EH247" s="39"/>
      <c r="EI247" s="39"/>
      <c r="EJ247" s="39"/>
      <c r="EK247" s="39"/>
      <c r="EL247" s="39"/>
      <c r="EM247" s="39"/>
      <c r="EN247" s="39"/>
      <c r="EO247" s="39"/>
    </row>
    <row r="248" spans="2:145">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c r="BP248" s="39"/>
      <c r="BQ248" s="39"/>
      <c r="BR248" s="39"/>
      <c r="BS248" s="39"/>
      <c r="BT248" s="39"/>
      <c r="BU248" s="39"/>
      <c r="BV248" s="39"/>
      <c r="BW248" s="39"/>
      <c r="BX248" s="39"/>
      <c r="BY248" s="39"/>
      <c r="BZ248" s="39"/>
      <c r="CA248" s="39"/>
      <c r="CB248" s="39"/>
      <c r="CC248" s="39"/>
      <c r="CD248" s="39"/>
      <c r="CE248" s="39"/>
      <c r="CF248" s="39"/>
      <c r="CG248" s="39"/>
      <c r="CH248" s="39"/>
      <c r="CI248" s="39"/>
      <c r="CJ248" s="39"/>
      <c r="CK248" s="39"/>
      <c r="CL248" s="39"/>
      <c r="CM248" s="39"/>
      <c r="CN248" s="39"/>
      <c r="CO248" s="39"/>
      <c r="CP248" s="39"/>
      <c r="CQ248" s="39"/>
      <c r="CR248" s="39"/>
      <c r="CS248" s="39"/>
      <c r="CT248" s="39"/>
      <c r="CU248" s="39"/>
      <c r="CV248" s="39"/>
      <c r="CW248" s="39"/>
      <c r="CX248" s="39"/>
      <c r="CY248" s="39"/>
      <c r="CZ248" s="39"/>
      <c r="DA248" s="39"/>
      <c r="DB248" s="39"/>
      <c r="DC248" s="39"/>
      <c r="DD248" s="39"/>
      <c r="DE248" s="39"/>
      <c r="DF248" s="39"/>
      <c r="DG248" s="39"/>
      <c r="DH248" s="39"/>
      <c r="DI248" s="39"/>
      <c r="DJ248" s="39"/>
      <c r="DK248" s="39"/>
      <c r="DL248" s="39"/>
      <c r="DM248" s="39"/>
      <c r="DN248" s="39"/>
      <c r="DO248" s="39"/>
      <c r="DP248" s="39"/>
      <c r="DQ248" s="39"/>
      <c r="DR248" s="39"/>
      <c r="DS248" s="39"/>
      <c r="DT248" s="39"/>
      <c r="DU248" s="39"/>
      <c r="DV248" s="39"/>
      <c r="DW248" s="39"/>
      <c r="DX248" s="39"/>
      <c r="DY248" s="39"/>
      <c r="DZ248" s="39"/>
      <c r="EA248" s="39"/>
      <c r="EB248" s="39"/>
      <c r="EC248" s="39"/>
      <c r="ED248" s="39"/>
      <c r="EE248" s="39"/>
      <c r="EF248" s="39"/>
      <c r="EG248" s="39"/>
      <c r="EH248" s="39"/>
      <c r="EI248" s="39"/>
      <c r="EJ248" s="39"/>
      <c r="EK248" s="39"/>
      <c r="EL248" s="39"/>
      <c r="EM248" s="39"/>
      <c r="EN248" s="39"/>
      <c r="EO248" s="39"/>
    </row>
    <row r="249" spans="2:145">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c r="BU249" s="39"/>
      <c r="BV249" s="39"/>
      <c r="BW249" s="39"/>
      <c r="BX249" s="39"/>
      <c r="BY249" s="39"/>
      <c r="BZ249" s="39"/>
      <c r="CA249" s="39"/>
      <c r="CB249" s="39"/>
      <c r="CC249" s="39"/>
      <c r="CD249" s="39"/>
      <c r="CE249" s="39"/>
      <c r="CF249" s="39"/>
      <c r="CG249" s="39"/>
      <c r="CH249" s="39"/>
      <c r="CI249" s="39"/>
      <c r="CJ249" s="39"/>
      <c r="CK249" s="39"/>
      <c r="CL249" s="39"/>
      <c r="CM249" s="39"/>
      <c r="CN249" s="39"/>
      <c r="CO249" s="39"/>
      <c r="CP249" s="39"/>
      <c r="CQ249" s="39"/>
      <c r="CR249" s="39"/>
      <c r="CS249" s="39"/>
      <c r="CT249" s="39"/>
      <c r="CU249" s="39"/>
      <c r="CV249" s="39"/>
      <c r="CW249" s="39"/>
      <c r="CX249" s="39"/>
      <c r="CY249" s="39"/>
      <c r="CZ249" s="39"/>
      <c r="DA249" s="39"/>
      <c r="DB249" s="39"/>
      <c r="DC249" s="39"/>
      <c r="DD249" s="39"/>
      <c r="DE249" s="39"/>
      <c r="DF249" s="39"/>
      <c r="DG249" s="39"/>
      <c r="DH249" s="39"/>
      <c r="DI249" s="39"/>
      <c r="DJ249" s="39"/>
      <c r="DK249" s="39"/>
      <c r="DL249" s="39"/>
      <c r="DM249" s="39"/>
      <c r="DN249" s="39"/>
      <c r="DO249" s="39"/>
      <c r="DP249" s="39"/>
      <c r="DQ249" s="39"/>
      <c r="DR249" s="39"/>
      <c r="DS249" s="39"/>
      <c r="DT249" s="39"/>
      <c r="DU249" s="39"/>
      <c r="DV249" s="39"/>
      <c r="DW249" s="39"/>
      <c r="DX249" s="39"/>
      <c r="DY249" s="39"/>
      <c r="DZ249" s="39"/>
      <c r="EA249" s="39"/>
      <c r="EB249" s="39"/>
      <c r="EC249" s="39"/>
      <c r="ED249" s="39"/>
      <c r="EE249" s="39"/>
      <c r="EF249" s="39"/>
      <c r="EG249" s="39"/>
      <c r="EH249" s="39"/>
      <c r="EI249" s="39"/>
      <c r="EJ249" s="39"/>
      <c r="EK249" s="39"/>
      <c r="EL249" s="39"/>
      <c r="EM249" s="39"/>
      <c r="EN249" s="39"/>
      <c r="EO249" s="39"/>
    </row>
    <row r="250" spans="2:145">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c r="BP250" s="39"/>
      <c r="BQ250" s="39"/>
      <c r="BR250" s="39"/>
      <c r="BS250" s="39"/>
      <c r="BT250" s="39"/>
      <c r="BU250" s="39"/>
      <c r="BV250" s="39"/>
      <c r="BW250" s="39"/>
      <c r="BX250" s="39"/>
      <c r="BY250" s="39"/>
      <c r="BZ250" s="39"/>
      <c r="CA250" s="39"/>
      <c r="CB250" s="39"/>
      <c r="CC250" s="39"/>
      <c r="CD250" s="39"/>
      <c r="CE250" s="39"/>
      <c r="CF250" s="39"/>
      <c r="CG250" s="39"/>
      <c r="CH250" s="39"/>
      <c r="CI250" s="39"/>
      <c r="CJ250" s="39"/>
      <c r="CK250" s="39"/>
      <c r="CL250" s="39"/>
      <c r="CM250" s="39"/>
      <c r="CN250" s="39"/>
      <c r="CO250" s="39"/>
      <c r="CP250" s="39"/>
      <c r="CQ250" s="39"/>
      <c r="CR250" s="39"/>
      <c r="CS250" s="39"/>
      <c r="CT250" s="39"/>
      <c r="CU250" s="39"/>
      <c r="CV250" s="39"/>
      <c r="CW250" s="39"/>
      <c r="CX250" s="39"/>
      <c r="CY250" s="39"/>
      <c r="CZ250" s="39"/>
      <c r="DA250" s="39"/>
      <c r="DB250" s="39"/>
      <c r="DC250" s="39"/>
      <c r="DD250" s="39"/>
      <c r="DE250" s="39"/>
      <c r="DF250" s="39"/>
      <c r="DG250" s="39"/>
      <c r="DH250" s="39"/>
      <c r="DI250" s="39"/>
      <c r="DJ250" s="39"/>
      <c r="DK250" s="39"/>
      <c r="DL250" s="39"/>
      <c r="DM250" s="39"/>
      <c r="DN250" s="39"/>
      <c r="DO250" s="39"/>
      <c r="DP250" s="39"/>
      <c r="DQ250" s="39"/>
      <c r="DR250" s="39"/>
      <c r="DS250" s="39"/>
      <c r="DT250" s="39"/>
      <c r="DU250" s="39"/>
      <c r="DV250" s="39"/>
      <c r="DW250" s="39"/>
      <c r="DX250" s="39"/>
      <c r="DY250" s="39"/>
      <c r="DZ250" s="39"/>
      <c r="EA250" s="39"/>
      <c r="EB250" s="39"/>
      <c r="EC250" s="39"/>
      <c r="ED250" s="39"/>
      <c r="EE250" s="39"/>
      <c r="EF250" s="39"/>
      <c r="EG250" s="39"/>
      <c r="EH250" s="39"/>
      <c r="EI250" s="39"/>
      <c r="EJ250" s="39"/>
      <c r="EK250" s="39"/>
      <c r="EL250" s="39"/>
      <c r="EM250" s="39"/>
      <c r="EN250" s="39"/>
      <c r="EO250" s="39"/>
    </row>
    <row r="251" spans="2:145">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c r="BP251" s="39"/>
      <c r="BQ251" s="39"/>
      <c r="BR251" s="39"/>
      <c r="BS251" s="39"/>
      <c r="BT251" s="39"/>
      <c r="BU251" s="39"/>
      <c r="BV251" s="39"/>
      <c r="BW251" s="39"/>
      <c r="BX251" s="39"/>
      <c r="BY251" s="39"/>
      <c r="BZ251" s="39"/>
      <c r="CA251" s="39"/>
      <c r="CB251" s="39"/>
      <c r="CC251" s="39"/>
      <c r="CD251" s="39"/>
      <c r="CE251" s="39"/>
      <c r="CF251" s="39"/>
      <c r="CG251" s="39"/>
      <c r="CH251" s="39"/>
      <c r="CI251" s="39"/>
      <c r="CJ251" s="39"/>
      <c r="CK251" s="39"/>
      <c r="CL251" s="39"/>
      <c r="CM251" s="39"/>
      <c r="CN251" s="39"/>
      <c r="CO251" s="39"/>
      <c r="CP251" s="39"/>
      <c r="CQ251" s="39"/>
      <c r="CR251" s="39"/>
      <c r="CS251" s="39"/>
      <c r="CT251" s="39"/>
      <c r="CU251" s="39"/>
      <c r="CV251" s="39"/>
      <c r="CW251" s="39"/>
      <c r="CX251" s="39"/>
      <c r="CY251" s="39"/>
      <c r="CZ251" s="39"/>
      <c r="DA251" s="39"/>
      <c r="DB251" s="39"/>
      <c r="DC251" s="39"/>
      <c r="DD251" s="39"/>
      <c r="DE251" s="39"/>
      <c r="DF251" s="39"/>
      <c r="DG251" s="39"/>
      <c r="DH251" s="39"/>
      <c r="DI251" s="39"/>
      <c r="DJ251" s="39"/>
      <c r="DK251" s="39"/>
      <c r="DL251" s="39"/>
      <c r="DM251" s="39"/>
      <c r="DN251" s="39"/>
      <c r="DO251" s="39"/>
      <c r="DP251" s="39"/>
      <c r="DQ251" s="39"/>
      <c r="DR251" s="39"/>
      <c r="DS251" s="39"/>
      <c r="DT251" s="39"/>
      <c r="DU251" s="39"/>
      <c r="DV251" s="39"/>
      <c r="DW251" s="39"/>
      <c r="DX251" s="39"/>
      <c r="DY251" s="39"/>
      <c r="DZ251" s="39"/>
      <c r="EA251" s="39"/>
      <c r="EB251" s="39"/>
      <c r="EC251" s="39"/>
      <c r="ED251" s="39"/>
      <c r="EE251" s="39"/>
      <c r="EF251" s="39"/>
      <c r="EG251" s="39"/>
      <c r="EH251" s="39"/>
      <c r="EI251" s="39"/>
      <c r="EJ251" s="39"/>
      <c r="EK251" s="39"/>
      <c r="EL251" s="39"/>
      <c r="EM251" s="39"/>
      <c r="EN251" s="39"/>
      <c r="EO251" s="39"/>
    </row>
    <row r="252" spans="2:145">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c r="BP252" s="39"/>
      <c r="BQ252" s="39"/>
      <c r="BR252" s="39"/>
      <c r="BS252" s="39"/>
      <c r="BT252" s="39"/>
      <c r="BU252" s="39"/>
      <c r="BV252" s="39"/>
      <c r="BW252" s="39"/>
      <c r="BX252" s="39"/>
      <c r="BY252" s="39"/>
      <c r="BZ252" s="39"/>
      <c r="CA252" s="39"/>
      <c r="CB252" s="39"/>
      <c r="CC252" s="39"/>
      <c r="CD252" s="39"/>
      <c r="CE252" s="39"/>
      <c r="CF252" s="39"/>
      <c r="CG252" s="39"/>
      <c r="CH252" s="39"/>
      <c r="CI252" s="39"/>
      <c r="CJ252" s="39"/>
      <c r="CK252" s="39"/>
      <c r="CL252" s="39"/>
      <c r="CM252" s="39"/>
      <c r="CN252" s="39"/>
      <c r="CO252" s="39"/>
      <c r="CP252" s="39"/>
      <c r="CQ252" s="39"/>
      <c r="CR252" s="39"/>
      <c r="CS252" s="39"/>
      <c r="CT252" s="39"/>
      <c r="CU252" s="39"/>
      <c r="CV252" s="39"/>
      <c r="CW252" s="39"/>
      <c r="CX252" s="39"/>
      <c r="CY252" s="39"/>
      <c r="CZ252" s="39"/>
      <c r="DA252" s="39"/>
      <c r="DB252" s="39"/>
      <c r="DC252" s="39"/>
      <c r="DD252" s="39"/>
      <c r="DE252" s="39"/>
      <c r="DF252" s="39"/>
      <c r="DG252" s="39"/>
      <c r="DH252" s="39"/>
      <c r="DI252" s="39"/>
      <c r="DJ252" s="39"/>
      <c r="DK252" s="39"/>
      <c r="DL252" s="39"/>
      <c r="DM252" s="39"/>
      <c r="DN252" s="39"/>
      <c r="DO252" s="39"/>
      <c r="DP252" s="39"/>
      <c r="DQ252" s="39"/>
      <c r="DR252" s="39"/>
      <c r="DS252" s="39"/>
      <c r="DT252" s="39"/>
      <c r="DU252" s="39"/>
      <c r="DV252" s="39"/>
      <c r="DW252" s="39"/>
      <c r="DX252" s="39"/>
      <c r="DY252" s="39"/>
      <c r="DZ252" s="39"/>
      <c r="EA252" s="39"/>
      <c r="EB252" s="39"/>
      <c r="EC252" s="39"/>
      <c r="ED252" s="39"/>
      <c r="EE252" s="39"/>
      <c r="EF252" s="39"/>
      <c r="EG252" s="39"/>
      <c r="EH252" s="39"/>
      <c r="EI252" s="39"/>
      <c r="EJ252" s="39"/>
      <c r="EK252" s="39"/>
      <c r="EL252" s="39"/>
      <c r="EM252" s="39"/>
      <c r="EN252" s="39"/>
      <c r="EO252" s="39"/>
    </row>
    <row r="253" spans="2:145">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c r="BP253" s="39"/>
      <c r="BQ253" s="39"/>
      <c r="BR253" s="39"/>
      <c r="BS253" s="39"/>
      <c r="BT253" s="39"/>
      <c r="BU253" s="39"/>
      <c r="BV253" s="39"/>
      <c r="BW253" s="39"/>
      <c r="BX253" s="39"/>
      <c r="BY253" s="39"/>
      <c r="BZ253" s="39"/>
      <c r="CA253" s="39"/>
      <c r="CB253" s="39"/>
      <c r="CC253" s="39"/>
      <c r="CD253" s="39"/>
      <c r="CE253" s="39"/>
      <c r="CF253" s="39"/>
      <c r="CG253" s="39"/>
      <c r="CH253" s="39"/>
      <c r="CI253" s="39"/>
      <c r="CJ253" s="39"/>
      <c r="CK253" s="39"/>
      <c r="CL253" s="39"/>
      <c r="CM253" s="39"/>
      <c r="CN253" s="39"/>
      <c r="CO253" s="39"/>
      <c r="CP253" s="39"/>
      <c r="CQ253" s="39"/>
      <c r="CR253" s="39"/>
      <c r="CS253" s="39"/>
      <c r="CT253" s="39"/>
      <c r="CU253" s="39"/>
      <c r="CV253" s="39"/>
      <c r="CW253" s="39"/>
      <c r="CX253" s="39"/>
      <c r="CY253" s="39"/>
      <c r="CZ253" s="39"/>
      <c r="DA253" s="39"/>
      <c r="DB253" s="39"/>
      <c r="DC253" s="39"/>
      <c r="DD253" s="39"/>
      <c r="DE253" s="39"/>
      <c r="DF253" s="39"/>
      <c r="DG253" s="39"/>
      <c r="DH253" s="39"/>
      <c r="DI253" s="39"/>
      <c r="DJ253" s="39"/>
      <c r="DK253" s="39"/>
      <c r="DL253" s="39"/>
      <c r="DM253" s="39"/>
      <c r="DN253" s="39"/>
      <c r="DO253" s="39"/>
      <c r="DP253" s="39"/>
      <c r="DQ253" s="39"/>
      <c r="DR253" s="39"/>
      <c r="DS253" s="39"/>
      <c r="DT253" s="39"/>
      <c r="DU253" s="39"/>
      <c r="DV253" s="39"/>
      <c r="DW253" s="39"/>
      <c r="DX253" s="39"/>
      <c r="DY253" s="39"/>
      <c r="DZ253" s="39"/>
      <c r="EA253" s="39"/>
      <c r="EB253" s="39"/>
      <c r="EC253" s="39"/>
      <c r="ED253" s="39"/>
      <c r="EE253" s="39"/>
      <c r="EF253" s="39"/>
      <c r="EG253" s="39"/>
      <c r="EH253" s="39"/>
      <c r="EI253" s="39"/>
      <c r="EJ253" s="39"/>
      <c r="EK253" s="39"/>
      <c r="EL253" s="39"/>
      <c r="EM253" s="39"/>
      <c r="EN253" s="39"/>
      <c r="EO253" s="39"/>
    </row>
    <row r="254" spans="2:145">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c r="BP254" s="39"/>
      <c r="BQ254" s="39"/>
      <c r="BR254" s="39"/>
      <c r="BS254" s="39"/>
      <c r="BT254" s="39"/>
      <c r="BU254" s="39"/>
      <c r="BV254" s="39"/>
      <c r="BW254" s="39"/>
      <c r="BX254" s="39"/>
      <c r="BY254" s="39"/>
      <c r="BZ254" s="39"/>
      <c r="CA254" s="39"/>
      <c r="CB254" s="39"/>
      <c r="CC254" s="39"/>
      <c r="CD254" s="39"/>
      <c r="CE254" s="39"/>
      <c r="CF254" s="39"/>
      <c r="CG254" s="39"/>
      <c r="CH254" s="39"/>
      <c r="CI254" s="39"/>
      <c r="CJ254" s="39"/>
      <c r="CK254" s="39"/>
      <c r="CL254" s="39"/>
      <c r="CM254" s="39"/>
      <c r="CN254" s="39"/>
      <c r="CO254" s="39"/>
      <c r="CP254" s="39"/>
      <c r="CQ254" s="39"/>
      <c r="CR254" s="39"/>
      <c r="CS254" s="39"/>
      <c r="CT254" s="39"/>
      <c r="CU254" s="39"/>
      <c r="CV254" s="39"/>
      <c r="CW254" s="39"/>
      <c r="CX254" s="39"/>
      <c r="CY254" s="39"/>
      <c r="CZ254" s="39"/>
      <c r="DA254" s="39"/>
      <c r="DB254" s="39"/>
      <c r="DC254" s="39"/>
      <c r="DD254" s="39"/>
      <c r="DE254" s="39"/>
      <c r="DF254" s="39"/>
      <c r="DG254" s="39"/>
      <c r="DH254" s="39"/>
      <c r="DI254" s="39"/>
      <c r="DJ254" s="39"/>
      <c r="DK254" s="39"/>
      <c r="DL254" s="39"/>
      <c r="DM254" s="39"/>
      <c r="DN254" s="39"/>
      <c r="DO254" s="39"/>
      <c r="DP254" s="39"/>
      <c r="DQ254" s="39"/>
      <c r="DR254" s="39"/>
      <c r="DS254" s="39"/>
      <c r="DT254" s="39"/>
      <c r="DU254" s="39"/>
      <c r="DV254" s="39"/>
      <c r="DW254" s="39"/>
      <c r="DX254" s="39"/>
      <c r="DY254" s="39"/>
      <c r="DZ254" s="39"/>
      <c r="EA254" s="39"/>
      <c r="EB254" s="39"/>
      <c r="EC254" s="39"/>
      <c r="ED254" s="39"/>
      <c r="EE254" s="39"/>
      <c r="EF254" s="39"/>
      <c r="EG254" s="39"/>
      <c r="EH254" s="39"/>
      <c r="EI254" s="39"/>
      <c r="EJ254" s="39"/>
      <c r="EK254" s="39"/>
      <c r="EL254" s="39"/>
      <c r="EM254" s="39"/>
      <c r="EN254" s="39"/>
      <c r="EO254" s="39"/>
    </row>
    <row r="255" spans="2:145">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c r="BP255" s="39"/>
      <c r="BQ255" s="39"/>
      <c r="BR255" s="39"/>
      <c r="BS255" s="39"/>
      <c r="BT255" s="39"/>
      <c r="BU255" s="39"/>
      <c r="BV255" s="39"/>
      <c r="BW255" s="39"/>
      <c r="BX255" s="39"/>
      <c r="BY255" s="39"/>
      <c r="BZ255" s="39"/>
      <c r="CA255" s="39"/>
      <c r="CB255" s="39"/>
      <c r="CC255" s="39"/>
      <c r="CD255" s="39"/>
      <c r="CE255" s="39"/>
      <c r="CF255" s="39"/>
      <c r="CG255" s="39"/>
      <c r="CH255" s="39"/>
      <c r="CI255" s="39"/>
      <c r="CJ255" s="39"/>
      <c r="CK255" s="39"/>
      <c r="CL255" s="39"/>
      <c r="CM255" s="39"/>
      <c r="CN255" s="39"/>
      <c r="CO255" s="39"/>
      <c r="CP255" s="39"/>
      <c r="CQ255" s="39"/>
      <c r="CR255" s="39"/>
      <c r="CS255" s="39"/>
      <c r="CT255" s="39"/>
      <c r="CU255" s="39"/>
      <c r="CV255" s="39"/>
      <c r="CW255" s="39"/>
      <c r="CX255" s="39"/>
      <c r="CY255" s="39"/>
      <c r="CZ255" s="39"/>
      <c r="DA255" s="39"/>
      <c r="DB255" s="39"/>
      <c r="DC255" s="39"/>
      <c r="DD255" s="39"/>
      <c r="DE255" s="39"/>
      <c r="DF255" s="39"/>
      <c r="DG255" s="39"/>
      <c r="DH255" s="39"/>
      <c r="DI255" s="39"/>
      <c r="DJ255" s="39"/>
      <c r="DK255" s="39"/>
      <c r="DL255" s="39"/>
      <c r="DM255" s="39"/>
      <c r="DN255" s="39"/>
      <c r="DO255" s="39"/>
      <c r="DP255" s="39"/>
      <c r="DQ255" s="39"/>
      <c r="DR255" s="39"/>
      <c r="DS255" s="39"/>
      <c r="DT255" s="39"/>
      <c r="DU255" s="39"/>
      <c r="DV255" s="39"/>
      <c r="DW255" s="39"/>
      <c r="DX255" s="39"/>
      <c r="DY255" s="39"/>
      <c r="DZ255" s="39"/>
      <c r="EA255" s="39"/>
      <c r="EB255" s="39"/>
      <c r="EC255" s="39"/>
      <c r="ED255" s="39"/>
      <c r="EE255" s="39"/>
      <c r="EF255" s="39"/>
      <c r="EG255" s="39"/>
      <c r="EH255" s="39"/>
      <c r="EI255" s="39"/>
      <c r="EJ255" s="39"/>
      <c r="EK255" s="39"/>
      <c r="EL255" s="39"/>
      <c r="EM255" s="39"/>
      <c r="EN255" s="39"/>
      <c r="EO255" s="39"/>
    </row>
    <row r="256" spans="2:145">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c r="BU256" s="39"/>
      <c r="BV256" s="39"/>
      <c r="BW256" s="39"/>
      <c r="BX256" s="39"/>
      <c r="BY256" s="39"/>
      <c r="BZ256" s="39"/>
      <c r="CA256" s="39"/>
      <c r="CB256" s="39"/>
      <c r="CC256" s="39"/>
      <c r="CD256" s="39"/>
      <c r="CE256" s="39"/>
      <c r="CF256" s="39"/>
      <c r="CG256" s="39"/>
      <c r="CH256" s="39"/>
      <c r="CI256" s="39"/>
      <c r="CJ256" s="39"/>
      <c r="CK256" s="39"/>
      <c r="CL256" s="39"/>
      <c r="CM256" s="39"/>
      <c r="CN256" s="39"/>
      <c r="CO256" s="39"/>
      <c r="CP256" s="39"/>
      <c r="CQ256" s="39"/>
      <c r="CR256" s="39"/>
      <c r="CS256" s="39"/>
      <c r="CT256" s="39"/>
      <c r="CU256" s="39"/>
      <c r="CV256" s="39"/>
      <c r="CW256" s="39"/>
      <c r="CX256" s="39"/>
      <c r="CY256" s="39"/>
      <c r="CZ256" s="39"/>
      <c r="DA256" s="39"/>
      <c r="DB256" s="39"/>
      <c r="DC256" s="39"/>
      <c r="DD256" s="39"/>
      <c r="DE256" s="39"/>
      <c r="DF256" s="39"/>
      <c r="DG256" s="39"/>
      <c r="DH256" s="39"/>
      <c r="DI256" s="39"/>
      <c r="DJ256" s="39"/>
      <c r="DK256" s="39"/>
      <c r="DL256" s="39"/>
      <c r="DM256" s="39"/>
      <c r="DN256" s="39"/>
      <c r="DO256" s="39"/>
      <c r="DP256" s="39"/>
      <c r="DQ256" s="39"/>
      <c r="DR256" s="39"/>
      <c r="DS256" s="39"/>
      <c r="DT256" s="39"/>
      <c r="DU256" s="39"/>
      <c r="DV256" s="39"/>
      <c r="DW256" s="39"/>
      <c r="DX256" s="39"/>
      <c r="DY256" s="39"/>
      <c r="DZ256" s="39"/>
      <c r="EA256" s="39"/>
      <c r="EB256" s="39"/>
      <c r="EC256" s="39"/>
      <c r="ED256" s="39"/>
      <c r="EE256" s="39"/>
      <c r="EF256" s="39"/>
      <c r="EG256" s="39"/>
      <c r="EH256" s="39"/>
      <c r="EI256" s="39"/>
      <c r="EJ256" s="39"/>
      <c r="EK256" s="39"/>
      <c r="EL256" s="39"/>
      <c r="EM256" s="39"/>
      <c r="EN256" s="39"/>
      <c r="EO256" s="39"/>
    </row>
    <row r="257" spans="2:145">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39"/>
      <c r="BQ257" s="39"/>
      <c r="BR257" s="39"/>
      <c r="BS257" s="39"/>
      <c r="BT257" s="39"/>
      <c r="BU257" s="39"/>
      <c r="BV257" s="39"/>
      <c r="BW257" s="39"/>
      <c r="BX257" s="39"/>
      <c r="BY257" s="39"/>
      <c r="BZ257" s="39"/>
      <c r="CA257" s="39"/>
      <c r="CB257" s="39"/>
      <c r="CC257" s="39"/>
      <c r="CD257" s="39"/>
      <c r="CE257" s="39"/>
      <c r="CF257" s="39"/>
      <c r="CG257" s="39"/>
      <c r="CH257" s="39"/>
      <c r="CI257" s="39"/>
      <c r="CJ257" s="39"/>
      <c r="CK257" s="39"/>
      <c r="CL257" s="39"/>
      <c r="CM257" s="39"/>
      <c r="CN257" s="39"/>
      <c r="CO257" s="39"/>
      <c r="CP257" s="39"/>
      <c r="CQ257" s="39"/>
      <c r="CR257" s="39"/>
      <c r="CS257" s="39"/>
      <c r="CT257" s="39"/>
      <c r="CU257" s="39"/>
      <c r="CV257" s="39"/>
      <c r="CW257" s="39"/>
      <c r="CX257" s="39"/>
      <c r="CY257" s="39"/>
      <c r="CZ257" s="39"/>
      <c r="DA257" s="39"/>
      <c r="DB257" s="39"/>
      <c r="DC257" s="39"/>
      <c r="DD257" s="39"/>
      <c r="DE257" s="39"/>
      <c r="DF257" s="39"/>
      <c r="DG257" s="39"/>
      <c r="DH257" s="39"/>
      <c r="DI257" s="39"/>
      <c r="DJ257" s="39"/>
      <c r="DK257" s="39"/>
      <c r="DL257" s="39"/>
      <c r="DM257" s="39"/>
      <c r="DN257" s="39"/>
      <c r="DO257" s="39"/>
      <c r="DP257" s="39"/>
      <c r="DQ257" s="39"/>
      <c r="DR257" s="39"/>
      <c r="DS257" s="39"/>
      <c r="DT257" s="39"/>
      <c r="DU257" s="39"/>
      <c r="DV257" s="39"/>
      <c r="DW257" s="39"/>
      <c r="DX257" s="39"/>
      <c r="DY257" s="39"/>
      <c r="DZ257" s="39"/>
      <c r="EA257" s="39"/>
      <c r="EB257" s="39"/>
      <c r="EC257" s="39"/>
      <c r="ED257" s="39"/>
      <c r="EE257" s="39"/>
      <c r="EF257" s="39"/>
      <c r="EG257" s="39"/>
      <c r="EH257" s="39"/>
      <c r="EI257" s="39"/>
      <c r="EJ257" s="39"/>
      <c r="EK257" s="39"/>
      <c r="EL257" s="39"/>
      <c r="EM257" s="39"/>
      <c r="EN257" s="39"/>
      <c r="EO257" s="39"/>
    </row>
    <row r="258" spans="2:145">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c r="BU258" s="39"/>
      <c r="BV258" s="39"/>
      <c r="BW258" s="39"/>
      <c r="BX258" s="39"/>
      <c r="BY258" s="39"/>
      <c r="BZ258" s="39"/>
      <c r="CA258" s="39"/>
      <c r="CB258" s="39"/>
      <c r="CC258" s="39"/>
      <c r="CD258" s="39"/>
      <c r="CE258" s="39"/>
      <c r="CF258" s="39"/>
      <c r="CG258" s="39"/>
      <c r="CH258" s="39"/>
      <c r="CI258" s="39"/>
      <c r="CJ258" s="39"/>
      <c r="CK258" s="39"/>
      <c r="CL258" s="39"/>
      <c r="CM258" s="39"/>
      <c r="CN258" s="39"/>
      <c r="CO258" s="39"/>
      <c r="CP258" s="39"/>
      <c r="CQ258" s="39"/>
      <c r="CR258" s="39"/>
      <c r="CS258" s="39"/>
      <c r="CT258" s="39"/>
      <c r="CU258" s="39"/>
      <c r="CV258" s="39"/>
      <c r="CW258" s="39"/>
      <c r="CX258" s="39"/>
      <c r="CY258" s="39"/>
      <c r="CZ258" s="39"/>
      <c r="DA258" s="39"/>
      <c r="DB258" s="39"/>
      <c r="DC258" s="39"/>
      <c r="DD258" s="39"/>
      <c r="DE258" s="39"/>
      <c r="DF258" s="39"/>
      <c r="DG258" s="39"/>
      <c r="DH258" s="39"/>
      <c r="DI258" s="39"/>
      <c r="DJ258" s="39"/>
      <c r="DK258" s="39"/>
      <c r="DL258" s="39"/>
      <c r="DM258" s="39"/>
      <c r="DN258" s="39"/>
      <c r="DO258" s="39"/>
      <c r="DP258" s="39"/>
      <c r="DQ258" s="39"/>
      <c r="DR258" s="39"/>
      <c r="DS258" s="39"/>
      <c r="DT258" s="39"/>
      <c r="DU258" s="39"/>
      <c r="DV258" s="39"/>
      <c r="DW258" s="39"/>
      <c r="DX258" s="39"/>
      <c r="DY258" s="39"/>
      <c r="DZ258" s="39"/>
      <c r="EA258" s="39"/>
      <c r="EB258" s="39"/>
      <c r="EC258" s="39"/>
      <c r="ED258" s="39"/>
      <c r="EE258" s="39"/>
      <c r="EF258" s="39"/>
      <c r="EG258" s="39"/>
      <c r="EH258" s="39"/>
      <c r="EI258" s="39"/>
      <c r="EJ258" s="39"/>
      <c r="EK258" s="39"/>
      <c r="EL258" s="39"/>
      <c r="EM258" s="39"/>
      <c r="EN258" s="39"/>
      <c r="EO258" s="39"/>
    </row>
    <row r="259" spans="2:145">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c r="CT259" s="39"/>
      <c r="CU259" s="39"/>
      <c r="CV259" s="39"/>
      <c r="CW259" s="39"/>
      <c r="CX259" s="39"/>
      <c r="CY259" s="39"/>
      <c r="CZ259" s="39"/>
      <c r="DA259" s="39"/>
      <c r="DB259" s="39"/>
      <c r="DC259" s="39"/>
      <c r="DD259" s="39"/>
      <c r="DE259" s="39"/>
      <c r="DF259" s="39"/>
      <c r="DG259" s="39"/>
      <c r="DH259" s="39"/>
      <c r="DI259" s="39"/>
      <c r="DJ259" s="39"/>
      <c r="DK259" s="39"/>
      <c r="DL259" s="39"/>
      <c r="DM259" s="39"/>
      <c r="DN259" s="39"/>
      <c r="DO259" s="39"/>
      <c r="DP259" s="39"/>
      <c r="DQ259" s="39"/>
      <c r="DR259" s="39"/>
      <c r="DS259" s="39"/>
      <c r="DT259" s="39"/>
      <c r="DU259" s="39"/>
      <c r="DV259" s="39"/>
      <c r="DW259" s="39"/>
      <c r="DX259" s="39"/>
      <c r="DY259" s="39"/>
      <c r="DZ259" s="39"/>
      <c r="EA259" s="39"/>
      <c r="EB259" s="39"/>
      <c r="EC259" s="39"/>
      <c r="ED259" s="39"/>
      <c r="EE259" s="39"/>
      <c r="EF259" s="39"/>
      <c r="EG259" s="39"/>
      <c r="EH259" s="39"/>
      <c r="EI259" s="39"/>
      <c r="EJ259" s="39"/>
      <c r="EK259" s="39"/>
      <c r="EL259" s="39"/>
      <c r="EM259" s="39"/>
      <c r="EN259" s="39"/>
      <c r="EO259" s="39"/>
    </row>
    <row r="260" spans="2:145">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39"/>
      <c r="BQ260" s="39"/>
      <c r="BR260" s="39"/>
      <c r="BS260" s="39"/>
      <c r="BT260" s="39"/>
      <c r="BU260" s="39"/>
      <c r="BV260" s="39"/>
      <c r="BW260" s="39"/>
      <c r="BX260" s="39"/>
      <c r="BY260" s="39"/>
      <c r="BZ260" s="39"/>
      <c r="CA260" s="39"/>
      <c r="CB260" s="39"/>
      <c r="CC260" s="39"/>
      <c r="CD260" s="39"/>
      <c r="CE260" s="39"/>
      <c r="CF260" s="39"/>
      <c r="CG260" s="39"/>
      <c r="CH260" s="39"/>
      <c r="CI260" s="39"/>
      <c r="CJ260" s="39"/>
      <c r="CK260" s="39"/>
      <c r="CL260" s="39"/>
      <c r="CM260" s="39"/>
      <c r="CN260" s="39"/>
      <c r="CO260" s="39"/>
      <c r="CP260" s="39"/>
      <c r="CQ260" s="39"/>
      <c r="CR260" s="39"/>
      <c r="CS260" s="39"/>
      <c r="CT260" s="39"/>
      <c r="CU260" s="39"/>
      <c r="CV260" s="39"/>
      <c r="CW260" s="39"/>
      <c r="CX260" s="39"/>
      <c r="CY260" s="39"/>
      <c r="CZ260" s="39"/>
      <c r="DA260" s="39"/>
      <c r="DB260" s="39"/>
      <c r="DC260" s="39"/>
      <c r="DD260" s="39"/>
      <c r="DE260" s="39"/>
      <c r="DF260" s="39"/>
      <c r="DG260" s="39"/>
      <c r="DH260" s="39"/>
      <c r="DI260" s="39"/>
      <c r="DJ260" s="39"/>
      <c r="DK260" s="39"/>
      <c r="DL260" s="39"/>
      <c r="DM260" s="39"/>
      <c r="DN260" s="39"/>
      <c r="DO260" s="39"/>
      <c r="DP260" s="39"/>
      <c r="DQ260" s="39"/>
      <c r="DR260" s="39"/>
      <c r="DS260" s="39"/>
      <c r="DT260" s="39"/>
      <c r="DU260" s="39"/>
      <c r="DV260" s="39"/>
      <c r="DW260" s="39"/>
      <c r="DX260" s="39"/>
      <c r="DY260" s="39"/>
      <c r="DZ260" s="39"/>
      <c r="EA260" s="39"/>
      <c r="EB260" s="39"/>
      <c r="EC260" s="39"/>
      <c r="ED260" s="39"/>
      <c r="EE260" s="39"/>
      <c r="EF260" s="39"/>
      <c r="EG260" s="39"/>
      <c r="EH260" s="39"/>
      <c r="EI260" s="39"/>
      <c r="EJ260" s="39"/>
      <c r="EK260" s="39"/>
      <c r="EL260" s="39"/>
      <c r="EM260" s="39"/>
      <c r="EN260" s="39"/>
      <c r="EO260" s="39"/>
    </row>
    <row r="261" spans="2:145">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39"/>
      <c r="BQ261" s="39"/>
      <c r="BR261" s="39"/>
      <c r="BS261" s="39"/>
      <c r="BT261" s="39"/>
      <c r="BU261" s="39"/>
      <c r="BV261" s="39"/>
      <c r="BW261" s="39"/>
      <c r="BX261" s="39"/>
      <c r="BY261" s="39"/>
      <c r="BZ261" s="39"/>
      <c r="CA261" s="39"/>
      <c r="CB261" s="39"/>
      <c r="CC261" s="39"/>
      <c r="CD261" s="39"/>
      <c r="CE261" s="39"/>
      <c r="CF261" s="39"/>
      <c r="CG261" s="39"/>
      <c r="CH261" s="39"/>
      <c r="CI261" s="39"/>
      <c r="CJ261" s="39"/>
      <c r="CK261" s="39"/>
      <c r="CL261" s="39"/>
      <c r="CM261" s="39"/>
      <c r="CN261" s="39"/>
      <c r="CO261" s="39"/>
      <c r="CP261" s="39"/>
      <c r="CQ261" s="39"/>
      <c r="CR261" s="39"/>
      <c r="CS261" s="39"/>
      <c r="CT261" s="39"/>
      <c r="CU261" s="39"/>
      <c r="CV261" s="39"/>
      <c r="CW261" s="39"/>
      <c r="CX261" s="39"/>
      <c r="CY261" s="39"/>
      <c r="CZ261" s="39"/>
      <c r="DA261" s="39"/>
      <c r="DB261" s="39"/>
      <c r="DC261" s="39"/>
      <c r="DD261" s="39"/>
      <c r="DE261" s="39"/>
      <c r="DF261" s="39"/>
      <c r="DG261" s="39"/>
      <c r="DH261" s="39"/>
      <c r="DI261" s="39"/>
      <c r="DJ261" s="39"/>
      <c r="DK261" s="39"/>
      <c r="DL261" s="39"/>
      <c r="DM261" s="39"/>
      <c r="DN261" s="39"/>
      <c r="DO261" s="39"/>
      <c r="DP261" s="39"/>
      <c r="DQ261" s="39"/>
      <c r="DR261" s="39"/>
      <c r="DS261" s="39"/>
      <c r="DT261" s="39"/>
      <c r="DU261" s="39"/>
      <c r="DV261" s="39"/>
      <c r="DW261" s="39"/>
      <c r="DX261" s="39"/>
      <c r="DY261" s="39"/>
      <c r="DZ261" s="39"/>
      <c r="EA261" s="39"/>
      <c r="EB261" s="39"/>
      <c r="EC261" s="39"/>
      <c r="ED261" s="39"/>
      <c r="EE261" s="39"/>
      <c r="EF261" s="39"/>
      <c r="EG261" s="39"/>
      <c r="EH261" s="39"/>
      <c r="EI261" s="39"/>
      <c r="EJ261" s="39"/>
      <c r="EK261" s="39"/>
      <c r="EL261" s="39"/>
      <c r="EM261" s="39"/>
      <c r="EN261" s="39"/>
      <c r="EO261" s="39"/>
    </row>
    <row r="262" spans="2:145">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c r="CA262" s="39"/>
      <c r="CB262" s="39"/>
      <c r="CC262" s="39"/>
      <c r="CD262" s="39"/>
      <c r="CE262" s="39"/>
      <c r="CF262" s="39"/>
      <c r="CG262" s="39"/>
      <c r="CH262" s="39"/>
      <c r="CI262" s="39"/>
      <c r="CJ262" s="39"/>
      <c r="CK262" s="39"/>
      <c r="CL262" s="39"/>
      <c r="CM262" s="39"/>
      <c r="CN262" s="39"/>
      <c r="CO262" s="39"/>
      <c r="CP262" s="39"/>
      <c r="CQ262" s="39"/>
      <c r="CR262" s="39"/>
      <c r="CS262" s="39"/>
      <c r="CT262" s="39"/>
      <c r="CU262" s="39"/>
      <c r="CV262" s="39"/>
      <c r="CW262" s="39"/>
      <c r="CX262" s="39"/>
      <c r="CY262" s="39"/>
      <c r="CZ262" s="39"/>
      <c r="DA262" s="39"/>
      <c r="DB262" s="39"/>
      <c r="DC262" s="39"/>
      <c r="DD262" s="39"/>
      <c r="DE262" s="39"/>
      <c r="DF262" s="39"/>
      <c r="DG262" s="39"/>
      <c r="DH262" s="39"/>
      <c r="DI262" s="39"/>
      <c r="DJ262" s="39"/>
      <c r="DK262" s="39"/>
      <c r="DL262" s="39"/>
      <c r="DM262" s="39"/>
      <c r="DN262" s="39"/>
      <c r="DO262" s="39"/>
      <c r="DP262" s="39"/>
      <c r="DQ262" s="39"/>
      <c r="DR262" s="39"/>
      <c r="DS262" s="39"/>
      <c r="DT262" s="39"/>
      <c r="DU262" s="39"/>
      <c r="DV262" s="39"/>
      <c r="DW262" s="39"/>
      <c r="DX262" s="39"/>
      <c r="DY262" s="39"/>
      <c r="DZ262" s="39"/>
      <c r="EA262" s="39"/>
      <c r="EB262" s="39"/>
      <c r="EC262" s="39"/>
      <c r="ED262" s="39"/>
      <c r="EE262" s="39"/>
      <c r="EF262" s="39"/>
      <c r="EG262" s="39"/>
      <c r="EH262" s="39"/>
      <c r="EI262" s="39"/>
      <c r="EJ262" s="39"/>
      <c r="EK262" s="39"/>
      <c r="EL262" s="39"/>
      <c r="EM262" s="39"/>
      <c r="EN262" s="39"/>
      <c r="EO262" s="39"/>
    </row>
    <row r="263" spans="2:145">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c r="CB263" s="39"/>
      <c r="CC263" s="39"/>
      <c r="CD263" s="39"/>
      <c r="CE263" s="39"/>
      <c r="CF263" s="39"/>
      <c r="CG263" s="39"/>
      <c r="CH263" s="39"/>
      <c r="CI263" s="39"/>
      <c r="CJ263" s="39"/>
      <c r="CK263" s="39"/>
      <c r="CL263" s="39"/>
      <c r="CM263" s="39"/>
      <c r="CN263" s="39"/>
      <c r="CO263" s="39"/>
      <c r="CP263" s="39"/>
      <c r="CQ263" s="39"/>
      <c r="CR263" s="39"/>
      <c r="CS263" s="39"/>
      <c r="CT263" s="39"/>
      <c r="CU263" s="39"/>
      <c r="CV263" s="39"/>
      <c r="CW263" s="39"/>
      <c r="CX263" s="39"/>
      <c r="CY263" s="39"/>
      <c r="CZ263" s="39"/>
      <c r="DA263" s="39"/>
      <c r="DB263" s="39"/>
      <c r="DC263" s="39"/>
      <c r="DD263" s="39"/>
      <c r="DE263" s="39"/>
      <c r="DF263" s="39"/>
      <c r="DG263" s="39"/>
      <c r="DH263" s="39"/>
      <c r="DI263" s="39"/>
      <c r="DJ263" s="39"/>
      <c r="DK263" s="39"/>
      <c r="DL263" s="39"/>
      <c r="DM263" s="39"/>
      <c r="DN263" s="39"/>
      <c r="DO263" s="39"/>
      <c r="DP263" s="39"/>
      <c r="DQ263" s="39"/>
      <c r="DR263" s="39"/>
      <c r="DS263" s="39"/>
      <c r="DT263" s="39"/>
      <c r="DU263" s="39"/>
      <c r="DV263" s="39"/>
      <c r="DW263" s="39"/>
      <c r="DX263" s="39"/>
      <c r="DY263" s="39"/>
      <c r="DZ263" s="39"/>
      <c r="EA263" s="39"/>
      <c r="EB263" s="39"/>
      <c r="EC263" s="39"/>
      <c r="ED263" s="39"/>
      <c r="EE263" s="39"/>
      <c r="EF263" s="39"/>
      <c r="EG263" s="39"/>
      <c r="EH263" s="39"/>
      <c r="EI263" s="39"/>
      <c r="EJ263" s="39"/>
      <c r="EK263" s="39"/>
      <c r="EL263" s="39"/>
      <c r="EM263" s="39"/>
      <c r="EN263" s="39"/>
      <c r="EO263" s="39"/>
    </row>
    <row r="264" spans="2:145">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c r="BU264" s="39"/>
      <c r="BV264" s="39"/>
      <c r="BW264" s="39"/>
      <c r="BX264" s="39"/>
      <c r="BY264" s="39"/>
      <c r="BZ264" s="39"/>
      <c r="CA264" s="39"/>
      <c r="CB264" s="39"/>
      <c r="CC264" s="39"/>
      <c r="CD264" s="39"/>
      <c r="CE264" s="39"/>
      <c r="CF264" s="39"/>
      <c r="CG264" s="39"/>
      <c r="CH264" s="39"/>
      <c r="CI264" s="39"/>
      <c r="CJ264" s="39"/>
      <c r="CK264" s="39"/>
      <c r="CL264" s="39"/>
      <c r="CM264" s="39"/>
      <c r="CN264" s="39"/>
      <c r="CO264" s="39"/>
      <c r="CP264" s="39"/>
      <c r="CQ264" s="39"/>
      <c r="CR264" s="39"/>
      <c r="CS264" s="39"/>
      <c r="CT264" s="39"/>
      <c r="CU264" s="39"/>
      <c r="CV264" s="39"/>
      <c r="CW264" s="39"/>
      <c r="CX264" s="39"/>
      <c r="CY264" s="39"/>
      <c r="CZ264" s="39"/>
      <c r="DA264" s="39"/>
      <c r="DB264" s="39"/>
      <c r="DC264" s="39"/>
      <c r="DD264" s="39"/>
      <c r="DE264" s="39"/>
      <c r="DF264" s="39"/>
      <c r="DG264" s="39"/>
      <c r="DH264" s="39"/>
      <c r="DI264" s="39"/>
      <c r="DJ264" s="39"/>
      <c r="DK264" s="39"/>
      <c r="DL264" s="39"/>
      <c r="DM264" s="39"/>
      <c r="DN264" s="39"/>
      <c r="DO264" s="39"/>
      <c r="DP264" s="39"/>
      <c r="DQ264" s="39"/>
      <c r="DR264" s="39"/>
      <c r="DS264" s="39"/>
      <c r="DT264" s="39"/>
      <c r="DU264" s="39"/>
      <c r="DV264" s="39"/>
      <c r="DW264" s="39"/>
      <c r="DX264" s="39"/>
      <c r="DY264" s="39"/>
      <c r="DZ264" s="39"/>
      <c r="EA264" s="39"/>
      <c r="EB264" s="39"/>
      <c r="EC264" s="39"/>
      <c r="ED264" s="39"/>
      <c r="EE264" s="39"/>
      <c r="EF264" s="39"/>
      <c r="EG264" s="39"/>
      <c r="EH264" s="39"/>
      <c r="EI264" s="39"/>
      <c r="EJ264" s="39"/>
      <c r="EK264" s="39"/>
      <c r="EL264" s="39"/>
      <c r="EM264" s="39"/>
      <c r="EN264" s="39"/>
      <c r="EO264" s="39"/>
    </row>
    <row r="265" spans="2:145">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c r="CB265" s="39"/>
      <c r="CC265" s="39"/>
      <c r="CD265" s="39"/>
      <c r="CE265" s="39"/>
      <c r="CF265" s="39"/>
      <c r="CG265" s="39"/>
      <c r="CH265" s="39"/>
      <c r="CI265" s="39"/>
      <c r="CJ265" s="39"/>
      <c r="CK265" s="39"/>
      <c r="CL265" s="39"/>
      <c r="CM265" s="39"/>
      <c r="CN265" s="39"/>
      <c r="CO265" s="39"/>
      <c r="CP265" s="39"/>
      <c r="CQ265" s="39"/>
      <c r="CR265" s="39"/>
      <c r="CS265" s="39"/>
      <c r="CT265" s="39"/>
      <c r="CU265" s="39"/>
      <c r="CV265" s="39"/>
      <c r="CW265" s="39"/>
      <c r="CX265" s="39"/>
      <c r="CY265" s="39"/>
      <c r="CZ265" s="39"/>
      <c r="DA265" s="39"/>
      <c r="DB265" s="39"/>
      <c r="DC265" s="39"/>
      <c r="DD265" s="39"/>
      <c r="DE265" s="39"/>
      <c r="DF265" s="39"/>
      <c r="DG265" s="39"/>
      <c r="DH265" s="39"/>
      <c r="DI265" s="39"/>
      <c r="DJ265" s="39"/>
      <c r="DK265" s="39"/>
      <c r="DL265" s="39"/>
      <c r="DM265" s="39"/>
      <c r="DN265" s="39"/>
      <c r="DO265" s="39"/>
      <c r="DP265" s="39"/>
      <c r="DQ265" s="39"/>
      <c r="DR265" s="39"/>
      <c r="DS265" s="39"/>
      <c r="DT265" s="39"/>
      <c r="DU265" s="39"/>
      <c r="DV265" s="39"/>
      <c r="DW265" s="39"/>
      <c r="DX265" s="39"/>
      <c r="DY265" s="39"/>
      <c r="DZ265" s="39"/>
      <c r="EA265" s="39"/>
      <c r="EB265" s="39"/>
      <c r="EC265" s="39"/>
      <c r="ED265" s="39"/>
      <c r="EE265" s="39"/>
      <c r="EF265" s="39"/>
      <c r="EG265" s="39"/>
      <c r="EH265" s="39"/>
      <c r="EI265" s="39"/>
      <c r="EJ265" s="39"/>
      <c r="EK265" s="39"/>
      <c r="EL265" s="39"/>
      <c r="EM265" s="39"/>
      <c r="EN265" s="39"/>
      <c r="EO265" s="39"/>
    </row>
    <row r="266" spans="2:145">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c r="CT266" s="39"/>
      <c r="CU266" s="39"/>
      <c r="CV266" s="39"/>
      <c r="CW266" s="39"/>
      <c r="CX266" s="39"/>
      <c r="CY266" s="39"/>
      <c r="CZ266" s="39"/>
      <c r="DA266" s="39"/>
      <c r="DB266" s="39"/>
      <c r="DC266" s="39"/>
      <c r="DD266" s="39"/>
      <c r="DE266" s="39"/>
      <c r="DF266" s="39"/>
      <c r="DG266" s="39"/>
      <c r="DH266" s="39"/>
      <c r="DI266" s="39"/>
      <c r="DJ266" s="39"/>
      <c r="DK266" s="39"/>
      <c r="DL266" s="39"/>
      <c r="DM266" s="39"/>
      <c r="DN266" s="39"/>
      <c r="DO266" s="39"/>
      <c r="DP266" s="39"/>
      <c r="DQ266" s="39"/>
      <c r="DR266" s="39"/>
      <c r="DS266" s="39"/>
      <c r="DT266" s="39"/>
      <c r="DU266" s="39"/>
      <c r="DV266" s="39"/>
      <c r="DW266" s="39"/>
      <c r="DX266" s="39"/>
      <c r="DY266" s="39"/>
      <c r="DZ266" s="39"/>
      <c r="EA266" s="39"/>
      <c r="EB266" s="39"/>
      <c r="EC266" s="39"/>
      <c r="ED266" s="39"/>
      <c r="EE266" s="39"/>
      <c r="EF266" s="39"/>
      <c r="EG266" s="39"/>
      <c r="EH266" s="39"/>
      <c r="EI266" s="39"/>
      <c r="EJ266" s="39"/>
      <c r="EK266" s="39"/>
      <c r="EL266" s="39"/>
      <c r="EM266" s="39"/>
      <c r="EN266" s="39"/>
      <c r="EO266" s="39"/>
    </row>
    <row r="267" spans="2:145">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c r="CB267" s="39"/>
      <c r="CC267" s="39"/>
      <c r="CD267" s="39"/>
      <c r="CE267" s="39"/>
      <c r="CF267" s="39"/>
      <c r="CG267" s="39"/>
      <c r="CH267" s="39"/>
      <c r="CI267" s="39"/>
      <c r="CJ267" s="39"/>
      <c r="CK267" s="39"/>
      <c r="CL267" s="39"/>
      <c r="CM267" s="39"/>
      <c r="CN267" s="39"/>
      <c r="CO267" s="39"/>
      <c r="CP267" s="39"/>
      <c r="CQ267" s="39"/>
      <c r="CR267" s="39"/>
      <c r="CS267" s="39"/>
      <c r="CT267" s="39"/>
      <c r="CU267" s="39"/>
      <c r="CV267" s="39"/>
      <c r="CW267" s="39"/>
      <c r="CX267" s="39"/>
      <c r="CY267" s="39"/>
      <c r="CZ267" s="39"/>
      <c r="DA267" s="39"/>
      <c r="DB267" s="39"/>
      <c r="DC267" s="39"/>
      <c r="DD267" s="39"/>
      <c r="DE267" s="39"/>
      <c r="DF267" s="39"/>
      <c r="DG267" s="39"/>
      <c r="DH267" s="39"/>
      <c r="DI267" s="39"/>
      <c r="DJ267" s="39"/>
      <c r="DK267" s="39"/>
      <c r="DL267" s="39"/>
      <c r="DM267" s="39"/>
      <c r="DN267" s="39"/>
      <c r="DO267" s="39"/>
      <c r="DP267" s="39"/>
      <c r="DQ267" s="39"/>
      <c r="DR267" s="39"/>
      <c r="DS267" s="39"/>
      <c r="DT267" s="39"/>
      <c r="DU267" s="39"/>
      <c r="DV267" s="39"/>
      <c r="DW267" s="39"/>
      <c r="DX267" s="39"/>
      <c r="DY267" s="39"/>
      <c r="DZ267" s="39"/>
      <c r="EA267" s="39"/>
      <c r="EB267" s="39"/>
      <c r="EC267" s="39"/>
      <c r="ED267" s="39"/>
      <c r="EE267" s="39"/>
      <c r="EF267" s="39"/>
      <c r="EG267" s="39"/>
      <c r="EH267" s="39"/>
      <c r="EI267" s="39"/>
      <c r="EJ267" s="39"/>
      <c r="EK267" s="39"/>
      <c r="EL267" s="39"/>
      <c r="EM267" s="39"/>
      <c r="EN267" s="39"/>
      <c r="EO267" s="39"/>
    </row>
    <row r="268" spans="2:145">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c r="CB268" s="39"/>
      <c r="CC268" s="39"/>
      <c r="CD268" s="39"/>
      <c r="CE268" s="39"/>
      <c r="CF268" s="39"/>
      <c r="CG268" s="39"/>
      <c r="CH268" s="39"/>
      <c r="CI268" s="39"/>
      <c r="CJ268" s="39"/>
      <c r="CK268" s="39"/>
      <c r="CL268" s="39"/>
      <c r="CM268" s="39"/>
      <c r="CN268" s="39"/>
      <c r="CO268" s="39"/>
      <c r="CP268" s="39"/>
      <c r="CQ268" s="39"/>
      <c r="CR268" s="39"/>
      <c r="CS268" s="39"/>
      <c r="CT268" s="39"/>
      <c r="CU268" s="39"/>
      <c r="CV268" s="39"/>
      <c r="CW268" s="39"/>
      <c r="CX268" s="39"/>
      <c r="CY268" s="39"/>
      <c r="CZ268" s="39"/>
      <c r="DA268" s="39"/>
      <c r="DB268" s="39"/>
      <c r="DC268" s="39"/>
      <c r="DD268" s="39"/>
      <c r="DE268" s="39"/>
      <c r="DF268" s="39"/>
      <c r="DG268" s="39"/>
      <c r="DH268" s="39"/>
      <c r="DI268" s="39"/>
      <c r="DJ268" s="39"/>
      <c r="DK268" s="39"/>
      <c r="DL268" s="39"/>
      <c r="DM268" s="39"/>
      <c r="DN268" s="39"/>
      <c r="DO268" s="39"/>
      <c r="DP268" s="39"/>
      <c r="DQ268" s="39"/>
      <c r="DR268" s="39"/>
      <c r="DS268" s="39"/>
      <c r="DT268" s="39"/>
      <c r="DU268" s="39"/>
      <c r="DV268" s="39"/>
      <c r="DW268" s="39"/>
      <c r="DX268" s="39"/>
      <c r="DY268" s="39"/>
      <c r="DZ268" s="39"/>
      <c r="EA268" s="39"/>
      <c r="EB268" s="39"/>
      <c r="EC268" s="39"/>
      <c r="ED268" s="39"/>
      <c r="EE268" s="39"/>
      <c r="EF268" s="39"/>
      <c r="EG268" s="39"/>
      <c r="EH268" s="39"/>
      <c r="EI268" s="39"/>
      <c r="EJ268" s="39"/>
      <c r="EK268" s="39"/>
      <c r="EL268" s="39"/>
      <c r="EM268" s="39"/>
      <c r="EN268" s="39"/>
      <c r="EO268" s="39"/>
    </row>
    <row r="269" spans="2:145">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c r="BP269" s="39"/>
      <c r="BQ269" s="39"/>
      <c r="BR269" s="39"/>
      <c r="BS269" s="39"/>
      <c r="BT269" s="39"/>
      <c r="BU269" s="39"/>
      <c r="BV269" s="39"/>
      <c r="BW269" s="39"/>
      <c r="BX269" s="39"/>
      <c r="BY269" s="39"/>
      <c r="BZ269" s="39"/>
      <c r="CA269" s="39"/>
      <c r="CB269" s="39"/>
      <c r="CC269" s="39"/>
      <c r="CD269" s="39"/>
      <c r="CE269" s="39"/>
      <c r="CF269" s="39"/>
      <c r="CG269" s="39"/>
      <c r="CH269" s="39"/>
      <c r="CI269" s="39"/>
      <c r="CJ269" s="39"/>
      <c r="CK269" s="39"/>
      <c r="CL269" s="39"/>
      <c r="CM269" s="39"/>
      <c r="CN269" s="39"/>
      <c r="CO269" s="39"/>
      <c r="CP269" s="39"/>
      <c r="CQ269" s="39"/>
      <c r="CR269" s="39"/>
      <c r="CS269" s="39"/>
      <c r="CT269" s="39"/>
      <c r="CU269" s="39"/>
      <c r="CV269" s="39"/>
      <c r="CW269" s="39"/>
      <c r="CX269" s="39"/>
      <c r="CY269" s="39"/>
      <c r="CZ269" s="39"/>
      <c r="DA269" s="39"/>
      <c r="DB269" s="39"/>
      <c r="DC269" s="39"/>
      <c r="DD269" s="39"/>
      <c r="DE269" s="39"/>
      <c r="DF269" s="39"/>
      <c r="DG269" s="39"/>
      <c r="DH269" s="39"/>
      <c r="DI269" s="39"/>
      <c r="DJ269" s="39"/>
      <c r="DK269" s="39"/>
      <c r="DL269" s="39"/>
      <c r="DM269" s="39"/>
      <c r="DN269" s="39"/>
      <c r="DO269" s="39"/>
      <c r="DP269" s="39"/>
      <c r="DQ269" s="39"/>
      <c r="DR269" s="39"/>
      <c r="DS269" s="39"/>
      <c r="DT269" s="39"/>
      <c r="DU269" s="39"/>
      <c r="DV269" s="39"/>
      <c r="DW269" s="39"/>
      <c r="DX269" s="39"/>
      <c r="DY269" s="39"/>
      <c r="DZ269" s="39"/>
      <c r="EA269" s="39"/>
      <c r="EB269" s="39"/>
      <c r="EC269" s="39"/>
      <c r="ED269" s="39"/>
      <c r="EE269" s="39"/>
      <c r="EF269" s="39"/>
      <c r="EG269" s="39"/>
      <c r="EH269" s="39"/>
      <c r="EI269" s="39"/>
      <c r="EJ269" s="39"/>
      <c r="EK269" s="39"/>
      <c r="EL269" s="39"/>
      <c r="EM269" s="39"/>
      <c r="EN269" s="39"/>
      <c r="EO269" s="39"/>
    </row>
    <row r="270" spans="2:145">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c r="CT270" s="39"/>
      <c r="CU270" s="39"/>
      <c r="CV270" s="39"/>
      <c r="CW270" s="39"/>
      <c r="CX270" s="39"/>
      <c r="CY270" s="39"/>
      <c r="CZ270" s="39"/>
      <c r="DA270" s="39"/>
      <c r="DB270" s="39"/>
      <c r="DC270" s="39"/>
      <c r="DD270" s="39"/>
      <c r="DE270" s="39"/>
      <c r="DF270" s="39"/>
      <c r="DG270" s="39"/>
      <c r="DH270" s="39"/>
      <c r="DI270" s="39"/>
      <c r="DJ270" s="39"/>
      <c r="DK270" s="39"/>
      <c r="DL270" s="39"/>
      <c r="DM270" s="39"/>
      <c r="DN270" s="39"/>
      <c r="DO270" s="39"/>
      <c r="DP270" s="39"/>
      <c r="DQ270" s="39"/>
      <c r="DR270" s="39"/>
      <c r="DS270" s="39"/>
      <c r="DT270" s="39"/>
      <c r="DU270" s="39"/>
      <c r="DV270" s="39"/>
      <c r="DW270" s="39"/>
      <c r="DX270" s="39"/>
      <c r="DY270" s="39"/>
      <c r="DZ270" s="39"/>
      <c r="EA270" s="39"/>
      <c r="EB270" s="39"/>
      <c r="EC270" s="39"/>
      <c r="ED270" s="39"/>
      <c r="EE270" s="39"/>
      <c r="EF270" s="39"/>
      <c r="EG270" s="39"/>
      <c r="EH270" s="39"/>
      <c r="EI270" s="39"/>
      <c r="EJ270" s="39"/>
      <c r="EK270" s="39"/>
      <c r="EL270" s="39"/>
      <c r="EM270" s="39"/>
      <c r="EN270" s="39"/>
      <c r="EO270" s="39"/>
    </row>
    <row r="271" spans="2:145">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c r="CB271" s="39"/>
      <c r="CC271" s="39"/>
      <c r="CD271" s="39"/>
      <c r="CE271" s="39"/>
      <c r="CF271" s="39"/>
      <c r="CG271" s="39"/>
      <c r="CH271" s="39"/>
      <c r="CI271" s="39"/>
      <c r="CJ271" s="39"/>
      <c r="CK271" s="39"/>
      <c r="CL271" s="39"/>
      <c r="CM271" s="39"/>
      <c r="CN271" s="39"/>
      <c r="CO271" s="39"/>
      <c r="CP271" s="39"/>
      <c r="CQ271" s="39"/>
      <c r="CR271" s="39"/>
      <c r="CS271" s="39"/>
      <c r="CT271" s="39"/>
      <c r="CU271" s="39"/>
      <c r="CV271" s="39"/>
      <c r="CW271" s="39"/>
      <c r="CX271" s="39"/>
      <c r="CY271" s="39"/>
      <c r="CZ271" s="39"/>
      <c r="DA271" s="39"/>
      <c r="DB271" s="39"/>
      <c r="DC271" s="39"/>
      <c r="DD271" s="39"/>
      <c r="DE271" s="39"/>
      <c r="DF271" s="39"/>
      <c r="DG271" s="39"/>
      <c r="DH271" s="39"/>
      <c r="DI271" s="39"/>
      <c r="DJ271" s="39"/>
      <c r="DK271" s="39"/>
      <c r="DL271" s="39"/>
      <c r="DM271" s="39"/>
      <c r="DN271" s="39"/>
      <c r="DO271" s="39"/>
      <c r="DP271" s="39"/>
      <c r="DQ271" s="39"/>
      <c r="DR271" s="39"/>
      <c r="DS271" s="39"/>
      <c r="DT271" s="39"/>
      <c r="DU271" s="39"/>
      <c r="DV271" s="39"/>
      <c r="DW271" s="39"/>
      <c r="DX271" s="39"/>
      <c r="DY271" s="39"/>
      <c r="DZ271" s="39"/>
      <c r="EA271" s="39"/>
      <c r="EB271" s="39"/>
      <c r="EC271" s="39"/>
      <c r="ED271" s="39"/>
      <c r="EE271" s="39"/>
      <c r="EF271" s="39"/>
      <c r="EG271" s="39"/>
      <c r="EH271" s="39"/>
      <c r="EI271" s="39"/>
      <c r="EJ271" s="39"/>
      <c r="EK271" s="39"/>
      <c r="EL271" s="39"/>
      <c r="EM271" s="39"/>
      <c r="EN271" s="39"/>
      <c r="EO271" s="39"/>
    </row>
    <row r="272" spans="2:145">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39"/>
      <c r="CT272" s="39"/>
      <c r="CU272" s="39"/>
      <c r="CV272" s="39"/>
      <c r="CW272" s="39"/>
      <c r="CX272" s="39"/>
      <c r="CY272" s="39"/>
      <c r="CZ272" s="39"/>
      <c r="DA272" s="39"/>
      <c r="DB272" s="39"/>
      <c r="DC272" s="39"/>
      <c r="DD272" s="39"/>
      <c r="DE272" s="39"/>
      <c r="DF272" s="39"/>
      <c r="DG272" s="39"/>
      <c r="DH272" s="39"/>
      <c r="DI272" s="39"/>
      <c r="DJ272" s="39"/>
      <c r="DK272" s="39"/>
      <c r="DL272" s="39"/>
      <c r="DM272" s="39"/>
      <c r="DN272" s="39"/>
      <c r="DO272" s="39"/>
      <c r="DP272" s="39"/>
      <c r="DQ272" s="39"/>
      <c r="DR272" s="39"/>
      <c r="DS272" s="39"/>
      <c r="DT272" s="39"/>
      <c r="DU272" s="39"/>
      <c r="DV272" s="39"/>
      <c r="DW272" s="39"/>
      <c r="DX272" s="39"/>
      <c r="DY272" s="39"/>
      <c r="DZ272" s="39"/>
      <c r="EA272" s="39"/>
      <c r="EB272" s="39"/>
      <c r="EC272" s="39"/>
      <c r="ED272" s="39"/>
      <c r="EE272" s="39"/>
      <c r="EF272" s="39"/>
      <c r="EG272" s="39"/>
      <c r="EH272" s="39"/>
      <c r="EI272" s="39"/>
      <c r="EJ272" s="39"/>
      <c r="EK272" s="39"/>
      <c r="EL272" s="39"/>
      <c r="EM272" s="39"/>
      <c r="EN272" s="39"/>
      <c r="EO272" s="39"/>
    </row>
    <row r="273" spans="2:145">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39"/>
      <c r="CT273" s="39"/>
      <c r="CU273" s="39"/>
      <c r="CV273" s="39"/>
      <c r="CW273" s="39"/>
      <c r="CX273" s="39"/>
      <c r="CY273" s="39"/>
      <c r="CZ273" s="39"/>
      <c r="DA273" s="39"/>
      <c r="DB273" s="39"/>
      <c r="DC273" s="39"/>
      <c r="DD273" s="39"/>
      <c r="DE273" s="39"/>
      <c r="DF273" s="39"/>
      <c r="DG273" s="39"/>
      <c r="DH273" s="39"/>
      <c r="DI273" s="39"/>
      <c r="DJ273" s="39"/>
      <c r="DK273" s="39"/>
      <c r="DL273" s="39"/>
      <c r="DM273" s="39"/>
      <c r="DN273" s="39"/>
      <c r="DO273" s="39"/>
      <c r="DP273" s="39"/>
      <c r="DQ273" s="39"/>
      <c r="DR273" s="39"/>
      <c r="DS273" s="39"/>
      <c r="DT273" s="39"/>
      <c r="DU273" s="39"/>
      <c r="DV273" s="39"/>
      <c r="DW273" s="39"/>
      <c r="DX273" s="39"/>
      <c r="DY273" s="39"/>
      <c r="DZ273" s="39"/>
      <c r="EA273" s="39"/>
      <c r="EB273" s="39"/>
      <c r="EC273" s="39"/>
      <c r="ED273" s="39"/>
      <c r="EE273" s="39"/>
      <c r="EF273" s="39"/>
      <c r="EG273" s="39"/>
      <c r="EH273" s="39"/>
      <c r="EI273" s="39"/>
      <c r="EJ273" s="39"/>
      <c r="EK273" s="39"/>
      <c r="EL273" s="39"/>
      <c r="EM273" s="39"/>
      <c r="EN273" s="39"/>
      <c r="EO273" s="39"/>
    </row>
    <row r="274" spans="2:145">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39"/>
      <c r="BQ274" s="39"/>
      <c r="BR274" s="39"/>
      <c r="BS274" s="39"/>
      <c r="BT274" s="39"/>
      <c r="BU274" s="39"/>
      <c r="BV274" s="39"/>
      <c r="BW274" s="39"/>
      <c r="BX274" s="39"/>
      <c r="BY274" s="39"/>
      <c r="BZ274" s="39"/>
      <c r="CA274" s="39"/>
      <c r="CB274" s="39"/>
      <c r="CC274" s="39"/>
      <c r="CD274" s="39"/>
      <c r="CE274" s="39"/>
      <c r="CF274" s="39"/>
      <c r="CG274" s="39"/>
      <c r="CH274" s="39"/>
      <c r="CI274" s="39"/>
      <c r="CJ274" s="39"/>
      <c r="CK274" s="39"/>
      <c r="CL274" s="39"/>
      <c r="CM274" s="39"/>
      <c r="CN274" s="39"/>
      <c r="CO274" s="39"/>
      <c r="CP274" s="39"/>
      <c r="CQ274" s="39"/>
      <c r="CR274" s="39"/>
      <c r="CS274" s="39"/>
      <c r="CT274" s="39"/>
      <c r="CU274" s="39"/>
      <c r="CV274" s="39"/>
      <c r="CW274" s="39"/>
      <c r="CX274" s="39"/>
      <c r="CY274" s="39"/>
      <c r="CZ274" s="39"/>
      <c r="DA274" s="39"/>
      <c r="DB274" s="39"/>
      <c r="DC274" s="39"/>
      <c r="DD274" s="39"/>
      <c r="DE274" s="39"/>
      <c r="DF274" s="39"/>
      <c r="DG274" s="39"/>
      <c r="DH274" s="39"/>
      <c r="DI274" s="39"/>
      <c r="DJ274" s="39"/>
      <c r="DK274" s="39"/>
      <c r="DL274" s="39"/>
      <c r="DM274" s="39"/>
      <c r="DN274" s="39"/>
      <c r="DO274" s="39"/>
      <c r="DP274" s="39"/>
      <c r="DQ274" s="39"/>
      <c r="DR274" s="39"/>
      <c r="DS274" s="39"/>
      <c r="DT274" s="39"/>
      <c r="DU274" s="39"/>
      <c r="DV274" s="39"/>
      <c r="DW274" s="39"/>
      <c r="DX274" s="39"/>
      <c r="DY274" s="39"/>
      <c r="DZ274" s="39"/>
      <c r="EA274" s="39"/>
      <c r="EB274" s="39"/>
      <c r="EC274" s="39"/>
      <c r="ED274" s="39"/>
      <c r="EE274" s="39"/>
      <c r="EF274" s="39"/>
      <c r="EG274" s="39"/>
      <c r="EH274" s="39"/>
      <c r="EI274" s="39"/>
      <c r="EJ274" s="39"/>
      <c r="EK274" s="39"/>
      <c r="EL274" s="39"/>
      <c r="EM274" s="39"/>
      <c r="EN274" s="39"/>
      <c r="EO274" s="39"/>
    </row>
    <row r="275" spans="2:145">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39"/>
      <c r="BQ275" s="39"/>
      <c r="BR275" s="39"/>
      <c r="BS275" s="39"/>
      <c r="BT275" s="39"/>
      <c r="BU275" s="39"/>
      <c r="BV275" s="39"/>
      <c r="BW275" s="39"/>
      <c r="BX275" s="39"/>
      <c r="BY275" s="39"/>
      <c r="BZ275" s="39"/>
      <c r="CA275" s="39"/>
      <c r="CB275" s="39"/>
      <c r="CC275" s="39"/>
      <c r="CD275" s="39"/>
      <c r="CE275" s="39"/>
      <c r="CF275" s="39"/>
      <c r="CG275" s="39"/>
      <c r="CH275" s="39"/>
      <c r="CI275" s="39"/>
      <c r="CJ275" s="39"/>
      <c r="CK275" s="39"/>
      <c r="CL275" s="39"/>
      <c r="CM275" s="39"/>
      <c r="CN275" s="39"/>
      <c r="CO275" s="39"/>
      <c r="CP275" s="39"/>
      <c r="CQ275" s="39"/>
      <c r="CR275" s="39"/>
      <c r="CS275" s="39"/>
      <c r="CT275" s="39"/>
      <c r="CU275" s="39"/>
      <c r="CV275" s="39"/>
      <c r="CW275" s="39"/>
      <c r="CX275" s="39"/>
      <c r="CY275" s="39"/>
      <c r="CZ275" s="39"/>
      <c r="DA275" s="39"/>
      <c r="DB275" s="39"/>
      <c r="DC275" s="39"/>
      <c r="DD275" s="39"/>
      <c r="DE275" s="39"/>
      <c r="DF275" s="39"/>
      <c r="DG275" s="39"/>
      <c r="DH275" s="39"/>
      <c r="DI275" s="39"/>
      <c r="DJ275" s="39"/>
      <c r="DK275" s="39"/>
      <c r="DL275" s="39"/>
      <c r="DM275" s="39"/>
      <c r="DN275" s="39"/>
      <c r="DO275" s="39"/>
      <c r="DP275" s="39"/>
      <c r="DQ275" s="39"/>
      <c r="DR275" s="39"/>
      <c r="DS275" s="39"/>
      <c r="DT275" s="39"/>
      <c r="DU275" s="39"/>
      <c r="DV275" s="39"/>
      <c r="DW275" s="39"/>
      <c r="DX275" s="39"/>
      <c r="DY275" s="39"/>
      <c r="DZ275" s="39"/>
      <c r="EA275" s="39"/>
      <c r="EB275" s="39"/>
      <c r="EC275" s="39"/>
      <c r="ED275" s="39"/>
      <c r="EE275" s="39"/>
      <c r="EF275" s="39"/>
      <c r="EG275" s="39"/>
      <c r="EH275" s="39"/>
      <c r="EI275" s="39"/>
      <c r="EJ275" s="39"/>
      <c r="EK275" s="39"/>
      <c r="EL275" s="39"/>
      <c r="EM275" s="39"/>
      <c r="EN275" s="39"/>
      <c r="EO275" s="39"/>
    </row>
    <row r="276" spans="2:145">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39"/>
      <c r="BQ276" s="39"/>
      <c r="BR276" s="39"/>
      <c r="BS276" s="39"/>
      <c r="BT276" s="39"/>
      <c r="BU276" s="39"/>
      <c r="BV276" s="39"/>
      <c r="BW276" s="39"/>
      <c r="BX276" s="39"/>
      <c r="BY276" s="39"/>
      <c r="BZ276" s="39"/>
      <c r="CA276" s="39"/>
      <c r="CB276" s="39"/>
      <c r="CC276" s="39"/>
      <c r="CD276" s="39"/>
      <c r="CE276" s="39"/>
      <c r="CF276" s="39"/>
      <c r="CG276" s="39"/>
      <c r="CH276" s="39"/>
      <c r="CI276" s="39"/>
      <c r="CJ276" s="39"/>
      <c r="CK276" s="39"/>
      <c r="CL276" s="39"/>
      <c r="CM276" s="39"/>
      <c r="CN276" s="39"/>
      <c r="CO276" s="39"/>
      <c r="CP276" s="39"/>
      <c r="CQ276" s="39"/>
      <c r="CR276" s="39"/>
      <c r="CS276" s="39"/>
      <c r="CT276" s="39"/>
      <c r="CU276" s="39"/>
      <c r="CV276" s="39"/>
      <c r="CW276" s="39"/>
      <c r="CX276" s="39"/>
      <c r="CY276" s="39"/>
      <c r="CZ276" s="39"/>
      <c r="DA276" s="39"/>
      <c r="DB276" s="39"/>
      <c r="DC276" s="39"/>
      <c r="DD276" s="39"/>
      <c r="DE276" s="39"/>
      <c r="DF276" s="39"/>
      <c r="DG276" s="39"/>
      <c r="DH276" s="39"/>
      <c r="DI276" s="39"/>
      <c r="DJ276" s="39"/>
      <c r="DK276" s="39"/>
      <c r="DL276" s="39"/>
      <c r="DM276" s="39"/>
      <c r="DN276" s="39"/>
      <c r="DO276" s="39"/>
      <c r="DP276" s="39"/>
      <c r="DQ276" s="39"/>
      <c r="DR276" s="39"/>
      <c r="DS276" s="39"/>
      <c r="DT276" s="39"/>
      <c r="DU276" s="39"/>
      <c r="DV276" s="39"/>
      <c r="DW276" s="39"/>
      <c r="DX276" s="39"/>
      <c r="DY276" s="39"/>
      <c r="DZ276" s="39"/>
      <c r="EA276" s="39"/>
      <c r="EB276" s="39"/>
      <c r="EC276" s="39"/>
      <c r="ED276" s="39"/>
      <c r="EE276" s="39"/>
      <c r="EF276" s="39"/>
      <c r="EG276" s="39"/>
      <c r="EH276" s="39"/>
      <c r="EI276" s="39"/>
      <c r="EJ276" s="39"/>
      <c r="EK276" s="39"/>
      <c r="EL276" s="39"/>
      <c r="EM276" s="39"/>
      <c r="EN276" s="39"/>
      <c r="EO276" s="39"/>
    </row>
    <row r="277" spans="2:145">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c r="BP277" s="39"/>
      <c r="BQ277" s="39"/>
      <c r="BR277" s="39"/>
      <c r="BS277" s="39"/>
      <c r="BT277" s="39"/>
      <c r="BU277" s="39"/>
      <c r="BV277" s="39"/>
      <c r="BW277" s="39"/>
      <c r="BX277" s="39"/>
      <c r="BY277" s="39"/>
      <c r="BZ277" s="39"/>
      <c r="CA277" s="39"/>
      <c r="CB277" s="39"/>
      <c r="CC277" s="39"/>
      <c r="CD277" s="39"/>
      <c r="CE277" s="39"/>
      <c r="CF277" s="39"/>
      <c r="CG277" s="39"/>
      <c r="CH277" s="39"/>
      <c r="CI277" s="39"/>
      <c r="CJ277" s="39"/>
      <c r="CK277" s="39"/>
      <c r="CL277" s="39"/>
      <c r="CM277" s="39"/>
      <c r="CN277" s="39"/>
      <c r="CO277" s="39"/>
      <c r="CP277" s="39"/>
      <c r="CQ277" s="39"/>
      <c r="CR277" s="39"/>
      <c r="CS277" s="39"/>
      <c r="CT277" s="39"/>
      <c r="CU277" s="39"/>
      <c r="CV277" s="39"/>
      <c r="CW277" s="39"/>
      <c r="CX277" s="39"/>
      <c r="CY277" s="39"/>
      <c r="CZ277" s="39"/>
      <c r="DA277" s="39"/>
      <c r="DB277" s="39"/>
      <c r="DC277" s="39"/>
      <c r="DD277" s="39"/>
      <c r="DE277" s="39"/>
      <c r="DF277" s="39"/>
      <c r="DG277" s="39"/>
      <c r="DH277" s="39"/>
      <c r="DI277" s="39"/>
      <c r="DJ277" s="39"/>
      <c r="DK277" s="39"/>
      <c r="DL277" s="39"/>
      <c r="DM277" s="39"/>
      <c r="DN277" s="39"/>
      <c r="DO277" s="39"/>
      <c r="DP277" s="39"/>
      <c r="DQ277" s="39"/>
      <c r="DR277" s="39"/>
      <c r="DS277" s="39"/>
      <c r="DT277" s="39"/>
      <c r="DU277" s="39"/>
      <c r="DV277" s="39"/>
      <c r="DW277" s="39"/>
      <c r="DX277" s="39"/>
      <c r="DY277" s="39"/>
      <c r="DZ277" s="39"/>
      <c r="EA277" s="39"/>
      <c r="EB277" s="39"/>
      <c r="EC277" s="39"/>
      <c r="ED277" s="39"/>
      <c r="EE277" s="39"/>
      <c r="EF277" s="39"/>
      <c r="EG277" s="39"/>
      <c r="EH277" s="39"/>
      <c r="EI277" s="39"/>
      <c r="EJ277" s="39"/>
      <c r="EK277" s="39"/>
      <c r="EL277" s="39"/>
      <c r="EM277" s="39"/>
      <c r="EN277" s="39"/>
      <c r="EO277" s="39"/>
    </row>
    <row r="278" spans="2:145">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c r="BP278" s="39"/>
      <c r="BQ278" s="39"/>
      <c r="BR278" s="39"/>
      <c r="BS278" s="39"/>
      <c r="BT278" s="39"/>
      <c r="BU278" s="39"/>
      <c r="BV278" s="39"/>
      <c r="BW278" s="39"/>
      <c r="BX278" s="39"/>
      <c r="BY278" s="39"/>
      <c r="BZ278" s="39"/>
      <c r="CA278" s="39"/>
      <c r="CB278" s="39"/>
      <c r="CC278" s="39"/>
      <c r="CD278" s="39"/>
      <c r="CE278" s="39"/>
      <c r="CF278" s="39"/>
      <c r="CG278" s="39"/>
      <c r="CH278" s="39"/>
      <c r="CI278" s="39"/>
      <c r="CJ278" s="39"/>
      <c r="CK278" s="39"/>
      <c r="CL278" s="39"/>
      <c r="CM278" s="39"/>
      <c r="CN278" s="39"/>
      <c r="CO278" s="39"/>
      <c r="CP278" s="39"/>
      <c r="CQ278" s="39"/>
      <c r="CR278" s="39"/>
      <c r="CS278" s="39"/>
      <c r="CT278" s="39"/>
      <c r="CU278" s="39"/>
      <c r="CV278" s="39"/>
      <c r="CW278" s="39"/>
      <c r="CX278" s="39"/>
      <c r="CY278" s="39"/>
      <c r="CZ278" s="39"/>
      <c r="DA278" s="39"/>
      <c r="DB278" s="39"/>
      <c r="DC278" s="39"/>
      <c r="DD278" s="39"/>
      <c r="DE278" s="39"/>
      <c r="DF278" s="39"/>
      <c r="DG278" s="39"/>
      <c r="DH278" s="39"/>
      <c r="DI278" s="39"/>
      <c r="DJ278" s="39"/>
      <c r="DK278" s="39"/>
      <c r="DL278" s="39"/>
      <c r="DM278" s="39"/>
      <c r="DN278" s="39"/>
      <c r="DO278" s="39"/>
      <c r="DP278" s="39"/>
      <c r="DQ278" s="39"/>
      <c r="DR278" s="39"/>
      <c r="DS278" s="39"/>
      <c r="DT278" s="39"/>
      <c r="DU278" s="39"/>
      <c r="DV278" s="39"/>
      <c r="DW278" s="39"/>
      <c r="DX278" s="39"/>
      <c r="DY278" s="39"/>
      <c r="DZ278" s="39"/>
      <c r="EA278" s="39"/>
      <c r="EB278" s="39"/>
      <c r="EC278" s="39"/>
      <c r="ED278" s="39"/>
      <c r="EE278" s="39"/>
      <c r="EF278" s="39"/>
      <c r="EG278" s="39"/>
      <c r="EH278" s="39"/>
      <c r="EI278" s="39"/>
      <c r="EJ278" s="39"/>
      <c r="EK278" s="39"/>
      <c r="EL278" s="39"/>
      <c r="EM278" s="39"/>
      <c r="EN278" s="39"/>
      <c r="EO278" s="39"/>
    </row>
    <row r="279" spans="2:145">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c r="BP279" s="39"/>
      <c r="BQ279" s="39"/>
      <c r="BR279" s="39"/>
      <c r="BS279" s="39"/>
      <c r="BT279" s="39"/>
      <c r="BU279" s="39"/>
      <c r="BV279" s="39"/>
      <c r="BW279" s="39"/>
      <c r="BX279" s="39"/>
      <c r="BY279" s="39"/>
      <c r="BZ279" s="39"/>
      <c r="CA279" s="39"/>
      <c r="CB279" s="39"/>
      <c r="CC279" s="39"/>
      <c r="CD279" s="39"/>
      <c r="CE279" s="39"/>
      <c r="CF279" s="39"/>
      <c r="CG279" s="39"/>
      <c r="CH279" s="39"/>
      <c r="CI279" s="39"/>
      <c r="CJ279" s="39"/>
      <c r="CK279" s="39"/>
      <c r="CL279" s="39"/>
      <c r="CM279" s="39"/>
      <c r="CN279" s="39"/>
      <c r="CO279" s="39"/>
      <c r="CP279" s="39"/>
      <c r="CQ279" s="39"/>
      <c r="CR279" s="39"/>
      <c r="CS279" s="39"/>
      <c r="CT279" s="39"/>
      <c r="CU279" s="39"/>
      <c r="CV279" s="39"/>
      <c r="CW279" s="39"/>
      <c r="CX279" s="39"/>
      <c r="CY279" s="39"/>
      <c r="CZ279" s="39"/>
      <c r="DA279" s="39"/>
      <c r="DB279" s="39"/>
      <c r="DC279" s="39"/>
      <c r="DD279" s="39"/>
      <c r="DE279" s="39"/>
      <c r="DF279" s="39"/>
      <c r="DG279" s="39"/>
      <c r="DH279" s="39"/>
      <c r="DI279" s="39"/>
      <c r="DJ279" s="39"/>
      <c r="DK279" s="39"/>
      <c r="DL279" s="39"/>
      <c r="DM279" s="39"/>
      <c r="DN279" s="39"/>
      <c r="DO279" s="39"/>
      <c r="DP279" s="39"/>
      <c r="DQ279" s="39"/>
      <c r="DR279" s="39"/>
      <c r="DS279" s="39"/>
      <c r="DT279" s="39"/>
      <c r="DU279" s="39"/>
      <c r="DV279" s="39"/>
      <c r="DW279" s="39"/>
      <c r="DX279" s="39"/>
      <c r="DY279" s="39"/>
      <c r="DZ279" s="39"/>
      <c r="EA279" s="39"/>
      <c r="EB279" s="39"/>
      <c r="EC279" s="39"/>
      <c r="ED279" s="39"/>
      <c r="EE279" s="39"/>
      <c r="EF279" s="39"/>
      <c r="EG279" s="39"/>
      <c r="EH279" s="39"/>
      <c r="EI279" s="39"/>
      <c r="EJ279" s="39"/>
      <c r="EK279" s="39"/>
      <c r="EL279" s="39"/>
      <c r="EM279" s="39"/>
      <c r="EN279" s="39"/>
      <c r="EO279" s="39"/>
    </row>
    <row r="280" spans="2:145">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39"/>
      <c r="BQ280" s="39"/>
      <c r="BR280" s="39"/>
      <c r="BS280" s="39"/>
      <c r="BT280" s="39"/>
      <c r="BU280" s="39"/>
      <c r="BV280" s="39"/>
      <c r="BW280" s="39"/>
      <c r="BX280" s="39"/>
      <c r="BY280" s="39"/>
      <c r="BZ280" s="39"/>
      <c r="CA280" s="39"/>
      <c r="CB280" s="39"/>
      <c r="CC280" s="39"/>
      <c r="CD280" s="39"/>
      <c r="CE280" s="39"/>
      <c r="CF280" s="39"/>
      <c r="CG280" s="39"/>
      <c r="CH280" s="39"/>
      <c r="CI280" s="39"/>
      <c r="CJ280" s="39"/>
      <c r="CK280" s="39"/>
      <c r="CL280" s="39"/>
      <c r="CM280" s="39"/>
      <c r="CN280" s="39"/>
      <c r="CO280" s="39"/>
      <c r="CP280" s="39"/>
      <c r="CQ280" s="39"/>
      <c r="CR280" s="39"/>
      <c r="CS280" s="39"/>
      <c r="CT280" s="39"/>
      <c r="CU280" s="39"/>
      <c r="CV280" s="39"/>
      <c r="CW280" s="39"/>
      <c r="CX280" s="39"/>
      <c r="CY280" s="39"/>
      <c r="CZ280" s="39"/>
      <c r="DA280" s="39"/>
      <c r="DB280" s="39"/>
      <c r="DC280" s="39"/>
      <c r="DD280" s="39"/>
      <c r="DE280" s="39"/>
      <c r="DF280" s="39"/>
      <c r="DG280" s="39"/>
      <c r="DH280" s="39"/>
      <c r="DI280" s="39"/>
      <c r="DJ280" s="39"/>
      <c r="DK280" s="39"/>
      <c r="DL280" s="39"/>
      <c r="DM280" s="39"/>
      <c r="DN280" s="39"/>
      <c r="DO280" s="39"/>
      <c r="DP280" s="39"/>
      <c r="DQ280" s="39"/>
      <c r="DR280" s="39"/>
      <c r="DS280" s="39"/>
      <c r="DT280" s="39"/>
      <c r="DU280" s="39"/>
      <c r="DV280" s="39"/>
      <c r="DW280" s="39"/>
      <c r="DX280" s="39"/>
      <c r="DY280" s="39"/>
      <c r="DZ280" s="39"/>
      <c r="EA280" s="39"/>
      <c r="EB280" s="39"/>
      <c r="EC280" s="39"/>
      <c r="ED280" s="39"/>
      <c r="EE280" s="39"/>
      <c r="EF280" s="39"/>
      <c r="EG280" s="39"/>
      <c r="EH280" s="39"/>
      <c r="EI280" s="39"/>
      <c r="EJ280" s="39"/>
      <c r="EK280" s="39"/>
      <c r="EL280" s="39"/>
      <c r="EM280" s="39"/>
      <c r="EN280" s="39"/>
      <c r="EO280" s="39"/>
    </row>
    <row r="281" spans="2:145">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39"/>
      <c r="BQ281" s="39"/>
      <c r="BR281" s="39"/>
      <c r="BS281" s="39"/>
      <c r="BT281" s="39"/>
      <c r="BU281" s="39"/>
      <c r="BV281" s="39"/>
      <c r="BW281" s="39"/>
      <c r="BX281" s="39"/>
      <c r="BY281" s="39"/>
      <c r="BZ281" s="39"/>
      <c r="CA281" s="39"/>
      <c r="CB281" s="39"/>
      <c r="CC281" s="39"/>
      <c r="CD281" s="39"/>
      <c r="CE281" s="39"/>
      <c r="CF281" s="39"/>
      <c r="CG281" s="39"/>
      <c r="CH281" s="39"/>
      <c r="CI281" s="39"/>
      <c r="CJ281" s="39"/>
      <c r="CK281" s="39"/>
      <c r="CL281" s="39"/>
      <c r="CM281" s="39"/>
      <c r="CN281" s="39"/>
      <c r="CO281" s="39"/>
      <c r="CP281" s="39"/>
      <c r="CQ281" s="39"/>
      <c r="CR281" s="39"/>
      <c r="CS281" s="39"/>
      <c r="CT281" s="39"/>
      <c r="CU281" s="39"/>
      <c r="CV281" s="39"/>
      <c r="CW281" s="39"/>
      <c r="CX281" s="39"/>
      <c r="CY281" s="39"/>
      <c r="CZ281" s="39"/>
      <c r="DA281" s="39"/>
      <c r="DB281" s="39"/>
      <c r="DC281" s="39"/>
      <c r="DD281" s="39"/>
      <c r="DE281" s="39"/>
      <c r="DF281" s="39"/>
      <c r="DG281" s="39"/>
      <c r="DH281" s="39"/>
      <c r="DI281" s="39"/>
      <c r="DJ281" s="39"/>
      <c r="DK281" s="39"/>
      <c r="DL281" s="39"/>
      <c r="DM281" s="39"/>
      <c r="DN281" s="39"/>
      <c r="DO281" s="39"/>
      <c r="DP281" s="39"/>
      <c r="DQ281" s="39"/>
      <c r="DR281" s="39"/>
      <c r="DS281" s="39"/>
      <c r="DT281" s="39"/>
      <c r="DU281" s="39"/>
      <c r="DV281" s="39"/>
      <c r="DW281" s="39"/>
      <c r="DX281" s="39"/>
      <c r="DY281" s="39"/>
      <c r="DZ281" s="39"/>
      <c r="EA281" s="39"/>
      <c r="EB281" s="39"/>
      <c r="EC281" s="39"/>
      <c r="ED281" s="39"/>
      <c r="EE281" s="39"/>
      <c r="EF281" s="39"/>
      <c r="EG281" s="39"/>
      <c r="EH281" s="39"/>
      <c r="EI281" s="39"/>
      <c r="EJ281" s="39"/>
      <c r="EK281" s="39"/>
      <c r="EL281" s="39"/>
      <c r="EM281" s="39"/>
      <c r="EN281" s="39"/>
      <c r="EO281" s="39"/>
    </row>
    <row r="282" spans="2:145">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39"/>
      <c r="BQ282" s="39"/>
      <c r="BR282" s="39"/>
      <c r="BS282" s="39"/>
      <c r="BT282" s="39"/>
      <c r="BU282" s="39"/>
      <c r="BV282" s="39"/>
      <c r="BW282" s="39"/>
      <c r="BX282" s="39"/>
      <c r="BY282" s="39"/>
      <c r="BZ282" s="39"/>
      <c r="CA282" s="39"/>
      <c r="CB282" s="39"/>
      <c r="CC282" s="39"/>
      <c r="CD282" s="39"/>
      <c r="CE282" s="39"/>
      <c r="CF282" s="39"/>
      <c r="CG282" s="39"/>
      <c r="CH282" s="39"/>
      <c r="CI282" s="39"/>
      <c r="CJ282" s="39"/>
      <c r="CK282" s="39"/>
      <c r="CL282" s="39"/>
      <c r="CM282" s="39"/>
      <c r="CN282" s="39"/>
      <c r="CO282" s="39"/>
      <c r="CP282" s="39"/>
      <c r="CQ282" s="39"/>
      <c r="CR282" s="39"/>
      <c r="CS282" s="39"/>
      <c r="CT282" s="39"/>
      <c r="CU282" s="39"/>
      <c r="CV282" s="39"/>
      <c r="CW282" s="39"/>
      <c r="CX282" s="39"/>
      <c r="CY282" s="39"/>
      <c r="CZ282" s="39"/>
      <c r="DA282" s="39"/>
      <c r="DB282" s="39"/>
      <c r="DC282" s="39"/>
      <c r="DD282" s="39"/>
      <c r="DE282" s="39"/>
      <c r="DF282" s="39"/>
      <c r="DG282" s="39"/>
      <c r="DH282" s="39"/>
      <c r="DI282" s="39"/>
      <c r="DJ282" s="39"/>
      <c r="DK282" s="39"/>
      <c r="DL282" s="39"/>
      <c r="DM282" s="39"/>
      <c r="DN282" s="39"/>
      <c r="DO282" s="39"/>
      <c r="DP282" s="39"/>
      <c r="DQ282" s="39"/>
      <c r="DR282" s="39"/>
      <c r="DS282" s="39"/>
      <c r="DT282" s="39"/>
      <c r="DU282" s="39"/>
      <c r="DV282" s="39"/>
      <c r="DW282" s="39"/>
      <c r="DX282" s="39"/>
      <c r="DY282" s="39"/>
      <c r="DZ282" s="39"/>
      <c r="EA282" s="39"/>
      <c r="EB282" s="39"/>
      <c r="EC282" s="39"/>
      <c r="ED282" s="39"/>
      <c r="EE282" s="39"/>
      <c r="EF282" s="39"/>
      <c r="EG282" s="39"/>
      <c r="EH282" s="39"/>
      <c r="EI282" s="39"/>
      <c r="EJ282" s="39"/>
      <c r="EK282" s="39"/>
      <c r="EL282" s="39"/>
      <c r="EM282" s="39"/>
      <c r="EN282" s="39"/>
      <c r="EO282" s="39"/>
    </row>
    <row r="283" spans="2:145">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c r="BP283" s="39"/>
      <c r="BQ283" s="39"/>
      <c r="BR283" s="39"/>
      <c r="BS283" s="39"/>
      <c r="BT283" s="39"/>
      <c r="BU283" s="39"/>
      <c r="BV283" s="39"/>
      <c r="BW283" s="39"/>
      <c r="BX283" s="39"/>
      <c r="BY283" s="39"/>
      <c r="BZ283" s="39"/>
      <c r="CA283" s="39"/>
      <c r="CB283" s="39"/>
      <c r="CC283" s="39"/>
      <c r="CD283" s="39"/>
      <c r="CE283" s="39"/>
      <c r="CF283" s="39"/>
      <c r="CG283" s="39"/>
      <c r="CH283" s="39"/>
      <c r="CI283" s="39"/>
      <c r="CJ283" s="39"/>
      <c r="CK283" s="39"/>
      <c r="CL283" s="39"/>
      <c r="CM283" s="39"/>
      <c r="CN283" s="39"/>
      <c r="CO283" s="39"/>
      <c r="CP283" s="39"/>
      <c r="CQ283" s="39"/>
      <c r="CR283" s="39"/>
      <c r="CS283" s="39"/>
      <c r="CT283" s="39"/>
      <c r="CU283" s="39"/>
      <c r="CV283" s="39"/>
      <c r="CW283" s="39"/>
      <c r="CX283" s="39"/>
      <c r="CY283" s="39"/>
      <c r="CZ283" s="39"/>
      <c r="DA283" s="39"/>
      <c r="DB283" s="39"/>
      <c r="DC283" s="39"/>
      <c r="DD283" s="39"/>
      <c r="DE283" s="39"/>
      <c r="DF283" s="39"/>
      <c r="DG283" s="39"/>
      <c r="DH283" s="39"/>
      <c r="DI283" s="39"/>
      <c r="DJ283" s="39"/>
      <c r="DK283" s="39"/>
      <c r="DL283" s="39"/>
      <c r="DM283" s="39"/>
      <c r="DN283" s="39"/>
      <c r="DO283" s="39"/>
      <c r="DP283" s="39"/>
      <c r="DQ283" s="39"/>
      <c r="DR283" s="39"/>
      <c r="DS283" s="39"/>
      <c r="DT283" s="39"/>
      <c r="DU283" s="39"/>
      <c r="DV283" s="39"/>
      <c r="DW283" s="39"/>
      <c r="DX283" s="39"/>
      <c r="DY283" s="39"/>
      <c r="DZ283" s="39"/>
      <c r="EA283" s="39"/>
      <c r="EB283" s="39"/>
      <c r="EC283" s="39"/>
      <c r="ED283" s="39"/>
      <c r="EE283" s="39"/>
      <c r="EF283" s="39"/>
      <c r="EG283" s="39"/>
      <c r="EH283" s="39"/>
      <c r="EI283" s="39"/>
      <c r="EJ283" s="39"/>
      <c r="EK283" s="39"/>
      <c r="EL283" s="39"/>
      <c r="EM283" s="39"/>
      <c r="EN283" s="39"/>
      <c r="EO283" s="39"/>
    </row>
    <row r="284" spans="2:145">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c r="BP284" s="39"/>
      <c r="BQ284" s="39"/>
      <c r="BR284" s="39"/>
      <c r="BS284" s="39"/>
      <c r="BT284" s="39"/>
      <c r="BU284" s="39"/>
      <c r="BV284" s="39"/>
      <c r="BW284" s="39"/>
      <c r="BX284" s="39"/>
      <c r="BY284" s="39"/>
      <c r="BZ284" s="39"/>
      <c r="CA284" s="39"/>
      <c r="CB284" s="39"/>
      <c r="CC284" s="39"/>
      <c r="CD284" s="39"/>
      <c r="CE284" s="39"/>
      <c r="CF284" s="39"/>
      <c r="CG284" s="39"/>
      <c r="CH284" s="39"/>
      <c r="CI284" s="39"/>
      <c r="CJ284" s="39"/>
      <c r="CK284" s="39"/>
      <c r="CL284" s="39"/>
      <c r="CM284" s="39"/>
      <c r="CN284" s="39"/>
      <c r="CO284" s="39"/>
      <c r="CP284" s="39"/>
      <c r="CQ284" s="39"/>
      <c r="CR284" s="39"/>
      <c r="CS284" s="39"/>
      <c r="CT284" s="39"/>
      <c r="CU284" s="39"/>
      <c r="CV284" s="39"/>
      <c r="CW284" s="39"/>
      <c r="CX284" s="39"/>
      <c r="CY284" s="39"/>
      <c r="CZ284" s="39"/>
      <c r="DA284" s="39"/>
      <c r="DB284" s="39"/>
      <c r="DC284" s="39"/>
      <c r="DD284" s="39"/>
      <c r="DE284" s="39"/>
      <c r="DF284" s="39"/>
      <c r="DG284" s="39"/>
      <c r="DH284" s="39"/>
      <c r="DI284" s="39"/>
      <c r="DJ284" s="39"/>
      <c r="DK284" s="39"/>
      <c r="DL284" s="39"/>
      <c r="DM284" s="39"/>
      <c r="DN284" s="39"/>
      <c r="DO284" s="39"/>
      <c r="DP284" s="39"/>
      <c r="DQ284" s="39"/>
      <c r="DR284" s="39"/>
      <c r="DS284" s="39"/>
      <c r="DT284" s="39"/>
      <c r="DU284" s="39"/>
      <c r="DV284" s="39"/>
      <c r="DW284" s="39"/>
      <c r="DX284" s="39"/>
      <c r="DY284" s="39"/>
      <c r="DZ284" s="39"/>
      <c r="EA284" s="39"/>
      <c r="EB284" s="39"/>
      <c r="EC284" s="39"/>
      <c r="ED284" s="39"/>
      <c r="EE284" s="39"/>
      <c r="EF284" s="39"/>
      <c r="EG284" s="39"/>
      <c r="EH284" s="39"/>
      <c r="EI284" s="39"/>
      <c r="EJ284" s="39"/>
      <c r="EK284" s="39"/>
      <c r="EL284" s="39"/>
      <c r="EM284" s="39"/>
      <c r="EN284" s="39"/>
      <c r="EO284" s="39"/>
    </row>
    <row r="285" spans="2:145">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39"/>
      <c r="BQ285" s="39"/>
      <c r="BR285" s="39"/>
      <c r="BS285" s="39"/>
      <c r="BT285" s="39"/>
      <c r="BU285" s="39"/>
      <c r="BV285" s="39"/>
      <c r="BW285" s="39"/>
      <c r="BX285" s="39"/>
      <c r="BY285" s="39"/>
      <c r="BZ285" s="39"/>
      <c r="CA285" s="39"/>
      <c r="CB285" s="39"/>
      <c r="CC285" s="39"/>
      <c r="CD285" s="39"/>
      <c r="CE285" s="39"/>
      <c r="CF285" s="39"/>
      <c r="CG285" s="39"/>
      <c r="CH285" s="39"/>
      <c r="CI285" s="39"/>
      <c r="CJ285" s="39"/>
      <c r="CK285" s="39"/>
      <c r="CL285" s="39"/>
      <c r="CM285" s="39"/>
      <c r="CN285" s="39"/>
      <c r="CO285" s="39"/>
      <c r="CP285" s="39"/>
      <c r="CQ285" s="39"/>
      <c r="CR285" s="39"/>
      <c r="CS285" s="39"/>
      <c r="CT285" s="39"/>
      <c r="CU285" s="39"/>
      <c r="CV285" s="39"/>
      <c r="CW285" s="39"/>
      <c r="CX285" s="39"/>
      <c r="CY285" s="39"/>
      <c r="CZ285" s="39"/>
      <c r="DA285" s="39"/>
      <c r="DB285" s="39"/>
      <c r="DC285" s="39"/>
      <c r="DD285" s="39"/>
      <c r="DE285" s="39"/>
      <c r="DF285" s="39"/>
      <c r="DG285" s="39"/>
      <c r="DH285" s="39"/>
      <c r="DI285" s="39"/>
      <c r="DJ285" s="39"/>
      <c r="DK285" s="39"/>
      <c r="DL285" s="39"/>
      <c r="DM285" s="39"/>
      <c r="DN285" s="39"/>
      <c r="DO285" s="39"/>
      <c r="DP285" s="39"/>
      <c r="DQ285" s="39"/>
      <c r="DR285" s="39"/>
      <c r="DS285" s="39"/>
      <c r="DT285" s="39"/>
      <c r="DU285" s="39"/>
      <c r="DV285" s="39"/>
      <c r="DW285" s="39"/>
      <c r="DX285" s="39"/>
      <c r="DY285" s="39"/>
      <c r="DZ285" s="39"/>
      <c r="EA285" s="39"/>
      <c r="EB285" s="39"/>
      <c r="EC285" s="39"/>
      <c r="ED285" s="39"/>
      <c r="EE285" s="39"/>
      <c r="EF285" s="39"/>
      <c r="EG285" s="39"/>
      <c r="EH285" s="39"/>
      <c r="EI285" s="39"/>
      <c r="EJ285" s="39"/>
      <c r="EK285" s="39"/>
      <c r="EL285" s="39"/>
      <c r="EM285" s="39"/>
      <c r="EN285" s="39"/>
      <c r="EO285" s="39"/>
    </row>
    <row r="286" spans="2:145">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39"/>
      <c r="BQ286" s="39"/>
      <c r="BR286" s="39"/>
      <c r="BS286" s="39"/>
      <c r="BT286" s="39"/>
      <c r="BU286" s="39"/>
      <c r="BV286" s="39"/>
      <c r="BW286" s="39"/>
      <c r="BX286" s="39"/>
      <c r="BY286" s="39"/>
      <c r="BZ286" s="39"/>
      <c r="CA286" s="39"/>
      <c r="CB286" s="39"/>
      <c r="CC286" s="39"/>
      <c r="CD286" s="39"/>
      <c r="CE286" s="39"/>
      <c r="CF286" s="39"/>
      <c r="CG286" s="39"/>
      <c r="CH286" s="39"/>
      <c r="CI286" s="39"/>
      <c r="CJ286" s="39"/>
      <c r="CK286" s="39"/>
      <c r="CL286" s="39"/>
      <c r="CM286" s="39"/>
      <c r="CN286" s="39"/>
      <c r="CO286" s="39"/>
      <c r="CP286" s="39"/>
      <c r="CQ286" s="39"/>
      <c r="CR286" s="39"/>
      <c r="CS286" s="39"/>
      <c r="CT286" s="39"/>
      <c r="CU286" s="39"/>
      <c r="CV286" s="39"/>
      <c r="CW286" s="39"/>
      <c r="CX286" s="39"/>
      <c r="CY286" s="39"/>
      <c r="CZ286" s="39"/>
      <c r="DA286" s="39"/>
      <c r="DB286" s="39"/>
      <c r="DC286" s="39"/>
      <c r="DD286" s="39"/>
      <c r="DE286" s="39"/>
      <c r="DF286" s="39"/>
      <c r="DG286" s="39"/>
      <c r="DH286" s="39"/>
      <c r="DI286" s="39"/>
      <c r="DJ286" s="39"/>
      <c r="DK286" s="39"/>
      <c r="DL286" s="39"/>
      <c r="DM286" s="39"/>
      <c r="DN286" s="39"/>
      <c r="DO286" s="39"/>
      <c r="DP286" s="39"/>
      <c r="DQ286" s="39"/>
      <c r="DR286" s="39"/>
      <c r="DS286" s="39"/>
      <c r="DT286" s="39"/>
      <c r="DU286" s="39"/>
      <c r="DV286" s="39"/>
      <c r="DW286" s="39"/>
      <c r="DX286" s="39"/>
      <c r="DY286" s="39"/>
      <c r="DZ286" s="39"/>
      <c r="EA286" s="39"/>
      <c r="EB286" s="39"/>
      <c r="EC286" s="39"/>
      <c r="ED286" s="39"/>
      <c r="EE286" s="39"/>
      <c r="EF286" s="39"/>
      <c r="EG286" s="39"/>
      <c r="EH286" s="39"/>
      <c r="EI286" s="39"/>
      <c r="EJ286" s="39"/>
      <c r="EK286" s="39"/>
      <c r="EL286" s="39"/>
      <c r="EM286" s="39"/>
      <c r="EN286" s="39"/>
      <c r="EO286" s="39"/>
    </row>
    <row r="287" spans="2:145">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c r="BP287" s="39"/>
      <c r="BQ287" s="39"/>
      <c r="BR287" s="39"/>
      <c r="BS287" s="39"/>
      <c r="BT287" s="39"/>
      <c r="BU287" s="39"/>
      <c r="BV287" s="39"/>
      <c r="BW287" s="39"/>
      <c r="BX287" s="39"/>
      <c r="BY287" s="39"/>
      <c r="BZ287" s="39"/>
      <c r="CA287" s="39"/>
      <c r="CB287" s="39"/>
      <c r="CC287" s="39"/>
      <c r="CD287" s="39"/>
      <c r="CE287" s="39"/>
      <c r="CF287" s="39"/>
      <c r="CG287" s="39"/>
      <c r="CH287" s="39"/>
      <c r="CI287" s="39"/>
      <c r="CJ287" s="39"/>
      <c r="CK287" s="39"/>
      <c r="CL287" s="39"/>
      <c r="CM287" s="39"/>
      <c r="CN287" s="39"/>
      <c r="CO287" s="39"/>
      <c r="CP287" s="39"/>
      <c r="CQ287" s="39"/>
      <c r="CR287" s="39"/>
      <c r="CS287" s="39"/>
      <c r="CT287" s="39"/>
      <c r="CU287" s="39"/>
      <c r="CV287" s="39"/>
      <c r="CW287" s="39"/>
      <c r="CX287" s="39"/>
      <c r="CY287" s="39"/>
      <c r="CZ287" s="39"/>
      <c r="DA287" s="39"/>
      <c r="DB287" s="39"/>
      <c r="DC287" s="39"/>
      <c r="DD287" s="39"/>
      <c r="DE287" s="39"/>
      <c r="DF287" s="39"/>
      <c r="DG287" s="39"/>
      <c r="DH287" s="39"/>
      <c r="DI287" s="39"/>
      <c r="DJ287" s="39"/>
      <c r="DK287" s="39"/>
      <c r="DL287" s="39"/>
      <c r="DM287" s="39"/>
      <c r="DN287" s="39"/>
      <c r="DO287" s="39"/>
      <c r="DP287" s="39"/>
      <c r="DQ287" s="39"/>
      <c r="DR287" s="39"/>
      <c r="DS287" s="39"/>
      <c r="DT287" s="39"/>
      <c r="DU287" s="39"/>
      <c r="DV287" s="39"/>
      <c r="DW287" s="39"/>
      <c r="DX287" s="39"/>
      <c r="DY287" s="39"/>
      <c r="DZ287" s="39"/>
      <c r="EA287" s="39"/>
      <c r="EB287" s="39"/>
      <c r="EC287" s="39"/>
      <c r="ED287" s="39"/>
      <c r="EE287" s="39"/>
      <c r="EF287" s="39"/>
      <c r="EG287" s="39"/>
      <c r="EH287" s="39"/>
      <c r="EI287" s="39"/>
      <c r="EJ287" s="39"/>
      <c r="EK287" s="39"/>
      <c r="EL287" s="39"/>
      <c r="EM287" s="39"/>
      <c r="EN287" s="39"/>
      <c r="EO287" s="39"/>
    </row>
    <row r="288" spans="2:145">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c r="BP288" s="39"/>
      <c r="BQ288" s="39"/>
      <c r="BR288" s="39"/>
      <c r="BS288" s="39"/>
      <c r="BT288" s="39"/>
      <c r="BU288" s="39"/>
      <c r="BV288" s="39"/>
      <c r="BW288" s="39"/>
      <c r="BX288" s="39"/>
      <c r="BY288" s="39"/>
      <c r="BZ288" s="39"/>
      <c r="CA288" s="39"/>
      <c r="CB288" s="39"/>
      <c r="CC288" s="39"/>
      <c r="CD288" s="39"/>
      <c r="CE288" s="39"/>
      <c r="CF288" s="39"/>
      <c r="CG288" s="39"/>
      <c r="CH288" s="39"/>
      <c r="CI288" s="39"/>
      <c r="CJ288" s="39"/>
      <c r="CK288" s="39"/>
      <c r="CL288" s="39"/>
      <c r="CM288" s="39"/>
      <c r="CN288" s="39"/>
      <c r="CO288" s="39"/>
      <c r="CP288" s="39"/>
      <c r="CQ288" s="39"/>
      <c r="CR288" s="39"/>
      <c r="CS288" s="39"/>
      <c r="CT288" s="39"/>
      <c r="CU288" s="39"/>
      <c r="CV288" s="39"/>
      <c r="CW288" s="39"/>
      <c r="CX288" s="39"/>
      <c r="CY288" s="39"/>
      <c r="CZ288" s="39"/>
      <c r="DA288" s="39"/>
      <c r="DB288" s="39"/>
      <c r="DC288" s="39"/>
      <c r="DD288" s="39"/>
      <c r="DE288" s="39"/>
      <c r="DF288" s="39"/>
      <c r="DG288" s="39"/>
      <c r="DH288" s="39"/>
      <c r="DI288" s="39"/>
      <c r="DJ288" s="39"/>
      <c r="DK288" s="39"/>
      <c r="DL288" s="39"/>
      <c r="DM288" s="39"/>
      <c r="DN288" s="39"/>
      <c r="DO288" s="39"/>
      <c r="DP288" s="39"/>
      <c r="DQ288" s="39"/>
      <c r="DR288" s="39"/>
      <c r="DS288" s="39"/>
      <c r="DT288" s="39"/>
      <c r="DU288" s="39"/>
      <c r="DV288" s="39"/>
      <c r="DW288" s="39"/>
      <c r="DX288" s="39"/>
      <c r="DY288" s="39"/>
      <c r="DZ288" s="39"/>
      <c r="EA288" s="39"/>
      <c r="EB288" s="39"/>
      <c r="EC288" s="39"/>
      <c r="ED288" s="39"/>
      <c r="EE288" s="39"/>
      <c r="EF288" s="39"/>
      <c r="EG288" s="39"/>
      <c r="EH288" s="39"/>
      <c r="EI288" s="39"/>
      <c r="EJ288" s="39"/>
      <c r="EK288" s="39"/>
      <c r="EL288" s="39"/>
      <c r="EM288" s="39"/>
      <c r="EN288" s="39"/>
      <c r="EO288" s="39"/>
    </row>
    <row r="289" spans="2:145">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c r="BU289" s="39"/>
      <c r="BV289" s="39"/>
      <c r="BW289" s="39"/>
      <c r="BX289" s="39"/>
      <c r="BY289" s="39"/>
      <c r="BZ289" s="39"/>
      <c r="CA289" s="39"/>
      <c r="CB289" s="39"/>
      <c r="CC289" s="39"/>
      <c r="CD289" s="39"/>
      <c r="CE289" s="39"/>
      <c r="CF289" s="39"/>
      <c r="CG289" s="39"/>
      <c r="CH289" s="39"/>
      <c r="CI289" s="39"/>
      <c r="CJ289" s="39"/>
      <c r="CK289" s="39"/>
      <c r="CL289" s="39"/>
      <c r="CM289" s="39"/>
      <c r="CN289" s="39"/>
      <c r="CO289" s="39"/>
      <c r="CP289" s="39"/>
      <c r="CQ289" s="39"/>
      <c r="CR289" s="39"/>
      <c r="CS289" s="39"/>
      <c r="CT289" s="39"/>
      <c r="CU289" s="39"/>
      <c r="CV289" s="39"/>
      <c r="CW289" s="39"/>
      <c r="CX289" s="39"/>
      <c r="CY289" s="39"/>
      <c r="CZ289" s="39"/>
      <c r="DA289" s="39"/>
      <c r="DB289" s="39"/>
      <c r="DC289" s="39"/>
      <c r="DD289" s="39"/>
      <c r="DE289" s="39"/>
      <c r="DF289" s="39"/>
      <c r="DG289" s="39"/>
      <c r="DH289" s="39"/>
      <c r="DI289" s="39"/>
      <c r="DJ289" s="39"/>
      <c r="DK289" s="39"/>
      <c r="DL289" s="39"/>
      <c r="DM289" s="39"/>
      <c r="DN289" s="39"/>
      <c r="DO289" s="39"/>
      <c r="DP289" s="39"/>
      <c r="DQ289" s="39"/>
      <c r="DR289" s="39"/>
      <c r="DS289" s="39"/>
      <c r="DT289" s="39"/>
      <c r="DU289" s="39"/>
      <c r="DV289" s="39"/>
      <c r="DW289" s="39"/>
      <c r="DX289" s="39"/>
      <c r="DY289" s="39"/>
      <c r="DZ289" s="39"/>
      <c r="EA289" s="39"/>
      <c r="EB289" s="39"/>
      <c r="EC289" s="39"/>
      <c r="ED289" s="39"/>
      <c r="EE289" s="39"/>
      <c r="EF289" s="39"/>
      <c r="EG289" s="39"/>
      <c r="EH289" s="39"/>
      <c r="EI289" s="39"/>
      <c r="EJ289" s="39"/>
      <c r="EK289" s="39"/>
      <c r="EL289" s="39"/>
      <c r="EM289" s="39"/>
      <c r="EN289" s="39"/>
      <c r="EO289" s="39"/>
    </row>
    <row r="290" spans="2:145">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c r="BU290" s="39"/>
      <c r="BV290" s="39"/>
      <c r="BW290" s="39"/>
      <c r="BX290" s="39"/>
      <c r="BY290" s="39"/>
      <c r="BZ290" s="39"/>
      <c r="CA290" s="39"/>
      <c r="CB290" s="39"/>
      <c r="CC290" s="39"/>
      <c r="CD290" s="39"/>
      <c r="CE290" s="39"/>
      <c r="CF290" s="39"/>
      <c r="CG290" s="39"/>
      <c r="CH290" s="39"/>
      <c r="CI290" s="39"/>
      <c r="CJ290" s="39"/>
      <c r="CK290" s="39"/>
      <c r="CL290" s="39"/>
      <c r="CM290" s="39"/>
      <c r="CN290" s="39"/>
      <c r="CO290" s="39"/>
      <c r="CP290" s="39"/>
      <c r="CQ290" s="39"/>
      <c r="CR290" s="39"/>
      <c r="CS290" s="39"/>
      <c r="CT290" s="39"/>
      <c r="CU290" s="39"/>
      <c r="CV290" s="39"/>
      <c r="CW290" s="39"/>
      <c r="CX290" s="39"/>
      <c r="CY290" s="39"/>
      <c r="CZ290" s="39"/>
      <c r="DA290" s="39"/>
      <c r="DB290" s="39"/>
      <c r="DC290" s="39"/>
      <c r="DD290" s="39"/>
      <c r="DE290" s="39"/>
      <c r="DF290" s="39"/>
      <c r="DG290" s="39"/>
      <c r="DH290" s="39"/>
      <c r="DI290" s="39"/>
      <c r="DJ290" s="39"/>
      <c r="DK290" s="39"/>
      <c r="DL290" s="39"/>
      <c r="DM290" s="39"/>
      <c r="DN290" s="39"/>
      <c r="DO290" s="39"/>
      <c r="DP290" s="39"/>
      <c r="DQ290" s="39"/>
      <c r="DR290" s="39"/>
      <c r="DS290" s="39"/>
      <c r="DT290" s="39"/>
      <c r="DU290" s="39"/>
      <c r="DV290" s="39"/>
      <c r="DW290" s="39"/>
      <c r="DX290" s="39"/>
      <c r="DY290" s="39"/>
      <c r="DZ290" s="39"/>
      <c r="EA290" s="39"/>
      <c r="EB290" s="39"/>
      <c r="EC290" s="39"/>
      <c r="ED290" s="39"/>
      <c r="EE290" s="39"/>
      <c r="EF290" s="39"/>
      <c r="EG290" s="39"/>
      <c r="EH290" s="39"/>
      <c r="EI290" s="39"/>
      <c r="EJ290" s="39"/>
      <c r="EK290" s="39"/>
      <c r="EL290" s="39"/>
      <c r="EM290" s="39"/>
      <c r="EN290" s="39"/>
      <c r="EO290" s="39"/>
    </row>
    <row r="291" spans="2:145">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39"/>
      <c r="BQ291" s="39"/>
      <c r="BR291" s="39"/>
      <c r="BS291" s="39"/>
      <c r="BT291" s="39"/>
      <c r="BU291" s="39"/>
      <c r="BV291" s="39"/>
      <c r="BW291" s="39"/>
      <c r="BX291" s="39"/>
      <c r="BY291" s="39"/>
      <c r="BZ291" s="39"/>
      <c r="CA291" s="39"/>
      <c r="CB291" s="39"/>
      <c r="CC291" s="39"/>
      <c r="CD291" s="39"/>
      <c r="CE291" s="39"/>
      <c r="CF291" s="39"/>
      <c r="CG291" s="39"/>
      <c r="CH291" s="39"/>
      <c r="CI291" s="39"/>
      <c r="CJ291" s="39"/>
      <c r="CK291" s="39"/>
      <c r="CL291" s="39"/>
      <c r="CM291" s="39"/>
      <c r="CN291" s="39"/>
      <c r="CO291" s="39"/>
      <c r="CP291" s="39"/>
      <c r="CQ291" s="39"/>
      <c r="CR291" s="39"/>
      <c r="CS291" s="39"/>
      <c r="CT291" s="39"/>
      <c r="CU291" s="39"/>
      <c r="CV291" s="39"/>
      <c r="CW291" s="39"/>
      <c r="CX291" s="39"/>
      <c r="CY291" s="39"/>
      <c r="CZ291" s="39"/>
      <c r="DA291" s="39"/>
      <c r="DB291" s="39"/>
      <c r="DC291" s="39"/>
      <c r="DD291" s="39"/>
      <c r="DE291" s="39"/>
      <c r="DF291" s="39"/>
      <c r="DG291" s="39"/>
      <c r="DH291" s="39"/>
      <c r="DI291" s="39"/>
      <c r="DJ291" s="39"/>
      <c r="DK291" s="39"/>
      <c r="DL291" s="39"/>
      <c r="DM291" s="39"/>
      <c r="DN291" s="39"/>
      <c r="DO291" s="39"/>
      <c r="DP291" s="39"/>
      <c r="DQ291" s="39"/>
      <c r="DR291" s="39"/>
      <c r="DS291" s="39"/>
      <c r="DT291" s="39"/>
      <c r="DU291" s="39"/>
      <c r="DV291" s="39"/>
      <c r="DW291" s="39"/>
      <c r="DX291" s="39"/>
      <c r="DY291" s="39"/>
      <c r="DZ291" s="39"/>
      <c r="EA291" s="39"/>
      <c r="EB291" s="39"/>
      <c r="EC291" s="39"/>
      <c r="ED291" s="39"/>
      <c r="EE291" s="39"/>
      <c r="EF291" s="39"/>
      <c r="EG291" s="39"/>
      <c r="EH291" s="39"/>
      <c r="EI291" s="39"/>
      <c r="EJ291" s="39"/>
      <c r="EK291" s="39"/>
      <c r="EL291" s="39"/>
      <c r="EM291" s="39"/>
      <c r="EN291" s="39"/>
      <c r="EO291" s="39"/>
    </row>
    <row r="292" spans="2:145">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c r="BP292" s="39"/>
      <c r="BQ292" s="39"/>
      <c r="BR292" s="39"/>
      <c r="BS292" s="39"/>
      <c r="BT292" s="39"/>
      <c r="BU292" s="39"/>
      <c r="BV292" s="39"/>
      <c r="BW292" s="39"/>
      <c r="BX292" s="39"/>
      <c r="BY292" s="39"/>
      <c r="BZ292" s="39"/>
      <c r="CA292" s="39"/>
      <c r="CB292" s="39"/>
      <c r="CC292" s="39"/>
      <c r="CD292" s="39"/>
      <c r="CE292" s="39"/>
      <c r="CF292" s="39"/>
      <c r="CG292" s="39"/>
      <c r="CH292" s="39"/>
      <c r="CI292" s="39"/>
      <c r="CJ292" s="39"/>
      <c r="CK292" s="39"/>
      <c r="CL292" s="39"/>
      <c r="CM292" s="39"/>
      <c r="CN292" s="39"/>
      <c r="CO292" s="39"/>
      <c r="CP292" s="39"/>
      <c r="CQ292" s="39"/>
      <c r="CR292" s="39"/>
      <c r="CS292" s="39"/>
      <c r="CT292" s="39"/>
      <c r="CU292" s="39"/>
      <c r="CV292" s="39"/>
      <c r="CW292" s="39"/>
      <c r="CX292" s="39"/>
      <c r="CY292" s="39"/>
      <c r="CZ292" s="39"/>
      <c r="DA292" s="39"/>
      <c r="DB292" s="39"/>
      <c r="DC292" s="39"/>
      <c r="DD292" s="39"/>
      <c r="DE292" s="39"/>
      <c r="DF292" s="39"/>
      <c r="DG292" s="39"/>
      <c r="DH292" s="39"/>
      <c r="DI292" s="39"/>
      <c r="DJ292" s="39"/>
      <c r="DK292" s="39"/>
      <c r="DL292" s="39"/>
      <c r="DM292" s="39"/>
      <c r="DN292" s="39"/>
      <c r="DO292" s="39"/>
      <c r="DP292" s="39"/>
      <c r="DQ292" s="39"/>
      <c r="DR292" s="39"/>
      <c r="DS292" s="39"/>
      <c r="DT292" s="39"/>
      <c r="DU292" s="39"/>
      <c r="DV292" s="39"/>
      <c r="DW292" s="39"/>
      <c r="DX292" s="39"/>
      <c r="DY292" s="39"/>
      <c r="DZ292" s="39"/>
      <c r="EA292" s="39"/>
      <c r="EB292" s="39"/>
      <c r="EC292" s="39"/>
      <c r="ED292" s="39"/>
      <c r="EE292" s="39"/>
      <c r="EF292" s="39"/>
      <c r="EG292" s="39"/>
      <c r="EH292" s="39"/>
      <c r="EI292" s="39"/>
      <c r="EJ292" s="39"/>
      <c r="EK292" s="39"/>
      <c r="EL292" s="39"/>
      <c r="EM292" s="39"/>
      <c r="EN292" s="39"/>
      <c r="EO292" s="39"/>
    </row>
    <row r="293" spans="2:145">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c r="BP293" s="39"/>
      <c r="BQ293" s="39"/>
      <c r="BR293" s="39"/>
      <c r="BS293" s="39"/>
      <c r="BT293" s="39"/>
      <c r="BU293" s="39"/>
      <c r="BV293" s="39"/>
      <c r="BW293" s="39"/>
      <c r="BX293" s="39"/>
      <c r="BY293" s="39"/>
      <c r="BZ293" s="39"/>
      <c r="CA293" s="39"/>
      <c r="CB293" s="39"/>
      <c r="CC293" s="39"/>
      <c r="CD293" s="39"/>
      <c r="CE293" s="39"/>
      <c r="CF293" s="39"/>
      <c r="CG293" s="39"/>
      <c r="CH293" s="39"/>
      <c r="CI293" s="39"/>
      <c r="CJ293" s="39"/>
      <c r="CK293" s="39"/>
      <c r="CL293" s="39"/>
      <c r="CM293" s="39"/>
      <c r="CN293" s="39"/>
      <c r="CO293" s="39"/>
      <c r="CP293" s="39"/>
      <c r="CQ293" s="39"/>
      <c r="CR293" s="39"/>
      <c r="CS293" s="39"/>
      <c r="CT293" s="39"/>
      <c r="CU293" s="39"/>
      <c r="CV293" s="39"/>
      <c r="CW293" s="39"/>
      <c r="CX293" s="39"/>
      <c r="CY293" s="39"/>
      <c r="CZ293" s="39"/>
      <c r="DA293" s="39"/>
      <c r="DB293" s="39"/>
      <c r="DC293" s="39"/>
      <c r="DD293" s="39"/>
      <c r="DE293" s="39"/>
      <c r="DF293" s="39"/>
      <c r="DG293" s="39"/>
      <c r="DH293" s="39"/>
      <c r="DI293" s="39"/>
      <c r="DJ293" s="39"/>
      <c r="DK293" s="39"/>
      <c r="DL293" s="39"/>
      <c r="DM293" s="39"/>
      <c r="DN293" s="39"/>
      <c r="DO293" s="39"/>
      <c r="DP293" s="39"/>
      <c r="DQ293" s="39"/>
      <c r="DR293" s="39"/>
      <c r="DS293" s="39"/>
      <c r="DT293" s="39"/>
      <c r="DU293" s="39"/>
      <c r="DV293" s="39"/>
      <c r="DW293" s="39"/>
      <c r="DX293" s="39"/>
      <c r="DY293" s="39"/>
      <c r="DZ293" s="39"/>
      <c r="EA293" s="39"/>
      <c r="EB293" s="39"/>
      <c r="EC293" s="39"/>
      <c r="ED293" s="39"/>
      <c r="EE293" s="39"/>
      <c r="EF293" s="39"/>
      <c r="EG293" s="39"/>
      <c r="EH293" s="39"/>
      <c r="EI293" s="39"/>
      <c r="EJ293" s="39"/>
      <c r="EK293" s="39"/>
      <c r="EL293" s="39"/>
      <c r="EM293" s="39"/>
      <c r="EN293" s="39"/>
      <c r="EO293" s="39"/>
    </row>
    <row r="294" spans="2:145">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c r="CT294" s="39"/>
      <c r="CU294" s="39"/>
      <c r="CV294" s="39"/>
      <c r="CW294" s="39"/>
      <c r="CX294" s="39"/>
      <c r="CY294" s="39"/>
      <c r="CZ294" s="39"/>
      <c r="DA294" s="39"/>
      <c r="DB294" s="39"/>
      <c r="DC294" s="39"/>
      <c r="DD294" s="39"/>
      <c r="DE294" s="39"/>
      <c r="DF294" s="39"/>
      <c r="DG294" s="39"/>
      <c r="DH294" s="39"/>
      <c r="DI294" s="39"/>
      <c r="DJ294" s="39"/>
      <c r="DK294" s="39"/>
      <c r="DL294" s="39"/>
      <c r="DM294" s="39"/>
      <c r="DN294" s="39"/>
      <c r="DO294" s="39"/>
      <c r="DP294" s="39"/>
      <c r="DQ294" s="39"/>
      <c r="DR294" s="39"/>
      <c r="DS294" s="39"/>
      <c r="DT294" s="39"/>
      <c r="DU294" s="39"/>
      <c r="DV294" s="39"/>
      <c r="DW294" s="39"/>
      <c r="DX294" s="39"/>
      <c r="DY294" s="39"/>
      <c r="DZ294" s="39"/>
      <c r="EA294" s="39"/>
      <c r="EB294" s="39"/>
      <c r="EC294" s="39"/>
      <c r="ED294" s="39"/>
      <c r="EE294" s="39"/>
      <c r="EF294" s="39"/>
      <c r="EG294" s="39"/>
      <c r="EH294" s="39"/>
      <c r="EI294" s="39"/>
      <c r="EJ294" s="39"/>
      <c r="EK294" s="39"/>
      <c r="EL294" s="39"/>
      <c r="EM294" s="39"/>
      <c r="EN294" s="39"/>
      <c r="EO294" s="39"/>
    </row>
    <row r="295" spans="2:145">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c r="BP295" s="39"/>
      <c r="BQ295" s="39"/>
      <c r="BR295" s="39"/>
      <c r="BS295" s="39"/>
      <c r="BT295" s="39"/>
      <c r="BU295" s="39"/>
      <c r="BV295" s="39"/>
      <c r="BW295" s="39"/>
      <c r="BX295" s="39"/>
      <c r="BY295" s="39"/>
      <c r="BZ295" s="39"/>
      <c r="CA295" s="39"/>
      <c r="CB295" s="39"/>
      <c r="CC295" s="39"/>
      <c r="CD295" s="39"/>
      <c r="CE295" s="39"/>
      <c r="CF295" s="39"/>
      <c r="CG295" s="39"/>
      <c r="CH295" s="39"/>
      <c r="CI295" s="39"/>
      <c r="CJ295" s="39"/>
      <c r="CK295" s="39"/>
      <c r="CL295" s="39"/>
      <c r="CM295" s="39"/>
      <c r="CN295" s="39"/>
      <c r="CO295" s="39"/>
      <c r="CP295" s="39"/>
      <c r="CQ295" s="39"/>
      <c r="CR295" s="39"/>
      <c r="CS295" s="39"/>
      <c r="CT295" s="39"/>
      <c r="CU295" s="39"/>
      <c r="CV295" s="39"/>
      <c r="CW295" s="39"/>
      <c r="CX295" s="39"/>
      <c r="CY295" s="39"/>
      <c r="CZ295" s="39"/>
      <c r="DA295" s="39"/>
      <c r="DB295" s="39"/>
      <c r="DC295" s="39"/>
      <c r="DD295" s="39"/>
      <c r="DE295" s="39"/>
      <c r="DF295" s="39"/>
      <c r="DG295" s="39"/>
      <c r="DH295" s="39"/>
      <c r="DI295" s="39"/>
      <c r="DJ295" s="39"/>
      <c r="DK295" s="39"/>
      <c r="DL295" s="39"/>
      <c r="DM295" s="39"/>
      <c r="DN295" s="39"/>
      <c r="DO295" s="39"/>
      <c r="DP295" s="39"/>
      <c r="DQ295" s="39"/>
      <c r="DR295" s="39"/>
      <c r="DS295" s="39"/>
      <c r="DT295" s="39"/>
      <c r="DU295" s="39"/>
      <c r="DV295" s="39"/>
      <c r="DW295" s="39"/>
      <c r="DX295" s="39"/>
      <c r="DY295" s="39"/>
      <c r="DZ295" s="39"/>
      <c r="EA295" s="39"/>
      <c r="EB295" s="39"/>
      <c r="EC295" s="39"/>
      <c r="ED295" s="39"/>
      <c r="EE295" s="39"/>
      <c r="EF295" s="39"/>
      <c r="EG295" s="39"/>
      <c r="EH295" s="39"/>
      <c r="EI295" s="39"/>
      <c r="EJ295" s="39"/>
      <c r="EK295" s="39"/>
      <c r="EL295" s="39"/>
      <c r="EM295" s="39"/>
      <c r="EN295" s="39"/>
      <c r="EO295" s="39"/>
    </row>
    <row r="296" spans="2:145">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c r="BP296" s="39"/>
      <c r="BQ296" s="39"/>
      <c r="BR296" s="39"/>
      <c r="BS296" s="39"/>
      <c r="BT296" s="39"/>
      <c r="BU296" s="39"/>
      <c r="BV296" s="39"/>
      <c r="BW296" s="39"/>
      <c r="BX296" s="39"/>
      <c r="BY296" s="39"/>
      <c r="BZ296" s="39"/>
      <c r="CA296" s="39"/>
      <c r="CB296" s="39"/>
      <c r="CC296" s="39"/>
      <c r="CD296" s="39"/>
      <c r="CE296" s="39"/>
      <c r="CF296" s="39"/>
      <c r="CG296" s="39"/>
      <c r="CH296" s="39"/>
      <c r="CI296" s="39"/>
      <c r="CJ296" s="39"/>
      <c r="CK296" s="39"/>
      <c r="CL296" s="39"/>
      <c r="CM296" s="39"/>
      <c r="CN296" s="39"/>
      <c r="CO296" s="39"/>
      <c r="CP296" s="39"/>
      <c r="CQ296" s="39"/>
      <c r="CR296" s="39"/>
      <c r="CS296" s="39"/>
      <c r="CT296" s="39"/>
      <c r="CU296" s="39"/>
      <c r="CV296" s="39"/>
      <c r="CW296" s="39"/>
      <c r="CX296" s="39"/>
      <c r="CY296" s="39"/>
      <c r="CZ296" s="39"/>
      <c r="DA296" s="39"/>
      <c r="DB296" s="39"/>
      <c r="DC296" s="39"/>
      <c r="DD296" s="39"/>
      <c r="DE296" s="39"/>
      <c r="DF296" s="39"/>
      <c r="DG296" s="39"/>
      <c r="DH296" s="39"/>
      <c r="DI296" s="39"/>
      <c r="DJ296" s="39"/>
      <c r="DK296" s="39"/>
      <c r="DL296" s="39"/>
      <c r="DM296" s="39"/>
      <c r="DN296" s="39"/>
      <c r="DO296" s="39"/>
      <c r="DP296" s="39"/>
      <c r="DQ296" s="39"/>
      <c r="DR296" s="39"/>
      <c r="DS296" s="39"/>
      <c r="DT296" s="39"/>
      <c r="DU296" s="39"/>
      <c r="DV296" s="39"/>
      <c r="DW296" s="39"/>
      <c r="DX296" s="39"/>
      <c r="DY296" s="39"/>
      <c r="DZ296" s="39"/>
      <c r="EA296" s="39"/>
      <c r="EB296" s="39"/>
      <c r="EC296" s="39"/>
      <c r="ED296" s="39"/>
      <c r="EE296" s="39"/>
      <c r="EF296" s="39"/>
      <c r="EG296" s="39"/>
      <c r="EH296" s="39"/>
      <c r="EI296" s="39"/>
      <c r="EJ296" s="39"/>
      <c r="EK296" s="39"/>
      <c r="EL296" s="39"/>
      <c r="EM296" s="39"/>
      <c r="EN296" s="39"/>
      <c r="EO296" s="39"/>
    </row>
    <row r="297" spans="2:145">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c r="BP297" s="39"/>
      <c r="BQ297" s="39"/>
      <c r="BR297" s="39"/>
      <c r="BS297" s="39"/>
      <c r="BT297" s="39"/>
      <c r="BU297" s="39"/>
      <c r="BV297" s="39"/>
      <c r="BW297" s="39"/>
      <c r="BX297" s="39"/>
      <c r="BY297" s="39"/>
      <c r="BZ297" s="39"/>
      <c r="CA297" s="39"/>
      <c r="CB297" s="39"/>
      <c r="CC297" s="39"/>
      <c r="CD297" s="39"/>
      <c r="CE297" s="39"/>
      <c r="CF297" s="39"/>
      <c r="CG297" s="39"/>
      <c r="CH297" s="39"/>
      <c r="CI297" s="39"/>
      <c r="CJ297" s="39"/>
      <c r="CK297" s="39"/>
      <c r="CL297" s="39"/>
      <c r="CM297" s="39"/>
      <c r="CN297" s="39"/>
      <c r="CO297" s="39"/>
      <c r="CP297" s="39"/>
      <c r="CQ297" s="39"/>
      <c r="CR297" s="39"/>
      <c r="CS297" s="39"/>
      <c r="CT297" s="39"/>
      <c r="CU297" s="39"/>
      <c r="CV297" s="39"/>
      <c r="CW297" s="39"/>
      <c r="CX297" s="39"/>
      <c r="CY297" s="39"/>
      <c r="CZ297" s="39"/>
      <c r="DA297" s="39"/>
      <c r="DB297" s="39"/>
      <c r="DC297" s="39"/>
      <c r="DD297" s="39"/>
      <c r="DE297" s="39"/>
      <c r="DF297" s="39"/>
      <c r="DG297" s="39"/>
      <c r="DH297" s="39"/>
      <c r="DI297" s="39"/>
      <c r="DJ297" s="39"/>
      <c r="DK297" s="39"/>
      <c r="DL297" s="39"/>
      <c r="DM297" s="39"/>
      <c r="DN297" s="39"/>
      <c r="DO297" s="39"/>
      <c r="DP297" s="39"/>
      <c r="DQ297" s="39"/>
      <c r="DR297" s="39"/>
      <c r="DS297" s="39"/>
      <c r="DT297" s="39"/>
      <c r="DU297" s="39"/>
      <c r="DV297" s="39"/>
      <c r="DW297" s="39"/>
      <c r="DX297" s="39"/>
      <c r="DY297" s="39"/>
      <c r="DZ297" s="39"/>
      <c r="EA297" s="39"/>
      <c r="EB297" s="39"/>
      <c r="EC297" s="39"/>
      <c r="ED297" s="39"/>
      <c r="EE297" s="39"/>
      <c r="EF297" s="39"/>
      <c r="EG297" s="39"/>
      <c r="EH297" s="39"/>
      <c r="EI297" s="39"/>
      <c r="EJ297" s="39"/>
      <c r="EK297" s="39"/>
      <c r="EL297" s="39"/>
      <c r="EM297" s="39"/>
      <c r="EN297" s="39"/>
      <c r="EO297" s="39"/>
    </row>
    <row r="298" spans="2:145">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c r="BP298" s="39"/>
      <c r="BQ298" s="39"/>
      <c r="BR298" s="39"/>
      <c r="BS298" s="39"/>
      <c r="BT298" s="39"/>
      <c r="BU298" s="39"/>
      <c r="BV298" s="39"/>
      <c r="BW298" s="39"/>
      <c r="BX298" s="39"/>
      <c r="BY298" s="39"/>
      <c r="BZ298" s="39"/>
      <c r="CA298" s="39"/>
      <c r="CB298" s="39"/>
      <c r="CC298" s="39"/>
      <c r="CD298" s="39"/>
      <c r="CE298" s="39"/>
      <c r="CF298" s="39"/>
      <c r="CG298" s="39"/>
      <c r="CH298" s="39"/>
      <c r="CI298" s="39"/>
      <c r="CJ298" s="39"/>
      <c r="CK298" s="39"/>
      <c r="CL298" s="39"/>
      <c r="CM298" s="39"/>
      <c r="CN298" s="39"/>
      <c r="CO298" s="39"/>
      <c r="CP298" s="39"/>
      <c r="CQ298" s="39"/>
      <c r="CR298" s="39"/>
      <c r="CS298" s="39"/>
      <c r="CT298" s="39"/>
      <c r="CU298" s="39"/>
      <c r="CV298" s="39"/>
      <c r="CW298" s="39"/>
      <c r="CX298" s="39"/>
      <c r="CY298" s="39"/>
      <c r="CZ298" s="39"/>
      <c r="DA298" s="39"/>
      <c r="DB298" s="39"/>
      <c r="DC298" s="39"/>
      <c r="DD298" s="39"/>
      <c r="DE298" s="39"/>
      <c r="DF298" s="39"/>
      <c r="DG298" s="39"/>
      <c r="DH298" s="39"/>
      <c r="DI298" s="39"/>
      <c r="DJ298" s="39"/>
      <c r="DK298" s="39"/>
      <c r="DL298" s="39"/>
      <c r="DM298" s="39"/>
      <c r="DN298" s="39"/>
      <c r="DO298" s="39"/>
      <c r="DP298" s="39"/>
      <c r="DQ298" s="39"/>
      <c r="DR298" s="39"/>
      <c r="DS298" s="39"/>
      <c r="DT298" s="39"/>
      <c r="DU298" s="39"/>
      <c r="DV298" s="39"/>
      <c r="DW298" s="39"/>
      <c r="DX298" s="39"/>
      <c r="DY298" s="39"/>
      <c r="DZ298" s="39"/>
      <c r="EA298" s="39"/>
      <c r="EB298" s="39"/>
      <c r="EC298" s="39"/>
      <c r="ED298" s="39"/>
      <c r="EE298" s="39"/>
      <c r="EF298" s="39"/>
      <c r="EG298" s="39"/>
      <c r="EH298" s="39"/>
      <c r="EI298" s="39"/>
      <c r="EJ298" s="39"/>
      <c r="EK298" s="39"/>
      <c r="EL298" s="39"/>
      <c r="EM298" s="39"/>
      <c r="EN298" s="39"/>
      <c r="EO298" s="39"/>
    </row>
    <row r="299" spans="2:145">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c r="BP299" s="39"/>
      <c r="BQ299" s="39"/>
      <c r="BR299" s="39"/>
      <c r="BS299" s="39"/>
      <c r="BT299" s="39"/>
      <c r="BU299" s="39"/>
      <c r="BV299" s="39"/>
      <c r="BW299" s="39"/>
      <c r="BX299" s="39"/>
      <c r="BY299" s="39"/>
      <c r="BZ299" s="39"/>
      <c r="CA299" s="39"/>
      <c r="CB299" s="39"/>
      <c r="CC299" s="39"/>
      <c r="CD299" s="39"/>
      <c r="CE299" s="39"/>
      <c r="CF299" s="39"/>
      <c r="CG299" s="39"/>
      <c r="CH299" s="39"/>
      <c r="CI299" s="39"/>
      <c r="CJ299" s="39"/>
      <c r="CK299" s="39"/>
      <c r="CL299" s="39"/>
      <c r="CM299" s="39"/>
      <c r="CN299" s="39"/>
      <c r="CO299" s="39"/>
      <c r="CP299" s="39"/>
      <c r="CQ299" s="39"/>
      <c r="CR299" s="39"/>
      <c r="CS299" s="39"/>
      <c r="CT299" s="39"/>
      <c r="CU299" s="39"/>
      <c r="CV299" s="39"/>
      <c r="CW299" s="39"/>
      <c r="CX299" s="39"/>
      <c r="CY299" s="39"/>
      <c r="CZ299" s="39"/>
      <c r="DA299" s="39"/>
      <c r="DB299" s="39"/>
      <c r="DC299" s="39"/>
      <c r="DD299" s="39"/>
      <c r="DE299" s="39"/>
      <c r="DF299" s="39"/>
      <c r="DG299" s="39"/>
      <c r="DH299" s="39"/>
      <c r="DI299" s="39"/>
      <c r="DJ299" s="39"/>
      <c r="DK299" s="39"/>
      <c r="DL299" s="39"/>
      <c r="DM299" s="39"/>
      <c r="DN299" s="39"/>
      <c r="DO299" s="39"/>
      <c r="DP299" s="39"/>
      <c r="DQ299" s="39"/>
      <c r="DR299" s="39"/>
      <c r="DS299" s="39"/>
      <c r="DT299" s="39"/>
      <c r="DU299" s="39"/>
      <c r="DV299" s="39"/>
      <c r="DW299" s="39"/>
      <c r="DX299" s="39"/>
      <c r="DY299" s="39"/>
      <c r="DZ299" s="39"/>
      <c r="EA299" s="39"/>
      <c r="EB299" s="39"/>
      <c r="EC299" s="39"/>
      <c r="ED299" s="39"/>
      <c r="EE299" s="39"/>
      <c r="EF299" s="39"/>
      <c r="EG299" s="39"/>
      <c r="EH299" s="39"/>
      <c r="EI299" s="39"/>
      <c r="EJ299" s="39"/>
      <c r="EK299" s="39"/>
      <c r="EL299" s="39"/>
      <c r="EM299" s="39"/>
      <c r="EN299" s="39"/>
      <c r="EO299" s="39"/>
    </row>
    <row r="300" spans="2:145">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c r="BP300" s="39"/>
      <c r="BQ300" s="39"/>
      <c r="BR300" s="39"/>
      <c r="BS300" s="39"/>
      <c r="BT300" s="39"/>
      <c r="BU300" s="39"/>
      <c r="BV300" s="39"/>
      <c r="BW300" s="39"/>
      <c r="BX300" s="39"/>
      <c r="BY300" s="39"/>
      <c r="BZ300" s="39"/>
      <c r="CA300" s="39"/>
      <c r="CB300" s="39"/>
      <c r="CC300" s="39"/>
      <c r="CD300" s="39"/>
      <c r="CE300" s="39"/>
      <c r="CF300" s="39"/>
      <c r="CG300" s="39"/>
      <c r="CH300" s="39"/>
      <c r="CI300" s="39"/>
      <c r="CJ300" s="39"/>
      <c r="CK300" s="39"/>
      <c r="CL300" s="39"/>
      <c r="CM300" s="39"/>
      <c r="CN300" s="39"/>
      <c r="CO300" s="39"/>
      <c r="CP300" s="39"/>
      <c r="CQ300" s="39"/>
      <c r="CR300" s="39"/>
      <c r="CS300" s="39"/>
      <c r="CT300" s="39"/>
      <c r="CU300" s="39"/>
      <c r="CV300" s="39"/>
      <c r="CW300" s="39"/>
      <c r="CX300" s="39"/>
      <c r="CY300" s="39"/>
      <c r="CZ300" s="39"/>
      <c r="DA300" s="39"/>
      <c r="DB300" s="39"/>
      <c r="DC300" s="39"/>
      <c r="DD300" s="39"/>
      <c r="DE300" s="39"/>
      <c r="DF300" s="39"/>
      <c r="DG300" s="39"/>
      <c r="DH300" s="39"/>
      <c r="DI300" s="39"/>
      <c r="DJ300" s="39"/>
      <c r="DK300" s="39"/>
      <c r="DL300" s="39"/>
      <c r="DM300" s="39"/>
      <c r="DN300" s="39"/>
      <c r="DO300" s="39"/>
      <c r="DP300" s="39"/>
      <c r="DQ300" s="39"/>
      <c r="DR300" s="39"/>
      <c r="DS300" s="39"/>
      <c r="DT300" s="39"/>
      <c r="DU300" s="39"/>
      <c r="DV300" s="39"/>
      <c r="DW300" s="39"/>
      <c r="DX300" s="39"/>
      <c r="DY300" s="39"/>
      <c r="DZ300" s="39"/>
      <c r="EA300" s="39"/>
      <c r="EB300" s="39"/>
      <c r="EC300" s="39"/>
      <c r="ED300" s="39"/>
      <c r="EE300" s="39"/>
      <c r="EF300" s="39"/>
      <c r="EG300" s="39"/>
      <c r="EH300" s="39"/>
      <c r="EI300" s="39"/>
      <c r="EJ300" s="39"/>
      <c r="EK300" s="39"/>
      <c r="EL300" s="39"/>
      <c r="EM300" s="39"/>
      <c r="EN300" s="39"/>
      <c r="EO300" s="39"/>
    </row>
    <row r="301" spans="2:145">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c r="BP301" s="39"/>
      <c r="BQ301" s="39"/>
      <c r="BR301" s="39"/>
      <c r="BS301" s="39"/>
      <c r="BT301" s="39"/>
      <c r="BU301" s="39"/>
      <c r="BV301" s="39"/>
      <c r="BW301" s="39"/>
      <c r="BX301" s="39"/>
      <c r="BY301" s="39"/>
      <c r="BZ301" s="39"/>
      <c r="CA301" s="39"/>
      <c r="CB301" s="39"/>
      <c r="CC301" s="39"/>
      <c r="CD301" s="39"/>
      <c r="CE301" s="39"/>
      <c r="CF301" s="39"/>
      <c r="CG301" s="39"/>
      <c r="CH301" s="39"/>
      <c r="CI301" s="39"/>
      <c r="CJ301" s="39"/>
      <c r="CK301" s="39"/>
      <c r="CL301" s="39"/>
      <c r="CM301" s="39"/>
      <c r="CN301" s="39"/>
      <c r="CO301" s="39"/>
      <c r="CP301" s="39"/>
      <c r="CQ301" s="39"/>
      <c r="CR301" s="39"/>
      <c r="CS301" s="39"/>
      <c r="CT301" s="39"/>
      <c r="CU301" s="39"/>
      <c r="CV301" s="39"/>
      <c r="CW301" s="39"/>
      <c r="CX301" s="39"/>
      <c r="CY301" s="39"/>
      <c r="CZ301" s="39"/>
      <c r="DA301" s="39"/>
      <c r="DB301" s="39"/>
      <c r="DC301" s="39"/>
      <c r="DD301" s="39"/>
      <c r="DE301" s="39"/>
      <c r="DF301" s="39"/>
      <c r="DG301" s="39"/>
      <c r="DH301" s="39"/>
      <c r="DI301" s="39"/>
      <c r="DJ301" s="39"/>
      <c r="DK301" s="39"/>
      <c r="DL301" s="39"/>
      <c r="DM301" s="39"/>
      <c r="DN301" s="39"/>
      <c r="DO301" s="39"/>
      <c r="DP301" s="39"/>
      <c r="DQ301" s="39"/>
      <c r="DR301" s="39"/>
      <c r="DS301" s="39"/>
      <c r="DT301" s="39"/>
      <c r="DU301" s="39"/>
      <c r="DV301" s="39"/>
      <c r="DW301" s="39"/>
      <c r="DX301" s="39"/>
      <c r="DY301" s="39"/>
      <c r="DZ301" s="39"/>
      <c r="EA301" s="39"/>
      <c r="EB301" s="39"/>
      <c r="EC301" s="39"/>
      <c r="ED301" s="39"/>
      <c r="EE301" s="39"/>
      <c r="EF301" s="39"/>
      <c r="EG301" s="39"/>
      <c r="EH301" s="39"/>
      <c r="EI301" s="39"/>
      <c r="EJ301" s="39"/>
      <c r="EK301" s="39"/>
      <c r="EL301" s="39"/>
      <c r="EM301" s="39"/>
      <c r="EN301" s="39"/>
      <c r="EO301" s="39"/>
    </row>
    <row r="302" spans="2:145">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c r="CT302" s="39"/>
      <c r="CU302" s="39"/>
      <c r="CV302" s="39"/>
      <c r="CW302" s="39"/>
      <c r="CX302" s="39"/>
      <c r="CY302" s="39"/>
      <c r="CZ302" s="39"/>
      <c r="DA302" s="39"/>
      <c r="DB302" s="39"/>
      <c r="DC302" s="39"/>
      <c r="DD302" s="39"/>
      <c r="DE302" s="39"/>
      <c r="DF302" s="39"/>
      <c r="DG302" s="39"/>
      <c r="DH302" s="39"/>
      <c r="DI302" s="39"/>
      <c r="DJ302" s="39"/>
      <c r="DK302" s="39"/>
      <c r="DL302" s="39"/>
      <c r="DM302" s="39"/>
      <c r="DN302" s="39"/>
      <c r="DO302" s="39"/>
      <c r="DP302" s="39"/>
      <c r="DQ302" s="39"/>
      <c r="DR302" s="39"/>
      <c r="DS302" s="39"/>
      <c r="DT302" s="39"/>
      <c r="DU302" s="39"/>
      <c r="DV302" s="39"/>
      <c r="DW302" s="39"/>
      <c r="DX302" s="39"/>
      <c r="DY302" s="39"/>
      <c r="DZ302" s="39"/>
      <c r="EA302" s="39"/>
      <c r="EB302" s="39"/>
      <c r="EC302" s="39"/>
      <c r="ED302" s="39"/>
      <c r="EE302" s="39"/>
      <c r="EF302" s="39"/>
      <c r="EG302" s="39"/>
      <c r="EH302" s="39"/>
      <c r="EI302" s="39"/>
      <c r="EJ302" s="39"/>
      <c r="EK302" s="39"/>
      <c r="EL302" s="39"/>
      <c r="EM302" s="39"/>
      <c r="EN302" s="39"/>
      <c r="EO302" s="39"/>
    </row>
    <row r="303" spans="2:145">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c r="BP303" s="39"/>
      <c r="BQ303" s="39"/>
      <c r="BR303" s="39"/>
      <c r="BS303" s="39"/>
      <c r="BT303" s="39"/>
      <c r="BU303" s="39"/>
      <c r="BV303" s="39"/>
      <c r="BW303" s="39"/>
      <c r="BX303" s="39"/>
      <c r="BY303" s="39"/>
      <c r="BZ303" s="39"/>
      <c r="CA303" s="39"/>
      <c r="CB303" s="39"/>
      <c r="CC303" s="39"/>
      <c r="CD303" s="39"/>
      <c r="CE303" s="39"/>
      <c r="CF303" s="39"/>
      <c r="CG303" s="39"/>
      <c r="CH303" s="39"/>
      <c r="CI303" s="39"/>
      <c r="CJ303" s="39"/>
      <c r="CK303" s="39"/>
      <c r="CL303" s="39"/>
      <c r="CM303" s="39"/>
      <c r="CN303" s="39"/>
      <c r="CO303" s="39"/>
      <c r="CP303" s="39"/>
      <c r="CQ303" s="39"/>
      <c r="CR303" s="39"/>
      <c r="CS303" s="39"/>
      <c r="CT303" s="39"/>
      <c r="CU303" s="39"/>
      <c r="CV303" s="39"/>
      <c r="CW303" s="39"/>
      <c r="CX303" s="39"/>
      <c r="CY303" s="39"/>
      <c r="CZ303" s="39"/>
      <c r="DA303" s="39"/>
      <c r="DB303" s="39"/>
      <c r="DC303" s="39"/>
      <c r="DD303" s="39"/>
      <c r="DE303" s="39"/>
      <c r="DF303" s="39"/>
      <c r="DG303" s="39"/>
      <c r="DH303" s="39"/>
      <c r="DI303" s="39"/>
      <c r="DJ303" s="39"/>
      <c r="DK303" s="39"/>
      <c r="DL303" s="39"/>
      <c r="DM303" s="39"/>
      <c r="DN303" s="39"/>
      <c r="DO303" s="39"/>
      <c r="DP303" s="39"/>
      <c r="DQ303" s="39"/>
      <c r="DR303" s="39"/>
      <c r="DS303" s="39"/>
      <c r="DT303" s="39"/>
      <c r="DU303" s="39"/>
      <c r="DV303" s="39"/>
      <c r="DW303" s="39"/>
      <c r="DX303" s="39"/>
      <c r="DY303" s="39"/>
      <c r="DZ303" s="39"/>
      <c r="EA303" s="39"/>
      <c r="EB303" s="39"/>
      <c r="EC303" s="39"/>
      <c r="ED303" s="39"/>
      <c r="EE303" s="39"/>
      <c r="EF303" s="39"/>
      <c r="EG303" s="39"/>
      <c r="EH303" s="39"/>
      <c r="EI303" s="39"/>
      <c r="EJ303" s="39"/>
      <c r="EK303" s="39"/>
      <c r="EL303" s="39"/>
      <c r="EM303" s="39"/>
      <c r="EN303" s="39"/>
      <c r="EO303" s="39"/>
    </row>
    <row r="304" spans="2:145">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39"/>
      <c r="BQ304" s="39"/>
      <c r="BR304" s="39"/>
      <c r="BS304" s="39"/>
      <c r="BT304" s="39"/>
      <c r="BU304" s="39"/>
      <c r="BV304" s="39"/>
      <c r="BW304" s="39"/>
      <c r="BX304" s="39"/>
      <c r="BY304" s="39"/>
      <c r="BZ304" s="39"/>
      <c r="CA304" s="39"/>
      <c r="CB304" s="39"/>
      <c r="CC304" s="39"/>
      <c r="CD304" s="39"/>
      <c r="CE304" s="39"/>
      <c r="CF304" s="39"/>
      <c r="CG304" s="39"/>
      <c r="CH304" s="39"/>
      <c r="CI304" s="39"/>
      <c r="CJ304" s="39"/>
      <c r="CK304" s="39"/>
      <c r="CL304" s="39"/>
      <c r="CM304" s="39"/>
      <c r="CN304" s="39"/>
      <c r="CO304" s="39"/>
      <c r="CP304" s="39"/>
      <c r="CQ304" s="39"/>
      <c r="CR304" s="39"/>
      <c r="CS304" s="39"/>
      <c r="CT304" s="39"/>
      <c r="CU304" s="39"/>
      <c r="CV304" s="39"/>
      <c r="CW304" s="39"/>
      <c r="CX304" s="39"/>
      <c r="CY304" s="39"/>
      <c r="CZ304" s="39"/>
      <c r="DA304" s="39"/>
      <c r="DB304" s="39"/>
      <c r="DC304" s="39"/>
      <c r="DD304" s="39"/>
      <c r="DE304" s="39"/>
      <c r="DF304" s="39"/>
      <c r="DG304" s="39"/>
      <c r="DH304" s="39"/>
      <c r="DI304" s="39"/>
      <c r="DJ304" s="39"/>
      <c r="DK304" s="39"/>
      <c r="DL304" s="39"/>
      <c r="DM304" s="39"/>
      <c r="DN304" s="39"/>
      <c r="DO304" s="39"/>
      <c r="DP304" s="39"/>
      <c r="DQ304" s="39"/>
      <c r="DR304" s="39"/>
      <c r="DS304" s="39"/>
      <c r="DT304" s="39"/>
      <c r="DU304" s="39"/>
      <c r="DV304" s="39"/>
      <c r="DW304" s="39"/>
      <c r="DX304" s="39"/>
      <c r="DY304" s="39"/>
      <c r="DZ304" s="39"/>
      <c r="EA304" s="39"/>
      <c r="EB304" s="39"/>
      <c r="EC304" s="39"/>
      <c r="ED304" s="39"/>
      <c r="EE304" s="39"/>
      <c r="EF304" s="39"/>
      <c r="EG304" s="39"/>
      <c r="EH304" s="39"/>
      <c r="EI304" s="39"/>
      <c r="EJ304" s="39"/>
      <c r="EK304" s="39"/>
      <c r="EL304" s="39"/>
      <c r="EM304" s="39"/>
      <c r="EN304" s="39"/>
      <c r="EO304" s="39"/>
    </row>
    <row r="305" spans="2:145">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c r="BP305" s="39"/>
      <c r="BQ305" s="39"/>
      <c r="BR305" s="39"/>
      <c r="BS305" s="39"/>
      <c r="BT305" s="39"/>
      <c r="BU305" s="39"/>
      <c r="BV305" s="39"/>
      <c r="BW305" s="39"/>
      <c r="BX305" s="39"/>
      <c r="BY305" s="39"/>
      <c r="BZ305" s="39"/>
      <c r="CA305" s="39"/>
      <c r="CB305" s="39"/>
      <c r="CC305" s="39"/>
      <c r="CD305" s="39"/>
      <c r="CE305" s="39"/>
      <c r="CF305" s="39"/>
      <c r="CG305" s="39"/>
      <c r="CH305" s="39"/>
      <c r="CI305" s="39"/>
      <c r="CJ305" s="39"/>
      <c r="CK305" s="39"/>
      <c r="CL305" s="39"/>
      <c r="CM305" s="39"/>
      <c r="CN305" s="39"/>
      <c r="CO305" s="39"/>
      <c r="CP305" s="39"/>
      <c r="CQ305" s="39"/>
      <c r="CR305" s="39"/>
      <c r="CS305" s="39"/>
      <c r="CT305" s="39"/>
      <c r="CU305" s="39"/>
      <c r="CV305" s="39"/>
      <c r="CW305" s="39"/>
      <c r="CX305" s="39"/>
      <c r="CY305" s="39"/>
      <c r="CZ305" s="39"/>
      <c r="DA305" s="39"/>
      <c r="DB305" s="39"/>
      <c r="DC305" s="39"/>
      <c r="DD305" s="39"/>
      <c r="DE305" s="39"/>
      <c r="DF305" s="39"/>
      <c r="DG305" s="39"/>
      <c r="DH305" s="39"/>
      <c r="DI305" s="39"/>
      <c r="DJ305" s="39"/>
      <c r="DK305" s="39"/>
      <c r="DL305" s="39"/>
      <c r="DM305" s="39"/>
      <c r="DN305" s="39"/>
      <c r="DO305" s="39"/>
      <c r="DP305" s="39"/>
      <c r="DQ305" s="39"/>
      <c r="DR305" s="39"/>
      <c r="DS305" s="39"/>
      <c r="DT305" s="39"/>
      <c r="DU305" s="39"/>
      <c r="DV305" s="39"/>
      <c r="DW305" s="39"/>
      <c r="DX305" s="39"/>
      <c r="DY305" s="39"/>
      <c r="DZ305" s="39"/>
      <c r="EA305" s="39"/>
      <c r="EB305" s="39"/>
      <c r="EC305" s="39"/>
      <c r="ED305" s="39"/>
      <c r="EE305" s="39"/>
      <c r="EF305" s="39"/>
      <c r="EG305" s="39"/>
      <c r="EH305" s="39"/>
      <c r="EI305" s="39"/>
      <c r="EJ305" s="39"/>
      <c r="EK305" s="39"/>
      <c r="EL305" s="39"/>
      <c r="EM305" s="39"/>
      <c r="EN305" s="39"/>
      <c r="EO305" s="39"/>
    </row>
    <row r="306" spans="2:145">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c r="BP306" s="39"/>
      <c r="BQ306" s="39"/>
      <c r="BR306" s="39"/>
      <c r="BS306" s="39"/>
      <c r="BT306" s="39"/>
      <c r="BU306" s="39"/>
      <c r="BV306" s="39"/>
      <c r="BW306" s="39"/>
      <c r="BX306" s="39"/>
      <c r="BY306" s="39"/>
      <c r="BZ306" s="39"/>
      <c r="CA306" s="39"/>
      <c r="CB306" s="39"/>
      <c r="CC306" s="39"/>
      <c r="CD306" s="39"/>
      <c r="CE306" s="39"/>
      <c r="CF306" s="39"/>
      <c r="CG306" s="39"/>
      <c r="CH306" s="39"/>
      <c r="CI306" s="39"/>
      <c r="CJ306" s="39"/>
      <c r="CK306" s="39"/>
      <c r="CL306" s="39"/>
      <c r="CM306" s="39"/>
      <c r="CN306" s="39"/>
      <c r="CO306" s="39"/>
      <c r="CP306" s="39"/>
      <c r="CQ306" s="39"/>
      <c r="CR306" s="39"/>
      <c r="CS306" s="39"/>
      <c r="CT306" s="39"/>
      <c r="CU306" s="39"/>
      <c r="CV306" s="39"/>
      <c r="CW306" s="39"/>
      <c r="CX306" s="39"/>
      <c r="CY306" s="39"/>
      <c r="CZ306" s="39"/>
      <c r="DA306" s="39"/>
      <c r="DB306" s="39"/>
      <c r="DC306" s="39"/>
      <c r="DD306" s="39"/>
      <c r="DE306" s="39"/>
      <c r="DF306" s="39"/>
      <c r="DG306" s="39"/>
      <c r="DH306" s="39"/>
      <c r="DI306" s="39"/>
      <c r="DJ306" s="39"/>
      <c r="DK306" s="39"/>
      <c r="DL306" s="39"/>
      <c r="DM306" s="39"/>
      <c r="DN306" s="39"/>
      <c r="DO306" s="39"/>
      <c r="DP306" s="39"/>
      <c r="DQ306" s="39"/>
      <c r="DR306" s="39"/>
      <c r="DS306" s="39"/>
      <c r="DT306" s="39"/>
      <c r="DU306" s="39"/>
      <c r="DV306" s="39"/>
      <c r="DW306" s="39"/>
      <c r="DX306" s="39"/>
      <c r="DY306" s="39"/>
      <c r="DZ306" s="39"/>
      <c r="EA306" s="39"/>
      <c r="EB306" s="39"/>
      <c r="EC306" s="39"/>
      <c r="ED306" s="39"/>
      <c r="EE306" s="39"/>
      <c r="EF306" s="39"/>
      <c r="EG306" s="39"/>
      <c r="EH306" s="39"/>
      <c r="EI306" s="39"/>
      <c r="EJ306" s="39"/>
      <c r="EK306" s="39"/>
      <c r="EL306" s="39"/>
      <c r="EM306" s="39"/>
      <c r="EN306" s="39"/>
      <c r="EO306" s="39"/>
    </row>
    <row r="307" spans="2:145">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c r="BP307" s="39"/>
      <c r="BQ307" s="39"/>
      <c r="BR307" s="39"/>
      <c r="BS307" s="39"/>
      <c r="BT307" s="39"/>
      <c r="BU307" s="39"/>
      <c r="BV307" s="39"/>
      <c r="BW307" s="39"/>
      <c r="BX307" s="39"/>
      <c r="BY307" s="39"/>
      <c r="BZ307" s="39"/>
      <c r="CA307" s="39"/>
      <c r="CB307" s="39"/>
      <c r="CC307" s="39"/>
      <c r="CD307" s="39"/>
      <c r="CE307" s="39"/>
      <c r="CF307" s="39"/>
      <c r="CG307" s="39"/>
      <c r="CH307" s="39"/>
      <c r="CI307" s="39"/>
      <c r="CJ307" s="39"/>
      <c r="CK307" s="39"/>
      <c r="CL307" s="39"/>
      <c r="CM307" s="39"/>
      <c r="CN307" s="39"/>
      <c r="CO307" s="39"/>
      <c r="CP307" s="39"/>
      <c r="CQ307" s="39"/>
      <c r="CR307" s="39"/>
      <c r="CS307" s="39"/>
      <c r="CT307" s="39"/>
      <c r="CU307" s="39"/>
      <c r="CV307" s="39"/>
      <c r="CW307" s="39"/>
      <c r="CX307" s="39"/>
      <c r="CY307" s="39"/>
      <c r="CZ307" s="39"/>
      <c r="DA307" s="39"/>
      <c r="DB307" s="39"/>
      <c r="DC307" s="39"/>
      <c r="DD307" s="39"/>
      <c r="DE307" s="39"/>
      <c r="DF307" s="39"/>
      <c r="DG307" s="39"/>
      <c r="DH307" s="39"/>
      <c r="DI307" s="39"/>
      <c r="DJ307" s="39"/>
      <c r="DK307" s="39"/>
      <c r="DL307" s="39"/>
      <c r="DM307" s="39"/>
      <c r="DN307" s="39"/>
      <c r="DO307" s="39"/>
      <c r="DP307" s="39"/>
      <c r="DQ307" s="39"/>
      <c r="DR307" s="39"/>
      <c r="DS307" s="39"/>
      <c r="DT307" s="39"/>
      <c r="DU307" s="39"/>
      <c r="DV307" s="39"/>
      <c r="DW307" s="39"/>
      <c r="DX307" s="39"/>
      <c r="DY307" s="39"/>
      <c r="DZ307" s="39"/>
      <c r="EA307" s="39"/>
      <c r="EB307" s="39"/>
      <c r="EC307" s="39"/>
      <c r="ED307" s="39"/>
      <c r="EE307" s="39"/>
      <c r="EF307" s="39"/>
      <c r="EG307" s="39"/>
      <c r="EH307" s="39"/>
      <c r="EI307" s="39"/>
      <c r="EJ307" s="39"/>
      <c r="EK307" s="39"/>
      <c r="EL307" s="39"/>
      <c r="EM307" s="39"/>
      <c r="EN307" s="39"/>
      <c r="EO307" s="39"/>
    </row>
    <row r="308" spans="2:145">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c r="BP308" s="39"/>
      <c r="BQ308" s="39"/>
      <c r="BR308" s="39"/>
      <c r="BS308" s="39"/>
      <c r="BT308" s="39"/>
      <c r="BU308" s="39"/>
      <c r="BV308" s="39"/>
      <c r="BW308" s="39"/>
      <c r="BX308" s="39"/>
      <c r="BY308" s="39"/>
      <c r="BZ308" s="39"/>
      <c r="CA308" s="39"/>
      <c r="CB308" s="39"/>
      <c r="CC308" s="39"/>
      <c r="CD308" s="39"/>
      <c r="CE308" s="39"/>
      <c r="CF308" s="39"/>
      <c r="CG308" s="39"/>
      <c r="CH308" s="39"/>
      <c r="CI308" s="39"/>
      <c r="CJ308" s="39"/>
      <c r="CK308" s="39"/>
      <c r="CL308" s="39"/>
      <c r="CM308" s="39"/>
      <c r="CN308" s="39"/>
      <c r="CO308" s="39"/>
      <c r="CP308" s="39"/>
      <c r="CQ308" s="39"/>
      <c r="CR308" s="39"/>
      <c r="CS308" s="39"/>
      <c r="CT308" s="39"/>
      <c r="CU308" s="39"/>
      <c r="CV308" s="39"/>
      <c r="CW308" s="39"/>
      <c r="CX308" s="39"/>
      <c r="CY308" s="39"/>
      <c r="CZ308" s="39"/>
      <c r="DA308" s="39"/>
      <c r="DB308" s="39"/>
      <c r="DC308" s="39"/>
      <c r="DD308" s="39"/>
      <c r="DE308" s="39"/>
      <c r="DF308" s="39"/>
      <c r="DG308" s="39"/>
      <c r="DH308" s="39"/>
      <c r="DI308" s="39"/>
      <c r="DJ308" s="39"/>
      <c r="DK308" s="39"/>
      <c r="DL308" s="39"/>
      <c r="DM308" s="39"/>
      <c r="DN308" s="39"/>
      <c r="DO308" s="39"/>
      <c r="DP308" s="39"/>
      <c r="DQ308" s="39"/>
      <c r="DR308" s="39"/>
      <c r="DS308" s="39"/>
      <c r="DT308" s="39"/>
      <c r="DU308" s="39"/>
      <c r="DV308" s="39"/>
      <c r="DW308" s="39"/>
      <c r="DX308" s="39"/>
      <c r="DY308" s="39"/>
      <c r="DZ308" s="39"/>
      <c r="EA308" s="39"/>
      <c r="EB308" s="39"/>
      <c r="EC308" s="39"/>
      <c r="ED308" s="39"/>
      <c r="EE308" s="39"/>
      <c r="EF308" s="39"/>
      <c r="EG308" s="39"/>
      <c r="EH308" s="39"/>
      <c r="EI308" s="39"/>
      <c r="EJ308" s="39"/>
      <c r="EK308" s="39"/>
      <c r="EL308" s="39"/>
      <c r="EM308" s="39"/>
      <c r="EN308" s="39"/>
      <c r="EO308" s="39"/>
    </row>
    <row r="309" spans="2:145">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c r="BP309" s="39"/>
      <c r="BQ309" s="39"/>
      <c r="BR309" s="39"/>
      <c r="BS309" s="39"/>
      <c r="BT309" s="39"/>
      <c r="BU309" s="39"/>
      <c r="BV309" s="39"/>
      <c r="BW309" s="39"/>
      <c r="BX309" s="39"/>
      <c r="BY309" s="39"/>
      <c r="BZ309" s="39"/>
      <c r="CA309" s="39"/>
      <c r="CB309" s="39"/>
      <c r="CC309" s="39"/>
      <c r="CD309" s="39"/>
      <c r="CE309" s="39"/>
      <c r="CF309" s="39"/>
      <c r="CG309" s="39"/>
      <c r="CH309" s="39"/>
      <c r="CI309" s="39"/>
      <c r="CJ309" s="39"/>
      <c r="CK309" s="39"/>
      <c r="CL309" s="39"/>
      <c r="CM309" s="39"/>
      <c r="CN309" s="39"/>
      <c r="CO309" s="39"/>
      <c r="CP309" s="39"/>
      <c r="CQ309" s="39"/>
      <c r="CR309" s="39"/>
      <c r="CS309" s="39"/>
      <c r="CT309" s="39"/>
      <c r="CU309" s="39"/>
      <c r="CV309" s="39"/>
      <c r="CW309" s="39"/>
      <c r="CX309" s="39"/>
      <c r="CY309" s="39"/>
      <c r="CZ309" s="39"/>
      <c r="DA309" s="39"/>
      <c r="DB309" s="39"/>
      <c r="DC309" s="39"/>
      <c r="DD309" s="39"/>
      <c r="DE309" s="39"/>
      <c r="DF309" s="39"/>
      <c r="DG309" s="39"/>
      <c r="DH309" s="39"/>
      <c r="DI309" s="39"/>
      <c r="DJ309" s="39"/>
      <c r="DK309" s="39"/>
      <c r="DL309" s="39"/>
      <c r="DM309" s="39"/>
      <c r="DN309" s="39"/>
      <c r="DO309" s="39"/>
      <c r="DP309" s="39"/>
      <c r="DQ309" s="39"/>
      <c r="DR309" s="39"/>
      <c r="DS309" s="39"/>
      <c r="DT309" s="39"/>
      <c r="DU309" s="39"/>
      <c r="DV309" s="39"/>
      <c r="DW309" s="39"/>
      <c r="DX309" s="39"/>
      <c r="DY309" s="39"/>
      <c r="DZ309" s="39"/>
      <c r="EA309" s="39"/>
      <c r="EB309" s="39"/>
      <c r="EC309" s="39"/>
      <c r="ED309" s="39"/>
      <c r="EE309" s="39"/>
      <c r="EF309" s="39"/>
      <c r="EG309" s="39"/>
      <c r="EH309" s="39"/>
      <c r="EI309" s="39"/>
      <c r="EJ309" s="39"/>
      <c r="EK309" s="39"/>
      <c r="EL309" s="39"/>
      <c r="EM309" s="39"/>
      <c r="EN309" s="39"/>
      <c r="EO309" s="39"/>
    </row>
    <row r="310" spans="2:145">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c r="BP310" s="39"/>
      <c r="BQ310" s="39"/>
      <c r="BR310" s="39"/>
      <c r="BS310" s="39"/>
      <c r="BT310" s="39"/>
      <c r="BU310" s="39"/>
      <c r="BV310" s="39"/>
      <c r="BW310" s="39"/>
      <c r="BX310" s="39"/>
      <c r="BY310" s="39"/>
      <c r="BZ310" s="39"/>
      <c r="CA310" s="39"/>
      <c r="CB310" s="39"/>
      <c r="CC310" s="39"/>
      <c r="CD310" s="39"/>
      <c r="CE310" s="39"/>
      <c r="CF310" s="39"/>
      <c r="CG310" s="39"/>
      <c r="CH310" s="39"/>
      <c r="CI310" s="39"/>
      <c r="CJ310" s="39"/>
      <c r="CK310" s="39"/>
      <c r="CL310" s="39"/>
      <c r="CM310" s="39"/>
      <c r="CN310" s="39"/>
      <c r="CO310" s="39"/>
      <c r="CP310" s="39"/>
      <c r="CQ310" s="39"/>
      <c r="CR310" s="39"/>
      <c r="CS310" s="39"/>
      <c r="CT310" s="39"/>
      <c r="CU310" s="39"/>
      <c r="CV310" s="39"/>
      <c r="CW310" s="39"/>
      <c r="CX310" s="39"/>
      <c r="CY310" s="39"/>
      <c r="CZ310" s="39"/>
      <c r="DA310" s="39"/>
      <c r="DB310" s="39"/>
      <c r="DC310" s="39"/>
      <c r="DD310" s="39"/>
      <c r="DE310" s="39"/>
      <c r="DF310" s="39"/>
      <c r="DG310" s="39"/>
      <c r="DH310" s="39"/>
      <c r="DI310" s="39"/>
      <c r="DJ310" s="39"/>
      <c r="DK310" s="39"/>
      <c r="DL310" s="39"/>
      <c r="DM310" s="39"/>
      <c r="DN310" s="39"/>
      <c r="DO310" s="39"/>
      <c r="DP310" s="39"/>
      <c r="DQ310" s="39"/>
      <c r="DR310" s="39"/>
      <c r="DS310" s="39"/>
      <c r="DT310" s="39"/>
      <c r="DU310" s="39"/>
      <c r="DV310" s="39"/>
      <c r="DW310" s="39"/>
      <c r="DX310" s="39"/>
      <c r="DY310" s="39"/>
      <c r="DZ310" s="39"/>
      <c r="EA310" s="39"/>
      <c r="EB310" s="39"/>
      <c r="EC310" s="39"/>
      <c r="ED310" s="39"/>
      <c r="EE310" s="39"/>
      <c r="EF310" s="39"/>
      <c r="EG310" s="39"/>
      <c r="EH310" s="39"/>
      <c r="EI310" s="39"/>
      <c r="EJ310" s="39"/>
      <c r="EK310" s="39"/>
      <c r="EL310" s="39"/>
      <c r="EM310" s="39"/>
      <c r="EN310" s="39"/>
      <c r="EO310" s="39"/>
    </row>
    <row r="311" spans="2:145">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c r="BP311" s="39"/>
      <c r="BQ311" s="39"/>
      <c r="BR311" s="39"/>
      <c r="BS311" s="39"/>
      <c r="BT311" s="39"/>
      <c r="BU311" s="39"/>
      <c r="BV311" s="39"/>
      <c r="BW311" s="39"/>
      <c r="BX311" s="39"/>
      <c r="BY311" s="39"/>
      <c r="BZ311" s="39"/>
      <c r="CA311" s="39"/>
      <c r="CB311" s="39"/>
      <c r="CC311" s="39"/>
      <c r="CD311" s="39"/>
      <c r="CE311" s="39"/>
      <c r="CF311" s="39"/>
      <c r="CG311" s="39"/>
      <c r="CH311" s="39"/>
      <c r="CI311" s="39"/>
      <c r="CJ311" s="39"/>
      <c r="CK311" s="39"/>
      <c r="CL311" s="39"/>
      <c r="CM311" s="39"/>
      <c r="CN311" s="39"/>
      <c r="CO311" s="39"/>
      <c r="CP311" s="39"/>
      <c r="CQ311" s="39"/>
      <c r="CR311" s="39"/>
      <c r="CS311" s="39"/>
      <c r="CT311" s="39"/>
      <c r="CU311" s="39"/>
      <c r="CV311" s="39"/>
      <c r="CW311" s="39"/>
      <c r="CX311" s="39"/>
      <c r="CY311" s="39"/>
      <c r="CZ311" s="39"/>
      <c r="DA311" s="39"/>
      <c r="DB311" s="39"/>
      <c r="DC311" s="39"/>
      <c r="DD311" s="39"/>
      <c r="DE311" s="39"/>
      <c r="DF311" s="39"/>
      <c r="DG311" s="39"/>
      <c r="DH311" s="39"/>
      <c r="DI311" s="39"/>
      <c r="DJ311" s="39"/>
      <c r="DK311" s="39"/>
      <c r="DL311" s="39"/>
      <c r="DM311" s="39"/>
      <c r="DN311" s="39"/>
      <c r="DO311" s="39"/>
      <c r="DP311" s="39"/>
      <c r="DQ311" s="39"/>
      <c r="DR311" s="39"/>
      <c r="DS311" s="39"/>
      <c r="DT311" s="39"/>
      <c r="DU311" s="39"/>
      <c r="DV311" s="39"/>
      <c r="DW311" s="39"/>
      <c r="DX311" s="39"/>
      <c r="DY311" s="39"/>
      <c r="DZ311" s="39"/>
      <c r="EA311" s="39"/>
      <c r="EB311" s="39"/>
      <c r="EC311" s="39"/>
      <c r="ED311" s="39"/>
      <c r="EE311" s="39"/>
      <c r="EF311" s="39"/>
      <c r="EG311" s="39"/>
      <c r="EH311" s="39"/>
      <c r="EI311" s="39"/>
      <c r="EJ311" s="39"/>
      <c r="EK311" s="39"/>
      <c r="EL311" s="39"/>
      <c r="EM311" s="39"/>
      <c r="EN311" s="39"/>
      <c r="EO311" s="39"/>
    </row>
    <row r="312" spans="2:145">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c r="BP312" s="39"/>
      <c r="BQ312" s="39"/>
      <c r="BR312" s="39"/>
      <c r="BS312" s="39"/>
      <c r="BT312" s="39"/>
      <c r="BU312" s="39"/>
      <c r="BV312" s="39"/>
      <c r="BW312" s="39"/>
      <c r="BX312" s="39"/>
      <c r="BY312" s="39"/>
      <c r="BZ312" s="39"/>
      <c r="CA312" s="39"/>
      <c r="CB312" s="39"/>
      <c r="CC312" s="39"/>
      <c r="CD312" s="39"/>
      <c r="CE312" s="39"/>
      <c r="CF312" s="39"/>
      <c r="CG312" s="39"/>
      <c r="CH312" s="39"/>
      <c r="CI312" s="39"/>
      <c r="CJ312" s="39"/>
      <c r="CK312" s="39"/>
      <c r="CL312" s="39"/>
      <c r="CM312" s="39"/>
      <c r="CN312" s="39"/>
      <c r="CO312" s="39"/>
      <c r="CP312" s="39"/>
      <c r="CQ312" s="39"/>
      <c r="CR312" s="39"/>
      <c r="CS312" s="39"/>
      <c r="CT312" s="39"/>
      <c r="CU312" s="39"/>
      <c r="CV312" s="39"/>
      <c r="CW312" s="39"/>
      <c r="CX312" s="39"/>
      <c r="CY312" s="39"/>
      <c r="CZ312" s="39"/>
      <c r="DA312" s="39"/>
      <c r="DB312" s="39"/>
      <c r="DC312" s="39"/>
      <c r="DD312" s="39"/>
      <c r="DE312" s="39"/>
      <c r="DF312" s="39"/>
      <c r="DG312" s="39"/>
      <c r="DH312" s="39"/>
      <c r="DI312" s="39"/>
      <c r="DJ312" s="39"/>
      <c r="DK312" s="39"/>
      <c r="DL312" s="39"/>
      <c r="DM312" s="39"/>
      <c r="DN312" s="39"/>
      <c r="DO312" s="39"/>
      <c r="DP312" s="39"/>
      <c r="DQ312" s="39"/>
      <c r="DR312" s="39"/>
      <c r="DS312" s="39"/>
      <c r="DT312" s="39"/>
      <c r="DU312" s="39"/>
      <c r="DV312" s="39"/>
      <c r="DW312" s="39"/>
      <c r="DX312" s="39"/>
      <c r="DY312" s="39"/>
      <c r="DZ312" s="39"/>
      <c r="EA312" s="39"/>
      <c r="EB312" s="39"/>
      <c r="EC312" s="39"/>
      <c r="ED312" s="39"/>
      <c r="EE312" s="39"/>
      <c r="EF312" s="39"/>
      <c r="EG312" s="39"/>
      <c r="EH312" s="39"/>
      <c r="EI312" s="39"/>
      <c r="EJ312" s="39"/>
      <c r="EK312" s="39"/>
      <c r="EL312" s="39"/>
      <c r="EM312" s="39"/>
      <c r="EN312" s="39"/>
      <c r="EO312" s="39"/>
    </row>
    <row r="313" spans="2:145">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c r="BP313" s="39"/>
      <c r="BQ313" s="39"/>
      <c r="BR313" s="39"/>
      <c r="BS313" s="39"/>
      <c r="BT313" s="39"/>
      <c r="BU313" s="39"/>
      <c r="BV313" s="39"/>
      <c r="BW313" s="39"/>
      <c r="BX313" s="39"/>
      <c r="BY313" s="39"/>
      <c r="BZ313" s="39"/>
      <c r="CA313" s="39"/>
      <c r="CB313" s="39"/>
      <c r="CC313" s="39"/>
      <c r="CD313" s="39"/>
      <c r="CE313" s="39"/>
      <c r="CF313" s="39"/>
      <c r="CG313" s="39"/>
      <c r="CH313" s="39"/>
      <c r="CI313" s="39"/>
      <c r="CJ313" s="39"/>
      <c r="CK313" s="39"/>
      <c r="CL313" s="39"/>
      <c r="CM313" s="39"/>
      <c r="CN313" s="39"/>
      <c r="CO313" s="39"/>
      <c r="CP313" s="39"/>
      <c r="CQ313" s="39"/>
      <c r="CR313" s="39"/>
      <c r="CS313" s="39"/>
      <c r="CT313" s="39"/>
      <c r="CU313" s="39"/>
      <c r="CV313" s="39"/>
      <c r="CW313" s="39"/>
      <c r="CX313" s="39"/>
      <c r="CY313" s="39"/>
      <c r="CZ313" s="39"/>
      <c r="DA313" s="39"/>
      <c r="DB313" s="39"/>
      <c r="DC313" s="39"/>
      <c r="DD313" s="39"/>
      <c r="DE313" s="39"/>
      <c r="DF313" s="39"/>
      <c r="DG313" s="39"/>
      <c r="DH313" s="39"/>
      <c r="DI313" s="39"/>
      <c r="DJ313" s="39"/>
      <c r="DK313" s="39"/>
      <c r="DL313" s="39"/>
      <c r="DM313" s="39"/>
      <c r="DN313" s="39"/>
      <c r="DO313" s="39"/>
      <c r="DP313" s="39"/>
      <c r="DQ313" s="39"/>
      <c r="DR313" s="39"/>
      <c r="DS313" s="39"/>
      <c r="DT313" s="39"/>
      <c r="DU313" s="39"/>
      <c r="DV313" s="39"/>
      <c r="DW313" s="39"/>
      <c r="DX313" s="39"/>
      <c r="DY313" s="39"/>
      <c r="DZ313" s="39"/>
      <c r="EA313" s="39"/>
      <c r="EB313" s="39"/>
      <c r="EC313" s="39"/>
      <c r="ED313" s="39"/>
      <c r="EE313" s="39"/>
      <c r="EF313" s="39"/>
      <c r="EG313" s="39"/>
      <c r="EH313" s="39"/>
      <c r="EI313" s="39"/>
      <c r="EJ313" s="39"/>
      <c r="EK313" s="39"/>
      <c r="EL313" s="39"/>
      <c r="EM313" s="39"/>
      <c r="EN313" s="39"/>
      <c r="EO313" s="39"/>
    </row>
    <row r="314" spans="2:145">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c r="BP314" s="39"/>
      <c r="BQ314" s="39"/>
      <c r="BR314" s="39"/>
      <c r="BS314" s="39"/>
      <c r="BT314" s="39"/>
      <c r="BU314" s="39"/>
      <c r="BV314" s="39"/>
      <c r="BW314" s="39"/>
      <c r="BX314" s="39"/>
      <c r="BY314" s="39"/>
      <c r="BZ314" s="39"/>
      <c r="CA314" s="39"/>
      <c r="CB314" s="39"/>
      <c r="CC314" s="39"/>
      <c r="CD314" s="39"/>
      <c r="CE314" s="39"/>
      <c r="CF314" s="39"/>
      <c r="CG314" s="39"/>
      <c r="CH314" s="39"/>
      <c r="CI314" s="39"/>
      <c r="CJ314" s="39"/>
      <c r="CK314" s="39"/>
      <c r="CL314" s="39"/>
      <c r="CM314" s="39"/>
      <c r="CN314" s="39"/>
      <c r="CO314" s="39"/>
      <c r="CP314" s="39"/>
      <c r="CQ314" s="39"/>
      <c r="CR314" s="39"/>
      <c r="CS314" s="39"/>
      <c r="CT314" s="39"/>
      <c r="CU314" s="39"/>
      <c r="CV314" s="39"/>
      <c r="CW314" s="39"/>
      <c r="CX314" s="39"/>
      <c r="CY314" s="39"/>
      <c r="CZ314" s="39"/>
      <c r="DA314" s="39"/>
      <c r="DB314" s="39"/>
      <c r="DC314" s="39"/>
      <c r="DD314" s="39"/>
      <c r="DE314" s="39"/>
      <c r="DF314" s="39"/>
      <c r="DG314" s="39"/>
      <c r="DH314" s="39"/>
      <c r="DI314" s="39"/>
      <c r="DJ314" s="39"/>
      <c r="DK314" s="39"/>
      <c r="DL314" s="39"/>
      <c r="DM314" s="39"/>
      <c r="DN314" s="39"/>
      <c r="DO314" s="39"/>
      <c r="DP314" s="39"/>
      <c r="DQ314" s="39"/>
      <c r="DR314" s="39"/>
      <c r="DS314" s="39"/>
      <c r="DT314" s="39"/>
      <c r="DU314" s="39"/>
      <c r="DV314" s="39"/>
      <c r="DW314" s="39"/>
      <c r="DX314" s="39"/>
      <c r="DY314" s="39"/>
      <c r="DZ314" s="39"/>
      <c r="EA314" s="39"/>
      <c r="EB314" s="39"/>
      <c r="EC314" s="39"/>
      <c r="ED314" s="39"/>
      <c r="EE314" s="39"/>
      <c r="EF314" s="39"/>
      <c r="EG314" s="39"/>
      <c r="EH314" s="39"/>
      <c r="EI314" s="39"/>
      <c r="EJ314" s="39"/>
      <c r="EK314" s="39"/>
      <c r="EL314" s="39"/>
      <c r="EM314" s="39"/>
      <c r="EN314" s="39"/>
      <c r="EO314" s="39"/>
    </row>
    <row r="315" spans="2:145">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c r="BP315" s="39"/>
      <c r="BQ315" s="39"/>
      <c r="BR315" s="39"/>
      <c r="BS315" s="39"/>
      <c r="BT315" s="39"/>
      <c r="BU315" s="39"/>
      <c r="BV315" s="39"/>
      <c r="BW315" s="39"/>
      <c r="BX315" s="39"/>
      <c r="BY315" s="39"/>
      <c r="BZ315" s="39"/>
      <c r="CA315" s="39"/>
      <c r="CB315" s="39"/>
      <c r="CC315" s="39"/>
      <c r="CD315" s="39"/>
      <c r="CE315" s="39"/>
      <c r="CF315" s="39"/>
      <c r="CG315" s="39"/>
      <c r="CH315" s="39"/>
      <c r="CI315" s="39"/>
      <c r="CJ315" s="39"/>
      <c r="CK315" s="39"/>
      <c r="CL315" s="39"/>
      <c r="CM315" s="39"/>
      <c r="CN315" s="39"/>
      <c r="CO315" s="39"/>
      <c r="CP315" s="39"/>
      <c r="CQ315" s="39"/>
      <c r="CR315" s="39"/>
      <c r="CS315" s="39"/>
      <c r="CT315" s="39"/>
      <c r="CU315" s="39"/>
      <c r="CV315" s="39"/>
      <c r="CW315" s="39"/>
      <c r="CX315" s="39"/>
      <c r="CY315" s="39"/>
      <c r="CZ315" s="39"/>
      <c r="DA315" s="39"/>
      <c r="DB315" s="39"/>
      <c r="DC315" s="39"/>
      <c r="DD315" s="39"/>
      <c r="DE315" s="39"/>
      <c r="DF315" s="39"/>
      <c r="DG315" s="39"/>
      <c r="DH315" s="39"/>
      <c r="DI315" s="39"/>
      <c r="DJ315" s="39"/>
      <c r="DK315" s="39"/>
      <c r="DL315" s="39"/>
      <c r="DM315" s="39"/>
      <c r="DN315" s="39"/>
      <c r="DO315" s="39"/>
      <c r="DP315" s="39"/>
      <c r="DQ315" s="39"/>
      <c r="DR315" s="39"/>
      <c r="DS315" s="39"/>
      <c r="DT315" s="39"/>
      <c r="DU315" s="39"/>
      <c r="DV315" s="39"/>
      <c r="DW315" s="39"/>
      <c r="DX315" s="39"/>
      <c r="DY315" s="39"/>
      <c r="DZ315" s="39"/>
      <c r="EA315" s="39"/>
      <c r="EB315" s="39"/>
      <c r="EC315" s="39"/>
      <c r="ED315" s="39"/>
      <c r="EE315" s="39"/>
      <c r="EF315" s="39"/>
      <c r="EG315" s="39"/>
      <c r="EH315" s="39"/>
      <c r="EI315" s="39"/>
      <c r="EJ315" s="39"/>
      <c r="EK315" s="39"/>
      <c r="EL315" s="39"/>
      <c r="EM315" s="39"/>
      <c r="EN315" s="39"/>
      <c r="EO315" s="39"/>
    </row>
    <row r="316" spans="2:145">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c r="CT316" s="39"/>
      <c r="CU316" s="39"/>
      <c r="CV316" s="39"/>
      <c r="CW316" s="39"/>
      <c r="CX316" s="39"/>
      <c r="CY316" s="39"/>
      <c r="CZ316" s="39"/>
      <c r="DA316" s="39"/>
      <c r="DB316" s="39"/>
      <c r="DC316" s="39"/>
      <c r="DD316" s="39"/>
      <c r="DE316" s="39"/>
      <c r="DF316" s="39"/>
      <c r="DG316" s="39"/>
      <c r="DH316" s="39"/>
      <c r="DI316" s="39"/>
      <c r="DJ316" s="39"/>
      <c r="DK316" s="39"/>
      <c r="DL316" s="39"/>
      <c r="DM316" s="39"/>
      <c r="DN316" s="39"/>
      <c r="DO316" s="39"/>
      <c r="DP316" s="39"/>
      <c r="DQ316" s="39"/>
      <c r="DR316" s="39"/>
      <c r="DS316" s="39"/>
      <c r="DT316" s="39"/>
      <c r="DU316" s="39"/>
      <c r="DV316" s="39"/>
      <c r="DW316" s="39"/>
      <c r="DX316" s="39"/>
      <c r="DY316" s="39"/>
      <c r="DZ316" s="39"/>
      <c r="EA316" s="39"/>
      <c r="EB316" s="39"/>
      <c r="EC316" s="39"/>
      <c r="ED316" s="39"/>
      <c r="EE316" s="39"/>
      <c r="EF316" s="39"/>
      <c r="EG316" s="39"/>
      <c r="EH316" s="39"/>
      <c r="EI316" s="39"/>
      <c r="EJ316" s="39"/>
      <c r="EK316" s="39"/>
      <c r="EL316" s="39"/>
      <c r="EM316" s="39"/>
      <c r="EN316" s="39"/>
      <c r="EO316" s="39"/>
    </row>
    <row r="317" spans="2:145">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c r="BP317" s="39"/>
      <c r="BQ317" s="39"/>
      <c r="BR317" s="39"/>
      <c r="BS317" s="39"/>
      <c r="BT317" s="39"/>
      <c r="BU317" s="39"/>
      <c r="BV317" s="39"/>
      <c r="BW317" s="39"/>
      <c r="BX317" s="39"/>
      <c r="BY317" s="39"/>
      <c r="BZ317" s="39"/>
      <c r="CA317" s="39"/>
      <c r="CB317" s="39"/>
      <c r="CC317" s="39"/>
      <c r="CD317" s="39"/>
      <c r="CE317" s="39"/>
      <c r="CF317" s="39"/>
      <c r="CG317" s="39"/>
      <c r="CH317" s="39"/>
      <c r="CI317" s="39"/>
      <c r="CJ317" s="39"/>
      <c r="CK317" s="39"/>
      <c r="CL317" s="39"/>
      <c r="CM317" s="39"/>
      <c r="CN317" s="39"/>
      <c r="CO317" s="39"/>
      <c r="CP317" s="39"/>
      <c r="CQ317" s="39"/>
      <c r="CR317" s="39"/>
      <c r="CS317" s="39"/>
      <c r="CT317" s="39"/>
      <c r="CU317" s="39"/>
      <c r="CV317" s="39"/>
      <c r="CW317" s="39"/>
      <c r="CX317" s="39"/>
      <c r="CY317" s="39"/>
      <c r="CZ317" s="39"/>
      <c r="DA317" s="39"/>
      <c r="DB317" s="39"/>
      <c r="DC317" s="39"/>
      <c r="DD317" s="39"/>
      <c r="DE317" s="39"/>
      <c r="DF317" s="39"/>
      <c r="DG317" s="39"/>
      <c r="DH317" s="39"/>
      <c r="DI317" s="39"/>
      <c r="DJ317" s="39"/>
      <c r="DK317" s="39"/>
      <c r="DL317" s="39"/>
      <c r="DM317" s="39"/>
      <c r="DN317" s="39"/>
      <c r="DO317" s="39"/>
      <c r="DP317" s="39"/>
      <c r="DQ317" s="39"/>
      <c r="DR317" s="39"/>
      <c r="DS317" s="39"/>
      <c r="DT317" s="39"/>
      <c r="DU317" s="39"/>
      <c r="DV317" s="39"/>
      <c r="DW317" s="39"/>
      <c r="DX317" s="39"/>
      <c r="DY317" s="39"/>
      <c r="DZ317" s="39"/>
      <c r="EA317" s="39"/>
      <c r="EB317" s="39"/>
      <c r="EC317" s="39"/>
      <c r="ED317" s="39"/>
      <c r="EE317" s="39"/>
      <c r="EF317" s="39"/>
      <c r="EG317" s="39"/>
      <c r="EH317" s="39"/>
      <c r="EI317" s="39"/>
      <c r="EJ317" s="39"/>
      <c r="EK317" s="39"/>
      <c r="EL317" s="39"/>
      <c r="EM317" s="39"/>
      <c r="EN317" s="39"/>
      <c r="EO317" s="39"/>
    </row>
    <row r="318" spans="2:145">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39"/>
      <c r="DF318" s="39"/>
      <c r="DG318" s="39"/>
      <c r="DH318" s="39"/>
      <c r="DI318" s="39"/>
      <c r="DJ318" s="39"/>
      <c r="DK318" s="39"/>
      <c r="DL318" s="39"/>
      <c r="DM318" s="39"/>
      <c r="DN318" s="39"/>
      <c r="DO318" s="39"/>
      <c r="DP318" s="39"/>
      <c r="DQ318" s="39"/>
      <c r="DR318" s="39"/>
      <c r="DS318" s="39"/>
      <c r="DT318" s="39"/>
      <c r="DU318" s="39"/>
      <c r="DV318" s="39"/>
      <c r="DW318" s="39"/>
      <c r="DX318" s="39"/>
      <c r="DY318" s="39"/>
      <c r="DZ318" s="39"/>
      <c r="EA318" s="39"/>
      <c r="EB318" s="39"/>
      <c r="EC318" s="39"/>
      <c r="ED318" s="39"/>
      <c r="EE318" s="39"/>
      <c r="EF318" s="39"/>
      <c r="EG318" s="39"/>
      <c r="EH318" s="39"/>
      <c r="EI318" s="39"/>
      <c r="EJ318" s="39"/>
      <c r="EK318" s="39"/>
      <c r="EL318" s="39"/>
      <c r="EM318" s="39"/>
      <c r="EN318" s="39"/>
      <c r="EO318" s="39"/>
    </row>
    <row r="319" spans="2:145">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39"/>
      <c r="CZ319" s="39"/>
      <c r="DA319" s="39"/>
      <c r="DB319" s="39"/>
      <c r="DC319" s="39"/>
      <c r="DD319" s="39"/>
      <c r="DE319" s="39"/>
      <c r="DF319" s="39"/>
      <c r="DG319" s="39"/>
      <c r="DH319" s="39"/>
      <c r="DI319" s="39"/>
      <c r="DJ319" s="39"/>
      <c r="DK319" s="39"/>
      <c r="DL319" s="39"/>
      <c r="DM319" s="39"/>
      <c r="DN319" s="39"/>
      <c r="DO319" s="39"/>
      <c r="DP319" s="39"/>
      <c r="DQ319" s="39"/>
      <c r="DR319" s="39"/>
      <c r="DS319" s="39"/>
      <c r="DT319" s="39"/>
      <c r="DU319" s="39"/>
      <c r="DV319" s="39"/>
      <c r="DW319" s="39"/>
      <c r="DX319" s="39"/>
      <c r="DY319" s="39"/>
      <c r="DZ319" s="39"/>
      <c r="EA319" s="39"/>
      <c r="EB319" s="39"/>
      <c r="EC319" s="39"/>
      <c r="ED319" s="39"/>
      <c r="EE319" s="39"/>
      <c r="EF319" s="39"/>
      <c r="EG319" s="39"/>
      <c r="EH319" s="39"/>
      <c r="EI319" s="39"/>
      <c r="EJ319" s="39"/>
      <c r="EK319" s="39"/>
      <c r="EL319" s="39"/>
      <c r="EM319" s="39"/>
      <c r="EN319" s="39"/>
      <c r="EO319" s="39"/>
    </row>
    <row r="320" spans="2:145">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c r="CT320" s="39"/>
      <c r="CU320" s="39"/>
      <c r="CV320" s="39"/>
      <c r="CW320" s="39"/>
      <c r="CX320" s="39"/>
      <c r="CY320" s="39"/>
      <c r="CZ320" s="39"/>
      <c r="DA320" s="39"/>
      <c r="DB320" s="39"/>
      <c r="DC320" s="39"/>
      <c r="DD320" s="39"/>
      <c r="DE320" s="39"/>
      <c r="DF320" s="39"/>
      <c r="DG320" s="39"/>
      <c r="DH320" s="39"/>
      <c r="DI320" s="39"/>
      <c r="DJ320" s="39"/>
      <c r="DK320" s="39"/>
      <c r="DL320" s="39"/>
      <c r="DM320" s="39"/>
      <c r="DN320" s="39"/>
      <c r="DO320" s="39"/>
      <c r="DP320" s="39"/>
      <c r="DQ320" s="39"/>
      <c r="DR320" s="39"/>
      <c r="DS320" s="39"/>
      <c r="DT320" s="39"/>
      <c r="DU320" s="39"/>
      <c r="DV320" s="39"/>
      <c r="DW320" s="39"/>
      <c r="DX320" s="39"/>
      <c r="DY320" s="39"/>
      <c r="DZ320" s="39"/>
      <c r="EA320" s="39"/>
      <c r="EB320" s="39"/>
      <c r="EC320" s="39"/>
      <c r="ED320" s="39"/>
      <c r="EE320" s="39"/>
      <c r="EF320" s="39"/>
      <c r="EG320" s="39"/>
      <c r="EH320" s="39"/>
      <c r="EI320" s="39"/>
      <c r="EJ320" s="39"/>
      <c r="EK320" s="39"/>
      <c r="EL320" s="39"/>
      <c r="EM320" s="39"/>
      <c r="EN320" s="39"/>
      <c r="EO320" s="39"/>
    </row>
    <row r="321" spans="2:145">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c r="CT321" s="39"/>
      <c r="CU321" s="39"/>
      <c r="CV321" s="39"/>
      <c r="CW321" s="39"/>
      <c r="CX321" s="39"/>
      <c r="CY321" s="39"/>
      <c r="CZ321" s="39"/>
      <c r="DA321" s="39"/>
      <c r="DB321" s="39"/>
      <c r="DC321" s="39"/>
      <c r="DD321" s="39"/>
      <c r="DE321" s="39"/>
      <c r="DF321" s="39"/>
      <c r="DG321" s="39"/>
      <c r="DH321" s="39"/>
      <c r="DI321" s="39"/>
      <c r="DJ321" s="39"/>
      <c r="DK321" s="39"/>
      <c r="DL321" s="39"/>
      <c r="DM321" s="39"/>
      <c r="DN321" s="39"/>
      <c r="DO321" s="39"/>
      <c r="DP321" s="39"/>
      <c r="DQ321" s="39"/>
      <c r="DR321" s="39"/>
      <c r="DS321" s="39"/>
      <c r="DT321" s="39"/>
      <c r="DU321" s="39"/>
      <c r="DV321" s="39"/>
      <c r="DW321" s="39"/>
      <c r="DX321" s="39"/>
      <c r="DY321" s="39"/>
      <c r="DZ321" s="39"/>
      <c r="EA321" s="39"/>
      <c r="EB321" s="39"/>
      <c r="EC321" s="39"/>
      <c r="ED321" s="39"/>
      <c r="EE321" s="39"/>
      <c r="EF321" s="39"/>
      <c r="EG321" s="39"/>
      <c r="EH321" s="39"/>
      <c r="EI321" s="39"/>
      <c r="EJ321" s="39"/>
      <c r="EK321" s="39"/>
      <c r="EL321" s="39"/>
      <c r="EM321" s="39"/>
      <c r="EN321" s="39"/>
      <c r="EO321" s="39"/>
    </row>
    <row r="322" spans="2:145">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c r="CT322" s="39"/>
      <c r="CU322" s="39"/>
      <c r="CV322" s="39"/>
      <c r="CW322" s="39"/>
      <c r="CX322" s="39"/>
      <c r="CY322" s="39"/>
      <c r="CZ322" s="39"/>
      <c r="DA322" s="39"/>
      <c r="DB322" s="39"/>
      <c r="DC322" s="39"/>
      <c r="DD322" s="39"/>
      <c r="DE322" s="39"/>
      <c r="DF322" s="39"/>
      <c r="DG322" s="39"/>
      <c r="DH322" s="39"/>
      <c r="DI322" s="39"/>
      <c r="DJ322" s="39"/>
      <c r="DK322" s="39"/>
      <c r="DL322" s="39"/>
      <c r="DM322" s="39"/>
      <c r="DN322" s="39"/>
      <c r="DO322" s="39"/>
      <c r="DP322" s="39"/>
      <c r="DQ322" s="39"/>
      <c r="DR322" s="39"/>
      <c r="DS322" s="39"/>
      <c r="DT322" s="39"/>
      <c r="DU322" s="39"/>
      <c r="DV322" s="39"/>
      <c r="DW322" s="39"/>
      <c r="DX322" s="39"/>
      <c r="DY322" s="39"/>
      <c r="DZ322" s="39"/>
      <c r="EA322" s="39"/>
      <c r="EB322" s="39"/>
      <c r="EC322" s="39"/>
      <c r="ED322" s="39"/>
      <c r="EE322" s="39"/>
      <c r="EF322" s="39"/>
      <c r="EG322" s="39"/>
      <c r="EH322" s="39"/>
      <c r="EI322" s="39"/>
      <c r="EJ322" s="39"/>
      <c r="EK322" s="39"/>
      <c r="EL322" s="39"/>
      <c r="EM322" s="39"/>
      <c r="EN322" s="39"/>
      <c r="EO322" s="39"/>
    </row>
    <row r="323" spans="2:145">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c r="CT323" s="39"/>
      <c r="CU323" s="39"/>
      <c r="CV323" s="39"/>
      <c r="CW323" s="39"/>
      <c r="CX323" s="39"/>
      <c r="CY323" s="39"/>
      <c r="CZ323" s="39"/>
      <c r="DA323" s="39"/>
      <c r="DB323" s="39"/>
      <c r="DC323" s="39"/>
      <c r="DD323" s="39"/>
      <c r="DE323" s="39"/>
      <c r="DF323" s="39"/>
      <c r="DG323" s="39"/>
      <c r="DH323" s="39"/>
      <c r="DI323" s="39"/>
      <c r="DJ323" s="39"/>
      <c r="DK323" s="39"/>
      <c r="DL323" s="39"/>
      <c r="DM323" s="39"/>
      <c r="DN323" s="39"/>
      <c r="DO323" s="39"/>
      <c r="DP323" s="39"/>
      <c r="DQ323" s="39"/>
      <c r="DR323" s="39"/>
      <c r="DS323" s="39"/>
      <c r="DT323" s="39"/>
      <c r="DU323" s="39"/>
      <c r="DV323" s="39"/>
      <c r="DW323" s="39"/>
      <c r="DX323" s="39"/>
      <c r="DY323" s="39"/>
      <c r="DZ323" s="39"/>
      <c r="EA323" s="39"/>
      <c r="EB323" s="39"/>
      <c r="EC323" s="39"/>
      <c r="ED323" s="39"/>
      <c r="EE323" s="39"/>
      <c r="EF323" s="39"/>
      <c r="EG323" s="39"/>
      <c r="EH323" s="39"/>
      <c r="EI323" s="39"/>
      <c r="EJ323" s="39"/>
      <c r="EK323" s="39"/>
      <c r="EL323" s="39"/>
      <c r="EM323" s="39"/>
      <c r="EN323" s="39"/>
      <c r="EO323" s="39"/>
    </row>
    <row r="324" spans="2:145">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c r="CT324" s="39"/>
      <c r="CU324" s="39"/>
      <c r="CV324" s="39"/>
      <c r="CW324" s="39"/>
      <c r="CX324" s="39"/>
      <c r="CY324" s="39"/>
      <c r="CZ324" s="39"/>
      <c r="DA324" s="39"/>
      <c r="DB324" s="39"/>
      <c r="DC324" s="39"/>
      <c r="DD324" s="39"/>
      <c r="DE324" s="39"/>
      <c r="DF324" s="39"/>
      <c r="DG324" s="39"/>
      <c r="DH324" s="39"/>
      <c r="DI324" s="39"/>
      <c r="DJ324" s="39"/>
      <c r="DK324" s="39"/>
      <c r="DL324" s="39"/>
      <c r="DM324" s="39"/>
      <c r="DN324" s="39"/>
      <c r="DO324" s="39"/>
      <c r="DP324" s="39"/>
      <c r="DQ324" s="39"/>
      <c r="DR324" s="39"/>
      <c r="DS324" s="39"/>
      <c r="DT324" s="39"/>
      <c r="DU324" s="39"/>
      <c r="DV324" s="39"/>
      <c r="DW324" s="39"/>
      <c r="DX324" s="39"/>
      <c r="DY324" s="39"/>
      <c r="DZ324" s="39"/>
      <c r="EA324" s="39"/>
      <c r="EB324" s="39"/>
      <c r="EC324" s="39"/>
      <c r="ED324" s="39"/>
      <c r="EE324" s="39"/>
      <c r="EF324" s="39"/>
      <c r="EG324" s="39"/>
      <c r="EH324" s="39"/>
      <c r="EI324" s="39"/>
      <c r="EJ324" s="39"/>
      <c r="EK324" s="39"/>
      <c r="EL324" s="39"/>
      <c r="EM324" s="39"/>
      <c r="EN324" s="39"/>
      <c r="EO324" s="39"/>
    </row>
    <row r="325" spans="2:145">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c r="CT325" s="39"/>
      <c r="CU325" s="39"/>
      <c r="CV325" s="39"/>
      <c r="CW325" s="39"/>
      <c r="CX325" s="39"/>
      <c r="CY325" s="39"/>
      <c r="CZ325" s="39"/>
      <c r="DA325" s="39"/>
      <c r="DB325" s="39"/>
      <c r="DC325" s="39"/>
      <c r="DD325" s="39"/>
      <c r="DE325" s="39"/>
      <c r="DF325" s="39"/>
      <c r="DG325" s="39"/>
      <c r="DH325" s="39"/>
      <c r="DI325" s="39"/>
      <c r="DJ325" s="39"/>
      <c r="DK325" s="39"/>
      <c r="DL325" s="39"/>
      <c r="DM325" s="39"/>
      <c r="DN325" s="39"/>
      <c r="DO325" s="39"/>
      <c r="DP325" s="39"/>
      <c r="DQ325" s="39"/>
      <c r="DR325" s="39"/>
      <c r="DS325" s="39"/>
      <c r="DT325" s="39"/>
      <c r="DU325" s="39"/>
      <c r="DV325" s="39"/>
      <c r="DW325" s="39"/>
      <c r="DX325" s="39"/>
      <c r="DY325" s="39"/>
      <c r="DZ325" s="39"/>
      <c r="EA325" s="39"/>
      <c r="EB325" s="39"/>
      <c r="EC325" s="39"/>
      <c r="ED325" s="39"/>
      <c r="EE325" s="39"/>
      <c r="EF325" s="39"/>
      <c r="EG325" s="39"/>
      <c r="EH325" s="39"/>
      <c r="EI325" s="39"/>
      <c r="EJ325" s="39"/>
      <c r="EK325" s="39"/>
      <c r="EL325" s="39"/>
      <c r="EM325" s="39"/>
      <c r="EN325" s="39"/>
      <c r="EO325" s="39"/>
    </row>
    <row r="326" spans="2:145">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39"/>
      <c r="DF326" s="39"/>
      <c r="DG326" s="39"/>
      <c r="DH326" s="39"/>
      <c r="DI326" s="39"/>
      <c r="DJ326" s="39"/>
      <c r="DK326" s="39"/>
      <c r="DL326" s="39"/>
      <c r="DM326" s="39"/>
      <c r="DN326" s="39"/>
      <c r="DO326" s="39"/>
      <c r="DP326" s="39"/>
      <c r="DQ326" s="39"/>
      <c r="DR326" s="39"/>
      <c r="DS326" s="39"/>
      <c r="DT326" s="39"/>
      <c r="DU326" s="39"/>
      <c r="DV326" s="39"/>
      <c r="DW326" s="39"/>
      <c r="DX326" s="39"/>
      <c r="DY326" s="39"/>
      <c r="DZ326" s="39"/>
      <c r="EA326" s="39"/>
      <c r="EB326" s="39"/>
      <c r="EC326" s="39"/>
      <c r="ED326" s="39"/>
      <c r="EE326" s="39"/>
      <c r="EF326" s="39"/>
      <c r="EG326" s="39"/>
      <c r="EH326" s="39"/>
      <c r="EI326" s="39"/>
      <c r="EJ326" s="39"/>
      <c r="EK326" s="39"/>
      <c r="EL326" s="39"/>
      <c r="EM326" s="39"/>
      <c r="EN326" s="39"/>
      <c r="EO326" s="39"/>
    </row>
    <row r="327" spans="2:145">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39"/>
      <c r="BQ327" s="39"/>
      <c r="BR327" s="39"/>
      <c r="BS327" s="39"/>
      <c r="BT327" s="39"/>
      <c r="BU327" s="39"/>
      <c r="BV327" s="39"/>
      <c r="BW327" s="39"/>
      <c r="BX327" s="39"/>
      <c r="BY327" s="39"/>
      <c r="BZ327" s="39"/>
      <c r="CA327" s="39"/>
      <c r="CB327" s="39"/>
      <c r="CC327" s="39"/>
      <c r="CD327" s="39"/>
      <c r="CE327" s="39"/>
      <c r="CF327" s="39"/>
      <c r="CG327" s="39"/>
      <c r="CH327" s="39"/>
      <c r="CI327" s="39"/>
      <c r="CJ327" s="39"/>
      <c r="CK327" s="39"/>
      <c r="CL327" s="39"/>
      <c r="CM327" s="39"/>
      <c r="CN327" s="39"/>
      <c r="CO327" s="39"/>
      <c r="CP327" s="39"/>
      <c r="CQ327" s="39"/>
      <c r="CR327" s="39"/>
      <c r="CS327" s="39"/>
      <c r="CT327" s="39"/>
      <c r="CU327" s="39"/>
      <c r="CV327" s="39"/>
      <c r="CW327" s="39"/>
      <c r="CX327" s="39"/>
      <c r="CY327" s="39"/>
      <c r="CZ327" s="39"/>
      <c r="DA327" s="39"/>
      <c r="DB327" s="39"/>
      <c r="DC327" s="39"/>
      <c r="DD327" s="39"/>
      <c r="DE327" s="39"/>
      <c r="DF327" s="39"/>
      <c r="DG327" s="39"/>
      <c r="DH327" s="39"/>
      <c r="DI327" s="39"/>
      <c r="DJ327" s="39"/>
      <c r="DK327" s="39"/>
      <c r="DL327" s="39"/>
      <c r="DM327" s="39"/>
      <c r="DN327" s="39"/>
      <c r="DO327" s="39"/>
      <c r="DP327" s="39"/>
      <c r="DQ327" s="39"/>
      <c r="DR327" s="39"/>
      <c r="DS327" s="39"/>
      <c r="DT327" s="39"/>
      <c r="DU327" s="39"/>
      <c r="DV327" s="39"/>
      <c r="DW327" s="39"/>
      <c r="DX327" s="39"/>
      <c r="DY327" s="39"/>
      <c r="DZ327" s="39"/>
      <c r="EA327" s="39"/>
      <c r="EB327" s="39"/>
      <c r="EC327" s="39"/>
      <c r="ED327" s="39"/>
      <c r="EE327" s="39"/>
      <c r="EF327" s="39"/>
      <c r="EG327" s="39"/>
      <c r="EH327" s="39"/>
      <c r="EI327" s="39"/>
      <c r="EJ327" s="39"/>
      <c r="EK327" s="39"/>
      <c r="EL327" s="39"/>
      <c r="EM327" s="39"/>
      <c r="EN327" s="39"/>
      <c r="EO327" s="39"/>
    </row>
    <row r="328" spans="2:145">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c r="CT328" s="39"/>
      <c r="CU328" s="39"/>
      <c r="CV328" s="39"/>
      <c r="CW328" s="39"/>
      <c r="CX328" s="39"/>
      <c r="CY328" s="39"/>
      <c r="CZ328" s="39"/>
      <c r="DA328" s="39"/>
      <c r="DB328" s="39"/>
      <c r="DC328" s="39"/>
      <c r="DD328" s="39"/>
      <c r="DE328" s="39"/>
      <c r="DF328" s="39"/>
      <c r="DG328" s="39"/>
      <c r="DH328" s="39"/>
      <c r="DI328" s="39"/>
      <c r="DJ328" s="39"/>
      <c r="DK328" s="39"/>
      <c r="DL328" s="39"/>
      <c r="DM328" s="39"/>
      <c r="DN328" s="39"/>
      <c r="DO328" s="39"/>
      <c r="DP328" s="39"/>
      <c r="DQ328" s="39"/>
      <c r="DR328" s="39"/>
      <c r="DS328" s="39"/>
      <c r="DT328" s="39"/>
      <c r="DU328" s="39"/>
      <c r="DV328" s="39"/>
      <c r="DW328" s="39"/>
      <c r="DX328" s="39"/>
      <c r="DY328" s="39"/>
      <c r="DZ328" s="39"/>
      <c r="EA328" s="39"/>
      <c r="EB328" s="39"/>
      <c r="EC328" s="39"/>
      <c r="ED328" s="39"/>
      <c r="EE328" s="39"/>
      <c r="EF328" s="39"/>
      <c r="EG328" s="39"/>
      <c r="EH328" s="39"/>
      <c r="EI328" s="39"/>
      <c r="EJ328" s="39"/>
      <c r="EK328" s="39"/>
      <c r="EL328" s="39"/>
      <c r="EM328" s="39"/>
      <c r="EN328" s="39"/>
      <c r="EO328" s="39"/>
    </row>
    <row r="329" spans="2:145">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c r="CT329" s="39"/>
      <c r="CU329" s="39"/>
      <c r="CV329" s="39"/>
      <c r="CW329" s="39"/>
      <c r="CX329" s="39"/>
      <c r="CY329" s="39"/>
      <c r="CZ329" s="39"/>
      <c r="DA329" s="39"/>
      <c r="DB329" s="39"/>
      <c r="DC329" s="39"/>
      <c r="DD329" s="39"/>
      <c r="DE329" s="39"/>
      <c r="DF329" s="39"/>
      <c r="DG329" s="39"/>
      <c r="DH329" s="39"/>
      <c r="DI329" s="39"/>
      <c r="DJ329" s="39"/>
      <c r="DK329" s="39"/>
      <c r="DL329" s="39"/>
      <c r="DM329" s="39"/>
      <c r="DN329" s="39"/>
      <c r="DO329" s="39"/>
      <c r="DP329" s="39"/>
      <c r="DQ329" s="39"/>
      <c r="DR329" s="39"/>
      <c r="DS329" s="39"/>
      <c r="DT329" s="39"/>
      <c r="DU329" s="39"/>
      <c r="DV329" s="39"/>
      <c r="DW329" s="39"/>
      <c r="DX329" s="39"/>
      <c r="DY329" s="39"/>
      <c r="DZ329" s="39"/>
      <c r="EA329" s="39"/>
      <c r="EB329" s="39"/>
      <c r="EC329" s="39"/>
      <c r="ED329" s="39"/>
      <c r="EE329" s="39"/>
      <c r="EF329" s="39"/>
      <c r="EG329" s="39"/>
      <c r="EH329" s="39"/>
      <c r="EI329" s="39"/>
      <c r="EJ329" s="39"/>
      <c r="EK329" s="39"/>
      <c r="EL329" s="39"/>
      <c r="EM329" s="39"/>
      <c r="EN329" s="39"/>
      <c r="EO329" s="39"/>
    </row>
    <row r="330" spans="2:145">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c r="CT330" s="39"/>
      <c r="CU330" s="39"/>
      <c r="CV330" s="39"/>
      <c r="CW330" s="39"/>
      <c r="CX330" s="39"/>
      <c r="CY330" s="39"/>
      <c r="CZ330" s="39"/>
      <c r="DA330" s="39"/>
      <c r="DB330" s="39"/>
      <c r="DC330" s="39"/>
      <c r="DD330" s="39"/>
      <c r="DE330" s="39"/>
      <c r="DF330" s="39"/>
      <c r="DG330" s="39"/>
      <c r="DH330" s="39"/>
      <c r="DI330" s="39"/>
      <c r="DJ330" s="39"/>
      <c r="DK330" s="39"/>
      <c r="DL330" s="39"/>
      <c r="DM330" s="39"/>
      <c r="DN330" s="39"/>
      <c r="DO330" s="39"/>
      <c r="DP330" s="39"/>
      <c r="DQ330" s="39"/>
      <c r="DR330" s="39"/>
      <c r="DS330" s="39"/>
      <c r="DT330" s="39"/>
      <c r="DU330" s="39"/>
      <c r="DV330" s="39"/>
      <c r="DW330" s="39"/>
      <c r="DX330" s="39"/>
      <c r="DY330" s="39"/>
      <c r="DZ330" s="39"/>
      <c r="EA330" s="39"/>
      <c r="EB330" s="39"/>
      <c r="EC330" s="39"/>
      <c r="ED330" s="39"/>
      <c r="EE330" s="39"/>
      <c r="EF330" s="39"/>
      <c r="EG330" s="39"/>
      <c r="EH330" s="39"/>
      <c r="EI330" s="39"/>
      <c r="EJ330" s="39"/>
      <c r="EK330" s="39"/>
      <c r="EL330" s="39"/>
      <c r="EM330" s="39"/>
      <c r="EN330" s="39"/>
      <c r="EO330" s="39"/>
    </row>
    <row r="331" spans="2:145">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c r="CT331" s="39"/>
      <c r="CU331" s="39"/>
      <c r="CV331" s="39"/>
      <c r="CW331" s="39"/>
      <c r="CX331" s="39"/>
      <c r="CY331" s="39"/>
      <c r="CZ331" s="39"/>
      <c r="DA331" s="39"/>
      <c r="DB331" s="39"/>
      <c r="DC331" s="39"/>
      <c r="DD331" s="39"/>
      <c r="DE331" s="39"/>
      <c r="DF331" s="39"/>
      <c r="DG331" s="39"/>
      <c r="DH331" s="39"/>
      <c r="DI331" s="39"/>
      <c r="DJ331" s="39"/>
      <c r="DK331" s="39"/>
      <c r="DL331" s="39"/>
      <c r="DM331" s="39"/>
      <c r="DN331" s="39"/>
      <c r="DO331" s="39"/>
      <c r="DP331" s="39"/>
      <c r="DQ331" s="39"/>
      <c r="DR331" s="39"/>
      <c r="DS331" s="39"/>
      <c r="DT331" s="39"/>
      <c r="DU331" s="39"/>
      <c r="DV331" s="39"/>
      <c r="DW331" s="39"/>
      <c r="DX331" s="39"/>
      <c r="DY331" s="39"/>
      <c r="DZ331" s="39"/>
      <c r="EA331" s="39"/>
      <c r="EB331" s="39"/>
      <c r="EC331" s="39"/>
      <c r="ED331" s="39"/>
      <c r="EE331" s="39"/>
      <c r="EF331" s="39"/>
      <c r="EG331" s="39"/>
      <c r="EH331" s="39"/>
      <c r="EI331" s="39"/>
      <c r="EJ331" s="39"/>
      <c r="EK331" s="39"/>
      <c r="EL331" s="39"/>
      <c r="EM331" s="39"/>
      <c r="EN331" s="39"/>
      <c r="EO331" s="39"/>
    </row>
    <row r="332" spans="2:145">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c r="CT332" s="39"/>
      <c r="CU332" s="39"/>
      <c r="CV332" s="39"/>
      <c r="CW332" s="39"/>
      <c r="CX332" s="39"/>
      <c r="CY332" s="39"/>
      <c r="CZ332" s="39"/>
      <c r="DA332" s="39"/>
      <c r="DB332" s="39"/>
      <c r="DC332" s="39"/>
      <c r="DD332" s="39"/>
      <c r="DE332" s="39"/>
      <c r="DF332" s="39"/>
      <c r="DG332" s="39"/>
      <c r="DH332" s="39"/>
      <c r="DI332" s="39"/>
      <c r="DJ332" s="39"/>
      <c r="DK332" s="39"/>
      <c r="DL332" s="39"/>
      <c r="DM332" s="39"/>
      <c r="DN332" s="39"/>
      <c r="DO332" s="39"/>
      <c r="DP332" s="39"/>
      <c r="DQ332" s="39"/>
      <c r="DR332" s="39"/>
      <c r="DS332" s="39"/>
      <c r="DT332" s="39"/>
      <c r="DU332" s="39"/>
      <c r="DV332" s="39"/>
      <c r="DW332" s="39"/>
      <c r="DX332" s="39"/>
      <c r="DY332" s="39"/>
      <c r="DZ332" s="39"/>
      <c r="EA332" s="39"/>
      <c r="EB332" s="39"/>
      <c r="EC332" s="39"/>
      <c r="ED332" s="39"/>
      <c r="EE332" s="39"/>
      <c r="EF332" s="39"/>
      <c r="EG332" s="39"/>
      <c r="EH332" s="39"/>
      <c r="EI332" s="39"/>
      <c r="EJ332" s="39"/>
      <c r="EK332" s="39"/>
      <c r="EL332" s="39"/>
      <c r="EM332" s="39"/>
      <c r="EN332" s="39"/>
      <c r="EO332" s="39"/>
    </row>
    <row r="333" spans="2:145">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c r="CT333" s="39"/>
      <c r="CU333" s="39"/>
      <c r="CV333" s="39"/>
      <c r="CW333" s="39"/>
      <c r="CX333" s="39"/>
      <c r="CY333" s="39"/>
      <c r="CZ333" s="39"/>
      <c r="DA333" s="39"/>
      <c r="DB333" s="39"/>
      <c r="DC333" s="39"/>
      <c r="DD333" s="39"/>
      <c r="DE333" s="39"/>
      <c r="DF333" s="39"/>
      <c r="DG333" s="39"/>
      <c r="DH333" s="39"/>
      <c r="DI333" s="39"/>
      <c r="DJ333" s="39"/>
      <c r="DK333" s="39"/>
      <c r="DL333" s="39"/>
      <c r="DM333" s="39"/>
      <c r="DN333" s="39"/>
      <c r="DO333" s="39"/>
      <c r="DP333" s="39"/>
      <c r="DQ333" s="39"/>
      <c r="DR333" s="39"/>
      <c r="DS333" s="39"/>
      <c r="DT333" s="39"/>
      <c r="DU333" s="39"/>
      <c r="DV333" s="39"/>
      <c r="DW333" s="39"/>
      <c r="DX333" s="39"/>
      <c r="DY333" s="39"/>
      <c r="DZ333" s="39"/>
      <c r="EA333" s="39"/>
      <c r="EB333" s="39"/>
      <c r="EC333" s="39"/>
      <c r="ED333" s="39"/>
      <c r="EE333" s="39"/>
      <c r="EF333" s="39"/>
      <c r="EG333" s="39"/>
      <c r="EH333" s="39"/>
      <c r="EI333" s="39"/>
      <c r="EJ333" s="39"/>
      <c r="EK333" s="39"/>
      <c r="EL333" s="39"/>
      <c r="EM333" s="39"/>
      <c r="EN333" s="39"/>
      <c r="EO333" s="39"/>
    </row>
    <row r="334" spans="2:145">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39"/>
      <c r="CZ334" s="39"/>
      <c r="DA334" s="39"/>
      <c r="DB334" s="39"/>
      <c r="DC334" s="39"/>
      <c r="DD334" s="39"/>
      <c r="DE334" s="39"/>
      <c r="DF334" s="39"/>
      <c r="DG334" s="39"/>
      <c r="DH334" s="39"/>
      <c r="DI334" s="39"/>
      <c r="DJ334" s="39"/>
      <c r="DK334" s="39"/>
      <c r="DL334" s="39"/>
      <c r="DM334" s="39"/>
      <c r="DN334" s="39"/>
      <c r="DO334" s="39"/>
      <c r="DP334" s="39"/>
      <c r="DQ334" s="39"/>
      <c r="DR334" s="39"/>
      <c r="DS334" s="39"/>
      <c r="DT334" s="39"/>
      <c r="DU334" s="39"/>
      <c r="DV334" s="39"/>
      <c r="DW334" s="39"/>
      <c r="DX334" s="39"/>
      <c r="DY334" s="39"/>
      <c r="DZ334" s="39"/>
      <c r="EA334" s="39"/>
      <c r="EB334" s="39"/>
      <c r="EC334" s="39"/>
      <c r="ED334" s="39"/>
      <c r="EE334" s="39"/>
      <c r="EF334" s="39"/>
      <c r="EG334" s="39"/>
      <c r="EH334" s="39"/>
      <c r="EI334" s="39"/>
      <c r="EJ334" s="39"/>
      <c r="EK334" s="39"/>
      <c r="EL334" s="39"/>
      <c r="EM334" s="39"/>
      <c r="EN334" s="39"/>
      <c r="EO334" s="39"/>
    </row>
    <row r="335" spans="2:145">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c r="CT335" s="39"/>
      <c r="CU335" s="39"/>
      <c r="CV335" s="39"/>
      <c r="CW335" s="39"/>
      <c r="CX335" s="39"/>
      <c r="CY335" s="39"/>
      <c r="CZ335" s="39"/>
      <c r="DA335" s="39"/>
      <c r="DB335" s="39"/>
      <c r="DC335" s="39"/>
      <c r="DD335" s="39"/>
      <c r="DE335" s="39"/>
      <c r="DF335" s="39"/>
      <c r="DG335" s="39"/>
      <c r="DH335" s="39"/>
      <c r="DI335" s="39"/>
      <c r="DJ335" s="39"/>
      <c r="DK335" s="39"/>
      <c r="DL335" s="39"/>
      <c r="DM335" s="39"/>
      <c r="DN335" s="39"/>
      <c r="DO335" s="39"/>
      <c r="DP335" s="39"/>
      <c r="DQ335" s="39"/>
      <c r="DR335" s="39"/>
      <c r="DS335" s="39"/>
      <c r="DT335" s="39"/>
      <c r="DU335" s="39"/>
      <c r="DV335" s="39"/>
      <c r="DW335" s="39"/>
      <c r="DX335" s="39"/>
      <c r="DY335" s="39"/>
      <c r="DZ335" s="39"/>
      <c r="EA335" s="39"/>
      <c r="EB335" s="39"/>
      <c r="EC335" s="39"/>
      <c r="ED335" s="39"/>
      <c r="EE335" s="39"/>
      <c r="EF335" s="39"/>
      <c r="EG335" s="39"/>
      <c r="EH335" s="39"/>
      <c r="EI335" s="39"/>
      <c r="EJ335" s="39"/>
      <c r="EK335" s="39"/>
      <c r="EL335" s="39"/>
      <c r="EM335" s="39"/>
      <c r="EN335" s="39"/>
      <c r="EO335" s="39"/>
    </row>
    <row r="336" spans="2:145">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c r="CT336" s="39"/>
      <c r="CU336" s="39"/>
      <c r="CV336" s="39"/>
      <c r="CW336" s="39"/>
      <c r="CX336" s="39"/>
      <c r="CY336" s="39"/>
      <c r="CZ336" s="39"/>
      <c r="DA336" s="39"/>
      <c r="DB336" s="39"/>
      <c r="DC336" s="39"/>
      <c r="DD336" s="39"/>
      <c r="DE336" s="39"/>
      <c r="DF336" s="39"/>
      <c r="DG336" s="39"/>
      <c r="DH336" s="39"/>
      <c r="DI336" s="39"/>
      <c r="DJ336" s="39"/>
      <c r="DK336" s="39"/>
      <c r="DL336" s="39"/>
      <c r="DM336" s="39"/>
      <c r="DN336" s="39"/>
      <c r="DO336" s="39"/>
      <c r="DP336" s="39"/>
      <c r="DQ336" s="39"/>
      <c r="DR336" s="39"/>
      <c r="DS336" s="39"/>
      <c r="DT336" s="39"/>
      <c r="DU336" s="39"/>
      <c r="DV336" s="39"/>
      <c r="DW336" s="39"/>
      <c r="DX336" s="39"/>
      <c r="DY336" s="39"/>
      <c r="DZ336" s="39"/>
      <c r="EA336" s="39"/>
      <c r="EB336" s="39"/>
      <c r="EC336" s="39"/>
      <c r="ED336" s="39"/>
      <c r="EE336" s="39"/>
      <c r="EF336" s="39"/>
      <c r="EG336" s="39"/>
      <c r="EH336" s="39"/>
      <c r="EI336" s="39"/>
      <c r="EJ336" s="39"/>
      <c r="EK336" s="39"/>
      <c r="EL336" s="39"/>
      <c r="EM336" s="39"/>
      <c r="EN336" s="39"/>
      <c r="EO336" s="39"/>
    </row>
    <row r="337" spans="2:145">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c r="BP337" s="39"/>
      <c r="BQ337" s="39"/>
      <c r="BR337" s="39"/>
      <c r="BS337" s="39"/>
      <c r="BT337" s="39"/>
      <c r="BU337" s="39"/>
      <c r="BV337" s="39"/>
      <c r="BW337" s="39"/>
      <c r="BX337" s="39"/>
      <c r="BY337" s="39"/>
      <c r="BZ337" s="39"/>
      <c r="CA337" s="39"/>
      <c r="CB337" s="39"/>
      <c r="CC337" s="39"/>
      <c r="CD337" s="39"/>
      <c r="CE337" s="39"/>
      <c r="CF337" s="39"/>
      <c r="CG337" s="39"/>
      <c r="CH337" s="39"/>
      <c r="CI337" s="39"/>
      <c r="CJ337" s="39"/>
      <c r="CK337" s="39"/>
      <c r="CL337" s="39"/>
      <c r="CM337" s="39"/>
      <c r="CN337" s="39"/>
      <c r="CO337" s="39"/>
      <c r="CP337" s="39"/>
      <c r="CQ337" s="39"/>
      <c r="CR337" s="39"/>
      <c r="CS337" s="39"/>
      <c r="CT337" s="39"/>
      <c r="CU337" s="39"/>
      <c r="CV337" s="39"/>
      <c r="CW337" s="39"/>
      <c r="CX337" s="39"/>
      <c r="CY337" s="39"/>
      <c r="CZ337" s="39"/>
      <c r="DA337" s="39"/>
      <c r="DB337" s="39"/>
      <c r="DC337" s="39"/>
      <c r="DD337" s="39"/>
      <c r="DE337" s="39"/>
      <c r="DF337" s="39"/>
      <c r="DG337" s="39"/>
      <c r="DH337" s="39"/>
      <c r="DI337" s="39"/>
      <c r="DJ337" s="39"/>
      <c r="DK337" s="39"/>
      <c r="DL337" s="39"/>
      <c r="DM337" s="39"/>
      <c r="DN337" s="39"/>
      <c r="DO337" s="39"/>
      <c r="DP337" s="39"/>
      <c r="DQ337" s="39"/>
      <c r="DR337" s="39"/>
      <c r="DS337" s="39"/>
      <c r="DT337" s="39"/>
      <c r="DU337" s="39"/>
      <c r="DV337" s="39"/>
      <c r="DW337" s="39"/>
      <c r="DX337" s="39"/>
      <c r="DY337" s="39"/>
      <c r="DZ337" s="39"/>
      <c r="EA337" s="39"/>
      <c r="EB337" s="39"/>
      <c r="EC337" s="39"/>
      <c r="ED337" s="39"/>
      <c r="EE337" s="39"/>
      <c r="EF337" s="39"/>
      <c r="EG337" s="39"/>
      <c r="EH337" s="39"/>
      <c r="EI337" s="39"/>
      <c r="EJ337" s="39"/>
      <c r="EK337" s="39"/>
      <c r="EL337" s="39"/>
      <c r="EM337" s="39"/>
      <c r="EN337" s="39"/>
      <c r="EO337" s="39"/>
    </row>
    <row r="338" spans="2:145">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c r="CT338" s="39"/>
      <c r="CU338" s="39"/>
      <c r="CV338" s="39"/>
      <c r="CW338" s="39"/>
      <c r="CX338" s="39"/>
      <c r="CY338" s="39"/>
      <c r="CZ338" s="39"/>
      <c r="DA338" s="39"/>
      <c r="DB338" s="39"/>
      <c r="DC338" s="39"/>
      <c r="DD338" s="39"/>
      <c r="DE338" s="39"/>
      <c r="DF338" s="39"/>
      <c r="DG338" s="39"/>
      <c r="DH338" s="39"/>
      <c r="DI338" s="39"/>
      <c r="DJ338" s="39"/>
      <c r="DK338" s="39"/>
      <c r="DL338" s="39"/>
      <c r="DM338" s="39"/>
      <c r="DN338" s="39"/>
      <c r="DO338" s="39"/>
      <c r="DP338" s="39"/>
      <c r="DQ338" s="39"/>
      <c r="DR338" s="39"/>
      <c r="DS338" s="39"/>
      <c r="DT338" s="39"/>
      <c r="DU338" s="39"/>
      <c r="DV338" s="39"/>
      <c r="DW338" s="39"/>
      <c r="DX338" s="39"/>
      <c r="DY338" s="39"/>
      <c r="DZ338" s="39"/>
      <c r="EA338" s="39"/>
      <c r="EB338" s="39"/>
      <c r="EC338" s="39"/>
      <c r="ED338" s="39"/>
      <c r="EE338" s="39"/>
      <c r="EF338" s="39"/>
      <c r="EG338" s="39"/>
      <c r="EH338" s="39"/>
      <c r="EI338" s="39"/>
      <c r="EJ338" s="39"/>
      <c r="EK338" s="39"/>
      <c r="EL338" s="39"/>
      <c r="EM338" s="39"/>
      <c r="EN338" s="39"/>
      <c r="EO338" s="39"/>
    </row>
    <row r="339" spans="2:145">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c r="CT339" s="39"/>
      <c r="CU339" s="39"/>
      <c r="CV339" s="39"/>
      <c r="CW339" s="39"/>
      <c r="CX339" s="39"/>
      <c r="CY339" s="39"/>
      <c r="CZ339" s="39"/>
      <c r="DA339" s="39"/>
      <c r="DB339" s="39"/>
      <c r="DC339" s="39"/>
      <c r="DD339" s="39"/>
      <c r="DE339" s="39"/>
      <c r="DF339" s="39"/>
      <c r="DG339" s="39"/>
      <c r="DH339" s="39"/>
      <c r="DI339" s="39"/>
      <c r="DJ339" s="39"/>
      <c r="DK339" s="39"/>
      <c r="DL339" s="39"/>
      <c r="DM339" s="39"/>
      <c r="DN339" s="39"/>
      <c r="DO339" s="39"/>
      <c r="DP339" s="39"/>
      <c r="DQ339" s="39"/>
      <c r="DR339" s="39"/>
      <c r="DS339" s="39"/>
      <c r="DT339" s="39"/>
      <c r="DU339" s="39"/>
      <c r="DV339" s="39"/>
      <c r="DW339" s="39"/>
      <c r="DX339" s="39"/>
      <c r="DY339" s="39"/>
      <c r="DZ339" s="39"/>
      <c r="EA339" s="39"/>
      <c r="EB339" s="39"/>
      <c r="EC339" s="39"/>
      <c r="ED339" s="39"/>
      <c r="EE339" s="39"/>
      <c r="EF339" s="39"/>
      <c r="EG339" s="39"/>
      <c r="EH339" s="39"/>
      <c r="EI339" s="39"/>
      <c r="EJ339" s="39"/>
      <c r="EK339" s="39"/>
      <c r="EL339" s="39"/>
      <c r="EM339" s="39"/>
      <c r="EN339" s="39"/>
      <c r="EO339" s="39"/>
    </row>
    <row r="340" spans="2:145">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c r="CT340" s="39"/>
      <c r="CU340" s="39"/>
      <c r="CV340" s="39"/>
      <c r="CW340" s="39"/>
      <c r="CX340" s="39"/>
      <c r="CY340" s="39"/>
      <c r="CZ340" s="39"/>
      <c r="DA340" s="39"/>
      <c r="DB340" s="39"/>
      <c r="DC340" s="39"/>
      <c r="DD340" s="39"/>
      <c r="DE340" s="39"/>
      <c r="DF340" s="39"/>
      <c r="DG340" s="39"/>
      <c r="DH340" s="39"/>
      <c r="DI340" s="39"/>
      <c r="DJ340" s="39"/>
      <c r="DK340" s="39"/>
      <c r="DL340" s="39"/>
      <c r="DM340" s="39"/>
      <c r="DN340" s="39"/>
      <c r="DO340" s="39"/>
      <c r="DP340" s="39"/>
      <c r="DQ340" s="39"/>
      <c r="DR340" s="39"/>
      <c r="DS340" s="39"/>
      <c r="DT340" s="39"/>
      <c r="DU340" s="39"/>
      <c r="DV340" s="39"/>
      <c r="DW340" s="39"/>
      <c r="DX340" s="39"/>
      <c r="DY340" s="39"/>
      <c r="DZ340" s="39"/>
      <c r="EA340" s="39"/>
      <c r="EB340" s="39"/>
      <c r="EC340" s="39"/>
      <c r="ED340" s="39"/>
      <c r="EE340" s="39"/>
      <c r="EF340" s="39"/>
      <c r="EG340" s="39"/>
      <c r="EH340" s="39"/>
      <c r="EI340" s="39"/>
      <c r="EJ340" s="39"/>
      <c r="EK340" s="39"/>
      <c r="EL340" s="39"/>
      <c r="EM340" s="39"/>
      <c r="EN340" s="39"/>
      <c r="EO340" s="39"/>
    </row>
    <row r="341" spans="2:145">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c r="CT341" s="39"/>
      <c r="CU341" s="39"/>
      <c r="CV341" s="39"/>
      <c r="CW341" s="39"/>
      <c r="CX341" s="39"/>
      <c r="CY341" s="39"/>
      <c r="CZ341" s="39"/>
      <c r="DA341" s="39"/>
      <c r="DB341" s="39"/>
      <c r="DC341" s="39"/>
      <c r="DD341" s="39"/>
      <c r="DE341" s="39"/>
      <c r="DF341" s="39"/>
      <c r="DG341" s="39"/>
      <c r="DH341" s="39"/>
      <c r="DI341" s="39"/>
      <c r="DJ341" s="39"/>
      <c r="DK341" s="39"/>
      <c r="DL341" s="39"/>
      <c r="DM341" s="39"/>
      <c r="DN341" s="39"/>
      <c r="DO341" s="39"/>
      <c r="DP341" s="39"/>
      <c r="DQ341" s="39"/>
      <c r="DR341" s="39"/>
      <c r="DS341" s="39"/>
      <c r="DT341" s="39"/>
      <c r="DU341" s="39"/>
      <c r="DV341" s="39"/>
      <c r="DW341" s="39"/>
      <c r="DX341" s="39"/>
      <c r="DY341" s="39"/>
      <c r="DZ341" s="39"/>
      <c r="EA341" s="39"/>
      <c r="EB341" s="39"/>
      <c r="EC341" s="39"/>
      <c r="ED341" s="39"/>
      <c r="EE341" s="39"/>
      <c r="EF341" s="39"/>
      <c r="EG341" s="39"/>
      <c r="EH341" s="39"/>
      <c r="EI341" s="39"/>
      <c r="EJ341" s="39"/>
      <c r="EK341" s="39"/>
      <c r="EL341" s="39"/>
      <c r="EM341" s="39"/>
      <c r="EN341" s="39"/>
      <c r="EO341" s="39"/>
    </row>
    <row r="342" spans="2:145">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39"/>
      <c r="CZ342" s="39"/>
      <c r="DA342" s="39"/>
      <c r="DB342" s="39"/>
      <c r="DC342" s="39"/>
      <c r="DD342" s="39"/>
      <c r="DE342" s="39"/>
      <c r="DF342" s="39"/>
      <c r="DG342" s="39"/>
      <c r="DH342" s="39"/>
      <c r="DI342" s="39"/>
      <c r="DJ342" s="39"/>
      <c r="DK342" s="39"/>
      <c r="DL342" s="39"/>
      <c r="DM342" s="39"/>
      <c r="DN342" s="39"/>
      <c r="DO342" s="39"/>
      <c r="DP342" s="39"/>
      <c r="DQ342" s="39"/>
      <c r="DR342" s="39"/>
      <c r="DS342" s="39"/>
      <c r="DT342" s="39"/>
      <c r="DU342" s="39"/>
      <c r="DV342" s="39"/>
      <c r="DW342" s="39"/>
      <c r="DX342" s="39"/>
      <c r="DY342" s="39"/>
      <c r="DZ342" s="39"/>
      <c r="EA342" s="39"/>
      <c r="EB342" s="39"/>
      <c r="EC342" s="39"/>
      <c r="ED342" s="39"/>
      <c r="EE342" s="39"/>
      <c r="EF342" s="39"/>
      <c r="EG342" s="39"/>
      <c r="EH342" s="39"/>
      <c r="EI342" s="39"/>
      <c r="EJ342" s="39"/>
      <c r="EK342" s="39"/>
      <c r="EL342" s="39"/>
      <c r="EM342" s="39"/>
      <c r="EN342" s="39"/>
      <c r="EO342" s="39"/>
    </row>
    <row r="343" spans="2:145">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c r="CT343" s="39"/>
      <c r="CU343" s="39"/>
      <c r="CV343" s="39"/>
      <c r="CW343" s="39"/>
      <c r="CX343" s="39"/>
      <c r="CY343" s="39"/>
      <c r="CZ343" s="39"/>
      <c r="DA343" s="39"/>
      <c r="DB343" s="39"/>
      <c r="DC343" s="39"/>
      <c r="DD343" s="39"/>
      <c r="DE343" s="39"/>
      <c r="DF343" s="39"/>
      <c r="DG343" s="39"/>
      <c r="DH343" s="39"/>
      <c r="DI343" s="39"/>
      <c r="DJ343" s="39"/>
      <c r="DK343" s="39"/>
      <c r="DL343" s="39"/>
      <c r="DM343" s="39"/>
      <c r="DN343" s="39"/>
      <c r="DO343" s="39"/>
      <c r="DP343" s="39"/>
      <c r="DQ343" s="39"/>
      <c r="DR343" s="39"/>
      <c r="DS343" s="39"/>
      <c r="DT343" s="39"/>
      <c r="DU343" s="39"/>
      <c r="DV343" s="39"/>
      <c r="DW343" s="39"/>
      <c r="DX343" s="39"/>
      <c r="DY343" s="39"/>
      <c r="DZ343" s="39"/>
      <c r="EA343" s="39"/>
      <c r="EB343" s="39"/>
      <c r="EC343" s="39"/>
      <c r="ED343" s="39"/>
      <c r="EE343" s="39"/>
      <c r="EF343" s="39"/>
      <c r="EG343" s="39"/>
      <c r="EH343" s="39"/>
      <c r="EI343" s="39"/>
      <c r="EJ343" s="39"/>
      <c r="EK343" s="39"/>
      <c r="EL343" s="39"/>
      <c r="EM343" s="39"/>
      <c r="EN343" s="39"/>
      <c r="EO343" s="39"/>
    </row>
    <row r="344" spans="2:145">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c r="CT344" s="39"/>
      <c r="CU344" s="39"/>
      <c r="CV344" s="39"/>
      <c r="CW344" s="39"/>
      <c r="CX344" s="39"/>
      <c r="CY344" s="39"/>
      <c r="CZ344" s="39"/>
      <c r="DA344" s="39"/>
      <c r="DB344" s="39"/>
      <c r="DC344" s="39"/>
      <c r="DD344" s="39"/>
      <c r="DE344" s="39"/>
      <c r="DF344" s="39"/>
      <c r="DG344" s="39"/>
      <c r="DH344" s="39"/>
      <c r="DI344" s="39"/>
      <c r="DJ344" s="39"/>
      <c r="DK344" s="39"/>
      <c r="DL344" s="39"/>
      <c r="DM344" s="39"/>
      <c r="DN344" s="39"/>
      <c r="DO344" s="39"/>
      <c r="DP344" s="39"/>
      <c r="DQ344" s="39"/>
      <c r="DR344" s="39"/>
      <c r="DS344" s="39"/>
      <c r="DT344" s="39"/>
      <c r="DU344" s="39"/>
      <c r="DV344" s="39"/>
      <c r="DW344" s="39"/>
      <c r="DX344" s="39"/>
      <c r="DY344" s="39"/>
      <c r="DZ344" s="39"/>
      <c r="EA344" s="39"/>
      <c r="EB344" s="39"/>
      <c r="EC344" s="39"/>
      <c r="ED344" s="39"/>
      <c r="EE344" s="39"/>
      <c r="EF344" s="39"/>
      <c r="EG344" s="39"/>
      <c r="EH344" s="39"/>
      <c r="EI344" s="39"/>
      <c r="EJ344" s="39"/>
      <c r="EK344" s="39"/>
      <c r="EL344" s="39"/>
      <c r="EM344" s="39"/>
      <c r="EN344" s="39"/>
      <c r="EO344" s="39"/>
    </row>
    <row r="345" spans="2:145">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c r="CT345" s="39"/>
      <c r="CU345" s="39"/>
      <c r="CV345" s="39"/>
      <c r="CW345" s="39"/>
      <c r="CX345" s="39"/>
      <c r="CY345" s="39"/>
      <c r="CZ345" s="39"/>
      <c r="DA345" s="39"/>
      <c r="DB345" s="39"/>
      <c r="DC345" s="39"/>
      <c r="DD345" s="39"/>
      <c r="DE345" s="39"/>
      <c r="DF345" s="39"/>
      <c r="DG345" s="39"/>
      <c r="DH345" s="39"/>
      <c r="DI345" s="39"/>
      <c r="DJ345" s="39"/>
      <c r="DK345" s="39"/>
      <c r="DL345" s="39"/>
      <c r="DM345" s="39"/>
      <c r="DN345" s="39"/>
      <c r="DO345" s="39"/>
      <c r="DP345" s="39"/>
      <c r="DQ345" s="39"/>
      <c r="DR345" s="39"/>
      <c r="DS345" s="39"/>
      <c r="DT345" s="39"/>
      <c r="DU345" s="39"/>
      <c r="DV345" s="39"/>
      <c r="DW345" s="39"/>
      <c r="DX345" s="39"/>
      <c r="DY345" s="39"/>
      <c r="DZ345" s="39"/>
      <c r="EA345" s="39"/>
      <c r="EB345" s="39"/>
      <c r="EC345" s="39"/>
      <c r="ED345" s="39"/>
      <c r="EE345" s="39"/>
      <c r="EF345" s="39"/>
      <c r="EG345" s="39"/>
      <c r="EH345" s="39"/>
      <c r="EI345" s="39"/>
      <c r="EJ345" s="39"/>
      <c r="EK345" s="39"/>
      <c r="EL345" s="39"/>
      <c r="EM345" s="39"/>
      <c r="EN345" s="39"/>
      <c r="EO345" s="39"/>
    </row>
    <row r="346" spans="2:145">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39"/>
      <c r="CZ346" s="39"/>
      <c r="DA346" s="39"/>
      <c r="DB346" s="39"/>
      <c r="DC346" s="39"/>
      <c r="DD346" s="39"/>
      <c r="DE346" s="39"/>
      <c r="DF346" s="39"/>
      <c r="DG346" s="39"/>
      <c r="DH346" s="39"/>
      <c r="DI346" s="39"/>
      <c r="DJ346" s="39"/>
      <c r="DK346" s="39"/>
      <c r="DL346" s="39"/>
      <c r="DM346" s="39"/>
      <c r="DN346" s="39"/>
      <c r="DO346" s="39"/>
      <c r="DP346" s="39"/>
      <c r="DQ346" s="39"/>
      <c r="DR346" s="39"/>
      <c r="DS346" s="39"/>
      <c r="DT346" s="39"/>
      <c r="DU346" s="39"/>
      <c r="DV346" s="39"/>
      <c r="DW346" s="39"/>
      <c r="DX346" s="39"/>
      <c r="DY346" s="39"/>
      <c r="DZ346" s="39"/>
      <c r="EA346" s="39"/>
      <c r="EB346" s="39"/>
      <c r="EC346" s="39"/>
      <c r="ED346" s="39"/>
      <c r="EE346" s="39"/>
      <c r="EF346" s="39"/>
      <c r="EG346" s="39"/>
      <c r="EH346" s="39"/>
      <c r="EI346" s="39"/>
      <c r="EJ346" s="39"/>
      <c r="EK346" s="39"/>
      <c r="EL346" s="39"/>
      <c r="EM346" s="39"/>
      <c r="EN346" s="39"/>
      <c r="EO346" s="39"/>
    </row>
    <row r="347" spans="2:145">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c r="CT347" s="39"/>
      <c r="CU347" s="39"/>
      <c r="CV347" s="39"/>
      <c r="CW347" s="39"/>
      <c r="CX347" s="39"/>
      <c r="CY347" s="39"/>
      <c r="CZ347" s="39"/>
      <c r="DA347" s="39"/>
      <c r="DB347" s="39"/>
      <c r="DC347" s="39"/>
      <c r="DD347" s="39"/>
      <c r="DE347" s="39"/>
      <c r="DF347" s="39"/>
      <c r="DG347" s="39"/>
      <c r="DH347" s="39"/>
      <c r="DI347" s="39"/>
      <c r="DJ347" s="39"/>
      <c r="DK347" s="39"/>
      <c r="DL347" s="39"/>
      <c r="DM347" s="39"/>
      <c r="DN347" s="39"/>
      <c r="DO347" s="39"/>
      <c r="DP347" s="39"/>
      <c r="DQ347" s="39"/>
      <c r="DR347" s="39"/>
      <c r="DS347" s="39"/>
      <c r="DT347" s="39"/>
      <c r="DU347" s="39"/>
      <c r="DV347" s="39"/>
      <c r="DW347" s="39"/>
      <c r="DX347" s="39"/>
      <c r="DY347" s="39"/>
      <c r="DZ347" s="39"/>
      <c r="EA347" s="39"/>
      <c r="EB347" s="39"/>
      <c r="EC347" s="39"/>
      <c r="ED347" s="39"/>
      <c r="EE347" s="39"/>
      <c r="EF347" s="39"/>
      <c r="EG347" s="39"/>
      <c r="EH347" s="39"/>
      <c r="EI347" s="39"/>
      <c r="EJ347" s="39"/>
      <c r="EK347" s="39"/>
      <c r="EL347" s="39"/>
      <c r="EM347" s="39"/>
      <c r="EN347" s="39"/>
      <c r="EO347" s="39"/>
    </row>
    <row r="348" spans="2:145">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c r="CT348" s="39"/>
      <c r="CU348" s="39"/>
      <c r="CV348" s="39"/>
      <c r="CW348" s="39"/>
      <c r="CX348" s="39"/>
      <c r="CY348" s="39"/>
      <c r="CZ348" s="39"/>
      <c r="DA348" s="39"/>
      <c r="DB348" s="39"/>
      <c r="DC348" s="39"/>
      <c r="DD348" s="39"/>
      <c r="DE348" s="39"/>
      <c r="DF348" s="39"/>
      <c r="DG348" s="39"/>
      <c r="DH348" s="39"/>
      <c r="DI348" s="39"/>
      <c r="DJ348" s="39"/>
      <c r="DK348" s="39"/>
      <c r="DL348" s="39"/>
      <c r="DM348" s="39"/>
      <c r="DN348" s="39"/>
      <c r="DO348" s="39"/>
      <c r="DP348" s="39"/>
      <c r="DQ348" s="39"/>
      <c r="DR348" s="39"/>
      <c r="DS348" s="39"/>
      <c r="DT348" s="39"/>
      <c r="DU348" s="39"/>
      <c r="DV348" s="39"/>
      <c r="DW348" s="39"/>
      <c r="DX348" s="39"/>
      <c r="DY348" s="39"/>
      <c r="DZ348" s="39"/>
      <c r="EA348" s="39"/>
      <c r="EB348" s="39"/>
      <c r="EC348" s="39"/>
      <c r="ED348" s="39"/>
      <c r="EE348" s="39"/>
      <c r="EF348" s="39"/>
      <c r="EG348" s="39"/>
      <c r="EH348" s="39"/>
      <c r="EI348" s="39"/>
      <c r="EJ348" s="39"/>
      <c r="EK348" s="39"/>
      <c r="EL348" s="39"/>
      <c r="EM348" s="39"/>
      <c r="EN348" s="39"/>
      <c r="EO348" s="39"/>
    </row>
    <row r="349" spans="2:145">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c r="CT349" s="39"/>
      <c r="CU349" s="39"/>
      <c r="CV349" s="39"/>
      <c r="CW349" s="39"/>
      <c r="CX349" s="39"/>
      <c r="CY349" s="39"/>
      <c r="CZ349" s="39"/>
      <c r="DA349" s="39"/>
      <c r="DB349" s="39"/>
      <c r="DC349" s="39"/>
      <c r="DD349" s="39"/>
      <c r="DE349" s="39"/>
      <c r="DF349" s="39"/>
      <c r="DG349" s="39"/>
      <c r="DH349" s="39"/>
      <c r="DI349" s="39"/>
      <c r="DJ349" s="39"/>
      <c r="DK349" s="39"/>
      <c r="DL349" s="39"/>
      <c r="DM349" s="39"/>
      <c r="DN349" s="39"/>
      <c r="DO349" s="39"/>
      <c r="DP349" s="39"/>
      <c r="DQ349" s="39"/>
      <c r="DR349" s="39"/>
      <c r="DS349" s="39"/>
      <c r="DT349" s="39"/>
      <c r="DU349" s="39"/>
      <c r="DV349" s="39"/>
      <c r="DW349" s="39"/>
      <c r="DX349" s="39"/>
      <c r="DY349" s="39"/>
      <c r="DZ349" s="39"/>
      <c r="EA349" s="39"/>
      <c r="EB349" s="39"/>
      <c r="EC349" s="39"/>
      <c r="ED349" s="39"/>
      <c r="EE349" s="39"/>
      <c r="EF349" s="39"/>
      <c r="EG349" s="39"/>
      <c r="EH349" s="39"/>
      <c r="EI349" s="39"/>
      <c r="EJ349" s="39"/>
      <c r="EK349" s="39"/>
      <c r="EL349" s="39"/>
      <c r="EM349" s="39"/>
      <c r="EN349" s="39"/>
      <c r="EO349" s="39"/>
    </row>
    <row r="350" spans="2:145">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39"/>
      <c r="CZ350" s="39"/>
      <c r="DA350" s="39"/>
      <c r="DB350" s="39"/>
      <c r="DC350" s="39"/>
      <c r="DD350" s="39"/>
      <c r="DE350" s="39"/>
      <c r="DF350" s="39"/>
      <c r="DG350" s="39"/>
      <c r="DH350" s="39"/>
      <c r="DI350" s="39"/>
      <c r="DJ350" s="39"/>
      <c r="DK350" s="39"/>
      <c r="DL350" s="39"/>
      <c r="DM350" s="39"/>
      <c r="DN350" s="39"/>
      <c r="DO350" s="39"/>
      <c r="DP350" s="39"/>
      <c r="DQ350" s="39"/>
      <c r="DR350" s="39"/>
      <c r="DS350" s="39"/>
      <c r="DT350" s="39"/>
      <c r="DU350" s="39"/>
      <c r="DV350" s="39"/>
      <c r="DW350" s="39"/>
      <c r="DX350" s="39"/>
      <c r="DY350" s="39"/>
      <c r="DZ350" s="39"/>
      <c r="EA350" s="39"/>
      <c r="EB350" s="39"/>
      <c r="EC350" s="39"/>
      <c r="ED350" s="39"/>
      <c r="EE350" s="39"/>
      <c r="EF350" s="39"/>
      <c r="EG350" s="39"/>
      <c r="EH350" s="39"/>
      <c r="EI350" s="39"/>
      <c r="EJ350" s="39"/>
      <c r="EK350" s="39"/>
      <c r="EL350" s="39"/>
      <c r="EM350" s="39"/>
      <c r="EN350" s="39"/>
      <c r="EO350" s="39"/>
    </row>
    <row r="351" spans="2:145">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39"/>
      <c r="CZ351" s="39"/>
      <c r="DA351" s="39"/>
      <c r="DB351" s="39"/>
      <c r="DC351" s="39"/>
      <c r="DD351" s="39"/>
      <c r="DE351" s="39"/>
      <c r="DF351" s="39"/>
      <c r="DG351" s="39"/>
      <c r="DH351" s="39"/>
      <c r="DI351" s="39"/>
      <c r="DJ351" s="39"/>
      <c r="DK351" s="39"/>
      <c r="DL351" s="39"/>
      <c r="DM351" s="39"/>
      <c r="DN351" s="39"/>
      <c r="DO351" s="39"/>
      <c r="DP351" s="39"/>
      <c r="DQ351" s="39"/>
      <c r="DR351" s="39"/>
      <c r="DS351" s="39"/>
      <c r="DT351" s="39"/>
      <c r="DU351" s="39"/>
      <c r="DV351" s="39"/>
      <c r="DW351" s="39"/>
      <c r="DX351" s="39"/>
      <c r="DY351" s="39"/>
      <c r="DZ351" s="39"/>
      <c r="EA351" s="39"/>
      <c r="EB351" s="39"/>
      <c r="EC351" s="39"/>
      <c r="ED351" s="39"/>
      <c r="EE351" s="39"/>
      <c r="EF351" s="39"/>
      <c r="EG351" s="39"/>
      <c r="EH351" s="39"/>
      <c r="EI351" s="39"/>
      <c r="EJ351" s="39"/>
      <c r="EK351" s="39"/>
      <c r="EL351" s="39"/>
      <c r="EM351" s="39"/>
      <c r="EN351" s="39"/>
      <c r="EO351" s="39"/>
    </row>
    <row r="352" spans="2:145">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c r="CT352" s="39"/>
      <c r="CU352" s="39"/>
      <c r="CV352" s="39"/>
      <c r="CW352" s="39"/>
      <c r="CX352" s="39"/>
      <c r="CY352" s="39"/>
      <c r="CZ352" s="39"/>
      <c r="DA352" s="39"/>
      <c r="DB352" s="39"/>
      <c r="DC352" s="39"/>
      <c r="DD352" s="39"/>
      <c r="DE352" s="39"/>
      <c r="DF352" s="39"/>
      <c r="DG352" s="39"/>
      <c r="DH352" s="39"/>
      <c r="DI352" s="39"/>
      <c r="DJ352" s="39"/>
      <c r="DK352" s="39"/>
      <c r="DL352" s="39"/>
      <c r="DM352" s="39"/>
      <c r="DN352" s="39"/>
      <c r="DO352" s="39"/>
      <c r="DP352" s="39"/>
      <c r="DQ352" s="39"/>
      <c r="DR352" s="39"/>
      <c r="DS352" s="39"/>
      <c r="DT352" s="39"/>
      <c r="DU352" s="39"/>
      <c r="DV352" s="39"/>
      <c r="DW352" s="39"/>
      <c r="DX352" s="39"/>
      <c r="DY352" s="39"/>
      <c r="DZ352" s="39"/>
      <c r="EA352" s="39"/>
      <c r="EB352" s="39"/>
      <c r="EC352" s="39"/>
      <c r="ED352" s="39"/>
      <c r="EE352" s="39"/>
      <c r="EF352" s="39"/>
      <c r="EG352" s="39"/>
      <c r="EH352" s="39"/>
      <c r="EI352" s="39"/>
      <c r="EJ352" s="39"/>
      <c r="EK352" s="39"/>
      <c r="EL352" s="39"/>
      <c r="EM352" s="39"/>
      <c r="EN352" s="39"/>
      <c r="EO352" s="39"/>
    </row>
    <row r="353" spans="2:145">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c r="CT353" s="39"/>
      <c r="CU353" s="39"/>
      <c r="CV353" s="39"/>
      <c r="CW353" s="39"/>
      <c r="CX353" s="39"/>
      <c r="CY353" s="39"/>
      <c r="CZ353" s="39"/>
      <c r="DA353" s="39"/>
      <c r="DB353" s="39"/>
      <c r="DC353" s="39"/>
      <c r="DD353" s="39"/>
      <c r="DE353" s="39"/>
      <c r="DF353" s="39"/>
      <c r="DG353" s="39"/>
      <c r="DH353" s="39"/>
      <c r="DI353" s="39"/>
      <c r="DJ353" s="39"/>
      <c r="DK353" s="39"/>
      <c r="DL353" s="39"/>
      <c r="DM353" s="39"/>
      <c r="DN353" s="39"/>
      <c r="DO353" s="39"/>
      <c r="DP353" s="39"/>
      <c r="DQ353" s="39"/>
      <c r="DR353" s="39"/>
      <c r="DS353" s="39"/>
      <c r="DT353" s="39"/>
      <c r="DU353" s="39"/>
      <c r="DV353" s="39"/>
      <c r="DW353" s="39"/>
      <c r="DX353" s="39"/>
      <c r="DY353" s="39"/>
      <c r="DZ353" s="39"/>
      <c r="EA353" s="39"/>
      <c r="EB353" s="39"/>
      <c r="EC353" s="39"/>
      <c r="ED353" s="39"/>
      <c r="EE353" s="39"/>
      <c r="EF353" s="39"/>
      <c r="EG353" s="39"/>
      <c r="EH353" s="39"/>
      <c r="EI353" s="39"/>
      <c r="EJ353" s="39"/>
      <c r="EK353" s="39"/>
      <c r="EL353" s="39"/>
      <c r="EM353" s="39"/>
      <c r="EN353" s="39"/>
      <c r="EO353" s="39"/>
    </row>
    <row r="354" spans="2:145">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c r="CT354" s="39"/>
      <c r="CU354" s="39"/>
      <c r="CV354" s="39"/>
      <c r="CW354" s="39"/>
      <c r="CX354" s="39"/>
      <c r="CY354" s="39"/>
      <c r="CZ354" s="39"/>
      <c r="DA354" s="39"/>
      <c r="DB354" s="39"/>
      <c r="DC354" s="39"/>
      <c r="DD354" s="39"/>
      <c r="DE354" s="39"/>
      <c r="DF354" s="39"/>
      <c r="DG354" s="39"/>
      <c r="DH354" s="39"/>
      <c r="DI354" s="39"/>
      <c r="DJ354" s="39"/>
      <c r="DK354" s="39"/>
      <c r="DL354" s="39"/>
      <c r="DM354" s="39"/>
      <c r="DN354" s="39"/>
      <c r="DO354" s="39"/>
      <c r="DP354" s="39"/>
      <c r="DQ354" s="39"/>
      <c r="DR354" s="39"/>
      <c r="DS354" s="39"/>
      <c r="DT354" s="39"/>
      <c r="DU354" s="39"/>
      <c r="DV354" s="39"/>
      <c r="DW354" s="39"/>
      <c r="DX354" s="39"/>
      <c r="DY354" s="39"/>
      <c r="DZ354" s="39"/>
      <c r="EA354" s="39"/>
      <c r="EB354" s="39"/>
      <c r="EC354" s="39"/>
      <c r="ED354" s="39"/>
      <c r="EE354" s="39"/>
      <c r="EF354" s="39"/>
      <c r="EG354" s="39"/>
      <c r="EH354" s="39"/>
      <c r="EI354" s="39"/>
      <c r="EJ354" s="39"/>
      <c r="EK354" s="39"/>
      <c r="EL354" s="39"/>
      <c r="EM354" s="39"/>
      <c r="EN354" s="39"/>
      <c r="EO354" s="39"/>
    </row>
    <row r="355" spans="2:145">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c r="CT355" s="39"/>
      <c r="CU355" s="39"/>
      <c r="CV355" s="39"/>
      <c r="CW355" s="39"/>
      <c r="CX355" s="39"/>
      <c r="CY355" s="39"/>
      <c r="CZ355" s="39"/>
      <c r="DA355" s="39"/>
      <c r="DB355" s="39"/>
      <c r="DC355" s="39"/>
      <c r="DD355" s="39"/>
      <c r="DE355" s="39"/>
      <c r="DF355" s="39"/>
      <c r="DG355" s="39"/>
      <c r="DH355" s="39"/>
      <c r="DI355" s="39"/>
      <c r="DJ355" s="39"/>
      <c r="DK355" s="39"/>
      <c r="DL355" s="39"/>
      <c r="DM355" s="39"/>
      <c r="DN355" s="39"/>
      <c r="DO355" s="39"/>
      <c r="DP355" s="39"/>
      <c r="DQ355" s="39"/>
      <c r="DR355" s="39"/>
      <c r="DS355" s="39"/>
      <c r="DT355" s="39"/>
      <c r="DU355" s="39"/>
      <c r="DV355" s="39"/>
      <c r="DW355" s="39"/>
      <c r="DX355" s="39"/>
      <c r="DY355" s="39"/>
      <c r="DZ355" s="39"/>
      <c r="EA355" s="39"/>
      <c r="EB355" s="39"/>
      <c r="EC355" s="39"/>
      <c r="ED355" s="39"/>
      <c r="EE355" s="39"/>
      <c r="EF355" s="39"/>
      <c r="EG355" s="39"/>
      <c r="EH355" s="39"/>
      <c r="EI355" s="39"/>
      <c r="EJ355" s="39"/>
      <c r="EK355" s="39"/>
      <c r="EL355" s="39"/>
      <c r="EM355" s="39"/>
      <c r="EN355" s="39"/>
      <c r="EO355" s="39"/>
    </row>
    <row r="356" spans="2:145">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39"/>
      <c r="BQ356" s="39"/>
      <c r="BR356" s="39"/>
      <c r="BS356" s="39"/>
      <c r="BT356" s="39"/>
      <c r="BU356" s="39"/>
      <c r="BV356" s="39"/>
      <c r="BW356" s="39"/>
      <c r="BX356" s="39"/>
      <c r="BY356" s="39"/>
      <c r="BZ356" s="39"/>
      <c r="CA356" s="39"/>
      <c r="CB356" s="39"/>
      <c r="CC356" s="39"/>
      <c r="CD356" s="39"/>
      <c r="CE356" s="39"/>
      <c r="CF356" s="39"/>
      <c r="CG356" s="39"/>
      <c r="CH356" s="39"/>
      <c r="CI356" s="39"/>
      <c r="CJ356" s="39"/>
      <c r="CK356" s="39"/>
      <c r="CL356" s="39"/>
      <c r="CM356" s="39"/>
      <c r="CN356" s="39"/>
      <c r="CO356" s="39"/>
      <c r="CP356" s="39"/>
      <c r="CQ356" s="39"/>
      <c r="CR356" s="39"/>
      <c r="CS356" s="39"/>
      <c r="CT356" s="39"/>
      <c r="CU356" s="39"/>
      <c r="CV356" s="39"/>
      <c r="CW356" s="39"/>
      <c r="CX356" s="39"/>
      <c r="CY356" s="39"/>
      <c r="CZ356" s="39"/>
      <c r="DA356" s="39"/>
      <c r="DB356" s="39"/>
      <c r="DC356" s="39"/>
      <c r="DD356" s="39"/>
      <c r="DE356" s="39"/>
      <c r="DF356" s="39"/>
      <c r="DG356" s="39"/>
      <c r="DH356" s="39"/>
      <c r="DI356" s="39"/>
      <c r="DJ356" s="39"/>
      <c r="DK356" s="39"/>
      <c r="DL356" s="39"/>
      <c r="DM356" s="39"/>
      <c r="DN356" s="39"/>
      <c r="DO356" s="39"/>
      <c r="DP356" s="39"/>
      <c r="DQ356" s="39"/>
      <c r="DR356" s="39"/>
      <c r="DS356" s="39"/>
      <c r="DT356" s="39"/>
      <c r="DU356" s="39"/>
      <c r="DV356" s="39"/>
      <c r="DW356" s="39"/>
      <c r="DX356" s="39"/>
      <c r="DY356" s="39"/>
      <c r="DZ356" s="39"/>
      <c r="EA356" s="39"/>
      <c r="EB356" s="39"/>
      <c r="EC356" s="39"/>
      <c r="ED356" s="39"/>
      <c r="EE356" s="39"/>
      <c r="EF356" s="39"/>
      <c r="EG356" s="39"/>
      <c r="EH356" s="39"/>
      <c r="EI356" s="39"/>
      <c r="EJ356" s="39"/>
      <c r="EK356" s="39"/>
      <c r="EL356" s="39"/>
      <c r="EM356" s="39"/>
      <c r="EN356" s="39"/>
      <c r="EO356" s="39"/>
    </row>
    <row r="357" spans="2:145">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c r="CT357" s="39"/>
      <c r="CU357" s="39"/>
      <c r="CV357" s="39"/>
      <c r="CW357" s="39"/>
      <c r="CX357" s="39"/>
      <c r="CY357" s="39"/>
      <c r="CZ357" s="39"/>
      <c r="DA357" s="39"/>
      <c r="DB357" s="39"/>
      <c r="DC357" s="39"/>
      <c r="DD357" s="39"/>
      <c r="DE357" s="39"/>
      <c r="DF357" s="39"/>
      <c r="DG357" s="39"/>
      <c r="DH357" s="39"/>
      <c r="DI357" s="39"/>
      <c r="DJ357" s="39"/>
      <c r="DK357" s="39"/>
      <c r="DL357" s="39"/>
      <c r="DM357" s="39"/>
      <c r="DN357" s="39"/>
      <c r="DO357" s="39"/>
      <c r="DP357" s="39"/>
      <c r="DQ357" s="39"/>
      <c r="DR357" s="39"/>
      <c r="DS357" s="39"/>
      <c r="DT357" s="39"/>
      <c r="DU357" s="39"/>
      <c r="DV357" s="39"/>
      <c r="DW357" s="39"/>
      <c r="DX357" s="39"/>
      <c r="DY357" s="39"/>
      <c r="DZ357" s="39"/>
      <c r="EA357" s="39"/>
      <c r="EB357" s="39"/>
      <c r="EC357" s="39"/>
      <c r="ED357" s="39"/>
      <c r="EE357" s="39"/>
      <c r="EF357" s="39"/>
      <c r="EG357" s="39"/>
      <c r="EH357" s="39"/>
      <c r="EI357" s="39"/>
      <c r="EJ357" s="39"/>
      <c r="EK357" s="39"/>
      <c r="EL357" s="39"/>
      <c r="EM357" s="39"/>
      <c r="EN357" s="39"/>
      <c r="EO357" s="39"/>
    </row>
    <row r="358" spans="2:145">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39"/>
      <c r="CZ358" s="39"/>
      <c r="DA358" s="39"/>
      <c r="DB358" s="39"/>
      <c r="DC358" s="39"/>
      <c r="DD358" s="39"/>
      <c r="DE358" s="39"/>
      <c r="DF358" s="39"/>
      <c r="DG358" s="39"/>
      <c r="DH358" s="39"/>
      <c r="DI358" s="39"/>
      <c r="DJ358" s="39"/>
      <c r="DK358" s="39"/>
      <c r="DL358" s="39"/>
      <c r="DM358" s="39"/>
      <c r="DN358" s="39"/>
      <c r="DO358" s="39"/>
      <c r="DP358" s="39"/>
      <c r="DQ358" s="39"/>
      <c r="DR358" s="39"/>
      <c r="DS358" s="39"/>
      <c r="DT358" s="39"/>
      <c r="DU358" s="39"/>
      <c r="DV358" s="39"/>
      <c r="DW358" s="39"/>
      <c r="DX358" s="39"/>
      <c r="DY358" s="39"/>
      <c r="DZ358" s="39"/>
      <c r="EA358" s="39"/>
      <c r="EB358" s="39"/>
      <c r="EC358" s="39"/>
      <c r="ED358" s="39"/>
      <c r="EE358" s="39"/>
      <c r="EF358" s="39"/>
      <c r="EG358" s="39"/>
      <c r="EH358" s="39"/>
      <c r="EI358" s="39"/>
      <c r="EJ358" s="39"/>
      <c r="EK358" s="39"/>
      <c r="EL358" s="39"/>
      <c r="EM358" s="39"/>
      <c r="EN358" s="39"/>
      <c r="EO358" s="39"/>
    </row>
    <row r="359" spans="2:145">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c r="CT359" s="39"/>
      <c r="CU359" s="39"/>
      <c r="CV359" s="39"/>
      <c r="CW359" s="39"/>
      <c r="CX359" s="39"/>
      <c r="CY359" s="39"/>
      <c r="CZ359" s="39"/>
      <c r="DA359" s="39"/>
      <c r="DB359" s="39"/>
      <c r="DC359" s="39"/>
      <c r="DD359" s="39"/>
      <c r="DE359" s="39"/>
      <c r="DF359" s="39"/>
      <c r="DG359" s="39"/>
      <c r="DH359" s="39"/>
      <c r="DI359" s="39"/>
      <c r="DJ359" s="39"/>
      <c r="DK359" s="39"/>
      <c r="DL359" s="39"/>
      <c r="DM359" s="39"/>
      <c r="DN359" s="39"/>
      <c r="DO359" s="39"/>
      <c r="DP359" s="39"/>
      <c r="DQ359" s="39"/>
      <c r="DR359" s="39"/>
      <c r="DS359" s="39"/>
      <c r="DT359" s="39"/>
      <c r="DU359" s="39"/>
      <c r="DV359" s="39"/>
      <c r="DW359" s="39"/>
      <c r="DX359" s="39"/>
      <c r="DY359" s="39"/>
      <c r="DZ359" s="39"/>
      <c r="EA359" s="39"/>
      <c r="EB359" s="39"/>
      <c r="EC359" s="39"/>
      <c r="ED359" s="39"/>
      <c r="EE359" s="39"/>
      <c r="EF359" s="39"/>
      <c r="EG359" s="39"/>
      <c r="EH359" s="39"/>
      <c r="EI359" s="39"/>
      <c r="EJ359" s="39"/>
      <c r="EK359" s="39"/>
      <c r="EL359" s="39"/>
      <c r="EM359" s="39"/>
      <c r="EN359" s="39"/>
      <c r="EO359" s="39"/>
    </row>
    <row r="360" spans="2:145">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c r="CT360" s="39"/>
      <c r="CU360" s="39"/>
      <c r="CV360" s="39"/>
      <c r="CW360" s="39"/>
      <c r="CX360" s="39"/>
      <c r="CY360" s="39"/>
      <c r="CZ360" s="39"/>
      <c r="DA360" s="39"/>
      <c r="DB360" s="39"/>
      <c r="DC360" s="39"/>
      <c r="DD360" s="39"/>
      <c r="DE360" s="39"/>
      <c r="DF360" s="39"/>
      <c r="DG360" s="39"/>
      <c r="DH360" s="39"/>
      <c r="DI360" s="39"/>
      <c r="DJ360" s="39"/>
      <c r="DK360" s="39"/>
      <c r="DL360" s="39"/>
      <c r="DM360" s="39"/>
      <c r="DN360" s="39"/>
      <c r="DO360" s="39"/>
      <c r="DP360" s="39"/>
      <c r="DQ360" s="39"/>
      <c r="DR360" s="39"/>
      <c r="DS360" s="39"/>
      <c r="DT360" s="39"/>
      <c r="DU360" s="39"/>
      <c r="DV360" s="39"/>
      <c r="DW360" s="39"/>
      <c r="DX360" s="39"/>
      <c r="DY360" s="39"/>
      <c r="DZ360" s="39"/>
      <c r="EA360" s="39"/>
      <c r="EB360" s="39"/>
      <c r="EC360" s="39"/>
      <c r="ED360" s="39"/>
      <c r="EE360" s="39"/>
      <c r="EF360" s="39"/>
      <c r="EG360" s="39"/>
      <c r="EH360" s="39"/>
      <c r="EI360" s="39"/>
      <c r="EJ360" s="39"/>
      <c r="EK360" s="39"/>
      <c r="EL360" s="39"/>
      <c r="EM360" s="39"/>
      <c r="EN360" s="39"/>
      <c r="EO360" s="39"/>
    </row>
    <row r="361" spans="2:145">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c r="BP361" s="39"/>
      <c r="BQ361" s="39"/>
      <c r="BR361" s="39"/>
      <c r="BS361" s="39"/>
      <c r="BT361" s="39"/>
      <c r="BU361" s="39"/>
      <c r="BV361" s="39"/>
      <c r="BW361" s="39"/>
      <c r="BX361" s="39"/>
      <c r="BY361" s="39"/>
      <c r="BZ361" s="39"/>
      <c r="CA361" s="39"/>
      <c r="CB361" s="39"/>
      <c r="CC361" s="39"/>
      <c r="CD361" s="39"/>
      <c r="CE361" s="39"/>
      <c r="CF361" s="39"/>
      <c r="CG361" s="39"/>
      <c r="CH361" s="39"/>
      <c r="CI361" s="39"/>
      <c r="CJ361" s="39"/>
      <c r="CK361" s="39"/>
      <c r="CL361" s="39"/>
      <c r="CM361" s="39"/>
      <c r="CN361" s="39"/>
      <c r="CO361" s="39"/>
      <c r="CP361" s="39"/>
      <c r="CQ361" s="39"/>
      <c r="CR361" s="39"/>
      <c r="CS361" s="39"/>
      <c r="CT361" s="39"/>
      <c r="CU361" s="39"/>
      <c r="CV361" s="39"/>
      <c r="CW361" s="39"/>
      <c r="CX361" s="39"/>
      <c r="CY361" s="39"/>
      <c r="CZ361" s="39"/>
      <c r="DA361" s="39"/>
      <c r="DB361" s="39"/>
      <c r="DC361" s="39"/>
      <c r="DD361" s="39"/>
      <c r="DE361" s="39"/>
      <c r="DF361" s="39"/>
      <c r="DG361" s="39"/>
      <c r="DH361" s="39"/>
      <c r="DI361" s="39"/>
      <c r="DJ361" s="39"/>
      <c r="DK361" s="39"/>
      <c r="DL361" s="39"/>
      <c r="DM361" s="39"/>
      <c r="DN361" s="39"/>
      <c r="DO361" s="39"/>
      <c r="DP361" s="39"/>
      <c r="DQ361" s="39"/>
      <c r="DR361" s="39"/>
      <c r="DS361" s="39"/>
      <c r="DT361" s="39"/>
      <c r="DU361" s="39"/>
      <c r="DV361" s="39"/>
      <c r="DW361" s="39"/>
      <c r="DX361" s="39"/>
      <c r="DY361" s="39"/>
      <c r="DZ361" s="39"/>
      <c r="EA361" s="39"/>
      <c r="EB361" s="39"/>
      <c r="EC361" s="39"/>
      <c r="ED361" s="39"/>
      <c r="EE361" s="39"/>
      <c r="EF361" s="39"/>
      <c r="EG361" s="39"/>
      <c r="EH361" s="39"/>
      <c r="EI361" s="39"/>
      <c r="EJ361" s="39"/>
      <c r="EK361" s="39"/>
      <c r="EL361" s="39"/>
      <c r="EM361" s="39"/>
      <c r="EN361" s="39"/>
      <c r="EO361" s="39"/>
    </row>
    <row r="362" spans="2:145">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c r="CT362" s="39"/>
      <c r="CU362" s="39"/>
      <c r="CV362" s="39"/>
      <c r="CW362" s="39"/>
      <c r="CX362" s="39"/>
      <c r="CY362" s="39"/>
      <c r="CZ362" s="39"/>
      <c r="DA362" s="39"/>
      <c r="DB362" s="39"/>
      <c r="DC362" s="39"/>
      <c r="DD362" s="39"/>
      <c r="DE362" s="39"/>
      <c r="DF362" s="39"/>
      <c r="DG362" s="39"/>
      <c r="DH362" s="39"/>
      <c r="DI362" s="39"/>
      <c r="DJ362" s="39"/>
      <c r="DK362" s="39"/>
      <c r="DL362" s="39"/>
      <c r="DM362" s="39"/>
      <c r="DN362" s="39"/>
      <c r="DO362" s="39"/>
      <c r="DP362" s="39"/>
      <c r="DQ362" s="39"/>
      <c r="DR362" s="39"/>
      <c r="DS362" s="39"/>
      <c r="DT362" s="39"/>
      <c r="DU362" s="39"/>
      <c r="DV362" s="39"/>
      <c r="DW362" s="39"/>
      <c r="DX362" s="39"/>
      <c r="DY362" s="39"/>
      <c r="DZ362" s="39"/>
      <c r="EA362" s="39"/>
      <c r="EB362" s="39"/>
      <c r="EC362" s="39"/>
      <c r="ED362" s="39"/>
      <c r="EE362" s="39"/>
      <c r="EF362" s="39"/>
      <c r="EG362" s="39"/>
      <c r="EH362" s="39"/>
      <c r="EI362" s="39"/>
      <c r="EJ362" s="39"/>
      <c r="EK362" s="39"/>
      <c r="EL362" s="39"/>
      <c r="EM362" s="39"/>
      <c r="EN362" s="39"/>
      <c r="EO362" s="39"/>
    </row>
    <row r="363" spans="2:145">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c r="BP363" s="39"/>
      <c r="BQ363" s="39"/>
      <c r="BR363" s="39"/>
      <c r="BS363" s="39"/>
      <c r="BT363" s="39"/>
      <c r="BU363" s="39"/>
      <c r="BV363" s="39"/>
      <c r="BW363" s="39"/>
      <c r="BX363" s="39"/>
      <c r="BY363" s="39"/>
      <c r="BZ363" s="39"/>
      <c r="CA363" s="39"/>
      <c r="CB363" s="39"/>
      <c r="CC363" s="39"/>
      <c r="CD363" s="39"/>
      <c r="CE363" s="39"/>
      <c r="CF363" s="39"/>
      <c r="CG363" s="39"/>
      <c r="CH363" s="39"/>
      <c r="CI363" s="39"/>
      <c r="CJ363" s="39"/>
      <c r="CK363" s="39"/>
      <c r="CL363" s="39"/>
      <c r="CM363" s="39"/>
      <c r="CN363" s="39"/>
      <c r="CO363" s="39"/>
      <c r="CP363" s="39"/>
      <c r="CQ363" s="39"/>
      <c r="CR363" s="39"/>
      <c r="CS363" s="39"/>
      <c r="CT363" s="39"/>
      <c r="CU363" s="39"/>
      <c r="CV363" s="39"/>
      <c r="CW363" s="39"/>
      <c r="CX363" s="39"/>
      <c r="CY363" s="39"/>
      <c r="CZ363" s="39"/>
      <c r="DA363" s="39"/>
      <c r="DB363" s="39"/>
      <c r="DC363" s="39"/>
      <c r="DD363" s="39"/>
      <c r="DE363" s="39"/>
      <c r="DF363" s="39"/>
      <c r="DG363" s="39"/>
      <c r="DH363" s="39"/>
      <c r="DI363" s="39"/>
      <c r="DJ363" s="39"/>
      <c r="DK363" s="39"/>
      <c r="DL363" s="39"/>
      <c r="DM363" s="39"/>
      <c r="DN363" s="39"/>
      <c r="DO363" s="39"/>
      <c r="DP363" s="39"/>
      <c r="DQ363" s="39"/>
      <c r="DR363" s="39"/>
      <c r="DS363" s="39"/>
      <c r="DT363" s="39"/>
      <c r="DU363" s="39"/>
      <c r="DV363" s="39"/>
      <c r="DW363" s="39"/>
      <c r="DX363" s="39"/>
      <c r="DY363" s="39"/>
      <c r="DZ363" s="39"/>
      <c r="EA363" s="39"/>
      <c r="EB363" s="39"/>
      <c r="EC363" s="39"/>
      <c r="ED363" s="39"/>
      <c r="EE363" s="39"/>
      <c r="EF363" s="39"/>
      <c r="EG363" s="39"/>
      <c r="EH363" s="39"/>
      <c r="EI363" s="39"/>
      <c r="EJ363" s="39"/>
      <c r="EK363" s="39"/>
      <c r="EL363" s="39"/>
      <c r="EM363" s="39"/>
      <c r="EN363" s="39"/>
      <c r="EO363" s="39"/>
    </row>
    <row r="364" spans="2:145">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c r="CT364" s="39"/>
      <c r="CU364" s="39"/>
      <c r="CV364" s="39"/>
      <c r="CW364" s="39"/>
      <c r="CX364" s="39"/>
      <c r="CY364" s="39"/>
      <c r="CZ364" s="39"/>
      <c r="DA364" s="39"/>
      <c r="DB364" s="39"/>
      <c r="DC364" s="39"/>
      <c r="DD364" s="39"/>
      <c r="DE364" s="39"/>
      <c r="DF364" s="39"/>
      <c r="DG364" s="39"/>
      <c r="DH364" s="39"/>
      <c r="DI364" s="39"/>
      <c r="DJ364" s="39"/>
      <c r="DK364" s="39"/>
      <c r="DL364" s="39"/>
      <c r="DM364" s="39"/>
      <c r="DN364" s="39"/>
      <c r="DO364" s="39"/>
      <c r="DP364" s="39"/>
      <c r="DQ364" s="39"/>
      <c r="DR364" s="39"/>
      <c r="DS364" s="39"/>
      <c r="DT364" s="39"/>
      <c r="DU364" s="39"/>
      <c r="DV364" s="39"/>
      <c r="DW364" s="39"/>
      <c r="DX364" s="39"/>
      <c r="DY364" s="39"/>
      <c r="DZ364" s="39"/>
      <c r="EA364" s="39"/>
      <c r="EB364" s="39"/>
      <c r="EC364" s="39"/>
      <c r="ED364" s="39"/>
      <c r="EE364" s="39"/>
      <c r="EF364" s="39"/>
      <c r="EG364" s="39"/>
      <c r="EH364" s="39"/>
      <c r="EI364" s="39"/>
      <c r="EJ364" s="39"/>
      <c r="EK364" s="39"/>
      <c r="EL364" s="39"/>
      <c r="EM364" s="39"/>
      <c r="EN364" s="39"/>
      <c r="EO364" s="39"/>
    </row>
    <row r="365" spans="2:145">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c r="BP365" s="39"/>
      <c r="BQ365" s="39"/>
      <c r="BR365" s="39"/>
      <c r="BS365" s="39"/>
      <c r="BT365" s="39"/>
      <c r="BU365" s="39"/>
      <c r="BV365" s="39"/>
      <c r="BW365" s="39"/>
      <c r="BX365" s="39"/>
      <c r="BY365" s="39"/>
      <c r="BZ365" s="39"/>
      <c r="CA365" s="39"/>
      <c r="CB365" s="39"/>
      <c r="CC365" s="39"/>
      <c r="CD365" s="39"/>
      <c r="CE365" s="39"/>
      <c r="CF365" s="39"/>
      <c r="CG365" s="39"/>
      <c r="CH365" s="39"/>
      <c r="CI365" s="39"/>
      <c r="CJ365" s="39"/>
      <c r="CK365" s="39"/>
      <c r="CL365" s="39"/>
      <c r="CM365" s="39"/>
      <c r="CN365" s="39"/>
      <c r="CO365" s="39"/>
      <c r="CP365" s="39"/>
      <c r="CQ365" s="39"/>
      <c r="CR365" s="39"/>
      <c r="CS365" s="39"/>
      <c r="CT365" s="39"/>
      <c r="CU365" s="39"/>
      <c r="CV365" s="39"/>
      <c r="CW365" s="39"/>
      <c r="CX365" s="39"/>
      <c r="CY365" s="39"/>
      <c r="CZ365" s="39"/>
      <c r="DA365" s="39"/>
      <c r="DB365" s="39"/>
      <c r="DC365" s="39"/>
      <c r="DD365" s="39"/>
      <c r="DE365" s="39"/>
      <c r="DF365" s="39"/>
      <c r="DG365" s="39"/>
      <c r="DH365" s="39"/>
      <c r="DI365" s="39"/>
      <c r="DJ365" s="39"/>
      <c r="DK365" s="39"/>
      <c r="DL365" s="39"/>
      <c r="DM365" s="39"/>
      <c r="DN365" s="39"/>
      <c r="DO365" s="39"/>
      <c r="DP365" s="39"/>
      <c r="DQ365" s="39"/>
      <c r="DR365" s="39"/>
      <c r="DS365" s="39"/>
      <c r="DT365" s="39"/>
      <c r="DU365" s="39"/>
      <c r="DV365" s="39"/>
      <c r="DW365" s="39"/>
      <c r="DX365" s="39"/>
      <c r="DY365" s="39"/>
      <c r="DZ365" s="39"/>
      <c r="EA365" s="39"/>
      <c r="EB365" s="39"/>
      <c r="EC365" s="39"/>
      <c r="ED365" s="39"/>
      <c r="EE365" s="39"/>
      <c r="EF365" s="39"/>
      <c r="EG365" s="39"/>
      <c r="EH365" s="39"/>
      <c r="EI365" s="39"/>
      <c r="EJ365" s="39"/>
      <c r="EK365" s="39"/>
      <c r="EL365" s="39"/>
      <c r="EM365" s="39"/>
      <c r="EN365" s="39"/>
      <c r="EO365" s="39"/>
    </row>
    <row r="366" spans="2:145">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39"/>
      <c r="CZ366" s="39"/>
      <c r="DA366" s="39"/>
      <c r="DB366" s="39"/>
      <c r="DC366" s="39"/>
      <c r="DD366" s="39"/>
      <c r="DE366" s="39"/>
      <c r="DF366" s="39"/>
      <c r="DG366" s="39"/>
      <c r="DH366" s="39"/>
      <c r="DI366" s="39"/>
      <c r="DJ366" s="39"/>
      <c r="DK366" s="39"/>
      <c r="DL366" s="39"/>
      <c r="DM366" s="39"/>
      <c r="DN366" s="39"/>
      <c r="DO366" s="39"/>
      <c r="DP366" s="39"/>
      <c r="DQ366" s="39"/>
      <c r="DR366" s="39"/>
      <c r="DS366" s="39"/>
      <c r="DT366" s="39"/>
      <c r="DU366" s="39"/>
      <c r="DV366" s="39"/>
      <c r="DW366" s="39"/>
      <c r="DX366" s="39"/>
      <c r="DY366" s="39"/>
      <c r="DZ366" s="39"/>
      <c r="EA366" s="39"/>
      <c r="EB366" s="39"/>
      <c r="EC366" s="39"/>
      <c r="ED366" s="39"/>
      <c r="EE366" s="39"/>
      <c r="EF366" s="39"/>
      <c r="EG366" s="39"/>
      <c r="EH366" s="39"/>
      <c r="EI366" s="39"/>
      <c r="EJ366" s="39"/>
      <c r="EK366" s="39"/>
      <c r="EL366" s="39"/>
      <c r="EM366" s="39"/>
      <c r="EN366" s="39"/>
      <c r="EO366" s="39"/>
    </row>
    <row r="367" spans="2:145">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c r="CT367" s="39"/>
      <c r="CU367" s="39"/>
      <c r="CV367" s="39"/>
      <c r="CW367" s="39"/>
      <c r="CX367" s="39"/>
      <c r="CY367" s="39"/>
      <c r="CZ367" s="39"/>
      <c r="DA367" s="39"/>
      <c r="DB367" s="39"/>
      <c r="DC367" s="39"/>
      <c r="DD367" s="39"/>
      <c r="DE367" s="39"/>
      <c r="DF367" s="39"/>
      <c r="DG367" s="39"/>
      <c r="DH367" s="39"/>
      <c r="DI367" s="39"/>
      <c r="DJ367" s="39"/>
      <c r="DK367" s="39"/>
      <c r="DL367" s="39"/>
      <c r="DM367" s="39"/>
      <c r="DN367" s="39"/>
      <c r="DO367" s="39"/>
      <c r="DP367" s="39"/>
      <c r="DQ367" s="39"/>
      <c r="DR367" s="39"/>
      <c r="DS367" s="39"/>
      <c r="DT367" s="39"/>
      <c r="DU367" s="39"/>
      <c r="DV367" s="39"/>
      <c r="DW367" s="39"/>
      <c r="DX367" s="39"/>
      <c r="DY367" s="39"/>
      <c r="DZ367" s="39"/>
      <c r="EA367" s="39"/>
      <c r="EB367" s="39"/>
      <c r="EC367" s="39"/>
      <c r="ED367" s="39"/>
      <c r="EE367" s="39"/>
      <c r="EF367" s="39"/>
      <c r="EG367" s="39"/>
      <c r="EH367" s="39"/>
      <c r="EI367" s="39"/>
      <c r="EJ367" s="39"/>
      <c r="EK367" s="39"/>
      <c r="EL367" s="39"/>
      <c r="EM367" s="39"/>
      <c r="EN367" s="39"/>
      <c r="EO367" s="39"/>
    </row>
    <row r="368" spans="2:145">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c r="BP368" s="39"/>
      <c r="BQ368" s="39"/>
      <c r="BR368" s="39"/>
      <c r="BS368" s="39"/>
      <c r="BT368" s="39"/>
      <c r="BU368" s="39"/>
      <c r="BV368" s="39"/>
      <c r="BW368" s="39"/>
      <c r="BX368" s="39"/>
      <c r="BY368" s="39"/>
      <c r="BZ368" s="39"/>
      <c r="CA368" s="39"/>
      <c r="CB368" s="39"/>
      <c r="CC368" s="39"/>
      <c r="CD368" s="39"/>
      <c r="CE368" s="39"/>
      <c r="CF368" s="39"/>
      <c r="CG368" s="39"/>
      <c r="CH368" s="39"/>
      <c r="CI368" s="39"/>
      <c r="CJ368" s="39"/>
      <c r="CK368" s="39"/>
      <c r="CL368" s="39"/>
      <c r="CM368" s="39"/>
      <c r="CN368" s="39"/>
      <c r="CO368" s="39"/>
      <c r="CP368" s="39"/>
      <c r="CQ368" s="39"/>
      <c r="CR368" s="39"/>
      <c r="CS368" s="39"/>
      <c r="CT368" s="39"/>
      <c r="CU368" s="39"/>
      <c r="CV368" s="39"/>
      <c r="CW368" s="39"/>
      <c r="CX368" s="39"/>
      <c r="CY368" s="39"/>
      <c r="CZ368" s="39"/>
      <c r="DA368" s="39"/>
      <c r="DB368" s="39"/>
      <c r="DC368" s="39"/>
      <c r="DD368" s="39"/>
      <c r="DE368" s="39"/>
      <c r="DF368" s="39"/>
      <c r="DG368" s="39"/>
      <c r="DH368" s="39"/>
      <c r="DI368" s="39"/>
      <c r="DJ368" s="39"/>
      <c r="DK368" s="39"/>
      <c r="DL368" s="39"/>
      <c r="DM368" s="39"/>
      <c r="DN368" s="39"/>
      <c r="DO368" s="39"/>
      <c r="DP368" s="39"/>
      <c r="DQ368" s="39"/>
      <c r="DR368" s="39"/>
      <c r="DS368" s="39"/>
      <c r="DT368" s="39"/>
      <c r="DU368" s="39"/>
      <c r="DV368" s="39"/>
      <c r="DW368" s="39"/>
      <c r="DX368" s="39"/>
      <c r="DY368" s="39"/>
      <c r="DZ368" s="39"/>
      <c r="EA368" s="39"/>
      <c r="EB368" s="39"/>
      <c r="EC368" s="39"/>
      <c r="ED368" s="39"/>
      <c r="EE368" s="39"/>
      <c r="EF368" s="39"/>
      <c r="EG368" s="39"/>
      <c r="EH368" s="39"/>
      <c r="EI368" s="39"/>
      <c r="EJ368" s="39"/>
      <c r="EK368" s="39"/>
      <c r="EL368" s="39"/>
      <c r="EM368" s="39"/>
      <c r="EN368" s="39"/>
      <c r="EO368" s="39"/>
    </row>
    <row r="369" spans="2:145">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c r="BP369" s="39"/>
      <c r="BQ369" s="39"/>
      <c r="BR369" s="39"/>
      <c r="BS369" s="39"/>
      <c r="BT369" s="39"/>
      <c r="BU369" s="39"/>
      <c r="BV369" s="39"/>
      <c r="BW369" s="39"/>
      <c r="BX369" s="39"/>
      <c r="BY369" s="39"/>
      <c r="BZ369" s="39"/>
      <c r="CA369" s="39"/>
      <c r="CB369" s="39"/>
      <c r="CC369" s="39"/>
      <c r="CD369" s="39"/>
      <c r="CE369" s="39"/>
      <c r="CF369" s="39"/>
      <c r="CG369" s="39"/>
      <c r="CH369" s="39"/>
      <c r="CI369" s="39"/>
      <c r="CJ369" s="39"/>
      <c r="CK369" s="39"/>
      <c r="CL369" s="39"/>
      <c r="CM369" s="39"/>
      <c r="CN369" s="39"/>
      <c r="CO369" s="39"/>
      <c r="CP369" s="39"/>
      <c r="CQ369" s="39"/>
      <c r="CR369" s="39"/>
      <c r="CS369" s="39"/>
      <c r="CT369" s="39"/>
      <c r="CU369" s="39"/>
      <c r="CV369" s="39"/>
      <c r="CW369" s="39"/>
      <c r="CX369" s="39"/>
      <c r="CY369" s="39"/>
      <c r="CZ369" s="39"/>
      <c r="DA369" s="39"/>
      <c r="DB369" s="39"/>
      <c r="DC369" s="39"/>
      <c r="DD369" s="39"/>
      <c r="DE369" s="39"/>
      <c r="DF369" s="39"/>
      <c r="DG369" s="39"/>
      <c r="DH369" s="39"/>
      <c r="DI369" s="39"/>
      <c r="DJ369" s="39"/>
      <c r="DK369" s="39"/>
      <c r="DL369" s="39"/>
      <c r="DM369" s="39"/>
      <c r="DN369" s="39"/>
      <c r="DO369" s="39"/>
      <c r="DP369" s="39"/>
      <c r="DQ369" s="39"/>
      <c r="DR369" s="39"/>
      <c r="DS369" s="39"/>
      <c r="DT369" s="39"/>
      <c r="DU369" s="39"/>
      <c r="DV369" s="39"/>
      <c r="DW369" s="39"/>
      <c r="DX369" s="39"/>
      <c r="DY369" s="39"/>
      <c r="DZ369" s="39"/>
      <c r="EA369" s="39"/>
      <c r="EB369" s="39"/>
      <c r="EC369" s="39"/>
      <c r="ED369" s="39"/>
      <c r="EE369" s="39"/>
      <c r="EF369" s="39"/>
      <c r="EG369" s="39"/>
      <c r="EH369" s="39"/>
      <c r="EI369" s="39"/>
      <c r="EJ369" s="39"/>
      <c r="EK369" s="39"/>
      <c r="EL369" s="39"/>
      <c r="EM369" s="39"/>
      <c r="EN369" s="39"/>
      <c r="EO369" s="39"/>
    </row>
    <row r="370" spans="2:145">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c r="CT370" s="39"/>
      <c r="CU370" s="39"/>
      <c r="CV370" s="39"/>
      <c r="CW370" s="39"/>
      <c r="CX370" s="39"/>
      <c r="CY370" s="39"/>
      <c r="CZ370" s="39"/>
      <c r="DA370" s="39"/>
      <c r="DB370" s="39"/>
      <c r="DC370" s="39"/>
      <c r="DD370" s="39"/>
      <c r="DE370" s="39"/>
      <c r="DF370" s="39"/>
      <c r="DG370" s="39"/>
      <c r="DH370" s="39"/>
      <c r="DI370" s="39"/>
      <c r="DJ370" s="39"/>
      <c r="DK370" s="39"/>
      <c r="DL370" s="39"/>
      <c r="DM370" s="39"/>
      <c r="DN370" s="39"/>
      <c r="DO370" s="39"/>
      <c r="DP370" s="39"/>
      <c r="DQ370" s="39"/>
      <c r="DR370" s="39"/>
      <c r="DS370" s="39"/>
      <c r="DT370" s="39"/>
      <c r="DU370" s="39"/>
      <c r="DV370" s="39"/>
      <c r="DW370" s="39"/>
      <c r="DX370" s="39"/>
      <c r="DY370" s="39"/>
      <c r="DZ370" s="39"/>
      <c r="EA370" s="39"/>
      <c r="EB370" s="39"/>
      <c r="EC370" s="39"/>
      <c r="ED370" s="39"/>
      <c r="EE370" s="39"/>
      <c r="EF370" s="39"/>
      <c r="EG370" s="39"/>
      <c r="EH370" s="39"/>
      <c r="EI370" s="39"/>
      <c r="EJ370" s="39"/>
      <c r="EK370" s="39"/>
      <c r="EL370" s="39"/>
      <c r="EM370" s="39"/>
      <c r="EN370" s="39"/>
      <c r="EO370" s="39"/>
    </row>
    <row r="371" spans="2:145">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c r="CT371" s="39"/>
      <c r="CU371" s="39"/>
      <c r="CV371" s="39"/>
      <c r="CW371" s="39"/>
      <c r="CX371" s="39"/>
      <c r="CY371" s="39"/>
      <c r="CZ371" s="39"/>
      <c r="DA371" s="39"/>
      <c r="DB371" s="39"/>
      <c r="DC371" s="39"/>
      <c r="DD371" s="39"/>
      <c r="DE371" s="39"/>
      <c r="DF371" s="39"/>
      <c r="DG371" s="39"/>
      <c r="DH371" s="39"/>
      <c r="DI371" s="39"/>
      <c r="DJ371" s="39"/>
      <c r="DK371" s="39"/>
      <c r="DL371" s="39"/>
      <c r="DM371" s="39"/>
      <c r="DN371" s="39"/>
      <c r="DO371" s="39"/>
      <c r="DP371" s="39"/>
      <c r="DQ371" s="39"/>
      <c r="DR371" s="39"/>
      <c r="DS371" s="39"/>
      <c r="DT371" s="39"/>
      <c r="DU371" s="39"/>
      <c r="DV371" s="39"/>
      <c r="DW371" s="39"/>
      <c r="DX371" s="39"/>
      <c r="DY371" s="39"/>
      <c r="DZ371" s="39"/>
      <c r="EA371" s="39"/>
      <c r="EB371" s="39"/>
      <c r="EC371" s="39"/>
      <c r="ED371" s="39"/>
      <c r="EE371" s="39"/>
      <c r="EF371" s="39"/>
      <c r="EG371" s="39"/>
      <c r="EH371" s="39"/>
      <c r="EI371" s="39"/>
      <c r="EJ371" s="39"/>
      <c r="EK371" s="39"/>
      <c r="EL371" s="39"/>
      <c r="EM371" s="39"/>
      <c r="EN371" s="39"/>
      <c r="EO371" s="39"/>
    </row>
    <row r="372" spans="2:145">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c r="BP372" s="39"/>
      <c r="BQ372" s="39"/>
      <c r="BR372" s="39"/>
      <c r="BS372" s="39"/>
      <c r="BT372" s="39"/>
      <c r="BU372" s="39"/>
      <c r="BV372" s="39"/>
      <c r="BW372" s="39"/>
      <c r="BX372" s="39"/>
      <c r="BY372" s="39"/>
      <c r="BZ372" s="39"/>
      <c r="CA372" s="39"/>
      <c r="CB372" s="39"/>
      <c r="CC372" s="39"/>
      <c r="CD372" s="39"/>
      <c r="CE372" s="39"/>
      <c r="CF372" s="39"/>
      <c r="CG372" s="39"/>
      <c r="CH372" s="39"/>
      <c r="CI372" s="39"/>
      <c r="CJ372" s="39"/>
      <c r="CK372" s="39"/>
      <c r="CL372" s="39"/>
      <c r="CM372" s="39"/>
      <c r="CN372" s="39"/>
      <c r="CO372" s="39"/>
      <c r="CP372" s="39"/>
      <c r="CQ372" s="39"/>
      <c r="CR372" s="39"/>
      <c r="CS372" s="39"/>
      <c r="CT372" s="39"/>
      <c r="CU372" s="39"/>
      <c r="CV372" s="39"/>
      <c r="CW372" s="39"/>
      <c r="CX372" s="39"/>
      <c r="CY372" s="39"/>
      <c r="CZ372" s="39"/>
      <c r="DA372" s="39"/>
      <c r="DB372" s="39"/>
      <c r="DC372" s="39"/>
      <c r="DD372" s="39"/>
      <c r="DE372" s="39"/>
      <c r="DF372" s="39"/>
      <c r="DG372" s="39"/>
      <c r="DH372" s="39"/>
      <c r="DI372" s="39"/>
      <c r="DJ372" s="39"/>
      <c r="DK372" s="39"/>
      <c r="DL372" s="39"/>
      <c r="DM372" s="39"/>
      <c r="DN372" s="39"/>
      <c r="DO372" s="39"/>
      <c r="DP372" s="39"/>
      <c r="DQ372" s="39"/>
      <c r="DR372" s="39"/>
      <c r="DS372" s="39"/>
      <c r="DT372" s="39"/>
      <c r="DU372" s="39"/>
      <c r="DV372" s="39"/>
      <c r="DW372" s="39"/>
      <c r="DX372" s="39"/>
      <c r="DY372" s="39"/>
      <c r="DZ372" s="39"/>
      <c r="EA372" s="39"/>
      <c r="EB372" s="39"/>
      <c r="EC372" s="39"/>
      <c r="ED372" s="39"/>
      <c r="EE372" s="39"/>
      <c r="EF372" s="39"/>
      <c r="EG372" s="39"/>
      <c r="EH372" s="39"/>
      <c r="EI372" s="39"/>
      <c r="EJ372" s="39"/>
      <c r="EK372" s="39"/>
      <c r="EL372" s="39"/>
      <c r="EM372" s="39"/>
      <c r="EN372" s="39"/>
      <c r="EO372" s="39"/>
    </row>
    <row r="373" spans="2:145">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c r="BP373" s="39"/>
      <c r="BQ373" s="39"/>
      <c r="BR373" s="39"/>
      <c r="BS373" s="39"/>
      <c r="BT373" s="39"/>
      <c r="BU373" s="39"/>
      <c r="BV373" s="39"/>
      <c r="BW373" s="39"/>
      <c r="BX373" s="39"/>
      <c r="BY373" s="39"/>
      <c r="BZ373" s="39"/>
      <c r="CA373" s="39"/>
      <c r="CB373" s="39"/>
      <c r="CC373" s="39"/>
      <c r="CD373" s="39"/>
      <c r="CE373" s="39"/>
      <c r="CF373" s="39"/>
      <c r="CG373" s="39"/>
      <c r="CH373" s="39"/>
      <c r="CI373" s="39"/>
      <c r="CJ373" s="39"/>
      <c r="CK373" s="39"/>
      <c r="CL373" s="39"/>
      <c r="CM373" s="39"/>
      <c r="CN373" s="39"/>
      <c r="CO373" s="39"/>
      <c r="CP373" s="39"/>
      <c r="CQ373" s="39"/>
      <c r="CR373" s="39"/>
      <c r="CS373" s="39"/>
      <c r="CT373" s="39"/>
      <c r="CU373" s="39"/>
      <c r="CV373" s="39"/>
      <c r="CW373" s="39"/>
      <c r="CX373" s="39"/>
      <c r="CY373" s="39"/>
      <c r="CZ373" s="39"/>
      <c r="DA373" s="39"/>
      <c r="DB373" s="39"/>
      <c r="DC373" s="39"/>
      <c r="DD373" s="39"/>
      <c r="DE373" s="39"/>
      <c r="DF373" s="39"/>
      <c r="DG373" s="39"/>
      <c r="DH373" s="39"/>
      <c r="DI373" s="39"/>
      <c r="DJ373" s="39"/>
      <c r="DK373" s="39"/>
      <c r="DL373" s="39"/>
      <c r="DM373" s="39"/>
      <c r="DN373" s="39"/>
      <c r="DO373" s="39"/>
      <c r="DP373" s="39"/>
      <c r="DQ373" s="39"/>
      <c r="DR373" s="39"/>
      <c r="DS373" s="39"/>
      <c r="DT373" s="39"/>
      <c r="DU373" s="39"/>
      <c r="DV373" s="39"/>
      <c r="DW373" s="39"/>
      <c r="DX373" s="39"/>
      <c r="DY373" s="39"/>
      <c r="DZ373" s="39"/>
      <c r="EA373" s="39"/>
      <c r="EB373" s="39"/>
      <c r="EC373" s="39"/>
      <c r="ED373" s="39"/>
      <c r="EE373" s="39"/>
      <c r="EF373" s="39"/>
      <c r="EG373" s="39"/>
      <c r="EH373" s="39"/>
      <c r="EI373" s="39"/>
      <c r="EJ373" s="39"/>
      <c r="EK373" s="39"/>
      <c r="EL373" s="39"/>
      <c r="EM373" s="39"/>
      <c r="EN373" s="39"/>
      <c r="EO373" s="39"/>
    </row>
    <row r="374" spans="2:145">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c r="BP374" s="39"/>
      <c r="BQ374" s="39"/>
      <c r="BR374" s="39"/>
      <c r="BS374" s="39"/>
      <c r="BT374" s="39"/>
      <c r="BU374" s="39"/>
      <c r="BV374" s="39"/>
      <c r="BW374" s="39"/>
      <c r="BX374" s="39"/>
      <c r="BY374" s="39"/>
      <c r="BZ374" s="39"/>
      <c r="CA374" s="39"/>
      <c r="CB374" s="39"/>
      <c r="CC374" s="39"/>
      <c r="CD374" s="39"/>
      <c r="CE374" s="39"/>
      <c r="CF374" s="39"/>
      <c r="CG374" s="39"/>
      <c r="CH374" s="39"/>
      <c r="CI374" s="39"/>
      <c r="CJ374" s="39"/>
      <c r="CK374" s="39"/>
      <c r="CL374" s="39"/>
      <c r="CM374" s="39"/>
      <c r="CN374" s="39"/>
      <c r="CO374" s="39"/>
      <c r="CP374" s="39"/>
      <c r="CQ374" s="39"/>
      <c r="CR374" s="39"/>
      <c r="CS374" s="39"/>
      <c r="CT374" s="39"/>
      <c r="CU374" s="39"/>
      <c r="CV374" s="39"/>
      <c r="CW374" s="39"/>
      <c r="CX374" s="39"/>
      <c r="CY374" s="39"/>
      <c r="CZ374" s="39"/>
      <c r="DA374" s="39"/>
      <c r="DB374" s="39"/>
      <c r="DC374" s="39"/>
      <c r="DD374" s="39"/>
      <c r="DE374" s="39"/>
      <c r="DF374" s="39"/>
      <c r="DG374" s="39"/>
      <c r="DH374" s="39"/>
      <c r="DI374" s="39"/>
      <c r="DJ374" s="39"/>
      <c r="DK374" s="39"/>
      <c r="DL374" s="39"/>
      <c r="DM374" s="39"/>
      <c r="DN374" s="39"/>
      <c r="DO374" s="39"/>
      <c r="DP374" s="39"/>
      <c r="DQ374" s="39"/>
      <c r="DR374" s="39"/>
      <c r="DS374" s="39"/>
      <c r="DT374" s="39"/>
      <c r="DU374" s="39"/>
      <c r="DV374" s="39"/>
      <c r="DW374" s="39"/>
      <c r="DX374" s="39"/>
      <c r="DY374" s="39"/>
      <c r="DZ374" s="39"/>
      <c r="EA374" s="39"/>
      <c r="EB374" s="39"/>
      <c r="EC374" s="39"/>
      <c r="ED374" s="39"/>
      <c r="EE374" s="39"/>
      <c r="EF374" s="39"/>
      <c r="EG374" s="39"/>
      <c r="EH374" s="39"/>
      <c r="EI374" s="39"/>
      <c r="EJ374" s="39"/>
      <c r="EK374" s="39"/>
      <c r="EL374" s="39"/>
      <c r="EM374" s="39"/>
      <c r="EN374" s="39"/>
      <c r="EO374" s="39"/>
    </row>
    <row r="375" spans="2:145">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c r="BP375" s="39"/>
      <c r="BQ375" s="39"/>
      <c r="BR375" s="39"/>
      <c r="BS375" s="39"/>
      <c r="BT375" s="39"/>
      <c r="BU375" s="39"/>
      <c r="BV375" s="39"/>
      <c r="BW375" s="39"/>
      <c r="BX375" s="39"/>
      <c r="BY375" s="39"/>
      <c r="BZ375" s="39"/>
      <c r="CA375" s="39"/>
      <c r="CB375" s="39"/>
      <c r="CC375" s="39"/>
      <c r="CD375" s="39"/>
      <c r="CE375" s="39"/>
      <c r="CF375" s="39"/>
      <c r="CG375" s="39"/>
      <c r="CH375" s="39"/>
      <c r="CI375" s="39"/>
      <c r="CJ375" s="39"/>
      <c r="CK375" s="39"/>
      <c r="CL375" s="39"/>
      <c r="CM375" s="39"/>
      <c r="CN375" s="39"/>
      <c r="CO375" s="39"/>
      <c r="CP375" s="39"/>
      <c r="CQ375" s="39"/>
      <c r="CR375" s="39"/>
      <c r="CS375" s="39"/>
      <c r="CT375" s="39"/>
      <c r="CU375" s="39"/>
      <c r="CV375" s="39"/>
      <c r="CW375" s="39"/>
      <c r="CX375" s="39"/>
      <c r="CY375" s="39"/>
      <c r="CZ375" s="39"/>
      <c r="DA375" s="39"/>
      <c r="DB375" s="39"/>
      <c r="DC375" s="39"/>
      <c r="DD375" s="39"/>
      <c r="DE375" s="39"/>
      <c r="DF375" s="39"/>
      <c r="DG375" s="39"/>
      <c r="DH375" s="39"/>
      <c r="DI375" s="39"/>
      <c r="DJ375" s="39"/>
      <c r="DK375" s="39"/>
      <c r="DL375" s="39"/>
      <c r="DM375" s="39"/>
      <c r="DN375" s="39"/>
      <c r="DO375" s="39"/>
      <c r="DP375" s="39"/>
      <c r="DQ375" s="39"/>
      <c r="DR375" s="39"/>
      <c r="DS375" s="39"/>
      <c r="DT375" s="39"/>
      <c r="DU375" s="39"/>
      <c r="DV375" s="39"/>
      <c r="DW375" s="39"/>
      <c r="DX375" s="39"/>
      <c r="DY375" s="39"/>
      <c r="DZ375" s="39"/>
      <c r="EA375" s="39"/>
      <c r="EB375" s="39"/>
      <c r="EC375" s="39"/>
      <c r="ED375" s="39"/>
      <c r="EE375" s="39"/>
      <c r="EF375" s="39"/>
      <c r="EG375" s="39"/>
      <c r="EH375" s="39"/>
      <c r="EI375" s="39"/>
      <c r="EJ375" s="39"/>
      <c r="EK375" s="39"/>
      <c r="EL375" s="39"/>
      <c r="EM375" s="39"/>
      <c r="EN375" s="39"/>
      <c r="EO375" s="39"/>
    </row>
    <row r="376" spans="2:145">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c r="BP376" s="39"/>
      <c r="BQ376" s="39"/>
      <c r="BR376" s="39"/>
      <c r="BS376" s="39"/>
      <c r="BT376" s="39"/>
      <c r="BU376" s="39"/>
      <c r="BV376" s="39"/>
      <c r="BW376" s="39"/>
      <c r="BX376" s="39"/>
      <c r="BY376" s="39"/>
      <c r="BZ376" s="39"/>
      <c r="CA376" s="39"/>
      <c r="CB376" s="39"/>
      <c r="CC376" s="39"/>
      <c r="CD376" s="39"/>
      <c r="CE376" s="39"/>
      <c r="CF376" s="39"/>
      <c r="CG376" s="39"/>
      <c r="CH376" s="39"/>
      <c r="CI376" s="39"/>
      <c r="CJ376" s="39"/>
      <c r="CK376" s="39"/>
      <c r="CL376" s="39"/>
      <c r="CM376" s="39"/>
      <c r="CN376" s="39"/>
      <c r="CO376" s="39"/>
      <c r="CP376" s="39"/>
      <c r="CQ376" s="39"/>
      <c r="CR376" s="39"/>
      <c r="CS376" s="39"/>
      <c r="CT376" s="39"/>
      <c r="CU376" s="39"/>
      <c r="CV376" s="39"/>
      <c r="CW376" s="39"/>
      <c r="CX376" s="39"/>
      <c r="CY376" s="39"/>
      <c r="CZ376" s="39"/>
      <c r="DA376" s="39"/>
      <c r="DB376" s="39"/>
      <c r="DC376" s="39"/>
      <c r="DD376" s="39"/>
      <c r="DE376" s="39"/>
      <c r="DF376" s="39"/>
      <c r="DG376" s="39"/>
      <c r="DH376" s="39"/>
      <c r="DI376" s="39"/>
      <c r="DJ376" s="39"/>
      <c r="DK376" s="39"/>
      <c r="DL376" s="39"/>
      <c r="DM376" s="39"/>
      <c r="DN376" s="39"/>
      <c r="DO376" s="39"/>
      <c r="DP376" s="39"/>
      <c r="DQ376" s="39"/>
      <c r="DR376" s="39"/>
      <c r="DS376" s="39"/>
      <c r="DT376" s="39"/>
      <c r="DU376" s="39"/>
      <c r="DV376" s="39"/>
      <c r="DW376" s="39"/>
      <c r="DX376" s="39"/>
      <c r="DY376" s="39"/>
      <c r="DZ376" s="39"/>
      <c r="EA376" s="39"/>
      <c r="EB376" s="39"/>
      <c r="EC376" s="39"/>
      <c r="ED376" s="39"/>
      <c r="EE376" s="39"/>
      <c r="EF376" s="39"/>
      <c r="EG376" s="39"/>
      <c r="EH376" s="39"/>
      <c r="EI376" s="39"/>
      <c r="EJ376" s="39"/>
      <c r="EK376" s="39"/>
      <c r="EL376" s="39"/>
      <c r="EM376" s="39"/>
      <c r="EN376" s="39"/>
      <c r="EO376" s="39"/>
    </row>
    <row r="377" spans="2:145">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c r="BP377" s="39"/>
      <c r="BQ377" s="39"/>
      <c r="BR377" s="39"/>
      <c r="BS377" s="39"/>
      <c r="BT377" s="39"/>
      <c r="BU377" s="39"/>
      <c r="BV377" s="39"/>
      <c r="BW377" s="39"/>
      <c r="BX377" s="39"/>
      <c r="BY377" s="39"/>
      <c r="BZ377" s="39"/>
      <c r="CA377" s="39"/>
      <c r="CB377" s="39"/>
      <c r="CC377" s="39"/>
      <c r="CD377" s="39"/>
      <c r="CE377" s="39"/>
      <c r="CF377" s="39"/>
      <c r="CG377" s="39"/>
      <c r="CH377" s="39"/>
      <c r="CI377" s="39"/>
      <c r="CJ377" s="39"/>
      <c r="CK377" s="39"/>
      <c r="CL377" s="39"/>
      <c r="CM377" s="39"/>
      <c r="CN377" s="39"/>
      <c r="CO377" s="39"/>
      <c r="CP377" s="39"/>
      <c r="CQ377" s="39"/>
      <c r="CR377" s="39"/>
      <c r="CS377" s="39"/>
      <c r="CT377" s="39"/>
      <c r="CU377" s="39"/>
      <c r="CV377" s="39"/>
      <c r="CW377" s="39"/>
      <c r="CX377" s="39"/>
      <c r="CY377" s="39"/>
      <c r="CZ377" s="39"/>
      <c r="DA377" s="39"/>
      <c r="DB377" s="39"/>
      <c r="DC377" s="39"/>
      <c r="DD377" s="39"/>
      <c r="DE377" s="39"/>
      <c r="DF377" s="39"/>
      <c r="DG377" s="39"/>
      <c r="DH377" s="39"/>
      <c r="DI377" s="39"/>
      <c r="DJ377" s="39"/>
      <c r="DK377" s="39"/>
      <c r="DL377" s="39"/>
      <c r="DM377" s="39"/>
      <c r="DN377" s="39"/>
      <c r="DO377" s="39"/>
      <c r="DP377" s="39"/>
      <c r="DQ377" s="39"/>
      <c r="DR377" s="39"/>
      <c r="DS377" s="39"/>
      <c r="DT377" s="39"/>
      <c r="DU377" s="39"/>
      <c r="DV377" s="39"/>
      <c r="DW377" s="39"/>
      <c r="DX377" s="39"/>
      <c r="DY377" s="39"/>
      <c r="DZ377" s="39"/>
      <c r="EA377" s="39"/>
      <c r="EB377" s="39"/>
      <c r="EC377" s="39"/>
      <c r="ED377" s="39"/>
      <c r="EE377" s="39"/>
      <c r="EF377" s="39"/>
      <c r="EG377" s="39"/>
      <c r="EH377" s="39"/>
      <c r="EI377" s="39"/>
      <c r="EJ377" s="39"/>
      <c r="EK377" s="39"/>
      <c r="EL377" s="39"/>
      <c r="EM377" s="39"/>
      <c r="EN377" s="39"/>
      <c r="EO377" s="39"/>
    </row>
    <row r="378" spans="2:145">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c r="BP378" s="39"/>
      <c r="BQ378" s="39"/>
      <c r="BR378" s="39"/>
      <c r="BS378" s="39"/>
      <c r="BT378" s="39"/>
      <c r="BU378" s="39"/>
      <c r="BV378" s="39"/>
      <c r="BW378" s="39"/>
      <c r="BX378" s="39"/>
      <c r="BY378" s="39"/>
      <c r="BZ378" s="39"/>
      <c r="CA378" s="39"/>
      <c r="CB378" s="39"/>
      <c r="CC378" s="39"/>
      <c r="CD378" s="39"/>
      <c r="CE378" s="39"/>
      <c r="CF378" s="39"/>
      <c r="CG378" s="39"/>
      <c r="CH378" s="39"/>
      <c r="CI378" s="39"/>
      <c r="CJ378" s="39"/>
      <c r="CK378" s="39"/>
      <c r="CL378" s="39"/>
      <c r="CM378" s="39"/>
      <c r="CN378" s="39"/>
      <c r="CO378" s="39"/>
      <c r="CP378" s="39"/>
      <c r="CQ378" s="39"/>
      <c r="CR378" s="39"/>
      <c r="CS378" s="39"/>
      <c r="CT378" s="39"/>
      <c r="CU378" s="39"/>
      <c r="CV378" s="39"/>
      <c r="CW378" s="39"/>
      <c r="CX378" s="39"/>
      <c r="CY378" s="39"/>
      <c r="CZ378" s="39"/>
      <c r="DA378" s="39"/>
      <c r="DB378" s="39"/>
      <c r="DC378" s="39"/>
      <c r="DD378" s="39"/>
      <c r="DE378" s="39"/>
      <c r="DF378" s="39"/>
      <c r="DG378" s="39"/>
      <c r="DH378" s="39"/>
      <c r="DI378" s="39"/>
      <c r="DJ378" s="39"/>
      <c r="DK378" s="39"/>
      <c r="DL378" s="39"/>
      <c r="DM378" s="39"/>
      <c r="DN378" s="39"/>
      <c r="DO378" s="39"/>
      <c r="DP378" s="39"/>
      <c r="DQ378" s="39"/>
      <c r="DR378" s="39"/>
      <c r="DS378" s="39"/>
      <c r="DT378" s="39"/>
      <c r="DU378" s="39"/>
      <c r="DV378" s="39"/>
      <c r="DW378" s="39"/>
      <c r="DX378" s="39"/>
      <c r="DY378" s="39"/>
      <c r="DZ378" s="39"/>
      <c r="EA378" s="39"/>
      <c r="EB378" s="39"/>
      <c r="EC378" s="39"/>
      <c r="ED378" s="39"/>
      <c r="EE378" s="39"/>
      <c r="EF378" s="39"/>
      <c r="EG378" s="39"/>
      <c r="EH378" s="39"/>
      <c r="EI378" s="39"/>
      <c r="EJ378" s="39"/>
      <c r="EK378" s="39"/>
      <c r="EL378" s="39"/>
      <c r="EM378" s="39"/>
      <c r="EN378" s="39"/>
      <c r="EO378" s="39"/>
    </row>
    <row r="379" spans="2:145">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c r="BP379" s="39"/>
      <c r="BQ379" s="39"/>
      <c r="BR379" s="39"/>
      <c r="BS379" s="39"/>
      <c r="BT379" s="39"/>
      <c r="BU379" s="39"/>
      <c r="BV379" s="39"/>
      <c r="BW379" s="39"/>
      <c r="BX379" s="39"/>
      <c r="BY379" s="39"/>
      <c r="BZ379" s="39"/>
      <c r="CA379" s="39"/>
      <c r="CB379" s="39"/>
      <c r="CC379" s="39"/>
      <c r="CD379" s="39"/>
      <c r="CE379" s="39"/>
      <c r="CF379" s="39"/>
      <c r="CG379" s="39"/>
      <c r="CH379" s="39"/>
      <c r="CI379" s="39"/>
      <c r="CJ379" s="39"/>
      <c r="CK379" s="39"/>
      <c r="CL379" s="39"/>
      <c r="CM379" s="39"/>
      <c r="CN379" s="39"/>
      <c r="CO379" s="39"/>
      <c r="CP379" s="39"/>
      <c r="CQ379" s="39"/>
      <c r="CR379" s="39"/>
      <c r="CS379" s="39"/>
      <c r="CT379" s="39"/>
      <c r="CU379" s="39"/>
      <c r="CV379" s="39"/>
      <c r="CW379" s="39"/>
      <c r="CX379" s="39"/>
      <c r="CY379" s="39"/>
      <c r="CZ379" s="39"/>
      <c r="DA379" s="39"/>
      <c r="DB379" s="39"/>
      <c r="DC379" s="39"/>
      <c r="DD379" s="39"/>
      <c r="DE379" s="39"/>
      <c r="DF379" s="39"/>
      <c r="DG379" s="39"/>
      <c r="DH379" s="39"/>
      <c r="DI379" s="39"/>
      <c r="DJ379" s="39"/>
      <c r="DK379" s="39"/>
      <c r="DL379" s="39"/>
      <c r="DM379" s="39"/>
      <c r="DN379" s="39"/>
      <c r="DO379" s="39"/>
      <c r="DP379" s="39"/>
      <c r="DQ379" s="39"/>
      <c r="DR379" s="39"/>
      <c r="DS379" s="39"/>
      <c r="DT379" s="39"/>
      <c r="DU379" s="39"/>
      <c r="DV379" s="39"/>
      <c r="DW379" s="39"/>
      <c r="DX379" s="39"/>
      <c r="DY379" s="39"/>
      <c r="DZ379" s="39"/>
      <c r="EA379" s="39"/>
      <c r="EB379" s="39"/>
      <c r="EC379" s="39"/>
      <c r="ED379" s="39"/>
      <c r="EE379" s="39"/>
      <c r="EF379" s="39"/>
      <c r="EG379" s="39"/>
      <c r="EH379" s="39"/>
      <c r="EI379" s="39"/>
      <c r="EJ379" s="39"/>
      <c r="EK379" s="39"/>
      <c r="EL379" s="39"/>
      <c r="EM379" s="39"/>
      <c r="EN379" s="39"/>
      <c r="EO379" s="39"/>
    </row>
    <row r="380" spans="2:145">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c r="BP380" s="39"/>
      <c r="BQ380" s="39"/>
      <c r="BR380" s="39"/>
      <c r="BS380" s="39"/>
      <c r="BT380" s="39"/>
      <c r="BU380" s="39"/>
      <c r="BV380" s="39"/>
      <c r="BW380" s="39"/>
      <c r="BX380" s="39"/>
      <c r="BY380" s="39"/>
      <c r="BZ380" s="39"/>
      <c r="CA380" s="39"/>
      <c r="CB380" s="39"/>
      <c r="CC380" s="39"/>
      <c r="CD380" s="39"/>
      <c r="CE380" s="39"/>
      <c r="CF380" s="39"/>
      <c r="CG380" s="39"/>
      <c r="CH380" s="39"/>
      <c r="CI380" s="39"/>
      <c r="CJ380" s="39"/>
      <c r="CK380" s="39"/>
      <c r="CL380" s="39"/>
      <c r="CM380" s="39"/>
      <c r="CN380" s="39"/>
      <c r="CO380" s="39"/>
      <c r="CP380" s="39"/>
      <c r="CQ380" s="39"/>
      <c r="CR380" s="39"/>
      <c r="CS380" s="39"/>
      <c r="CT380" s="39"/>
      <c r="CU380" s="39"/>
      <c r="CV380" s="39"/>
      <c r="CW380" s="39"/>
      <c r="CX380" s="39"/>
      <c r="CY380" s="39"/>
      <c r="CZ380" s="39"/>
      <c r="DA380" s="39"/>
      <c r="DB380" s="39"/>
      <c r="DC380" s="39"/>
      <c r="DD380" s="39"/>
      <c r="DE380" s="39"/>
      <c r="DF380" s="39"/>
      <c r="DG380" s="39"/>
      <c r="DH380" s="39"/>
      <c r="DI380" s="39"/>
      <c r="DJ380" s="39"/>
      <c r="DK380" s="39"/>
      <c r="DL380" s="39"/>
      <c r="DM380" s="39"/>
      <c r="DN380" s="39"/>
      <c r="DO380" s="39"/>
      <c r="DP380" s="39"/>
      <c r="DQ380" s="39"/>
      <c r="DR380" s="39"/>
      <c r="DS380" s="39"/>
      <c r="DT380" s="39"/>
      <c r="DU380" s="39"/>
      <c r="DV380" s="39"/>
      <c r="DW380" s="39"/>
      <c r="DX380" s="39"/>
      <c r="DY380" s="39"/>
      <c r="DZ380" s="39"/>
      <c r="EA380" s="39"/>
      <c r="EB380" s="39"/>
      <c r="EC380" s="39"/>
      <c r="ED380" s="39"/>
      <c r="EE380" s="39"/>
      <c r="EF380" s="39"/>
      <c r="EG380" s="39"/>
      <c r="EH380" s="39"/>
      <c r="EI380" s="39"/>
      <c r="EJ380" s="39"/>
      <c r="EK380" s="39"/>
      <c r="EL380" s="39"/>
      <c r="EM380" s="39"/>
      <c r="EN380" s="39"/>
      <c r="EO380" s="39"/>
    </row>
    <row r="381" spans="2:145">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c r="BP381" s="39"/>
      <c r="BQ381" s="39"/>
      <c r="BR381" s="39"/>
      <c r="BS381" s="39"/>
      <c r="BT381" s="39"/>
      <c r="BU381" s="39"/>
      <c r="BV381" s="39"/>
      <c r="BW381" s="39"/>
      <c r="BX381" s="39"/>
      <c r="BY381" s="39"/>
      <c r="BZ381" s="39"/>
      <c r="CA381" s="39"/>
      <c r="CB381" s="39"/>
      <c r="CC381" s="39"/>
      <c r="CD381" s="39"/>
      <c r="CE381" s="39"/>
      <c r="CF381" s="39"/>
      <c r="CG381" s="39"/>
      <c r="CH381" s="39"/>
      <c r="CI381" s="39"/>
      <c r="CJ381" s="39"/>
      <c r="CK381" s="39"/>
      <c r="CL381" s="39"/>
      <c r="CM381" s="39"/>
      <c r="CN381" s="39"/>
      <c r="CO381" s="39"/>
      <c r="CP381" s="39"/>
      <c r="CQ381" s="39"/>
      <c r="CR381" s="39"/>
      <c r="CS381" s="39"/>
      <c r="CT381" s="39"/>
      <c r="CU381" s="39"/>
      <c r="CV381" s="39"/>
      <c r="CW381" s="39"/>
      <c r="CX381" s="39"/>
      <c r="CY381" s="39"/>
      <c r="CZ381" s="39"/>
      <c r="DA381" s="39"/>
      <c r="DB381" s="39"/>
      <c r="DC381" s="39"/>
      <c r="DD381" s="39"/>
      <c r="DE381" s="39"/>
      <c r="DF381" s="39"/>
      <c r="DG381" s="39"/>
      <c r="DH381" s="39"/>
      <c r="DI381" s="39"/>
      <c r="DJ381" s="39"/>
      <c r="DK381" s="39"/>
      <c r="DL381" s="39"/>
      <c r="DM381" s="39"/>
      <c r="DN381" s="39"/>
      <c r="DO381" s="39"/>
      <c r="DP381" s="39"/>
      <c r="DQ381" s="39"/>
      <c r="DR381" s="39"/>
      <c r="DS381" s="39"/>
      <c r="DT381" s="39"/>
      <c r="DU381" s="39"/>
      <c r="DV381" s="39"/>
      <c r="DW381" s="39"/>
      <c r="DX381" s="39"/>
      <c r="DY381" s="39"/>
      <c r="DZ381" s="39"/>
      <c r="EA381" s="39"/>
      <c r="EB381" s="39"/>
      <c r="EC381" s="39"/>
      <c r="ED381" s="39"/>
      <c r="EE381" s="39"/>
      <c r="EF381" s="39"/>
      <c r="EG381" s="39"/>
      <c r="EH381" s="39"/>
      <c r="EI381" s="39"/>
      <c r="EJ381" s="39"/>
      <c r="EK381" s="39"/>
      <c r="EL381" s="39"/>
      <c r="EM381" s="39"/>
      <c r="EN381" s="39"/>
      <c r="EO381" s="39"/>
    </row>
    <row r="382" spans="2:145">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c r="BP382" s="39"/>
      <c r="BQ382" s="39"/>
      <c r="BR382" s="39"/>
      <c r="BS382" s="39"/>
      <c r="BT382" s="39"/>
      <c r="BU382" s="39"/>
      <c r="BV382" s="39"/>
      <c r="BW382" s="39"/>
      <c r="BX382" s="39"/>
      <c r="BY382" s="39"/>
      <c r="BZ382" s="39"/>
      <c r="CA382" s="39"/>
      <c r="CB382" s="39"/>
      <c r="CC382" s="39"/>
      <c r="CD382" s="39"/>
      <c r="CE382" s="39"/>
      <c r="CF382" s="39"/>
      <c r="CG382" s="39"/>
      <c r="CH382" s="39"/>
      <c r="CI382" s="39"/>
      <c r="CJ382" s="39"/>
      <c r="CK382" s="39"/>
      <c r="CL382" s="39"/>
      <c r="CM382" s="39"/>
      <c r="CN382" s="39"/>
      <c r="CO382" s="39"/>
      <c r="CP382" s="39"/>
      <c r="CQ382" s="39"/>
      <c r="CR382" s="39"/>
      <c r="CS382" s="39"/>
      <c r="CT382" s="39"/>
      <c r="CU382" s="39"/>
      <c r="CV382" s="39"/>
      <c r="CW382" s="39"/>
      <c r="CX382" s="39"/>
      <c r="CY382" s="39"/>
      <c r="CZ382" s="39"/>
      <c r="DA382" s="39"/>
      <c r="DB382" s="39"/>
      <c r="DC382" s="39"/>
      <c r="DD382" s="39"/>
      <c r="DE382" s="39"/>
      <c r="DF382" s="39"/>
      <c r="DG382" s="39"/>
      <c r="DH382" s="39"/>
      <c r="DI382" s="39"/>
      <c r="DJ382" s="39"/>
      <c r="DK382" s="39"/>
      <c r="DL382" s="39"/>
      <c r="DM382" s="39"/>
      <c r="DN382" s="39"/>
      <c r="DO382" s="39"/>
      <c r="DP382" s="39"/>
      <c r="DQ382" s="39"/>
      <c r="DR382" s="39"/>
      <c r="DS382" s="39"/>
      <c r="DT382" s="39"/>
      <c r="DU382" s="39"/>
      <c r="DV382" s="39"/>
      <c r="DW382" s="39"/>
      <c r="DX382" s="39"/>
      <c r="DY382" s="39"/>
      <c r="DZ382" s="39"/>
      <c r="EA382" s="39"/>
      <c r="EB382" s="39"/>
      <c r="EC382" s="39"/>
      <c r="ED382" s="39"/>
      <c r="EE382" s="39"/>
      <c r="EF382" s="39"/>
      <c r="EG382" s="39"/>
      <c r="EH382" s="39"/>
      <c r="EI382" s="39"/>
      <c r="EJ382" s="39"/>
      <c r="EK382" s="39"/>
      <c r="EL382" s="39"/>
      <c r="EM382" s="39"/>
      <c r="EN382" s="39"/>
      <c r="EO382" s="39"/>
    </row>
    <row r="383" spans="2:145">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c r="BP383" s="39"/>
      <c r="BQ383" s="39"/>
      <c r="BR383" s="39"/>
      <c r="BS383" s="39"/>
      <c r="BT383" s="39"/>
      <c r="BU383" s="39"/>
      <c r="BV383" s="39"/>
      <c r="BW383" s="39"/>
      <c r="BX383" s="39"/>
      <c r="BY383" s="39"/>
      <c r="BZ383" s="39"/>
      <c r="CA383" s="39"/>
      <c r="CB383" s="39"/>
      <c r="CC383" s="39"/>
      <c r="CD383" s="39"/>
      <c r="CE383" s="39"/>
      <c r="CF383" s="39"/>
      <c r="CG383" s="39"/>
      <c r="CH383" s="39"/>
      <c r="CI383" s="39"/>
      <c r="CJ383" s="39"/>
      <c r="CK383" s="39"/>
      <c r="CL383" s="39"/>
      <c r="CM383" s="39"/>
      <c r="CN383" s="39"/>
      <c r="CO383" s="39"/>
      <c r="CP383" s="39"/>
      <c r="CQ383" s="39"/>
      <c r="CR383" s="39"/>
      <c r="CS383" s="39"/>
      <c r="CT383" s="39"/>
      <c r="CU383" s="39"/>
      <c r="CV383" s="39"/>
      <c r="CW383" s="39"/>
      <c r="CX383" s="39"/>
      <c r="CY383" s="39"/>
      <c r="CZ383" s="39"/>
      <c r="DA383" s="39"/>
      <c r="DB383" s="39"/>
      <c r="DC383" s="39"/>
      <c r="DD383" s="39"/>
      <c r="DE383" s="39"/>
      <c r="DF383" s="39"/>
      <c r="DG383" s="39"/>
      <c r="DH383" s="39"/>
      <c r="DI383" s="39"/>
      <c r="DJ383" s="39"/>
      <c r="DK383" s="39"/>
      <c r="DL383" s="39"/>
      <c r="DM383" s="39"/>
      <c r="DN383" s="39"/>
      <c r="DO383" s="39"/>
      <c r="DP383" s="39"/>
      <c r="DQ383" s="39"/>
      <c r="DR383" s="39"/>
      <c r="DS383" s="39"/>
      <c r="DT383" s="39"/>
      <c r="DU383" s="39"/>
      <c r="DV383" s="39"/>
      <c r="DW383" s="39"/>
      <c r="DX383" s="39"/>
      <c r="DY383" s="39"/>
      <c r="DZ383" s="39"/>
      <c r="EA383" s="39"/>
      <c r="EB383" s="39"/>
      <c r="EC383" s="39"/>
      <c r="ED383" s="39"/>
      <c r="EE383" s="39"/>
      <c r="EF383" s="39"/>
      <c r="EG383" s="39"/>
      <c r="EH383" s="39"/>
      <c r="EI383" s="39"/>
      <c r="EJ383" s="39"/>
      <c r="EK383" s="39"/>
      <c r="EL383" s="39"/>
      <c r="EM383" s="39"/>
      <c r="EN383" s="39"/>
      <c r="EO383" s="39"/>
    </row>
    <row r="384" spans="2:145">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c r="BP384" s="39"/>
      <c r="BQ384" s="39"/>
      <c r="BR384" s="39"/>
      <c r="BS384" s="39"/>
      <c r="BT384" s="39"/>
      <c r="BU384" s="39"/>
      <c r="BV384" s="39"/>
      <c r="BW384" s="39"/>
      <c r="BX384" s="39"/>
      <c r="BY384" s="39"/>
      <c r="BZ384" s="39"/>
      <c r="CA384" s="39"/>
      <c r="CB384" s="39"/>
      <c r="CC384" s="39"/>
      <c r="CD384" s="39"/>
      <c r="CE384" s="39"/>
      <c r="CF384" s="39"/>
      <c r="CG384" s="39"/>
      <c r="CH384" s="39"/>
      <c r="CI384" s="39"/>
      <c r="CJ384" s="39"/>
      <c r="CK384" s="39"/>
      <c r="CL384" s="39"/>
      <c r="CM384" s="39"/>
      <c r="CN384" s="39"/>
      <c r="CO384" s="39"/>
      <c r="CP384" s="39"/>
      <c r="CQ384" s="39"/>
      <c r="CR384" s="39"/>
      <c r="CS384" s="39"/>
      <c r="CT384" s="39"/>
      <c r="CU384" s="39"/>
      <c r="CV384" s="39"/>
      <c r="CW384" s="39"/>
      <c r="CX384" s="39"/>
      <c r="CY384" s="39"/>
      <c r="CZ384" s="39"/>
      <c r="DA384" s="39"/>
      <c r="DB384" s="39"/>
      <c r="DC384" s="39"/>
      <c r="DD384" s="39"/>
      <c r="DE384" s="39"/>
      <c r="DF384" s="39"/>
      <c r="DG384" s="39"/>
      <c r="DH384" s="39"/>
      <c r="DI384" s="39"/>
      <c r="DJ384" s="39"/>
      <c r="DK384" s="39"/>
      <c r="DL384" s="39"/>
      <c r="DM384" s="39"/>
      <c r="DN384" s="39"/>
      <c r="DO384" s="39"/>
      <c r="DP384" s="39"/>
      <c r="DQ384" s="39"/>
      <c r="DR384" s="39"/>
      <c r="DS384" s="39"/>
      <c r="DT384" s="39"/>
      <c r="DU384" s="39"/>
      <c r="DV384" s="39"/>
      <c r="DW384" s="39"/>
      <c r="DX384" s="39"/>
      <c r="DY384" s="39"/>
      <c r="DZ384" s="39"/>
      <c r="EA384" s="39"/>
      <c r="EB384" s="39"/>
      <c r="EC384" s="39"/>
      <c r="ED384" s="39"/>
      <c r="EE384" s="39"/>
      <c r="EF384" s="39"/>
      <c r="EG384" s="39"/>
      <c r="EH384" s="39"/>
      <c r="EI384" s="39"/>
      <c r="EJ384" s="39"/>
      <c r="EK384" s="39"/>
      <c r="EL384" s="39"/>
      <c r="EM384" s="39"/>
      <c r="EN384" s="39"/>
      <c r="EO384" s="39"/>
    </row>
    <row r="385" spans="2:145">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c r="BP385" s="39"/>
      <c r="BQ385" s="39"/>
      <c r="BR385" s="39"/>
      <c r="BS385" s="39"/>
      <c r="BT385" s="39"/>
      <c r="BU385" s="39"/>
      <c r="BV385" s="39"/>
      <c r="BW385" s="39"/>
      <c r="BX385" s="39"/>
      <c r="BY385" s="39"/>
      <c r="BZ385" s="39"/>
      <c r="CA385" s="39"/>
      <c r="CB385" s="39"/>
      <c r="CC385" s="39"/>
      <c r="CD385" s="39"/>
      <c r="CE385" s="39"/>
      <c r="CF385" s="39"/>
      <c r="CG385" s="39"/>
      <c r="CH385" s="39"/>
      <c r="CI385" s="39"/>
      <c r="CJ385" s="39"/>
      <c r="CK385" s="39"/>
      <c r="CL385" s="39"/>
      <c r="CM385" s="39"/>
      <c r="CN385" s="39"/>
      <c r="CO385" s="39"/>
      <c r="CP385" s="39"/>
      <c r="CQ385" s="39"/>
      <c r="CR385" s="39"/>
      <c r="CS385" s="39"/>
      <c r="CT385" s="39"/>
      <c r="CU385" s="39"/>
      <c r="CV385" s="39"/>
      <c r="CW385" s="39"/>
      <c r="CX385" s="39"/>
      <c r="CY385" s="39"/>
      <c r="CZ385" s="39"/>
      <c r="DA385" s="39"/>
      <c r="DB385" s="39"/>
      <c r="DC385" s="39"/>
      <c r="DD385" s="39"/>
      <c r="DE385" s="39"/>
      <c r="DF385" s="39"/>
      <c r="DG385" s="39"/>
      <c r="DH385" s="39"/>
      <c r="DI385" s="39"/>
      <c r="DJ385" s="39"/>
      <c r="DK385" s="39"/>
      <c r="DL385" s="39"/>
      <c r="DM385" s="39"/>
      <c r="DN385" s="39"/>
      <c r="DO385" s="39"/>
      <c r="DP385" s="39"/>
      <c r="DQ385" s="39"/>
      <c r="DR385" s="39"/>
      <c r="DS385" s="39"/>
      <c r="DT385" s="39"/>
      <c r="DU385" s="39"/>
      <c r="DV385" s="39"/>
      <c r="DW385" s="39"/>
      <c r="DX385" s="39"/>
      <c r="DY385" s="39"/>
      <c r="DZ385" s="39"/>
      <c r="EA385" s="39"/>
      <c r="EB385" s="39"/>
      <c r="EC385" s="39"/>
      <c r="ED385" s="39"/>
      <c r="EE385" s="39"/>
      <c r="EF385" s="39"/>
      <c r="EG385" s="39"/>
      <c r="EH385" s="39"/>
      <c r="EI385" s="39"/>
      <c r="EJ385" s="39"/>
      <c r="EK385" s="39"/>
      <c r="EL385" s="39"/>
      <c r="EM385" s="39"/>
      <c r="EN385" s="39"/>
      <c r="EO385" s="39"/>
    </row>
    <row r="386" spans="2:145">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c r="BP386" s="39"/>
      <c r="BQ386" s="39"/>
      <c r="BR386" s="39"/>
      <c r="BS386" s="39"/>
      <c r="BT386" s="39"/>
      <c r="BU386" s="39"/>
      <c r="BV386" s="39"/>
      <c r="BW386" s="39"/>
      <c r="BX386" s="39"/>
      <c r="BY386" s="39"/>
      <c r="BZ386" s="39"/>
      <c r="CA386" s="39"/>
      <c r="CB386" s="39"/>
      <c r="CC386" s="39"/>
      <c r="CD386" s="39"/>
      <c r="CE386" s="39"/>
      <c r="CF386" s="39"/>
      <c r="CG386" s="39"/>
      <c r="CH386" s="39"/>
      <c r="CI386" s="39"/>
      <c r="CJ386" s="39"/>
      <c r="CK386" s="39"/>
      <c r="CL386" s="39"/>
      <c r="CM386" s="39"/>
      <c r="CN386" s="39"/>
      <c r="CO386" s="39"/>
      <c r="CP386" s="39"/>
      <c r="CQ386" s="39"/>
      <c r="CR386" s="39"/>
      <c r="CS386" s="39"/>
      <c r="CT386" s="39"/>
      <c r="CU386" s="39"/>
      <c r="CV386" s="39"/>
      <c r="CW386" s="39"/>
      <c r="CX386" s="39"/>
      <c r="CY386" s="39"/>
      <c r="CZ386" s="39"/>
      <c r="DA386" s="39"/>
      <c r="DB386" s="39"/>
      <c r="DC386" s="39"/>
      <c r="DD386" s="39"/>
      <c r="DE386" s="39"/>
      <c r="DF386" s="39"/>
      <c r="DG386" s="39"/>
      <c r="DH386" s="39"/>
      <c r="DI386" s="39"/>
      <c r="DJ386" s="39"/>
      <c r="DK386" s="39"/>
      <c r="DL386" s="39"/>
      <c r="DM386" s="39"/>
      <c r="DN386" s="39"/>
      <c r="DO386" s="39"/>
      <c r="DP386" s="39"/>
      <c r="DQ386" s="39"/>
      <c r="DR386" s="39"/>
      <c r="DS386" s="39"/>
      <c r="DT386" s="39"/>
      <c r="DU386" s="39"/>
      <c r="DV386" s="39"/>
      <c r="DW386" s="39"/>
      <c r="DX386" s="39"/>
      <c r="DY386" s="39"/>
      <c r="DZ386" s="39"/>
      <c r="EA386" s="39"/>
      <c r="EB386" s="39"/>
      <c r="EC386" s="39"/>
      <c r="ED386" s="39"/>
      <c r="EE386" s="39"/>
      <c r="EF386" s="39"/>
      <c r="EG386" s="39"/>
      <c r="EH386" s="39"/>
      <c r="EI386" s="39"/>
      <c r="EJ386" s="39"/>
      <c r="EK386" s="39"/>
      <c r="EL386" s="39"/>
      <c r="EM386" s="39"/>
      <c r="EN386" s="39"/>
      <c r="EO386" s="39"/>
    </row>
    <row r="387" spans="2:145">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c r="BP387" s="39"/>
      <c r="BQ387" s="39"/>
      <c r="BR387" s="39"/>
      <c r="BS387" s="39"/>
      <c r="BT387" s="39"/>
      <c r="BU387" s="39"/>
      <c r="BV387" s="39"/>
      <c r="BW387" s="39"/>
      <c r="BX387" s="39"/>
      <c r="BY387" s="39"/>
      <c r="BZ387" s="39"/>
      <c r="CA387" s="39"/>
      <c r="CB387" s="39"/>
      <c r="CC387" s="39"/>
      <c r="CD387" s="39"/>
      <c r="CE387" s="39"/>
      <c r="CF387" s="39"/>
      <c r="CG387" s="39"/>
      <c r="CH387" s="39"/>
      <c r="CI387" s="39"/>
      <c r="CJ387" s="39"/>
      <c r="CK387" s="39"/>
      <c r="CL387" s="39"/>
      <c r="CM387" s="39"/>
      <c r="CN387" s="39"/>
      <c r="CO387" s="39"/>
      <c r="CP387" s="39"/>
      <c r="CQ387" s="39"/>
      <c r="CR387" s="39"/>
      <c r="CS387" s="39"/>
      <c r="CT387" s="39"/>
      <c r="CU387" s="39"/>
      <c r="CV387" s="39"/>
      <c r="CW387" s="39"/>
      <c r="CX387" s="39"/>
      <c r="CY387" s="39"/>
      <c r="CZ387" s="39"/>
      <c r="DA387" s="39"/>
      <c r="DB387" s="39"/>
      <c r="DC387" s="39"/>
      <c r="DD387" s="39"/>
      <c r="DE387" s="39"/>
      <c r="DF387" s="39"/>
      <c r="DG387" s="39"/>
      <c r="DH387" s="39"/>
      <c r="DI387" s="39"/>
      <c r="DJ387" s="39"/>
      <c r="DK387" s="39"/>
      <c r="DL387" s="39"/>
      <c r="DM387" s="39"/>
      <c r="DN387" s="39"/>
      <c r="DO387" s="39"/>
      <c r="DP387" s="39"/>
      <c r="DQ387" s="39"/>
      <c r="DR387" s="39"/>
      <c r="DS387" s="39"/>
      <c r="DT387" s="39"/>
      <c r="DU387" s="39"/>
      <c r="DV387" s="39"/>
      <c r="DW387" s="39"/>
      <c r="DX387" s="39"/>
      <c r="DY387" s="39"/>
      <c r="DZ387" s="39"/>
      <c r="EA387" s="39"/>
      <c r="EB387" s="39"/>
      <c r="EC387" s="39"/>
      <c r="ED387" s="39"/>
      <c r="EE387" s="39"/>
      <c r="EF387" s="39"/>
      <c r="EG387" s="39"/>
      <c r="EH387" s="39"/>
      <c r="EI387" s="39"/>
      <c r="EJ387" s="39"/>
      <c r="EK387" s="39"/>
      <c r="EL387" s="39"/>
      <c r="EM387" s="39"/>
      <c r="EN387" s="39"/>
      <c r="EO387" s="39"/>
    </row>
    <row r="388" spans="2:145">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c r="BP388" s="39"/>
      <c r="BQ388" s="39"/>
      <c r="BR388" s="39"/>
      <c r="BS388" s="39"/>
      <c r="BT388" s="39"/>
      <c r="BU388" s="39"/>
      <c r="BV388" s="39"/>
      <c r="BW388" s="39"/>
      <c r="BX388" s="39"/>
      <c r="BY388" s="39"/>
      <c r="BZ388" s="39"/>
      <c r="CA388" s="39"/>
      <c r="CB388" s="39"/>
      <c r="CC388" s="39"/>
      <c r="CD388" s="39"/>
      <c r="CE388" s="39"/>
      <c r="CF388" s="39"/>
      <c r="CG388" s="39"/>
      <c r="CH388" s="39"/>
      <c r="CI388" s="39"/>
      <c r="CJ388" s="39"/>
      <c r="CK388" s="39"/>
      <c r="CL388" s="39"/>
      <c r="CM388" s="39"/>
      <c r="CN388" s="39"/>
      <c r="CO388" s="39"/>
      <c r="CP388" s="39"/>
      <c r="CQ388" s="39"/>
      <c r="CR388" s="39"/>
      <c r="CS388" s="39"/>
      <c r="CT388" s="39"/>
      <c r="CU388" s="39"/>
      <c r="CV388" s="39"/>
      <c r="CW388" s="39"/>
      <c r="CX388" s="39"/>
      <c r="CY388" s="39"/>
      <c r="CZ388" s="39"/>
      <c r="DA388" s="39"/>
      <c r="DB388" s="39"/>
      <c r="DC388" s="39"/>
      <c r="DD388" s="39"/>
      <c r="DE388" s="39"/>
      <c r="DF388" s="39"/>
      <c r="DG388" s="39"/>
      <c r="DH388" s="39"/>
      <c r="DI388" s="39"/>
      <c r="DJ388" s="39"/>
      <c r="DK388" s="39"/>
      <c r="DL388" s="39"/>
      <c r="DM388" s="39"/>
      <c r="DN388" s="39"/>
      <c r="DO388" s="39"/>
      <c r="DP388" s="39"/>
      <c r="DQ388" s="39"/>
      <c r="DR388" s="39"/>
      <c r="DS388" s="39"/>
      <c r="DT388" s="39"/>
      <c r="DU388" s="39"/>
      <c r="DV388" s="39"/>
      <c r="DW388" s="39"/>
      <c r="DX388" s="39"/>
      <c r="DY388" s="39"/>
      <c r="DZ388" s="39"/>
      <c r="EA388" s="39"/>
      <c r="EB388" s="39"/>
      <c r="EC388" s="39"/>
      <c r="ED388" s="39"/>
      <c r="EE388" s="39"/>
      <c r="EF388" s="39"/>
      <c r="EG388" s="39"/>
      <c r="EH388" s="39"/>
      <c r="EI388" s="39"/>
      <c r="EJ388" s="39"/>
      <c r="EK388" s="39"/>
      <c r="EL388" s="39"/>
      <c r="EM388" s="39"/>
      <c r="EN388" s="39"/>
      <c r="EO388" s="39"/>
    </row>
    <row r="389" spans="2:145">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c r="BP389" s="39"/>
      <c r="BQ389" s="39"/>
      <c r="BR389" s="39"/>
      <c r="BS389" s="39"/>
      <c r="BT389" s="39"/>
      <c r="BU389" s="39"/>
      <c r="BV389" s="39"/>
      <c r="BW389" s="39"/>
      <c r="BX389" s="39"/>
      <c r="BY389" s="39"/>
      <c r="BZ389" s="39"/>
      <c r="CA389" s="39"/>
      <c r="CB389" s="39"/>
      <c r="CC389" s="39"/>
      <c r="CD389" s="39"/>
      <c r="CE389" s="39"/>
      <c r="CF389" s="39"/>
      <c r="CG389" s="39"/>
      <c r="CH389" s="39"/>
      <c r="CI389" s="39"/>
      <c r="CJ389" s="39"/>
      <c r="CK389" s="39"/>
      <c r="CL389" s="39"/>
      <c r="CM389" s="39"/>
      <c r="CN389" s="39"/>
      <c r="CO389" s="39"/>
      <c r="CP389" s="39"/>
      <c r="CQ389" s="39"/>
      <c r="CR389" s="39"/>
      <c r="CS389" s="39"/>
      <c r="CT389" s="39"/>
      <c r="CU389" s="39"/>
      <c r="CV389" s="39"/>
      <c r="CW389" s="39"/>
      <c r="CX389" s="39"/>
      <c r="CY389" s="39"/>
      <c r="CZ389" s="39"/>
      <c r="DA389" s="39"/>
      <c r="DB389" s="39"/>
      <c r="DC389" s="39"/>
      <c r="DD389" s="39"/>
      <c r="DE389" s="39"/>
      <c r="DF389" s="39"/>
      <c r="DG389" s="39"/>
      <c r="DH389" s="39"/>
      <c r="DI389" s="39"/>
      <c r="DJ389" s="39"/>
      <c r="DK389" s="39"/>
      <c r="DL389" s="39"/>
      <c r="DM389" s="39"/>
      <c r="DN389" s="39"/>
      <c r="DO389" s="39"/>
      <c r="DP389" s="39"/>
      <c r="DQ389" s="39"/>
      <c r="DR389" s="39"/>
      <c r="DS389" s="39"/>
      <c r="DT389" s="39"/>
      <c r="DU389" s="39"/>
      <c r="DV389" s="39"/>
      <c r="DW389" s="39"/>
      <c r="DX389" s="39"/>
      <c r="DY389" s="39"/>
      <c r="DZ389" s="39"/>
      <c r="EA389" s="39"/>
      <c r="EB389" s="39"/>
      <c r="EC389" s="39"/>
      <c r="ED389" s="39"/>
      <c r="EE389" s="39"/>
      <c r="EF389" s="39"/>
      <c r="EG389" s="39"/>
      <c r="EH389" s="39"/>
      <c r="EI389" s="39"/>
      <c r="EJ389" s="39"/>
      <c r="EK389" s="39"/>
      <c r="EL389" s="39"/>
      <c r="EM389" s="39"/>
      <c r="EN389" s="39"/>
      <c r="EO389" s="39"/>
    </row>
    <row r="390" spans="2:145">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c r="BP390" s="39"/>
      <c r="BQ390" s="39"/>
      <c r="BR390" s="39"/>
      <c r="BS390" s="39"/>
      <c r="BT390" s="39"/>
      <c r="BU390" s="39"/>
      <c r="BV390" s="39"/>
      <c r="BW390" s="39"/>
      <c r="BX390" s="39"/>
      <c r="BY390" s="39"/>
      <c r="BZ390" s="39"/>
      <c r="CA390" s="39"/>
      <c r="CB390" s="39"/>
      <c r="CC390" s="39"/>
      <c r="CD390" s="39"/>
      <c r="CE390" s="39"/>
      <c r="CF390" s="39"/>
      <c r="CG390" s="39"/>
      <c r="CH390" s="39"/>
      <c r="CI390" s="39"/>
      <c r="CJ390" s="39"/>
      <c r="CK390" s="39"/>
      <c r="CL390" s="39"/>
      <c r="CM390" s="39"/>
      <c r="CN390" s="39"/>
      <c r="CO390" s="39"/>
      <c r="CP390" s="39"/>
      <c r="CQ390" s="39"/>
      <c r="CR390" s="39"/>
      <c r="CS390" s="39"/>
      <c r="CT390" s="39"/>
      <c r="CU390" s="39"/>
      <c r="CV390" s="39"/>
      <c r="CW390" s="39"/>
      <c r="CX390" s="39"/>
      <c r="CY390" s="39"/>
      <c r="CZ390" s="39"/>
      <c r="DA390" s="39"/>
      <c r="DB390" s="39"/>
      <c r="DC390" s="39"/>
      <c r="DD390" s="39"/>
      <c r="DE390" s="39"/>
      <c r="DF390" s="39"/>
      <c r="DG390" s="39"/>
      <c r="DH390" s="39"/>
      <c r="DI390" s="39"/>
      <c r="DJ390" s="39"/>
      <c r="DK390" s="39"/>
      <c r="DL390" s="39"/>
      <c r="DM390" s="39"/>
      <c r="DN390" s="39"/>
      <c r="DO390" s="39"/>
      <c r="DP390" s="39"/>
      <c r="DQ390" s="39"/>
      <c r="DR390" s="39"/>
      <c r="DS390" s="39"/>
      <c r="DT390" s="39"/>
      <c r="DU390" s="39"/>
      <c r="DV390" s="39"/>
      <c r="DW390" s="39"/>
      <c r="DX390" s="39"/>
      <c r="DY390" s="39"/>
      <c r="DZ390" s="39"/>
      <c r="EA390" s="39"/>
      <c r="EB390" s="39"/>
      <c r="EC390" s="39"/>
      <c r="ED390" s="39"/>
      <c r="EE390" s="39"/>
      <c r="EF390" s="39"/>
      <c r="EG390" s="39"/>
      <c r="EH390" s="39"/>
      <c r="EI390" s="39"/>
      <c r="EJ390" s="39"/>
      <c r="EK390" s="39"/>
      <c r="EL390" s="39"/>
      <c r="EM390" s="39"/>
      <c r="EN390" s="39"/>
      <c r="EO390" s="39"/>
    </row>
    <row r="391" spans="2:145">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c r="BP391" s="39"/>
      <c r="BQ391" s="39"/>
      <c r="BR391" s="39"/>
      <c r="BS391" s="39"/>
      <c r="BT391" s="39"/>
      <c r="BU391" s="39"/>
      <c r="BV391" s="39"/>
      <c r="BW391" s="39"/>
      <c r="BX391" s="39"/>
      <c r="BY391" s="39"/>
      <c r="BZ391" s="39"/>
      <c r="CA391" s="39"/>
      <c r="CB391" s="39"/>
      <c r="CC391" s="39"/>
      <c r="CD391" s="39"/>
      <c r="CE391" s="39"/>
      <c r="CF391" s="39"/>
      <c r="CG391" s="39"/>
      <c r="CH391" s="39"/>
      <c r="CI391" s="39"/>
      <c r="CJ391" s="39"/>
      <c r="CK391" s="39"/>
      <c r="CL391" s="39"/>
      <c r="CM391" s="39"/>
      <c r="CN391" s="39"/>
      <c r="CO391" s="39"/>
      <c r="CP391" s="39"/>
      <c r="CQ391" s="39"/>
      <c r="CR391" s="39"/>
      <c r="CS391" s="39"/>
      <c r="CT391" s="39"/>
      <c r="CU391" s="39"/>
      <c r="CV391" s="39"/>
      <c r="CW391" s="39"/>
      <c r="CX391" s="39"/>
      <c r="CY391" s="39"/>
      <c r="CZ391" s="39"/>
      <c r="DA391" s="39"/>
      <c r="DB391" s="39"/>
      <c r="DC391" s="39"/>
      <c r="DD391" s="39"/>
      <c r="DE391" s="39"/>
      <c r="DF391" s="39"/>
      <c r="DG391" s="39"/>
      <c r="DH391" s="39"/>
      <c r="DI391" s="39"/>
      <c r="DJ391" s="39"/>
      <c r="DK391" s="39"/>
      <c r="DL391" s="39"/>
      <c r="DM391" s="39"/>
      <c r="DN391" s="39"/>
      <c r="DO391" s="39"/>
      <c r="DP391" s="39"/>
      <c r="DQ391" s="39"/>
      <c r="DR391" s="39"/>
      <c r="DS391" s="39"/>
      <c r="DT391" s="39"/>
      <c r="DU391" s="39"/>
      <c r="DV391" s="39"/>
      <c r="DW391" s="39"/>
      <c r="DX391" s="39"/>
      <c r="DY391" s="39"/>
      <c r="DZ391" s="39"/>
      <c r="EA391" s="39"/>
      <c r="EB391" s="39"/>
      <c r="EC391" s="39"/>
      <c r="ED391" s="39"/>
      <c r="EE391" s="39"/>
      <c r="EF391" s="39"/>
      <c r="EG391" s="39"/>
      <c r="EH391" s="39"/>
      <c r="EI391" s="39"/>
      <c r="EJ391" s="39"/>
      <c r="EK391" s="39"/>
      <c r="EL391" s="39"/>
      <c r="EM391" s="39"/>
      <c r="EN391" s="39"/>
      <c r="EO391" s="39"/>
    </row>
    <row r="392" spans="2:145">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c r="BP392" s="39"/>
      <c r="BQ392" s="39"/>
      <c r="BR392" s="39"/>
      <c r="BS392" s="39"/>
      <c r="BT392" s="39"/>
      <c r="BU392" s="39"/>
      <c r="BV392" s="39"/>
      <c r="BW392" s="39"/>
      <c r="BX392" s="39"/>
      <c r="BY392" s="39"/>
      <c r="BZ392" s="39"/>
      <c r="CA392" s="39"/>
      <c r="CB392" s="39"/>
      <c r="CC392" s="39"/>
      <c r="CD392" s="39"/>
      <c r="CE392" s="39"/>
      <c r="CF392" s="39"/>
      <c r="CG392" s="39"/>
      <c r="CH392" s="39"/>
      <c r="CI392" s="39"/>
      <c r="CJ392" s="39"/>
      <c r="CK392" s="39"/>
      <c r="CL392" s="39"/>
      <c r="CM392" s="39"/>
      <c r="CN392" s="39"/>
      <c r="CO392" s="39"/>
      <c r="CP392" s="39"/>
      <c r="CQ392" s="39"/>
      <c r="CR392" s="39"/>
      <c r="CS392" s="39"/>
      <c r="CT392" s="39"/>
      <c r="CU392" s="39"/>
      <c r="CV392" s="39"/>
      <c r="CW392" s="39"/>
      <c r="CX392" s="39"/>
      <c r="CY392" s="39"/>
      <c r="CZ392" s="39"/>
      <c r="DA392" s="39"/>
      <c r="DB392" s="39"/>
      <c r="DC392" s="39"/>
      <c r="DD392" s="39"/>
      <c r="DE392" s="39"/>
      <c r="DF392" s="39"/>
      <c r="DG392" s="39"/>
      <c r="DH392" s="39"/>
      <c r="DI392" s="39"/>
      <c r="DJ392" s="39"/>
      <c r="DK392" s="39"/>
      <c r="DL392" s="39"/>
      <c r="DM392" s="39"/>
      <c r="DN392" s="39"/>
      <c r="DO392" s="39"/>
      <c r="DP392" s="39"/>
      <c r="DQ392" s="39"/>
      <c r="DR392" s="39"/>
      <c r="DS392" s="39"/>
      <c r="DT392" s="39"/>
      <c r="DU392" s="39"/>
      <c r="DV392" s="39"/>
      <c r="DW392" s="39"/>
      <c r="DX392" s="39"/>
      <c r="DY392" s="39"/>
      <c r="DZ392" s="39"/>
      <c r="EA392" s="39"/>
      <c r="EB392" s="39"/>
      <c r="EC392" s="39"/>
      <c r="ED392" s="39"/>
      <c r="EE392" s="39"/>
      <c r="EF392" s="39"/>
      <c r="EG392" s="39"/>
      <c r="EH392" s="39"/>
      <c r="EI392" s="39"/>
      <c r="EJ392" s="39"/>
      <c r="EK392" s="39"/>
      <c r="EL392" s="39"/>
      <c r="EM392" s="39"/>
      <c r="EN392" s="39"/>
      <c r="EO392" s="39"/>
    </row>
    <row r="393" spans="2:145">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c r="BP393" s="39"/>
      <c r="BQ393" s="39"/>
      <c r="BR393" s="39"/>
      <c r="BS393" s="39"/>
      <c r="BT393" s="39"/>
      <c r="BU393" s="39"/>
      <c r="BV393" s="39"/>
      <c r="BW393" s="39"/>
      <c r="BX393" s="39"/>
      <c r="BY393" s="39"/>
      <c r="BZ393" s="39"/>
      <c r="CA393" s="39"/>
      <c r="CB393" s="39"/>
      <c r="CC393" s="39"/>
      <c r="CD393" s="39"/>
      <c r="CE393" s="39"/>
      <c r="CF393" s="39"/>
      <c r="CG393" s="39"/>
      <c r="CH393" s="39"/>
      <c r="CI393" s="39"/>
      <c r="CJ393" s="39"/>
      <c r="CK393" s="39"/>
      <c r="CL393" s="39"/>
      <c r="CM393" s="39"/>
      <c r="CN393" s="39"/>
      <c r="CO393" s="39"/>
      <c r="CP393" s="39"/>
      <c r="CQ393" s="39"/>
      <c r="CR393" s="39"/>
      <c r="CS393" s="39"/>
      <c r="CT393" s="39"/>
      <c r="CU393" s="39"/>
      <c r="CV393" s="39"/>
      <c r="CW393" s="39"/>
      <c r="CX393" s="39"/>
      <c r="CY393" s="39"/>
      <c r="CZ393" s="39"/>
      <c r="DA393" s="39"/>
      <c r="DB393" s="39"/>
      <c r="DC393" s="39"/>
      <c r="DD393" s="39"/>
      <c r="DE393" s="39"/>
      <c r="DF393" s="39"/>
      <c r="DG393" s="39"/>
      <c r="DH393" s="39"/>
      <c r="DI393" s="39"/>
      <c r="DJ393" s="39"/>
      <c r="DK393" s="39"/>
      <c r="DL393" s="39"/>
      <c r="DM393" s="39"/>
      <c r="DN393" s="39"/>
      <c r="DO393" s="39"/>
      <c r="DP393" s="39"/>
      <c r="DQ393" s="39"/>
      <c r="DR393" s="39"/>
      <c r="DS393" s="39"/>
      <c r="DT393" s="39"/>
      <c r="DU393" s="39"/>
      <c r="DV393" s="39"/>
      <c r="DW393" s="39"/>
      <c r="DX393" s="39"/>
      <c r="DY393" s="39"/>
      <c r="DZ393" s="39"/>
      <c r="EA393" s="39"/>
      <c r="EB393" s="39"/>
      <c r="EC393" s="39"/>
      <c r="ED393" s="39"/>
      <c r="EE393" s="39"/>
      <c r="EF393" s="39"/>
      <c r="EG393" s="39"/>
      <c r="EH393" s="39"/>
      <c r="EI393" s="39"/>
      <c r="EJ393" s="39"/>
      <c r="EK393" s="39"/>
      <c r="EL393" s="39"/>
      <c r="EM393" s="39"/>
      <c r="EN393" s="39"/>
      <c r="EO393" s="39"/>
    </row>
    <row r="394" spans="2:145">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c r="BP394" s="39"/>
      <c r="BQ394" s="39"/>
      <c r="BR394" s="39"/>
      <c r="BS394" s="39"/>
      <c r="BT394" s="39"/>
      <c r="BU394" s="39"/>
      <c r="BV394" s="39"/>
      <c r="BW394" s="39"/>
      <c r="BX394" s="39"/>
      <c r="BY394" s="39"/>
      <c r="BZ394" s="39"/>
      <c r="CA394" s="39"/>
      <c r="CB394" s="39"/>
      <c r="CC394" s="39"/>
      <c r="CD394" s="39"/>
      <c r="CE394" s="39"/>
      <c r="CF394" s="39"/>
      <c r="CG394" s="39"/>
      <c r="CH394" s="39"/>
      <c r="CI394" s="39"/>
      <c r="CJ394" s="39"/>
      <c r="CK394" s="39"/>
      <c r="CL394" s="39"/>
      <c r="CM394" s="39"/>
      <c r="CN394" s="39"/>
      <c r="CO394" s="39"/>
      <c r="CP394" s="39"/>
      <c r="CQ394" s="39"/>
      <c r="CR394" s="39"/>
      <c r="CS394" s="39"/>
      <c r="CT394" s="39"/>
      <c r="CU394" s="39"/>
      <c r="CV394" s="39"/>
      <c r="CW394" s="39"/>
      <c r="CX394" s="39"/>
      <c r="CY394" s="39"/>
      <c r="CZ394" s="39"/>
      <c r="DA394" s="39"/>
      <c r="DB394" s="39"/>
      <c r="DC394" s="39"/>
      <c r="DD394" s="39"/>
      <c r="DE394" s="39"/>
      <c r="DF394" s="39"/>
      <c r="DG394" s="39"/>
      <c r="DH394" s="39"/>
      <c r="DI394" s="39"/>
      <c r="DJ394" s="39"/>
      <c r="DK394" s="39"/>
      <c r="DL394" s="39"/>
      <c r="DM394" s="39"/>
      <c r="DN394" s="39"/>
      <c r="DO394" s="39"/>
      <c r="DP394" s="39"/>
      <c r="DQ394" s="39"/>
      <c r="DR394" s="39"/>
      <c r="DS394" s="39"/>
      <c r="DT394" s="39"/>
      <c r="DU394" s="39"/>
      <c r="DV394" s="39"/>
      <c r="DW394" s="39"/>
      <c r="DX394" s="39"/>
      <c r="DY394" s="39"/>
      <c r="DZ394" s="39"/>
      <c r="EA394" s="39"/>
      <c r="EB394" s="39"/>
      <c r="EC394" s="39"/>
      <c r="ED394" s="39"/>
      <c r="EE394" s="39"/>
      <c r="EF394" s="39"/>
      <c r="EG394" s="39"/>
      <c r="EH394" s="39"/>
      <c r="EI394" s="39"/>
      <c r="EJ394" s="39"/>
      <c r="EK394" s="39"/>
      <c r="EL394" s="39"/>
      <c r="EM394" s="39"/>
      <c r="EN394" s="39"/>
      <c r="EO394" s="39"/>
    </row>
    <row r="395" spans="2:145">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c r="BP395" s="39"/>
      <c r="BQ395" s="39"/>
      <c r="BR395" s="39"/>
      <c r="BS395" s="39"/>
      <c r="BT395" s="39"/>
      <c r="BU395" s="39"/>
      <c r="BV395" s="39"/>
      <c r="BW395" s="39"/>
      <c r="BX395" s="39"/>
      <c r="BY395" s="39"/>
      <c r="BZ395" s="39"/>
      <c r="CA395" s="39"/>
      <c r="CB395" s="39"/>
      <c r="CC395" s="39"/>
      <c r="CD395" s="39"/>
      <c r="CE395" s="39"/>
      <c r="CF395" s="39"/>
      <c r="CG395" s="39"/>
      <c r="CH395" s="39"/>
      <c r="CI395" s="39"/>
      <c r="CJ395" s="39"/>
      <c r="CK395" s="39"/>
      <c r="CL395" s="39"/>
      <c r="CM395" s="39"/>
      <c r="CN395" s="39"/>
      <c r="CO395" s="39"/>
      <c r="CP395" s="39"/>
      <c r="CQ395" s="39"/>
      <c r="CR395" s="39"/>
      <c r="CS395" s="39"/>
      <c r="CT395" s="39"/>
      <c r="CU395" s="39"/>
      <c r="CV395" s="39"/>
      <c r="CW395" s="39"/>
      <c r="CX395" s="39"/>
      <c r="CY395" s="39"/>
      <c r="CZ395" s="39"/>
      <c r="DA395" s="39"/>
      <c r="DB395" s="39"/>
      <c r="DC395" s="39"/>
      <c r="DD395" s="39"/>
      <c r="DE395" s="39"/>
      <c r="DF395" s="39"/>
      <c r="DG395" s="39"/>
      <c r="DH395" s="39"/>
      <c r="DI395" s="39"/>
      <c r="DJ395" s="39"/>
      <c r="DK395" s="39"/>
      <c r="DL395" s="39"/>
      <c r="DM395" s="39"/>
      <c r="DN395" s="39"/>
      <c r="DO395" s="39"/>
      <c r="DP395" s="39"/>
      <c r="DQ395" s="39"/>
      <c r="DR395" s="39"/>
      <c r="DS395" s="39"/>
      <c r="DT395" s="39"/>
      <c r="DU395" s="39"/>
      <c r="DV395" s="39"/>
      <c r="DW395" s="39"/>
      <c r="DX395" s="39"/>
      <c r="DY395" s="39"/>
      <c r="DZ395" s="39"/>
      <c r="EA395" s="39"/>
      <c r="EB395" s="39"/>
      <c r="EC395" s="39"/>
      <c r="ED395" s="39"/>
      <c r="EE395" s="39"/>
      <c r="EF395" s="39"/>
      <c r="EG395" s="39"/>
      <c r="EH395" s="39"/>
      <c r="EI395" s="39"/>
      <c r="EJ395" s="39"/>
      <c r="EK395" s="39"/>
      <c r="EL395" s="39"/>
      <c r="EM395" s="39"/>
      <c r="EN395" s="39"/>
      <c r="EO395" s="39"/>
    </row>
    <row r="396" spans="2:145">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c r="BP396" s="39"/>
      <c r="BQ396" s="39"/>
      <c r="BR396" s="39"/>
      <c r="BS396" s="39"/>
      <c r="BT396" s="39"/>
      <c r="BU396" s="39"/>
      <c r="BV396" s="39"/>
      <c r="BW396" s="39"/>
      <c r="BX396" s="39"/>
      <c r="BY396" s="39"/>
      <c r="BZ396" s="39"/>
      <c r="CA396" s="39"/>
      <c r="CB396" s="39"/>
      <c r="CC396" s="39"/>
      <c r="CD396" s="39"/>
      <c r="CE396" s="39"/>
      <c r="CF396" s="39"/>
      <c r="CG396" s="39"/>
      <c r="CH396" s="39"/>
      <c r="CI396" s="39"/>
      <c r="CJ396" s="39"/>
      <c r="CK396" s="39"/>
      <c r="CL396" s="39"/>
      <c r="CM396" s="39"/>
      <c r="CN396" s="39"/>
      <c r="CO396" s="39"/>
      <c r="CP396" s="39"/>
      <c r="CQ396" s="39"/>
      <c r="CR396" s="39"/>
      <c r="CS396" s="39"/>
      <c r="CT396" s="39"/>
      <c r="CU396" s="39"/>
      <c r="CV396" s="39"/>
      <c r="CW396" s="39"/>
      <c r="CX396" s="39"/>
      <c r="CY396" s="39"/>
      <c r="CZ396" s="39"/>
      <c r="DA396" s="39"/>
      <c r="DB396" s="39"/>
      <c r="DC396" s="39"/>
      <c r="DD396" s="39"/>
      <c r="DE396" s="39"/>
      <c r="DF396" s="39"/>
      <c r="DG396" s="39"/>
      <c r="DH396" s="39"/>
      <c r="DI396" s="39"/>
      <c r="DJ396" s="39"/>
      <c r="DK396" s="39"/>
      <c r="DL396" s="39"/>
      <c r="DM396" s="39"/>
      <c r="DN396" s="39"/>
      <c r="DO396" s="39"/>
      <c r="DP396" s="39"/>
      <c r="DQ396" s="39"/>
      <c r="DR396" s="39"/>
      <c r="DS396" s="39"/>
      <c r="DT396" s="39"/>
      <c r="DU396" s="39"/>
      <c r="DV396" s="39"/>
      <c r="DW396" s="39"/>
      <c r="DX396" s="39"/>
      <c r="DY396" s="39"/>
      <c r="DZ396" s="39"/>
      <c r="EA396" s="39"/>
      <c r="EB396" s="39"/>
      <c r="EC396" s="39"/>
      <c r="ED396" s="39"/>
      <c r="EE396" s="39"/>
      <c r="EF396" s="39"/>
      <c r="EG396" s="39"/>
      <c r="EH396" s="39"/>
      <c r="EI396" s="39"/>
      <c r="EJ396" s="39"/>
      <c r="EK396" s="39"/>
      <c r="EL396" s="39"/>
      <c r="EM396" s="39"/>
      <c r="EN396" s="39"/>
      <c r="EO396" s="39"/>
    </row>
    <row r="397" spans="2:145">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c r="BP397" s="39"/>
      <c r="BQ397" s="39"/>
      <c r="BR397" s="39"/>
      <c r="BS397" s="39"/>
      <c r="BT397" s="39"/>
      <c r="BU397" s="39"/>
      <c r="BV397" s="39"/>
      <c r="BW397" s="39"/>
      <c r="BX397" s="39"/>
      <c r="BY397" s="39"/>
      <c r="BZ397" s="39"/>
      <c r="CA397" s="39"/>
      <c r="CB397" s="39"/>
      <c r="CC397" s="39"/>
      <c r="CD397" s="39"/>
      <c r="CE397" s="39"/>
      <c r="CF397" s="39"/>
      <c r="CG397" s="39"/>
      <c r="CH397" s="39"/>
      <c r="CI397" s="39"/>
      <c r="CJ397" s="39"/>
      <c r="CK397" s="39"/>
      <c r="CL397" s="39"/>
      <c r="CM397" s="39"/>
      <c r="CN397" s="39"/>
      <c r="CO397" s="39"/>
      <c r="CP397" s="39"/>
      <c r="CQ397" s="39"/>
      <c r="CR397" s="39"/>
      <c r="CS397" s="39"/>
      <c r="CT397" s="39"/>
      <c r="CU397" s="39"/>
      <c r="CV397" s="39"/>
      <c r="CW397" s="39"/>
      <c r="CX397" s="39"/>
      <c r="CY397" s="39"/>
      <c r="CZ397" s="39"/>
      <c r="DA397" s="39"/>
      <c r="DB397" s="39"/>
      <c r="DC397" s="39"/>
      <c r="DD397" s="39"/>
      <c r="DE397" s="39"/>
      <c r="DF397" s="39"/>
      <c r="DG397" s="39"/>
      <c r="DH397" s="39"/>
      <c r="DI397" s="39"/>
      <c r="DJ397" s="39"/>
      <c r="DK397" s="39"/>
      <c r="DL397" s="39"/>
      <c r="DM397" s="39"/>
      <c r="DN397" s="39"/>
      <c r="DO397" s="39"/>
      <c r="DP397" s="39"/>
      <c r="DQ397" s="39"/>
      <c r="DR397" s="39"/>
      <c r="DS397" s="39"/>
      <c r="DT397" s="39"/>
      <c r="DU397" s="39"/>
      <c r="DV397" s="39"/>
      <c r="DW397" s="39"/>
      <c r="DX397" s="39"/>
      <c r="DY397" s="39"/>
      <c r="DZ397" s="39"/>
      <c r="EA397" s="39"/>
      <c r="EB397" s="39"/>
      <c r="EC397" s="39"/>
      <c r="ED397" s="39"/>
      <c r="EE397" s="39"/>
      <c r="EF397" s="39"/>
      <c r="EG397" s="39"/>
      <c r="EH397" s="39"/>
      <c r="EI397" s="39"/>
      <c r="EJ397" s="39"/>
      <c r="EK397" s="39"/>
      <c r="EL397" s="39"/>
      <c r="EM397" s="39"/>
      <c r="EN397" s="39"/>
      <c r="EO397" s="39"/>
    </row>
    <row r="398" spans="2:145">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c r="BP398" s="39"/>
      <c r="BQ398" s="39"/>
      <c r="BR398" s="39"/>
      <c r="BS398" s="39"/>
      <c r="BT398" s="39"/>
      <c r="BU398" s="39"/>
      <c r="BV398" s="39"/>
      <c r="BW398" s="39"/>
      <c r="BX398" s="39"/>
      <c r="BY398" s="39"/>
      <c r="BZ398" s="39"/>
      <c r="CA398" s="39"/>
      <c r="CB398" s="39"/>
      <c r="CC398" s="39"/>
      <c r="CD398" s="39"/>
      <c r="CE398" s="39"/>
      <c r="CF398" s="39"/>
      <c r="CG398" s="39"/>
      <c r="CH398" s="39"/>
      <c r="CI398" s="39"/>
      <c r="CJ398" s="39"/>
      <c r="CK398" s="39"/>
      <c r="CL398" s="39"/>
      <c r="CM398" s="39"/>
      <c r="CN398" s="39"/>
      <c r="CO398" s="39"/>
      <c r="CP398" s="39"/>
      <c r="CQ398" s="39"/>
      <c r="CR398" s="39"/>
      <c r="CS398" s="39"/>
      <c r="CT398" s="39"/>
      <c r="CU398" s="39"/>
      <c r="CV398" s="39"/>
      <c r="CW398" s="39"/>
      <c r="CX398" s="39"/>
      <c r="CY398" s="39"/>
      <c r="CZ398" s="39"/>
      <c r="DA398" s="39"/>
      <c r="DB398" s="39"/>
      <c r="DC398" s="39"/>
      <c r="DD398" s="39"/>
      <c r="DE398" s="39"/>
      <c r="DF398" s="39"/>
      <c r="DG398" s="39"/>
      <c r="DH398" s="39"/>
      <c r="DI398" s="39"/>
      <c r="DJ398" s="39"/>
      <c r="DK398" s="39"/>
      <c r="DL398" s="39"/>
      <c r="DM398" s="39"/>
      <c r="DN398" s="39"/>
      <c r="DO398" s="39"/>
      <c r="DP398" s="39"/>
      <c r="DQ398" s="39"/>
      <c r="DR398" s="39"/>
      <c r="DS398" s="39"/>
      <c r="DT398" s="39"/>
      <c r="DU398" s="39"/>
      <c r="DV398" s="39"/>
      <c r="DW398" s="39"/>
      <c r="DX398" s="39"/>
      <c r="DY398" s="39"/>
      <c r="DZ398" s="39"/>
      <c r="EA398" s="39"/>
      <c r="EB398" s="39"/>
      <c r="EC398" s="39"/>
      <c r="ED398" s="39"/>
      <c r="EE398" s="39"/>
      <c r="EF398" s="39"/>
      <c r="EG398" s="39"/>
      <c r="EH398" s="39"/>
      <c r="EI398" s="39"/>
      <c r="EJ398" s="39"/>
      <c r="EK398" s="39"/>
      <c r="EL398" s="39"/>
      <c r="EM398" s="39"/>
      <c r="EN398" s="39"/>
      <c r="EO398" s="39"/>
    </row>
    <row r="399" spans="2:145">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c r="BP399" s="39"/>
      <c r="BQ399" s="39"/>
      <c r="BR399" s="39"/>
      <c r="BS399" s="39"/>
      <c r="BT399" s="39"/>
      <c r="BU399" s="39"/>
      <c r="BV399" s="39"/>
      <c r="BW399" s="39"/>
      <c r="BX399" s="39"/>
      <c r="BY399" s="39"/>
      <c r="BZ399" s="39"/>
      <c r="CA399" s="39"/>
      <c r="CB399" s="39"/>
      <c r="CC399" s="39"/>
      <c r="CD399" s="39"/>
      <c r="CE399" s="39"/>
      <c r="CF399" s="39"/>
      <c r="CG399" s="39"/>
      <c r="CH399" s="39"/>
      <c r="CI399" s="39"/>
      <c r="CJ399" s="39"/>
      <c r="CK399" s="39"/>
      <c r="CL399" s="39"/>
      <c r="CM399" s="39"/>
      <c r="CN399" s="39"/>
      <c r="CO399" s="39"/>
      <c r="CP399" s="39"/>
      <c r="CQ399" s="39"/>
      <c r="CR399" s="39"/>
      <c r="CS399" s="39"/>
      <c r="CT399" s="39"/>
      <c r="CU399" s="39"/>
      <c r="CV399" s="39"/>
      <c r="CW399" s="39"/>
      <c r="CX399" s="39"/>
      <c r="CY399" s="39"/>
      <c r="CZ399" s="39"/>
      <c r="DA399" s="39"/>
      <c r="DB399" s="39"/>
      <c r="DC399" s="39"/>
      <c r="DD399" s="39"/>
      <c r="DE399" s="39"/>
      <c r="DF399" s="39"/>
      <c r="DG399" s="39"/>
      <c r="DH399" s="39"/>
      <c r="DI399" s="39"/>
      <c r="DJ399" s="39"/>
      <c r="DK399" s="39"/>
      <c r="DL399" s="39"/>
      <c r="DM399" s="39"/>
      <c r="DN399" s="39"/>
      <c r="DO399" s="39"/>
      <c r="DP399" s="39"/>
      <c r="DQ399" s="39"/>
      <c r="DR399" s="39"/>
      <c r="DS399" s="39"/>
      <c r="DT399" s="39"/>
      <c r="DU399" s="39"/>
      <c r="DV399" s="39"/>
      <c r="DW399" s="39"/>
      <c r="DX399" s="39"/>
      <c r="DY399" s="39"/>
      <c r="DZ399" s="39"/>
      <c r="EA399" s="39"/>
      <c r="EB399" s="39"/>
      <c r="EC399" s="39"/>
      <c r="ED399" s="39"/>
      <c r="EE399" s="39"/>
      <c r="EF399" s="39"/>
      <c r="EG399" s="39"/>
      <c r="EH399" s="39"/>
      <c r="EI399" s="39"/>
      <c r="EJ399" s="39"/>
      <c r="EK399" s="39"/>
      <c r="EL399" s="39"/>
      <c r="EM399" s="39"/>
      <c r="EN399" s="39"/>
      <c r="EO399" s="39"/>
    </row>
    <row r="400" spans="2:145">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c r="BP400" s="39"/>
      <c r="BQ400" s="39"/>
      <c r="BR400" s="39"/>
      <c r="BS400" s="39"/>
      <c r="BT400" s="39"/>
      <c r="BU400" s="39"/>
      <c r="BV400" s="39"/>
      <c r="BW400" s="39"/>
      <c r="BX400" s="39"/>
      <c r="BY400" s="39"/>
      <c r="BZ400" s="39"/>
      <c r="CA400" s="39"/>
      <c r="CB400" s="39"/>
      <c r="CC400" s="39"/>
      <c r="CD400" s="39"/>
      <c r="CE400" s="39"/>
      <c r="CF400" s="39"/>
      <c r="CG400" s="39"/>
      <c r="CH400" s="39"/>
      <c r="CI400" s="39"/>
      <c r="CJ400" s="39"/>
      <c r="CK400" s="39"/>
      <c r="CL400" s="39"/>
      <c r="CM400" s="39"/>
      <c r="CN400" s="39"/>
      <c r="CO400" s="39"/>
      <c r="CP400" s="39"/>
      <c r="CQ400" s="39"/>
      <c r="CR400" s="39"/>
      <c r="CS400" s="39"/>
      <c r="CT400" s="39"/>
      <c r="CU400" s="39"/>
      <c r="CV400" s="39"/>
      <c r="CW400" s="39"/>
      <c r="CX400" s="39"/>
      <c r="CY400" s="39"/>
      <c r="CZ400" s="39"/>
      <c r="DA400" s="39"/>
      <c r="DB400" s="39"/>
      <c r="DC400" s="39"/>
      <c r="DD400" s="39"/>
      <c r="DE400" s="39"/>
      <c r="DF400" s="39"/>
      <c r="DG400" s="39"/>
      <c r="DH400" s="39"/>
      <c r="DI400" s="39"/>
      <c r="DJ400" s="39"/>
      <c r="DK400" s="39"/>
      <c r="DL400" s="39"/>
      <c r="DM400" s="39"/>
      <c r="DN400" s="39"/>
      <c r="DO400" s="39"/>
      <c r="DP400" s="39"/>
      <c r="DQ400" s="39"/>
      <c r="DR400" s="39"/>
      <c r="DS400" s="39"/>
      <c r="DT400" s="39"/>
      <c r="DU400" s="39"/>
      <c r="DV400" s="39"/>
      <c r="DW400" s="39"/>
      <c r="DX400" s="39"/>
      <c r="DY400" s="39"/>
      <c r="DZ400" s="39"/>
      <c r="EA400" s="39"/>
      <c r="EB400" s="39"/>
      <c r="EC400" s="39"/>
      <c r="ED400" s="39"/>
      <c r="EE400" s="39"/>
      <c r="EF400" s="39"/>
      <c r="EG400" s="39"/>
      <c r="EH400" s="39"/>
      <c r="EI400" s="39"/>
      <c r="EJ400" s="39"/>
      <c r="EK400" s="39"/>
      <c r="EL400" s="39"/>
      <c r="EM400" s="39"/>
      <c r="EN400" s="39"/>
      <c r="EO400" s="39"/>
    </row>
    <row r="401" spans="2:145">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c r="BP401" s="39"/>
      <c r="BQ401" s="39"/>
      <c r="BR401" s="39"/>
      <c r="BS401" s="39"/>
      <c r="BT401" s="39"/>
      <c r="BU401" s="39"/>
      <c r="BV401" s="39"/>
      <c r="BW401" s="39"/>
      <c r="BX401" s="39"/>
      <c r="BY401" s="39"/>
      <c r="BZ401" s="39"/>
      <c r="CA401" s="39"/>
      <c r="CB401" s="39"/>
      <c r="CC401" s="39"/>
      <c r="CD401" s="39"/>
      <c r="CE401" s="39"/>
      <c r="CF401" s="39"/>
      <c r="CG401" s="39"/>
      <c r="CH401" s="39"/>
      <c r="CI401" s="39"/>
      <c r="CJ401" s="39"/>
      <c r="CK401" s="39"/>
      <c r="CL401" s="39"/>
      <c r="CM401" s="39"/>
      <c r="CN401" s="39"/>
      <c r="CO401" s="39"/>
      <c r="CP401" s="39"/>
      <c r="CQ401" s="39"/>
      <c r="CR401" s="39"/>
      <c r="CS401" s="39"/>
      <c r="CT401" s="39"/>
      <c r="CU401" s="39"/>
      <c r="CV401" s="39"/>
      <c r="CW401" s="39"/>
      <c r="CX401" s="39"/>
      <c r="CY401" s="39"/>
      <c r="CZ401" s="39"/>
      <c r="DA401" s="39"/>
      <c r="DB401" s="39"/>
      <c r="DC401" s="39"/>
      <c r="DD401" s="39"/>
      <c r="DE401" s="39"/>
      <c r="DF401" s="39"/>
      <c r="DG401" s="39"/>
      <c r="DH401" s="39"/>
      <c r="DI401" s="39"/>
      <c r="DJ401" s="39"/>
      <c r="DK401" s="39"/>
      <c r="DL401" s="39"/>
      <c r="DM401" s="39"/>
      <c r="DN401" s="39"/>
      <c r="DO401" s="39"/>
      <c r="DP401" s="39"/>
      <c r="DQ401" s="39"/>
      <c r="DR401" s="39"/>
      <c r="DS401" s="39"/>
      <c r="DT401" s="39"/>
      <c r="DU401" s="39"/>
      <c r="DV401" s="39"/>
      <c r="DW401" s="39"/>
      <c r="DX401" s="39"/>
      <c r="DY401" s="39"/>
      <c r="DZ401" s="39"/>
      <c r="EA401" s="39"/>
      <c r="EB401" s="39"/>
      <c r="EC401" s="39"/>
      <c r="ED401" s="39"/>
      <c r="EE401" s="39"/>
      <c r="EF401" s="39"/>
      <c r="EG401" s="39"/>
      <c r="EH401" s="39"/>
      <c r="EI401" s="39"/>
      <c r="EJ401" s="39"/>
      <c r="EK401" s="39"/>
      <c r="EL401" s="39"/>
      <c r="EM401" s="39"/>
      <c r="EN401" s="39"/>
      <c r="EO401" s="39"/>
    </row>
    <row r="402" spans="2:145">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c r="BP402" s="39"/>
      <c r="BQ402" s="39"/>
      <c r="BR402" s="39"/>
      <c r="BS402" s="39"/>
      <c r="BT402" s="39"/>
      <c r="BU402" s="39"/>
      <c r="BV402" s="39"/>
      <c r="BW402" s="39"/>
      <c r="BX402" s="39"/>
      <c r="BY402" s="39"/>
      <c r="BZ402" s="39"/>
      <c r="CA402" s="39"/>
      <c r="CB402" s="39"/>
      <c r="CC402" s="39"/>
      <c r="CD402" s="39"/>
      <c r="CE402" s="39"/>
      <c r="CF402" s="39"/>
      <c r="CG402" s="39"/>
      <c r="CH402" s="39"/>
      <c r="CI402" s="39"/>
      <c r="CJ402" s="39"/>
      <c r="CK402" s="39"/>
      <c r="CL402" s="39"/>
      <c r="CM402" s="39"/>
      <c r="CN402" s="39"/>
      <c r="CO402" s="39"/>
      <c r="CP402" s="39"/>
      <c r="CQ402" s="39"/>
      <c r="CR402" s="39"/>
      <c r="CS402" s="39"/>
      <c r="CT402" s="39"/>
      <c r="CU402" s="39"/>
      <c r="CV402" s="39"/>
      <c r="CW402" s="39"/>
      <c r="CX402" s="39"/>
      <c r="CY402" s="39"/>
      <c r="CZ402" s="39"/>
      <c r="DA402" s="39"/>
      <c r="DB402" s="39"/>
      <c r="DC402" s="39"/>
      <c r="DD402" s="39"/>
      <c r="DE402" s="39"/>
      <c r="DF402" s="39"/>
      <c r="DG402" s="39"/>
      <c r="DH402" s="39"/>
      <c r="DI402" s="39"/>
      <c r="DJ402" s="39"/>
      <c r="DK402" s="39"/>
      <c r="DL402" s="39"/>
      <c r="DM402" s="39"/>
      <c r="DN402" s="39"/>
      <c r="DO402" s="39"/>
      <c r="DP402" s="39"/>
      <c r="DQ402" s="39"/>
      <c r="DR402" s="39"/>
      <c r="DS402" s="39"/>
      <c r="DT402" s="39"/>
      <c r="DU402" s="39"/>
      <c r="DV402" s="39"/>
      <c r="DW402" s="39"/>
      <c r="DX402" s="39"/>
      <c r="DY402" s="39"/>
      <c r="DZ402" s="39"/>
      <c r="EA402" s="39"/>
      <c r="EB402" s="39"/>
      <c r="EC402" s="39"/>
      <c r="ED402" s="39"/>
      <c r="EE402" s="39"/>
      <c r="EF402" s="39"/>
      <c r="EG402" s="39"/>
      <c r="EH402" s="39"/>
      <c r="EI402" s="39"/>
      <c r="EJ402" s="39"/>
      <c r="EK402" s="39"/>
      <c r="EL402" s="39"/>
      <c r="EM402" s="39"/>
      <c r="EN402" s="39"/>
      <c r="EO402" s="39"/>
    </row>
    <row r="403" spans="2:145">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c r="BP403" s="39"/>
      <c r="BQ403" s="39"/>
      <c r="BR403" s="39"/>
      <c r="BS403" s="39"/>
      <c r="BT403" s="39"/>
      <c r="BU403" s="39"/>
      <c r="BV403" s="39"/>
      <c r="BW403" s="39"/>
      <c r="BX403" s="39"/>
      <c r="BY403" s="39"/>
      <c r="BZ403" s="39"/>
      <c r="CA403" s="39"/>
      <c r="CB403" s="39"/>
      <c r="CC403" s="39"/>
      <c r="CD403" s="39"/>
      <c r="CE403" s="39"/>
      <c r="CF403" s="39"/>
      <c r="CG403" s="39"/>
      <c r="CH403" s="39"/>
      <c r="CI403" s="39"/>
      <c r="CJ403" s="39"/>
      <c r="CK403" s="39"/>
      <c r="CL403" s="39"/>
      <c r="CM403" s="39"/>
      <c r="CN403" s="39"/>
      <c r="CO403" s="39"/>
      <c r="CP403" s="39"/>
      <c r="CQ403" s="39"/>
      <c r="CR403" s="39"/>
      <c r="CS403" s="39"/>
      <c r="CT403" s="39"/>
      <c r="CU403" s="39"/>
      <c r="CV403" s="39"/>
      <c r="CW403" s="39"/>
      <c r="CX403" s="39"/>
      <c r="CY403" s="39"/>
      <c r="CZ403" s="39"/>
      <c r="DA403" s="39"/>
      <c r="DB403" s="39"/>
      <c r="DC403" s="39"/>
      <c r="DD403" s="39"/>
      <c r="DE403" s="39"/>
      <c r="DF403" s="39"/>
      <c r="DG403" s="39"/>
      <c r="DH403" s="39"/>
      <c r="DI403" s="39"/>
      <c r="DJ403" s="39"/>
      <c r="DK403" s="39"/>
      <c r="DL403" s="39"/>
      <c r="DM403" s="39"/>
      <c r="DN403" s="39"/>
      <c r="DO403" s="39"/>
      <c r="DP403" s="39"/>
      <c r="DQ403" s="39"/>
      <c r="DR403" s="39"/>
      <c r="DS403" s="39"/>
      <c r="DT403" s="39"/>
      <c r="DU403" s="39"/>
      <c r="DV403" s="39"/>
      <c r="DW403" s="39"/>
      <c r="DX403" s="39"/>
      <c r="DY403" s="39"/>
      <c r="DZ403" s="39"/>
      <c r="EA403" s="39"/>
      <c r="EB403" s="39"/>
      <c r="EC403" s="39"/>
      <c r="ED403" s="39"/>
      <c r="EE403" s="39"/>
      <c r="EF403" s="39"/>
      <c r="EG403" s="39"/>
      <c r="EH403" s="39"/>
      <c r="EI403" s="39"/>
      <c r="EJ403" s="39"/>
      <c r="EK403" s="39"/>
      <c r="EL403" s="39"/>
      <c r="EM403" s="39"/>
      <c r="EN403" s="39"/>
      <c r="EO403" s="39"/>
    </row>
    <row r="404" spans="2:145">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c r="BP404" s="39"/>
      <c r="BQ404" s="39"/>
      <c r="BR404" s="39"/>
      <c r="BS404" s="39"/>
      <c r="BT404" s="39"/>
      <c r="BU404" s="39"/>
      <c r="BV404" s="39"/>
      <c r="BW404" s="39"/>
      <c r="BX404" s="39"/>
      <c r="BY404" s="39"/>
      <c r="BZ404" s="39"/>
      <c r="CA404" s="39"/>
      <c r="CB404" s="39"/>
      <c r="CC404" s="39"/>
      <c r="CD404" s="39"/>
      <c r="CE404" s="39"/>
      <c r="CF404" s="39"/>
      <c r="CG404" s="39"/>
      <c r="CH404" s="39"/>
      <c r="CI404" s="39"/>
      <c r="CJ404" s="39"/>
      <c r="CK404" s="39"/>
      <c r="CL404" s="39"/>
      <c r="CM404" s="39"/>
      <c r="CN404" s="39"/>
      <c r="CO404" s="39"/>
      <c r="CP404" s="39"/>
      <c r="CQ404" s="39"/>
      <c r="CR404" s="39"/>
      <c r="CS404" s="39"/>
      <c r="CT404" s="39"/>
      <c r="CU404" s="39"/>
      <c r="CV404" s="39"/>
      <c r="CW404" s="39"/>
      <c r="CX404" s="39"/>
      <c r="CY404" s="39"/>
      <c r="CZ404" s="39"/>
      <c r="DA404" s="39"/>
      <c r="DB404" s="39"/>
      <c r="DC404" s="39"/>
      <c r="DD404" s="39"/>
      <c r="DE404" s="39"/>
      <c r="DF404" s="39"/>
      <c r="DG404" s="39"/>
      <c r="DH404" s="39"/>
      <c r="DI404" s="39"/>
      <c r="DJ404" s="39"/>
      <c r="DK404" s="39"/>
      <c r="DL404" s="39"/>
      <c r="DM404" s="39"/>
      <c r="DN404" s="39"/>
      <c r="DO404" s="39"/>
      <c r="DP404" s="39"/>
      <c r="DQ404" s="39"/>
      <c r="DR404" s="39"/>
      <c r="DS404" s="39"/>
      <c r="DT404" s="39"/>
      <c r="DU404" s="39"/>
      <c r="DV404" s="39"/>
      <c r="DW404" s="39"/>
      <c r="DX404" s="39"/>
      <c r="DY404" s="39"/>
      <c r="DZ404" s="39"/>
      <c r="EA404" s="39"/>
      <c r="EB404" s="39"/>
      <c r="EC404" s="39"/>
      <c r="ED404" s="39"/>
      <c r="EE404" s="39"/>
      <c r="EF404" s="39"/>
      <c r="EG404" s="39"/>
      <c r="EH404" s="39"/>
      <c r="EI404" s="39"/>
      <c r="EJ404" s="39"/>
      <c r="EK404" s="39"/>
      <c r="EL404" s="39"/>
      <c r="EM404" s="39"/>
      <c r="EN404" s="39"/>
      <c r="EO404" s="39"/>
    </row>
    <row r="405" spans="2:145">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c r="BP405" s="39"/>
      <c r="BQ405" s="39"/>
      <c r="BR405" s="39"/>
      <c r="BS405" s="39"/>
      <c r="BT405" s="39"/>
      <c r="BU405" s="39"/>
      <c r="BV405" s="39"/>
      <c r="BW405" s="39"/>
      <c r="BX405" s="39"/>
      <c r="BY405" s="39"/>
      <c r="BZ405" s="39"/>
      <c r="CA405" s="39"/>
      <c r="CB405" s="39"/>
      <c r="CC405" s="39"/>
      <c r="CD405" s="39"/>
      <c r="CE405" s="39"/>
      <c r="CF405" s="39"/>
      <c r="CG405" s="39"/>
      <c r="CH405" s="39"/>
      <c r="CI405" s="39"/>
      <c r="CJ405" s="39"/>
      <c r="CK405" s="39"/>
      <c r="CL405" s="39"/>
      <c r="CM405" s="39"/>
      <c r="CN405" s="39"/>
      <c r="CO405" s="39"/>
      <c r="CP405" s="39"/>
      <c r="CQ405" s="39"/>
      <c r="CR405" s="39"/>
      <c r="CS405" s="39"/>
      <c r="CT405" s="39"/>
      <c r="CU405" s="39"/>
      <c r="CV405" s="39"/>
      <c r="CW405" s="39"/>
      <c r="CX405" s="39"/>
      <c r="CY405" s="39"/>
      <c r="CZ405" s="39"/>
      <c r="DA405" s="39"/>
      <c r="DB405" s="39"/>
      <c r="DC405" s="39"/>
      <c r="DD405" s="39"/>
      <c r="DE405" s="39"/>
      <c r="DF405" s="39"/>
      <c r="DG405" s="39"/>
      <c r="DH405" s="39"/>
      <c r="DI405" s="39"/>
      <c r="DJ405" s="39"/>
      <c r="DK405" s="39"/>
      <c r="DL405" s="39"/>
      <c r="DM405" s="39"/>
      <c r="DN405" s="39"/>
      <c r="DO405" s="39"/>
      <c r="DP405" s="39"/>
      <c r="DQ405" s="39"/>
      <c r="DR405" s="39"/>
      <c r="DS405" s="39"/>
      <c r="DT405" s="39"/>
      <c r="DU405" s="39"/>
      <c r="DV405" s="39"/>
      <c r="DW405" s="39"/>
      <c r="DX405" s="39"/>
      <c r="DY405" s="39"/>
      <c r="DZ405" s="39"/>
      <c r="EA405" s="39"/>
      <c r="EB405" s="39"/>
      <c r="EC405" s="39"/>
      <c r="ED405" s="39"/>
      <c r="EE405" s="39"/>
      <c r="EF405" s="39"/>
      <c r="EG405" s="39"/>
      <c r="EH405" s="39"/>
      <c r="EI405" s="39"/>
      <c r="EJ405" s="39"/>
      <c r="EK405" s="39"/>
      <c r="EL405" s="39"/>
      <c r="EM405" s="39"/>
      <c r="EN405" s="39"/>
      <c r="EO405" s="39"/>
    </row>
    <row r="406" spans="2:145">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c r="BP406" s="39"/>
      <c r="BQ406" s="39"/>
      <c r="BR406" s="39"/>
      <c r="BS406" s="39"/>
      <c r="BT406" s="39"/>
      <c r="BU406" s="39"/>
      <c r="BV406" s="39"/>
      <c r="BW406" s="39"/>
      <c r="BX406" s="39"/>
      <c r="BY406" s="39"/>
      <c r="BZ406" s="39"/>
      <c r="CA406" s="39"/>
      <c r="CB406" s="39"/>
      <c r="CC406" s="39"/>
      <c r="CD406" s="39"/>
      <c r="CE406" s="39"/>
      <c r="CF406" s="39"/>
      <c r="CG406" s="39"/>
      <c r="CH406" s="39"/>
      <c r="CI406" s="39"/>
      <c r="CJ406" s="39"/>
      <c r="CK406" s="39"/>
      <c r="CL406" s="39"/>
      <c r="CM406" s="39"/>
      <c r="CN406" s="39"/>
      <c r="CO406" s="39"/>
      <c r="CP406" s="39"/>
      <c r="CQ406" s="39"/>
      <c r="CR406" s="39"/>
      <c r="CS406" s="39"/>
      <c r="CT406" s="39"/>
      <c r="CU406" s="39"/>
      <c r="CV406" s="39"/>
      <c r="CW406" s="39"/>
      <c r="CX406" s="39"/>
      <c r="CY406" s="39"/>
      <c r="CZ406" s="39"/>
      <c r="DA406" s="39"/>
      <c r="DB406" s="39"/>
      <c r="DC406" s="39"/>
      <c r="DD406" s="39"/>
      <c r="DE406" s="39"/>
      <c r="DF406" s="39"/>
      <c r="DG406" s="39"/>
      <c r="DH406" s="39"/>
      <c r="DI406" s="39"/>
      <c r="DJ406" s="39"/>
      <c r="DK406" s="39"/>
      <c r="DL406" s="39"/>
      <c r="DM406" s="39"/>
      <c r="DN406" s="39"/>
      <c r="DO406" s="39"/>
      <c r="DP406" s="39"/>
      <c r="DQ406" s="39"/>
      <c r="DR406" s="39"/>
      <c r="DS406" s="39"/>
      <c r="DT406" s="39"/>
      <c r="DU406" s="39"/>
      <c r="DV406" s="39"/>
      <c r="DW406" s="39"/>
      <c r="DX406" s="39"/>
      <c r="DY406" s="39"/>
      <c r="DZ406" s="39"/>
      <c r="EA406" s="39"/>
      <c r="EB406" s="39"/>
      <c r="EC406" s="39"/>
      <c r="ED406" s="39"/>
      <c r="EE406" s="39"/>
      <c r="EF406" s="39"/>
      <c r="EG406" s="39"/>
      <c r="EH406" s="39"/>
      <c r="EI406" s="39"/>
      <c r="EJ406" s="39"/>
      <c r="EK406" s="39"/>
      <c r="EL406" s="39"/>
      <c r="EM406" s="39"/>
      <c r="EN406" s="39"/>
      <c r="EO406" s="39"/>
    </row>
    <row r="407" spans="2:145">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c r="BP407" s="39"/>
      <c r="BQ407" s="39"/>
      <c r="BR407" s="39"/>
      <c r="BS407" s="39"/>
      <c r="BT407" s="39"/>
      <c r="BU407" s="39"/>
      <c r="BV407" s="39"/>
      <c r="BW407" s="39"/>
      <c r="BX407" s="39"/>
      <c r="BY407" s="39"/>
      <c r="BZ407" s="39"/>
      <c r="CA407" s="39"/>
      <c r="CB407" s="39"/>
      <c r="CC407" s="39"/>
      <c r="CD407" s="39"/>
      <c r="CE407" s="39"/>
      <c r="CF407" s="39"/>
      <c r="CG407" s="39"/>
      <c r="CH407" s="39"/>
      <c r="CI407" s="39"/>
      <c r="CJ407" s="39"/>
      <c r="CK407" s="39"/>
      <c r="CL407" s="39"/>
      <c r="CM407" s="39"/>
      <c r="CN407" s="39"/>
      <c r="CO407" s="39"/>
      <c r="CP407" s="39"/>
      <c r="CQ407" s="39"/>
      <c r="CR407" s="39"/>
      <c r="CS407" s="39"/>
      <c r="CT407" s="39"/>
      <c r="CU407" s="39"/>
      <c r="CV407" s="39"/>
      <c r="CW407" s="39"/>
      <c r="CX407" s="39"/>
      <c r="CY407" s="39"/>
      <c r="CZ407" s="39"/>
      <c r="DA407" s="39"/>
      <c r="DB407" s="39"/>
      <c r="DC407" s="39"/>
      <c r="DD407" s="39"/>
      <c r="DE407" s="39"/>
      <c r="DF407" s="39"/>
      <c r="DG407" s="39"/>
      <c r="DH407" s="39"/>
      <c r="DI407" s="39"/>
      <c r="DJ407" s="39"/>
      <c r="DK407" s="39"/>
      <c r="DL407" s="39"/>
      <c r="DM407" s="39"/>
      <c r="DN407" s="39"/>
      <c r="DO407" s="39"/>
      <c r="DP407" s="39"/>
      <c r="DQ407" s="39"/>
      <c r="DR407" s="39"/>
      <c r="DS407" s="39"/>
      <c r="DT407" s="39"/>
      <c r="DU407" s="39"/>
      <c r="DV407" s="39"/>
      <c r="DW407" s="39"/>
      <c r="DX407" s="39"/>
      <c r="DY407" s="39"/>
      <c r="DZ407" s="39"/>
      <c r="EA407" s="39"/>
      <c r="EB407" s="39"/>
      <c r="EC407" s="39"/>
      <c r="ED407" s="39"/>
      <c r="EE407" s="39"/>
      <c r="EF407" s="39"/>
      <c r="EG407" s="39"/>
      <c r="EH407" s="39"/>
      <c r="EI407" s="39"/>
      <c r="EJ407" s="39"/>
      <c r="EK407" s="39"/>
      <c r="EL407" s="39"/>
      <c r="EM407" s="39"/>
      <c r="EN407" s="39"/>
      <c r="EO407" s="39"/>
    </row>
    <row r="408" spans="2:145">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c r="BP408" s="39"/>
      <c r="BQ408" s="39"/>
      <c r="BR408" s="39"/>
      <c r="BS408" s="39"/>
      <c r="BT408" s="39"/>
      <c r="BU408" s="39"/>
      <c r="BV408" s="39"/>
      <c r="BW408" s="39"/>
      <c r="BX408" s="39"/>
      <c r="BY408" s="39"/>
      <c r="BZ408" s="39"/>
      <c r="CA408" s="39"/>
      <c r="CB408" s="39"/>
      <c r="CC408" s="39"/>
      <c r="CD408" s="39"/>
      <c r="CE408" s="39"/>
      <c r="CF408" s="39"/>
      <c r="CG408" s="39"/>
      <c r="CH408" s="39"/>
      <c r="CI408" s="39"/>
      <c r="CJ408" s="39"/>
      <c r="CK408" s="39"/>
      <c r="CL408" s="39"/>
      <c r="CM408" s="39"/>
      <c r="CN408" s="39"/>
      <c r="CO408" s="39"/>
      <c r="CP408" s="39"/>
      <c r="CQ408" s="39"/>
      <c r="CR408" s="39"/>
      <c r="CS408" s="39"/>
      <c r="CT408" s="39"/>
      <c r="CU408" s="39"/>
      <c r="CV408" s="39"/>
      <c r="CW408" s="39"/>
      <c r="CX408" s="39"/>
      <c r="CY408" s="39"/>
      <c r="CZ408" s="39"/>
      <c r="DA408" s="39"/>
      <c r="DB408" s="39"/>
      <c r="DC408" s="39"/>
      <c r="DD408" s="39"/>
      <c r="DE408" s="39"/>
      <c r="DF408" s="39"/>
      <c r="DG408" s="39"/>
      <c r="DH408" s="39"/>
      <c r="DI408" s="39"/>
      <c r="DJ408" s="39"/>
      <c r="DK408" s="39"/>
      <c r="DL408" s="39"/>
      <c r="DM408" s="39"/>
      <c r="DN408" s="39"/>
      <c r="DO408" s="39"/>
      <c r="DP408" s="39"/>
      <c r="DQ408" s="39"/>
      <c r="DR408" s="39"/>
      <c r="DS408" s="39"/>
      <c r="DT408" s="39"/>
      <c r="DU408" s="39"/>
      <c r="DV408" s="39"/>
      <c r="DW408" s="39"/>
      <c r="DX408" s="39"/>
      <c r="DY408" s="39"/>
      <c r="DZ408" s="39"/>
      <c r="EA408" s="39"/>
      <c r="EB408" s="39"/>
      <c r="EC408" s="39"/>
      <c r="ED408" s="39"/>
      <c r="EE408" s="39"/>
      <c r="EF408" s="39"/>
      <c r="EG408" s="39"/>
      <c r="EH408" s="39"/>
      <c r="EI408" s="39"/>
      <c r="EJ408" s="39"/>
      <c r="EK408" s="39"/>
      <c r="EL408" s="39"/>
      <c r="EM408" s="39"/>
      <c r="EN408" s="39"/>
      <c r="EO408" s="39"/>
    </row>
    <row r="409" spans="2:145">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c r="BP409" s="39"/>
      <c r="BQ409" s="39"/>
      <c r="BR409" s="39"/>
      <c r="BS409" s="39"/>
      <c r="BT409" s="39"/>
      <c r="BU409" s="39"/>
      <c r="BV409" s="39"/>
      <c r="BW409" s="39"/>
      <c r="BX409" s="39"/>
      <c r="BY409" s="39"/>
      <c r="BZ409" s="39"/>
      <c r="CA409" s="39"/>
      <c r="CB409" s="39"/>
      <c r="CC409" s="39"/>
      <c r="CD409" s="39"/>
      <c r="CE409" s="39"/>
      <c r="CF409" s="39"/>
      <c r="CG409" s="39"/>
      <c r="CH409" s="39"/>
      <c r="CI409" s="39"/>
      <c r="CJ409" s="39"/>
      <c r="CK409" s="39"/>
      <c r="CL409" s="39"/>
      <c r="CM409" s="39"/>
      <c r="CN409" s="39"/>
      <c r="CO409" s="39"/>
      <c r="CP409" s="39"/>
      <c r="CQ409" s="39"/>
      <c r="CR409" s="39"/>
      <c r="CS409" s="39"/>
      <c r="CT409" s="39"/>
      <c r="CU409" s="39"/>
      <c r="CV409" s="39"/>
      <c r="CW409" s="39"/>
      <c r="CX409" s="39"/>
      <c r="CY409" s="39"/>
      <c r="CZ409" s="39"/>
      <c r="DA409" s="39"/>
      <c r="DB409" s="39"/>
      <c r="DC409" s="39"/>
      <c r="DD409" s="39"/>
      <c r="DE409" s="39"/>
      <c r="DF409" s="39"/>
      <c r="DG409" s="39"/>
      <c r="DH409" s="39"/>
      <c r="DI409" s="39"/>
      <c r="DJ409" s="39"/>
      <c r="DK409" s="39"/>
      <c r="DL409" s="39"/>
      <c r="DM409" s="39"/>
      <c r="DN409" s="39"/>
      <c r="DO409" s="39"/>
      <c r="DP409" s="39"/>
      <c r="DQ409" s="39"/>
      <c r="DR409" s="39"/>
      <c r="DS409" s="39"/>
      <c r="DT409" s="39"/>
      <c r="DU409" s="39"/>
      <c r="DV409" s="39"/>
      <c r="DW409" s="39"/>
      <c r="DX409" s="39"/>
      <c r="DY409" s="39"/>
      <c r="DZ409" s="39"/>
      <c r="EA409" s="39"/>
      <c r="EB409" s="39"/>
      <c r="EC409" s="39"/>
      <c r="ED409" s="39"/>
      <c r="EE409" s="39"/>
      <c r="EF409" s="39"/>
      <c r="EG409" s="39"/>
      <c r="EH409" s="39"/>
      <c r="EI409" s="39"/>
      <c r="EJ409" s="39"/>
      <c r="EK409" s="39"/>
      <c r="EL409" s="39"/>
      <c r="EM409" s="39"/>
      <c r="EN409" s="39"/>
      <c r="EO409" s="39"/>
    </row>
    <row r="410" spans="2:145">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c r="BP410" s="39"/>
      <c r="BQ410" s="39"/>
      <c r="BR410" s="39"/>
      <c r="BS410" s="39"/>
      <c r="BT410" s="39"/>
      <c r="BU410" s="39"/>
      <c r="BV410" s="39"/>
      <c r="BW410" s="39"/>
      <c r="BX410" s="39"/>
      <c r="BY410" s="39"/>
      <c r="BZ410" s="39"/>
      <c r="CA410" s="39"/>
      <c r="CB410" s="39"/>
      <c r="CC410" s="39"/>
      <c r="CD410" s="39"/>
      <c r="CE410" s="39"/>
      <c r="CF410" s="39"/>
      <c r="CG410" s="39"/>
      <c r="CH410" s="39"/>
      <c r="CI410" s="39"/>
      <c r="CJ410" s="39"/>
      <c r="CK410" s="39"/>
      <c r="CL410" s="39"/>
      <c r="CM410" s="39"/>
      <c r="CN410" s="39"/>
      <c r="CO410" s="39"/>
      <c r="CP410" s="39"/>
      <c r="CQ410" s="39"/>
      <c r="CR410" s="39"/>
      <c r="CS410" s="39"/>
      <c r="CT410" s="39"/>
      <c r="CU410" s="39"/>
      <c r="CV410" s="39"/>
      <c r="CW410" s="39"/>
      <c r="CX410" s="39"/>
      <c r="CY410" s="39"/>
      <c r="CZ410" s="39"/>
      <c r="DA410" s="39"/>
      <c r="DB410" s="39"/>
      <c r="DC410" s="39"/>
      <c r="DD410" s="39"/>
      <c r="DE410" s="39"/>
      <c r="DF410" s="39"/>
      <c r="DG410" s="39"/>
      <c r="DH410" s="39"/>
      <c r="DI410" s="39"/>
      <c r="DJ410" s="39"/>
      <c r="DK410" s="39"/>
      <c r="DL410" s="39"/>
      <c r="DM410" s="39"/>
      <c r="DN410" s="39"/>
      <c r="DO410" s="39"/>
      <c r="DP410" s="39"/>
      <c r="DQ410" s="39"/>
      <c r="DR410" s="39"/>
      <c r="DS410" s="39"/>
      <c r="DT410" s="39"/>
      <c r="DU410" s="39"/>
      <c r="DV410" s="39"/>
      <c r="DW410" s="39"/>
      <c r="DX410" s="39"/>
      <c r="DY410" s="39"/>
      <c r="DZ410" s="39"/>
      <c r="EA410" s="39"/>
      <c r="EB410" s="39"/>
      <c r="EC410" s="39"/>
      <c r="ED410" s="39"/>
      <c r="EE410" s="39"/>
      <c r="EF410" s="39"/>
      <c r="EG410" s="39"/>
      <c r="EH410" s="39"/>
      <c r="EI410" s="39"/>
      <c r="EJ410" s="39"/>
      <c r="EK410" s="39"/>
      <c r="EL410" s="39"/>
      <c r="EM410" s="39"/>
      <c r="EN410" s="39"/>
      <c r="EO410" s="39"/>
    </row>
    <row r="411" spans="2:145">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c r="BP411" s="39"/>
      <c r="BQ411" s="39"/>
      <c r="BR411" s="39"/>
      <c r="BS411" s="39"/>
      <c r="BT411" s="39"/>
      <c r="BU411" s="39"/>
      <c r="BV411" s="39"/>
      <c r="BW411" s="39"/>
      <c r="BX411" s="39"/>
      <c r="BY411" s="39"/>
      <c r="BZ411" s="39"/>
      <c r="CA411" s="39"/>
      <c r="CB411" s="39"/>
      <c r="CC411" s="39"/>
      <c r="CD411" s="39"/>
      <c r="CE411" s="39"/>
      <c r="CF411" s="39"/>
      <c r="CG411" s="39"/>
      <c r="CH411" s="39"/>
      <c r="CI411" s="39"/>
      <c r="CJ411" s="39"/>
      <c r="CK411" s="39"/>
      <c r="CL411" s="39"/>
      <c r="CM411" s="39"/>
      <c r="CN411" s="39"/>
      <c r="CO411" s="39"/>
      <c r="CP411" s="39"/>
      <c r="CQ411" s="39"/>
      <c r="CR411" s="39"/>
      <c r="CS411" s="39"/>
      <c r="CT411" s="39"/>
      <c r="CU411" s="39"/>
      <c r="CV411" s="39"/>
      <c r="CW411" s="39"/>
      <c r="CX411" s="39"/>
      <c r="CY411" s="39"/>
      <c r="CZ411" s="39"/>
      <c r="DA411" s="39"/>
      <c r="DB411" s="39"/>
      <c r="DC411" s="39"/>
      <c r="DD411" s="39"/>
      <c r="DE411" s="39"/>
      <c r="DF411" s="39"/>
      <c r="DG411" s="39"/>
      <c r="DH411" s="39"/>
      <c r="DI411" s="39"/>
      <c r="DJ411" s="39"/>
      <c r="DK411" s="39"/>
      <c r="DL411" s="39"/>
      <c r="DM411" s="39"/>
      <c r="DN411" s="39"/>
      <c r="DO411" s="39"/>
      <c r="DP411" s="39"/>
      <c r="DQ411" s="39"/>
      <c r="DR411" s="39"/>
      <c r="DS411" s="39"/>
      <c r="DT411" s="39"/>
      <c r="DU411" s="39"/>
      <c r="DV411" s="39"/>
      <c r="DW411" s="39"/>
      <c r="DX411" s="39"/>
      <c r="DY411" s="39"/>
      <c r="DZ411" s="39"/>
      <c r="EA411" s="39"/>
      <c r="EB411" s="39"/>
      <c r="EC411" s="39"/>
      <c r="ED411" s="39"/>
      <c r="EE411" s="39"/>
      <c r="EF411" s="39"/>
      <c r="EG411" s="39"/>
      <c r="EH411" s="39"/>
      <c r="EI411" s="39"/>
      <c r="EJ411" s="39"/>
      <c r="EK411" s="39"/>
      <c r="EL411" s="39"/>
      <c r="EM411" s="39"/>
      <c r="EN411" s="39"/>
      <c r="EO411" s="39"/>
    </row>
    <row r="412" spans="2:145">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c r="BP412" s="39"/>
      <c r="BQ412" s="39"/>
      <c r="BR412" s="39"/>
      <c r="BS412" s="39"/>
      <c r="BT412" s="39"/>
      <c r="BU412" s="39"/>
      <c r="BV412" s="39"/>
      <c r="BW412" s="39"/>
      <c r="BX412" s="39"/>
      <c r="BY412" s="39"/>
      <c r="BZ412" s="39"/>
      <c r="CA412" s="39"/>
      <c r="CB412" s="39"/>
      <c r="CC412" s="39"/>
      <c r="CD412" s="39"/>
      <c r="CE412" s="39"/>
      <c r="CF412" s="39"/>
      <c r="CG412" s="39"/>
      <c r="CH412" s="39"/>
      <c r="CI412" s="39"/>
      <c r="CJ412" s="39"/>
      <c r="CK412" s="39"/>
      <c r="CL412" s="39"/>
      <c r="CM412" s="39"/>
      <c r="CN412" s="39"/>
      <c r="CO412" s="39"/>
      <c r="CP412" s="39"/>
      <c r="CQ412" s="39"/>
      <c r="CR412" s="39"/>
      <c r="CS412" s="39"/>
      <c r="CT412" s="39"/>
      <c r="CU412" s="39"/>
      <c r="CV412" s="39"/>
      <c r="CW412" s="39"/>
      <c r="CX412" s="39"/>
      <c r="CY412" s="39"/>
      <c r="CZ412" s="39"/>
      <c r="DA412" s="39"/>
      <c r="DB412" s="39"/>
      <c r="DC412" s="39"/>
      <c r="DD412" s="39"/>
      <c r="DE412" s="39"/>
      <c r="DF412" s="39"/>
      <c r="DG412" s="39"/>
      <c r="DH412" s="39"/>
      <c r="DI412" s="39"/>
      <c r="DJ412" s="39"/>
      <c r="DK412" s="39"/>
      <c r="DL412" s="39"/>
      <c r="DM412" s="39"/>
      <c r="DN412" s="39"/>
      <c r="DO412" s="39"/>
      <c r="DP412" s="39"/>
      <c r="DQ412" s="39"/>
      <c r="DR412" s="39"/>
      <c r="DS412" s="39"/>
      <c r="DT412" s="39"/>
      <c r="DU412" s="39"/>
      <c r="DV412" s="39"/>
      <c r="DW412" s="39"/>
      <c r="DX412" s="39"/>
      <c r="DY412" s="39"/>
      <c r="DZ412" s="39"/>
      <c r="EA412" s="39"/>
      <c r="EB412" s="39"/>
      <c r="EC412" s="39"/>
      <c r="ED412" s="39"/>
      <c r="EE412" s="39"/>
      <c r="EF412" s="39"/>
      <c r="EG412" s="39"/>
      <c r="EH412" s="39"/>
      <c r="EI412" s="39"/>
      <c r="EJ412" s="39"/>
      <c r="EK412" s="39"/>
      <c r="EL412" s="39"/>
      <c r="EM412" s="39"/>
      <c r="EN412" s="39"/>
      <c r="EO412" s="39"/>
    </row>
    <row r="413" spans="2:145">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c r="BP413" s="39"/>
      <c r="BQ413" s="39"/>
      <c r="BR413" s="39"/>
      <c r="BS413" s="39"/>
      <c r="BT413" s="39"/>
      <c r="BU413" s="39"/>
      <c r="BV413" s="39"/>
      <c r="BW413" s="39"/>
      <c r="BX413" s="39"/>
      <c r="BY413" s="39"/>
      <c r="BZ413" s="39"/>
      <c r="CA413" s="39"/>
      <c r="CB413" s="39"/>
      <c r="CC413" s="39"/>
      <c r="CD413" s="39"/>
      <c r="CE413" s="39"/>
      <c r="CF413" s="39"/>
      <c r="CG413" s="39"/>
      <c r="CH413" s="39"/>
      <c r="CI413" s="39"/>
      <c r="CJ413" s="39"/>
      <c r="CK413" s="39"/>
      <c r="CL413" s="39"/>
      <c r="CM413" s="39"/>
      <c r="CN413" s="39"/>
      <c r="CO413" s="39"/>
      <c r="CP413" s="39"/>
      <c r="CQ413" s="39"/>
      <c r="CR413" s="39"/>
      <c r="CS413" s="39"/>
      <c r="CT413" s="39"/>
      <c r="CU413" s="39"/>
      <c r="CV413" s="39"/>
      <c r="CW413" s="39"/>
      <c r="CX413" s="39"/>
      <c r="CY413" s="39"/>
      <c r="CZ413" s="39"/>
      <c r="DA413" s="39"/>
      <c r="DB413" s="39"/>
      <c r="DC413" s="39"/>
      <c r="DD413" s="39"/>
      <c r="DE413" s="39"/>
      <c r="DF413" s="39"/>
      <c r="DG413" s="39"/>
      <c r="DH413" s="39"/>
      <c r="DI413" s="39"/>
      <c r="DJ413" s="39"/>
      <c r="DK413" s="39"/>
      <c r="DL413" s="39"/>
      <c r="DM413" s="39"/>
      <c r="DN413" s="39"/>
      <c r="DO413" s="39"/>
      <c r="DP413" s="39"/>
      <c r="DQ413" s="39"/>
      <c r="DR413" s="39"/>
      <c r="DS413" s="39"/>
      <c r="DT413" s="39"/>
      <c r="DU413" s="39"/>
      <c r="DV413" s="39"/>
      <c r="DW413" s="39"/>
      <c r="DX413" s="39"/>
      <c r="DY413" s="39"/>
      <c r="DZ413" s="39"/>
      <c r="EA413" s="39"/>
      <c r="EB413" s="39"/>
      <c r="EC413" s="39"/>
      <c r="ED413" s="39"/>
      <c r="EE413" s="39"/>
      <c r="EF413" s="39"/>
      <c r="EG413" s="39"/>
      <c r="EH413" s="39"/>
      <c r="EI413" s="39"/>
      <c r="EJ413" s="39"/>
      <c r="EK413" s="39"/>
      <c r="EL413" s="39"/>
      <c r="EM413" s="39"/>
      <c r="EN413" s="39"/>
      <c r="EO413" s="39"/>
    </row>
    <row r="414" spans="2:145">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c r="BP414" s="39"/>
      <c r="BQ414" s="39"/>
      <c r="BR414" s="39"/>
      <c r="BS414" s="39"/>
      <c r="BT414" s="39"/>
      <c r="BU414" s="39"/>
      <c r="BV414" s="39"/>
      <c r="BW414" s="39"/>
      <c r="BX414" s="39"/>
      <c r="BY414" s="39"/>
      <c r="BZ414" s="39"/>
      <c r="CA414" s="39"/>
      <c r="CB414" s="39"/>
      <c r="CC414" s="39"/>
      <c r="CD414" s="39"/>
      <c r="CE414" s="39"/>
      <c r="CF414" s="39"/>
      <c r="CG414" s="39"/>
      <c r="CH414" s="39"/>
      <c r="CI414" s="39"/>
      <c r="CJ414" s="39"/>
      <c r="CK414" s="39"/>
      <c r="CL414" s="39"/>
      <c r="CM414" s="39"/>
      <c r="CN414" s="39"/>
      <c r="CO414" s="39"/>
      <c r="CP414" s="39"/>
      <c r="CQ414" s="39"/>
      <c r="CR414" s="39"/>
      <c r="CS414" s="39"/>
      <c r="CT414" s="39"/>
      <c r="CU414" s="39"/>
      <c r="CV414" s="39"/>
      <c r="CW414" s="39"/>
      <c r="CX414" s="39"/>
      <c r="CY414" s="39"/>
      <c r="CZ414" s="39"/>
      <c r="DA414" s="39"/>
      <c r="DB414" s="39"/>
      <c r="DC414" s="39"/>
      <c r="DD414" s="39"/>
      <c r="DE414" s="39"/>
      <c r="DF414" s="39"/>
      <c r="DG414" s="39"/>
      <c r="DH414" s="39"/>
      <c r="DI414" s="39"/>
      <c r="DJ414" s="39"/>
      <c r="DK414" s="39"/>
      <c r="DL414" s="39"/>
      <c r="DM414" s="39"/>
      <c r="DN414" s="39"/>
      <c r="DO414" s="39"/>
      <c r="DP414" s="39"/>
      <c r="DQ414" s="39"/>
      <c r="DR414" s="39"/>
      <c r="DS414" s="39"/>
      <c r="DT414" s="39"/>
      <c r="DU414" s="39"/>
      <c r="DV414" s="39"/>
      <c r="DW414" s="39"/>
      <c r="DX414" s="39"/>
      <c r="DY414" s="39"/>
      <c r="DZ414" s="39"/>
      <c r="EA414" s="39"/>
      <c r="EB414" s="39"/>
      <c r="EC414" s="39"/>
      <c r="ED414" s="39"/>
      <c r="EE414" s="39"/>
      <c r="EF414" s="39"/>
      <c r="EG414" s="39"/>
      <c r="EH414" s="39"/>
      <c r="EI414" s="39"/>
      <c r="EJ414" s="39"/>
      <c r="EK414" s="39"/>
      <c r="EL414" s="39"/>
      <c r="EM414" s="39"/>
      <c r="EN414" s="39"/>
      <c r="EO414" s="39"/>
    </row>
    <row r="415" spans="2:145">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c r="BP415" s="39"/>
      <c r="BQ415" s="39"/>
      <c r="BR415" s="39"/>
      <c r="BS415" s="39"/>
      <c r="BT415" s="39"/>
      <c r="BU415" s="39"/>
      <c r="BV415" s="39"/>
      <c r="BW415" s="39"/>
      <c r="BX415" s="39"/>
      <c r="BY415" s="39"/>
      <c r="BZ415" s="39"/>
      <c r="CA415" s="39"/>
      <c r="CB415" s="39"/>
      <c r="CC415" s="39"/>
      <c r="CD415" s="39"/>
      <c r="CE415" s="39"/>
      <c r="CF415" s="39"/>
      <c r="CG415" s="39"/>
      <c r="CH415" s="39"/>
      <c r="CI415" s="39"/>
      <c r="CJ415" s="39"/>
      <c r="CK415" s="39"/>
      <c r="CL415" s="39"/>
      <c r="CM415" s="39"/>
      <c r="CN415" s="39"/>
      <c r="CO415" s="39"/>
      <c r="CP415" s="39"/>
      <c r="CQ415" s="39"/>
      <c r="CR415" s="39"/>
      <c r="CS415" s="39"/>
      <c r="CT415" s="39"/>
      <c r="CU415" s="39"/>
      <c r="CV415" s="39"/>
      <c r="CW415" s="39"/>
      <c r="CX415" s="39"/>
      <c r="CY415" s="39"/>
      <c r="CZ415" s="39"/>
      <c r="DA415" s="39"/>
      <c r="DB415" s="39"/>
      <c r="DC415" s="39"/>
      <c r="DD415" s="39"/>
      <c r="DE415" s="39"/>
      <c r="DF415" s="39"/>
      <c r="DG415" s="39"/>
      <c r="DH415" s="39"/>
      <c r="DI415" s="39"/>
      <c r="DJ415" s="39"/>
      <c r="DK415" s="39"/>
      <c r="DL415" s="39"/>
      <c r="DM415" s="39"/>
      <c r="DN415" s="39"/>
      <c r="DO415" s="39"/>
      <c r="DP415" s="39"/>
      <c r="DQ415" s="39"/>
      <c r="DR415" s="39"/>
      <c r="DS415" s="39"/>
      <c r="DT415" s="39"/>
      <c r="DU415" s="39"/>
      <c r="DV415" s="39"/>
      <c r="DW415" s="39"/>
      <c r="DX415" s="39"/>
      <c r="DY415" s="39"/>
      <c r="DZ415" s="39"/>
      <c r="EA415" s="39"/>
      <c r="EB415" s="39"/>
      <c r="EC415" s="39"/>
      <c r="ED415" s="39"/>
      <c r="EE415" s="39"/>
      <c r="EF415" s="39"/>
      <c r="EG415" s="39"/>
      <c r="EH415" s="39"/>
      <c r="EI415" s="39"/>
      <c r="EJ415" s="39"/>
      <c r="EK415" s="39"/>
      <c r="EL415" s="39"/>
      <c r="EM415" s="39"/>
      <c r="EN415" s="39"/>
      <c r="EO415" s="39"/>
    </row>
    <row r="416" spans="2:145">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c r="BP416" s="39"/>
      <c r="BQ416" s="39"/>
      <c r="BR416" s="39"/>
      <c r="BS416" s="39"/>
      <c r="BT416" s="39"/>
      <c r="BU416" s="39"/>
      <c r="BV416" s="39"/>
      <c r="BW416" s="39"/>
      <c r="BX416" s="39"/>
      <c r="BY416" s="39"/>
      <c r="BZ416" s="39"/>
      <c r="CA416" s="39"/>
      <c r="CB416" s="39"/>
      <c r="CC416" s="39"/>
      <c r="CD416" s="39"/>
      <c r="CE416" s="39"/>
      <c r="CF416" s="39"/>
      <c r="CG416" s="39"/>
      <c r="CH416" s="39"/>
      <c r="CI416" s="39"/>
      <c r="CJ416" s="39"/>
      <c r="CK416" s="39"/>
      <c r="CL416" s="39"/>
      <c r="CM416" s="39"/>
      <c r="CN416" s="39"/>
      <c r="CO416" s="39"/>
      <c r="CP416" s="39"/>
      <c r="CQ416" s="39"/>
      <c r="CR416" s="39"/>
      <c r="CS416" s="39"/>
      <c r="CT416" s="39"/>
      <c r="CU416" s="39"/>
      <c r="CV416" s="39"/>
      <c r="CW416" s="39"/>
      <c r="CX416" s="39"/>
      <c r="CY416" s="39"/>
      <c r="CZ416" s="39"/>
      <c r="DA416" s="39"/>
      <c r="DB416" s="39"/>
      <c r="DC416" s="39"/>
      <c r="DD416" s="39"/>
      <c r="DE416" s="39"/>
      <c r="DF416" s="39"/>
      <c r="DG416" s="39"/>
      <c r="DH416" s="39"/>
      <c r="DI416" s="39"/>
      <c r="DJ416" s="39"/>
      <c r="DK416" s="39"/>
      <c r="DL416" s="39"/>
      <c r="DM416" s="39"/>
      <c r="DN416" s="39"/>
      <c r="DO416" s="39"/>
      <c r="DP416" s="39"/>
      <c r="DQ416" s="39"/>
      <c r="DR416" s="39"/>
      <c r="DS416" s="39"/>
      <c r="DT416" s="39"/>
      <c r="DU416" s="39"/>
      <c r="DV416" s="39"/>
      <c r="DW416" s="39"/>
      <c r="DX416" s="39"/>
      <c r="DY416" s="39"/>
      <c r="DZ416" s="39"/>
      <c r="EA416" s="39"/>
      <c r="EB416" s="39"/>
      <c r="EC416" s="39"/>
      <c r="ED416" s="39"/>
      <c r="EE416" s="39"/>
      <c r="EF416" s="39"/>
      <c r="EG416" s="39"/>
      <c r="EH416" s="39"/>
      <c r="EI416" s="39"/>
      <c r="EJ416" s="39"/>
      <c r="EK416" s="39"/>
      <c r="EL416" s="39"/>
      <c r="EM416" s="39"/>
      <c r="EN416" s="39"/>
      <c r="EO416" s="39"/>
    </row>
    <row r="417" spans="2:145">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c r="BP417" s="39"/>
      <c r="BQ417" s="39"/>
      <c r="BR417" s="39"/>
      <c r="BS417" s="39"/>
      <c r="BT417" s="39"/>
      <c r="BU417" s="39"/>
      <c r="BV417" s="39"/>
      <c r="BW417" s="39"/>
      <c r="BX417" s="39"/>
      <c r="BY417" s="39"/>
      <c r="BZ417" s="39"/>
      <c r="CA417" s="39"/>
      <c r="CB417" s="39"/>
      <c r="CC417" s="39"/>
      <c r="CD417" s="39"/>
      <c r="CE417" s="39"/>
      <c r="CF417" s="39"/>
      <c r="CG417" s="39"/>
      <c r="CH417" s="39"/>
      <c r="CI417" s="39"/>
      <c r="CJ417" s="39"/>
      <c r="CK417" s="39"/>
      <c r="CL417" s="39"/>
      <c r="CM417" s="39"/>
      <c r="CN417" s="39"/>
      <c r="CO417" s="39"/>
      <c r="CP417" s="39"/>
      <c r="CQ417" s="39"/>
      <c r="CR417" s="39"/>
      <c r="CS417" s="39"/>
      <c r="CT417" s="39"/>
      <c r="CU417" s="39"/>
      <c r="CV417" s="39"/>
      <c r="CW417" s="39"/>
      <c r="CX417" s="39"/>
      <c r="CY417" s="39"/>
      <c r="CZ417" s="39"/>
      <c r="DA417" s="39"/>
      <c r="DB417" s="39"/>
      <c r="DC417" s="39"/>
      <c r="DD417" s="39"/>
      <c r="DE417" s="39"/>
      <c r="DF417" s="39"/>
      <c r="DG417" s="39"/>
      <c r="DH417" s="39"/>
      <c r="DI417" s="39"/>
      <c r="DJ417" s="39"/>
      <c r="DK417" s="39"/>
      <c r="DL417" s="39"/>
      <c r="DM417" s="39"/>
      <c r="DN417" s="39"/>
      <c r="DO417" s="39"/>
      <c r="DP417" s="39"/>
      <c r="DQ417" s="39"/>
      <c r="DR417" s="39"/>
      <c r="DS417" s="39"/>
      <c r="DT417" s="39"/>
      <c r="DU417" s="39"/>
      <c r="DV417" s="39"/>
      <c r="DW417" s="39"/>
      <c r="DX417" s="39"/>
      <c r="DY417" s="39"/>
      <c r="DZ417" s="39"/>
      <c r="EA417" s="39"/>
      <c r="EB417" s="39"/>
      <c r="EC417" s="39"/>
      <c r="ED417" s="39"/>
      <c r="EE417" s="39"/>
      <c r="EF417" s="39"/>
      <c r="EG417" s="39"/>
      <c r="EH417" s="39"/>
      <c r="EI417" s="39"/>
      <c r="EJ417" s="39"/>
      <c r="EK417" s="39"/>
      <c r="EL417" s="39"/>
      <c r="EM417" s="39"/>
      <c r="EN417" s="39"/>
      <c r="EO417" s="39"/>
    </row>
    <row r="418" spans="2:145">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c r="BP418" s="39"/>
      <c r="BQ418" s="39"/>
      <c r="BR418" s="39"/>
      <c r="BS418" s="39"/>
      <c r="BT418" s="39"/>
      <c r="BU418" s="39"/>
      <c r="BV418" s="39"/>
      <c r="BW418" s="39"/>
      <c r="BX418" s="39"/>
      <c r="BY418" s="39"/>
      <c r="BZ418" s="39"/>
      <c r="CA418" s="39"/>
      <c r="CB418" s="39"/>
      <c r="CC418" s="39"/>
      <c r="CD418" s="39"/>
      <c r="CE418" s="39"/>
      <c r="CF418" s="39"/>
      <c r="CG418" s="39"/>
      <c r="CH418" s="39"/>
      <c r="CI418" s="39"/>
      <c r="CJ418" s="39"/>
      <c r="CK418" s="39"/>
      <c r="CL418" s="39"/>
      <c r="CM418" s="39"/>
      <c r="CN418" s="39"/>
      <c r="CO418" s="39"/>
      <c r="CP418" s="39"/>
      <c r="CQ418" s="39"/>
      <c r="CR418" s="39"/>
      <c r="CS418" s="39"/>
      <c r="CT418" s="39"/>
      <c r="CU418" s="39"/>
      <c r="CV418" s="39"/>
      <c r="CW418" s="39"/>
      <c r="CX418" s="39"/>
      <c r="CY418" s="39"/>
      <c r="CZ418" s="39"/>
      <c r="DA418" s="39"/>
      <c r="DB418" s="39"/>
      <c r="DC418" s="39"/>
      <c r="DD418" s="39"/>
      <c r="DE418" s="39"/>
      <c r="DF418" s="39"/>
      <c r="DG418" s="39"/>
      <c r="DH418" s="39"/>
      <c r="DI418" s="39"/>
      <c r="DJ418" s="39"/>
      <c r="DK418" s="39"/>
      <c r="DL418" s="39"/>
      <c r="DM418" s="39"/>
      <c r="DN418" s="39"/>
      <c r="DO418" s="39"/>
      <c r="DP418" s="39"/>
      <c r="DQ418" s="39"/>
      <c r="DR418" s="39"/>
      <c r="DS418" s="39"/>
      <c r="DT418" s="39"/>
      <c r="DU418" s="39"/>
      <c r="DV418" s="39"/>
      <c r="DW418" s="39"/>
      <c r="DX418" s="39"/>
      <c r="DY418" s="39"/>
      <c r="DZ418" s="39"/>
      <c r="EA418" s="39"/>
      <c r="EB418" s="39"/>
      <c r="EC418" s="39"/>
      <c r="ED418" s="39"/>
      <c r="EE418" s="39"/>
      <c r="EF418" s="39"/>
      <c r="EG418" s="39"/>
      <c r="EH418" s="39"/>
      <c r="EI418" s="39"/>
      <c r="EJ418" s="39"/>
      <c r="EK418" s="39"/>
      <c r="EL418" s="39"/>
      <c r="EM418" s="39"/>
      <c r="EN418" s="39"/>
      <c r="EO418" s="39"/>
    </row>
    <row r="419" spans="2:145">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c r="BP419" s="39"/>
      <c r="BQ419" s="39"/>
      <c r="BR419" s="39"/>
      <c r="BS419" s="39"/>
      <c r="BT419" s="39"/>
      <c r="BU419" s="39"/>
      <c r="BV419" s="39"/>
      <c r="BW419" s="39"/>
      <c r="BX419" s="39"/>
      <c r="BY419" s="39"/>
      <c r="BZ419" s="39"/>
      <c r="CA419" s="39"/>
      <c r="CB419" s="39"/>
      <c r="CC419" s="39"/>
      <c r="CD419" s="39"/>
      <c r="CE419" s="39"/>
      <c r="CF419" s="39"/>
      <c r="CG419" s="39"/>
      <c r="CH419" s="39"/>
      <c r="CI419" s="39"/>
      <c r="CJ419" s="39"/>
      <c r="CK419" s="39"/>
      <c r="CL419" s="39"/>
      <c r="CM419" s="39"/>
      <c r="CN419" s="39"/>
      <c r="CO419" s="39"/>
      <c r="CP419" s="39"/>
      <c r="CQ419" s="39"/>
      <c r="CR419" s="39"/>
      <c r="CS419" s="39"/>
      <c r="CT419" s="39"/>
      <c r="CU419" s="39"/>
      <c r="CV419" s="39"/>
      <c r="CW419" s="39"/>
      <c r="CX419" s="39"/>
      <c r="CY419" s="39"/>
      <c r="CZ419" s="39"/>
      <c r="DA419" s="39"/>
      <c r="DB419" s="39"/>
      <c r="DC419" s="39"/>
      <c r="DD419" s="39"/>
      <c r="DE419" s="39"/>
      <c r="DF419" s="39"/>
      <c r="DG419" s="39"/>
      <c r="DH419" s="39"/>
      <c r="DI419" s="39"/>
      <c r="DJ419" s="39"/>
      <c r="DK419" s="39"/>
      <c r="DL419" s="39"/>
      <c r="DM419" s="39"/>
      <c r="DN419" s="39"/>
      <c r="DO419" s="39"/>
      <c r="DP419" s="39"/>
      <c r="DQ419" s="39"/>
      <c r="DR419" s="39"/>
      <c r="DS419" s="39"/>
      <c r="DT419" s="39"/>
      <c r="DU419" s="39"/>
      <c r="DV419" s="39"/>
      <c r="DW419" s="39"/>
      <c r="DX419" s="39"/>
      <c r="DY419" s="39"/>
      <c r="DZ419" s="39"/>
      <c r="EA419" s="39"/>
      <c r="EB419" s="39"/>
      <c r="EC419" s="39"/>
      <c r="ED419" s="39"/>
      <c r="EE419" s="39"/>
      <c r="EF419" s="39"/>
      <c r="EG419" s="39"/>
      <c r="EH419" s="39"/>
      <c r="EI419" s="39"/>
      <c r="EJ419" s="39"/>
      <c r="EK419" s="39"/>
      <c r="EL419" s="39"/>
      <c r="EM419" s="39"/>
      <c r="EN419" s="39"/>
      <c r="EO419" s="39"/>
    </row>
    <row r="420" spans="2:145">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c r="BP420" s="39"/>
      <c r="BQ420" s="39"/>
      <c r="BR420" s="39"/>
      <c r="BS420" s="39"/>
      <c r="BT420" s="39"/>
      <c r="BU420" s="39"/>
      <c r="BV420" s="39"/>
      <c r="BW420" s="39"/>
      <c r="BX420" s="39"/>
      <c r="BY420" s="39"/>
      <c r="BZ420" s="39"/>
      <c r="CA420" s="39"/>
      <c r="CB420" s="39"/>
      <c r="CC420" s="39"/>
      <c r="CD420" s="39"/>
      <c r="CE420" s="39"/>
      <c r="CF420" s="39"/>
      <c r="CG420" s="39"/>
      <c r="CH420" s="39"/>
      <c r="CI420" s="39"/>
      <c r="CJ420" s="39"/>
      <c r="CK420" s="39"/>
      <c r="CL420" s="39"/>
      <c r="CM420" s="39"/>
      <c r="CN420" s="39"/>
      <c r="CO420" s="39"/>
      <c r="CP420" s="39"/>
      <c r="CQ420" s="39"/>
      <c r="CR420" s="39"/>
      <c r="CS420" s="39"/>
      <c r="CT420" s="39"/>
      <c r="CU420" s="39"/>
      <c r="CV420" s="39"/>
      <c r="CW420" s="39"/>
      <c r="CX420" s="39"/>
      <c r="CY420" s="39"/>
      <c r="CZ420" s="39"/>
      <c r="DA420" s="39"/>
      <c r="DB420" s="39"/>
      <c r="DC420" s="39"/>
      <c r="DD420" s="39"/>
      <c r="DE420" s="39"/>
      <c r="DF420" s="39"/>
      <c r="DG420" s="39"/>
      <c r="DH420" s="39"/>
      <c r="DI420" s="39"/>
      <c r="DJ420" s="39"/>
      <c r="DK420" s="39"/>
      <c r="DL420" s="39"/>
      <c r="DM420" s="39"/>
      <c r="DN420" s="39"/>
      <c r="DO420" s="39"/>
      <c r="DP420" s="39"/>
      <c r="DQ420" s="39"/>
      <c r="DR420" s="39"/>
      <c r="DS420" s="39"/>
      <c r="DT420" s="39"/>
      <c r="DU420" s="39"/>
      <c r="DV420" s="39"/>
      <c r="DW420" s="39"/>
      <c r="DX420" s="39"/>
      <c r="DY420" s="39"/>
      <c r="DZ420" s="39"/>
      <c r="EA420" s="39"/>
      <c r="EB420" s="39"/>
      <c r="EC420" s="39"/>
      <c r="ED420" s="39"/>
      <c r="EE420" s="39"/>
      <c r="EF420" s="39"/>
      <c r="EG420" s="39"/>
      <c r="EH420" s="39"/>
      <c r="EI420" s="39"/>
      <c r="EJ420" s="39"/>
      <c r="EK420" s="39"/>
      <c r="EL420" s="39"/>
      <c r="EM420" s="39"/>
      <c r="EN420" s="39"/>
      <c r="EO420" s="39"/>
    </row>
    <row r="421" spans="2:145">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c r="BP421" s="39"/>
      <c r="BQ421" s="39"/>
      <c r="BR421" s="39"/>
      <c r="BS421" s="39"/>
      <c r="BT421" s="39"/>
      <c r="BU421" s="39"/>
      <c r="BV421" s="39"/>
      <c r="BW421" s="39"/>
      <c r="BX421" s="39"/>
      <c r="BY421" s="39"/>
      <c r="BZ421" s="39"/>
      <c r="CA421" s="39"/>
      <c r="CB421" s="39"/>
      <c r="CC421" s="39"/>
      <c r="CD421" s="39"/>
      <c r="CE421" s="39"/>
      <c r="CF421" s="39"/>
      <c r="CG421" s="39"/>
      <c r="CH421" s="39"/>
      <c r="CI421" s="39"/>
      <c r="CJ421" s="39"/>
      <c r="CK421" s="39"/>
      <c r="CL421" s="39"/>
      <c r="CM421" s="39"/>
      <c r="CN421" s="39"/>
      <c r="CO421" s="39"/>
      <c r="CP421" s="39"/>
      <c r="CQ421" s="39"/>
      <c r="CR421" s="39"/>
      <c r="CS421" s="39"/>
      <c r="CT421" s="39"/>
      <c r="CU421" s="39"/>
      <c r="CV421" s="39"/>
      <c r="CW421" s="39"/>
      <c r="CX421" s="39"/>
      <c r="CY421" s="39"/>
      <c r="CZ421" s="39"/>
      <c r="DA421" s="39"/>
      <c r="DB421" s="39"/>
      <c r="DC421" s="39"/>
      <c r="DD421" s="39"/>
      <c r="DE421" s="39"/>
      <c r="DF421" s="39"/>
      <c r="DG421" s="39"/>
      <c r="DH421" s="39"/>
      <c r="DI421" s="39"/>
      <c r="DJ421" s="39"/>
      <c r="DK421" s="39"/>
      <c r="DL421" s="39"/>
      <c r="DM421" s="39"/>
      <c r="DN421" s="39"/>
      <c r="DO421" s="39"/>
      <c r="DP421" s="39"/>
      <c r="DQ421" s="39"/>
      <c r="DR421" s="39"/>
      <c r="DS421" s="39"/>
      <c r="DT421" s="39"/>
      <c r="DU421" s="39"/>
      <c r="DV421" s="39"/>
      <c r="DW421" s="39"/>
      <c r="DX421" s="39"/>
      <c r="DY421" s="39"/>
      <c r="DZ421" s="39"/>
      <c r="EA421" s="39"/>
      <c r="EB421" s="39"/>
      <c r="EC421" s="39"/>
      <c r="ED421" s="39"/>
      <c r="EE421" s="39"/>
      <c r="EF421" s="39"/>
      <c r="EG421" s="39"/>
      <c r="EH421" s="39"/>
      <c r="EI421" s="39"/>
      <c r="EJ421" s="39"/>
      <c r="EK421" s="39"/>
      <c r="EL421" s="39"/>
      <c r="EM421" s="39"/>
      <c r="EN421" s="39"/>
      <c r="EO421" s="39"/>
    </row>
    <row r="422" spans="2:145">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c r="BP422" s="39"/>
      <c r="BQ422" s="39"/>
      <c r="BR422" s="39"/>
      <c r="BS422" s="39"/>
      <c r="BT422" s="39"/>
      <c r="BU422" s="39"/>
      <c r="BV422" s="39"/>
      <c r="BW422" s="39"/>
      <c r="BX422" s="39"/>
      <c r="BY422" s="39"/>
      <c r="BZ422" s="39"/>
      <c r="CA422" s="39"/>
      <c r="CB422" s="39"/>
      <c r="CC422" s="39"/>
      <c r="CD422" s="39"/>
      <c r="CE422" s="39"/>
      <c r="CF422" s="39"/>
      <c r="CG422" s="39"/>
      <c r="CH422" s="39"/>
      <c r="CI422" s="39"/>
      <c r="CJ422" s="39"/>
      <c r="CK422" s="39"/>
      <c r="CL422" s="39"/>
      <c r="CM422" s="39"/>
      <c r="CN422" s="39"/>
      <c r="CO422" s="39"/>
      <c r="CP422" s="39"/>
      <c r="CQ422" s="39"/>
      <c r="CR422" s="39"/>
      <c r="CS422" s="39"/>
      <c r="CT422" s="39"/>
      <c r="CU422" s="39"/>
      <c r="CV422" s="39"/>
      <c r="CW422" s="39"/>
      <c r="CX422" s="39"/>
      <c r="CY422" s="39"/>
      <c r="CZ422" s="39"/>
      <c r="DA422" s="39"/>
      <c r="DB422" s="39"/>
      <c r="DC422" s="39"/>
      <c r="DD422" s="39"/>
      <c r="DE422" s="39"/>
      <c r="DF422" s="39"/>
      <c r="DG422" s="39"/>
      <c r="DH422" s="39"/>
      <c r="DI422" s="39"/>
      <c r="DJ422" s="39"/>
      <c r="DK422" s="39"/>
      <c r="DL422" s="39"/>
      <c r="DM422" s="39"/>
      <c r="DN422" s="39"/>
      <c r="DO422" s="39"/>
      <c r="DP422" s="39"/>
      <c r="DQ422" s="39"/>
      <c r="DR422" s="39"/>
      <c r="DS422" s="39"/>
      <c r="DT422" s="39"/>
      <c r="DU422" s="39"/>
      <c r="DV422" s="39"/>
      <c r="DW422" s="39"/>
      <c r="DX422" s="39"/>
      <c r="DY422" s="39"/>
      <c r="DZ422" s="39"/>
      <c r="EA422" s="39"/>
      <c r="EB422" s="39"/>
      <c r="EC422" s="39"/>
      <c r="ED422" s="39"/>
      <c r="EE422" s="39"/>
      <c r="EF422" s="39"/>
      <c r="EG422" s="39"/>
      <c r="EH422" s="39"/>
      <c r="EI422" s="39"/>
      <c r="EJ422" s="39"/>
      <c r="EK422" s="39"/>
      <c r="EL422" s="39"/>
      <c r="EM422" s="39"/>
      <c r="EN422" s="39"/>
      <c r="EO422" s="39"/>
    </row>
    <row r="423" spans="2:145">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c r="BP423" s="39"/>
      <c r="BQ423" s="39"/>
      <c r="BR423" s="39"/>
      <c r="BS423" s="39"/>
      <c r="BT423" s="39"/>
      <c r="BU423" s="39"/>
      <c r="BV423" s="39"/>
      <c r="BW423" s="39"/>
      <c r="BX423" s="39"/>
      <c r="BY423" s="39"/>
      <c r="BZ423" s="39"/>
      <c r="CA423" s="39"/>
      <c r="CB423" s="39"/>
      <c r="CC423" s="39"/>
      <c r="CD423" s="39"/>
      <c r="CE423" s="39"/>
      <c r="CF423" s="39"/>
      <c r="CG423" s="39"/>
      <c r="CH423" s="39"/>
      <c r="CI423" s="39"/>
      <c r="CJ423" s="39"/>
      <c r="CK423" s="39"/>
      <c r="CL423" s="39"/>
      <c r="CM423" s="39"/>
      <c r="CN423" s="39"/>
      <c r="CO423" s="39"/>
      <c r="CP423" s="39"/>
      <c r="CQ423" s="39"/>
      <c r="CR423" s="39"/>
      <c r="CS423" s="39"/>
      <c r="CT423" s="39"/>
      <c r="CU423" s="39"/>
      <c r="CV423" s="39"/>
      <c r="CW423" s="39"/>
      <c r="CX423" s="39"/>
      <c r="CY423" s="39"/>
      <c r="CZ423" s="39"/>
      <c r="DA423" s="39"/>
      <c r="DB423" s="39"/>
      <c r="DC423" s="39"/>
      <c r="DD423" s="39"/>
      <c r="DE423" s="39"/>
      <c r="DF423" s="39"/>
      <c r="DG423" s="39"/>
      <c r="DH423" s="39"/>
      <c r="DI423" s="39"/>
      <c r="DJ423" s="39"/>
      <c r="DK423" s="39"/>
      <c r="DL423" s="39"/>
      <c r="DM423" s="39"/>
      <c r="DN423" s="39"/>
      <c r="DO423" s="39"/>
      <c r="DP423" s="39"/>
      <c r="DQ423" s="39"/>
      <c r="DR423" s="39"/>
      <c r="DS423" s="39"/>
      <c r="DT423" s="39"/>
      <c r="DU423" s="39"/>
      <c r="DV423" s="39"/>
      <c r="DW423" s="39"/>
      <c r="DX423" s="39"/>
      <c r="DY423" s="39"/>
      <c r="DZ423" s="39"/>
      <c r="EA423" s="39"/>
      <c r="EB423" s="39"/>
      <c r="EC423" s="39"/>
      <c r="ED423" s="39"/>
      <c r="EE423" s="39"/>
      <c r="EF423" s="39"/>
      <c r="EG423" s="39"/>
      <c r="EH423" s="39"/>
      <c r="EI423" s="39"/>
      <c r="EJ423" s="39"/>
      <c r="EK423" s="39"/>
      <c r="EL423" s="39"/>
      <c r="EM423" s="39"/>
      <c r="EN423" s="39"/>
      <c r="EO423" s="39"/>
    </row>
    <row r="424" spans="2:145">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c r="BP424" s="39"/>
      <c r="BQ424" s="39"/>
      <c r="BR424" s="39"/>
      <c r="BS424" s="39"/>
      <c r="BT424" s="39"/>
      <c r="BU424" s="39"/>
      <c r="BV424" s="39"/>
      <c r="BW424" s="39"/>
      <c r="BX424" s="39"/>
      <c r="BY424" s="39"/>
      <c r="BZ424" s="39"/>
      <c r="CA424" s="39"/>
      <c r="CB424" s="39"/>
      <c r="CC424" s="39"/>
      <c r="CD424" s="39"/>
      <c r="CE424" s="39"/>
      <c r="CF424" s="39"/>
      <c r="CG424" s="39"/>
      <c r="CH424" s="39"/>
      <c r="CI424" s="39"/>
      <c r="CJ424" s="39"/>
      <c r="CK424" s="39"/>
      <c r="CL424" s="39"/>
      <c r="CM424" s="39"/>
      <c r="CN424" s="39"/>
      <c r="CO424" s="39"/>
      <c r="CP424" s="39"/>
      <c r="CQ424" s="39"/>
      <c r="CR424" s="39"/>
      <c r="CS424" s="39"/>
      <c r="CT424" s="39"/>
      <c r="CU424" s="39"/>
      <c r="CV424" s="39"/>
      <c r="CW424" s="39"/>
      <c r="CX424" s="39"/>
      <c r="CY424" s="39"/>
      <c r="CZ424" s="39"/>
      <c r="DA424" s="39"/>
      <c r="DB424" s="39"/>
      <c r="DC424" s="39"/>
      <c r="DD424" s="39"/>
      <c r="DE424" s="39"/>
      <c r="DF424" s="39"/>
      <c r="DG424" s="39"/>
      <c r="DH424" s="39"/>
      <c r="DI424" s="39"/>
      <c r="DJ424" s="39"/>
      <c r="DK424" s="39"/>
      <c r="DL424" s="39"/>
      <c r="DM424" s="39"/>
      <c r="DN424" s="39"/>
      <c r="DO424" s="39"/>
      <c r="DP424" s="39"/>
      <c r="DQ424" s="39"/>
      <c r="DR424" s="39"/>
      <c r="DS424" s="39"/>
      <c r="DT424" s="39"/>
      <c r="DU424" s="39"/>
      <c r="DV424" s="39"/>
      <c r="DW424" s="39"/>
      <c r="DX424" s="39"/>
      <c r="DY424" s="39"/>
      <c r="DZ424" s="39"/>
      <c r="EA424" s="39"/>
      <c r="EB424" s="39"/>
      <c r="EC424" s="39"/>
      <c r="ED424" s="39"/>
      <c r="EE424" s="39"/>
      <c r="EF424" s="39"/>
      <c r="EG424" s="39"/>
      <c r="EH424" s="39"/>
      <c r="EI424" s="39"/>
      <c r="EJ424" s="39"/>
      <c r="EK424" s="39"/>
      <c r="EL424" s="39"/>
      <c r="EM424" s="39"/>
      <c r="EN424" s="39"/>
      <c r="EO424" s="39"/>
    </row>
    <row r="425" spans="2:145">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c r="BP425" s="39"/>
      <c r="BQ425" s="39"/>
      <c r="BR425" s="39"/>
      <c r="BS425" s="39"/>
      <c r="BT425" s="39"/>
      <c r="BU425" s="39"/>
      <c r="BV425" s="39"/>
      <c r="BW425" s="39"/>
      <c r="BX425" s="39"/>
      <c r="BY425" s="39"/>
      <c r="BZ425" s="39"/>
      <c r="CA425" s="39"/>
      <c r="CB425" s="39"/>
      <c r="CC425" s="39"/>
      <c r="CD425" s="39"/>
      <c r="CE425" s="39"/>
      <c r="CF425" s="39"/>
      <c r="CG425" s="39"/>
      <c r="CH425" s="39"/>
      <c r="CI425" s="39"/>
      <c r="CJ425" s="39"/>
      <c r="CK425" s="39"/>
      <c r="CL425" s="39"/>
      <c r="CM425" s="39"/>
      <c r="CN425" s="39"/>
      <c r="CO425" s="39"/>
      <c r="CP425" s="39"/>
      <c r="CQ425" s="39"/>
      <c r="CR425" s="39"/>
      <c r="CS425" s="39"/>
      <c r="CT425" s="39"/>
      <c r="CU425" s="39"/>
      <c r="CV425" s="39"/>
      <c r="CW425" s="39"/>
      <c r="CX425" s="39"/>
      <c r="CY425" s="39"/>
      <c r="CZ425" s="39"/>
      <c r="DA425" s="39"/>
      <c r="DB425" s="39"/>
      <c r="DC425" s="39"/>
      <c r="DD425" s="39"/>
      <c r="DE425" s="39"/>
      <c r="DF425" s="39"/>
      <c r="DG425" s="39"/>
      <c r="DH425" s="39"/>
      <c r="DI425" s="39"/>
      <c r="DJ425" s="39"/>
      <c r="DK425" s="39"/>
      <c r="DL425" s="39"/>
      <c r="DM425" s="39"/>
      <c r="DN425" s="39"/>
      <c r="DO425" s="39"/>
      <c r="DP425" s="39"/>
      <c r="DQ425" s="39"/>
      <c r="DR425" s="39"/>
      <c r="DS425" s="39"/>
      <c r="DT425" s="39"/>
      <c r="DU425" s="39"/>
      <c r="DV425" s="39"/>
      <c r="DW425" s="39"/>
      <c r="DX425" s="39"/>
      <c r="DY425" s="39"/>
      <c r="DZ425" s="39"/>
      <c r="EA425" s="39"/>
      <c r="EB425" s="39"/>
      <c r="EC425" s="39"/>
      <c r="ED425" s="39"/>
      <c r="EE425" s="39"/>
      <c r="EF425" s="39"/>
      <c r="EG425" s="39"/>
      <c r="EH425" s="39"/>
      <c r="EI425" s="39"/>
      <c r="EJ425" s="39"/>
      <c r="EK425" s="39"/>
      <c r="EL425" s="39"/>
      <c r="EM425" s="39"/>
      <c r="EN425" s="39"/>
      <c r="EO425" s="39"/>
    </row>
    <row r="426" spans="2:145">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c r="BP426" s="39"/>
      <c r="BQ426" s="39"/>
      <c r="BR426" s="39"/>
      <c r="BS426" s="39"/>
      <c r="BT426" s="39"/>
      <c r="BU426" s="39"/>
      <c r="BV426" s="39"/>
      <c r="BW426" s="39"/>
      <c r="BX426" s="39"/>
      <c r="BY426" s="39"/>
      <c r="BZ426" s="39"/>
      <c r="CA426" s="39"/>
      <c r="CB426" s="39"/>
      <c r="CC426" s="39"/>
      <c r="CD426" s="39"/>
      <c r="CE426" s="39"/>
      <c r="CF426" s="39"/>
      <c r="CG426" s="39"/>
      <c r="CH426" s="39"/>
      <c r="CI426" s="39"/>
      <c r="CJ426" s="39"/>
      <c r="CK426" s="39"/>
      <c r="CL426" s="39"/>
      <c r="CM426" s="39"/>
      <c r="CN426" s="39"/>
      <c r="CO426" s="39"/>
      <c r="CP426" s="39"/>
      <c r="CQ426" s="39"/>
      <c r="CR426" s="39"/>
      <c r="CS426" s="39"/>
      <c r="CT426" s="39"/>
      <c r="CU426" s="39"/>
      <c r="CV426" s="39"/>
      <c r="CW426" s="39"/>
      <c r="CX426" s="39"/>
      <c r="CY426" s="39"/>
      <c r="CZ426" s="39"/>
      <c r="DA426" s="39"/>
      <c r="DB426" s="39"/>
      <c r="DC426" s="39"/>
      <c r="DD426" s="39"/>
      <c r="DE426" s="39"/>
      <c r="DF426" s="39"/>
      <c r="DG426" s="39"/>
      <c r="DH426" s="39"/>
      <c r="DI426" s="39"/>
      <c r="DJ426" s="39"/>
      <c r="DK426" s="39"/>
      <c r="DL426" s="39"/>
      <c r="DM426" s="39"/>
      <c r="DN426" s="39"/>
      <c r="DO426" s="39"/>
      <c r="DP426" s="39"/>
      <c r="DQ426" s="39"/>
      <c r="DR426" s="39"/>
      <c r="DS426" s="39"/>
      <c r="DT426" s="39"/>
      <c r="DU426" s="39"/>
      <c r="DV426" s="39"/>
      <c r="DW426" s="39"/>
      <c r="DX426" s="39"/>
      <c r="DY426" s="39"/>
      <c r="DZ426" s="39"/>
      <c r="EA426" s="39"/>
      <c r="EB426" s="39"/>
      <c r="EC426" s="39"/>
      <c r="ED426" s="39"/>
      <c r="EE426" s="39"/>
      <c r="EF426" s="39"/>
      <c r="EG426" s="39"/>
      <c r="EH426" s="39"/>
      <c r="EI426" s="39"/>
      <c r="EJ426" s="39"/>
      <c r="EK426" s="39"/>
      <c r="EL426" s="39"/>
      <c r="EM426" s="39"/>
      <c r="EN426" s="39"/>
      <c r="EO426" s="39"/>
    </row>
    <row r="427" spans="2:145">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c r="BP427" s="39"/>
      <c r="BQ427" s="39"/>
      <c r="BR427" s="39"/>
      <c r="BS427" s="39"/>
      <c r="BT427" s="39"/>
      <c r="BU427" s="39"/>
      <c r="BV427" s="39"/>
      <c r="BW427" s="39"/>
      <c r="BX427" s="39"/>
      <c r="BY427" s="39"/>
      <c r="BZ427" s="39"/>
      <c r="CA427" s="39"/>
      <c r="CB427" s="39"/>
      <c r="CC427" s="39"/>
      <c r="CD427" s="39"/>
      <c r="CE427" s="39"/>
      <c r="CF427" s="39"/>
      <c r="CG427" s="39"/>
      <c r="CH427" s="39"/>
      <c r="CI427" s="39"/>
      <c r="CJ427" s="39"/>
      <c r="CK427" s="39"/>
      <c r="CL427" s="39"/>
      <c r="CM427" s="39"/>
      <c r="CN427" s="39"/>
      <c r="CO427" s="39"/>
      <c r="CP427" s="39"/>
      <c r="CQ427" s="39"/>
      <c r="CR427" s="39"/>
      <c r="CS427" s="39"/>
      <c r="CT427" s="39"/>
      <c r="CU427" s="39"/>
      <c r="CV427" s="39"/>
      <c r="CW427" s="39"/>
      <c r="CX427" s="39"/>
      <c r="CY427" s="39"/>
      <c r="CZ427" s="39"/>
      <c r="DA427" s="39"/>
      <c r="DB427" s="39"/>
      <c r="DC427" s="39"/>
      <c r="DD427" s="39"/>
      <c r="DE427" s="39"/>
      <c r="DF427" s="39"/>
      <c r="DG427" s="39"/>
      <c r="DH427" s="39"/>
      <c r="DI427" s="39"/>
      <c r="DJ427" s="39"/>
      <c r="DK427" s="39"/>
      <c r="DL427" s="39"/>
      <c r="DM427" s="39"/>
      <c r="DN427" s="39"/>
      <c r="DO427" s="39"/>
      <c r="DP427" s="39"/>
      <c r="DQ427" s="39"/>
      <c r="DR427" s="39"/>
      <c r="DS427" s="39"/>
      <c r="DT427" s="39"/>
      <c r="DU427" s="39"/>
      <c r="DV427" s="39"/>
      <c r="DW427" s="39"/>
      <c r="DX427" s="39"/>
      <c r="DY427" s="39"/>
      <c r="DZ427" s="39"/>
      <c r="EA427" s="39"/>
      <c r="EB427" s="39"/>
      <c r="EC427" s="39"/>
      <c r="ED427" s="39"/>
      <c r="EE427" s="39"/>
      <c r="EF427" s="39"/>
      <c r="EG427" s="39"/>
      <c r="EH427" s="39"/>
      <c r="EI427" s="39"/>
      <c r="EJ427" s="39"/>
      <c r="EK427" s="39"/>
      <c r="EL427" s="39"/>
      <c r="EM427" s="39"/>
      <c r="EN427" s="39"/>
      <c r="EO427" s="39"/>
    </row>
    <row r="428" spans="2:145">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c r="BP428" s="39"/>
      <c r="BQ428" s="39"/>
      <c r="BR428" s="39"/>
      <c r="BS428" s="39"/>
      <c r="BT428" s="39"/>
      <c r="BU428" s="39"/>
      <c r="BV428" s="39"/>
      <c r="BW428" s="39"/>
      <c r="BX428" s="39"/>
      <c r="BY428" s="39"/>
      <c r="BZ428" s="39"/>
      <c r="CA428" s="39"/>
      <c r="CB428" s="39"/>
      <c r="CC428" s="39"/>
      <c r="CD428" s="39"/>
      <c r="CE428" s="39"/>
      <c r="CF428" s="39"/>
      <c r="CG428" s="39"/>
      <c r="CH428" s="39"/>
      <c r="CI428" s="39"/>
      <c r="CJ428" s="39"/>
      <c r="CK428" s="39"/>
      <c r="CL428" s="39"/>
      <c r="CM428" s="39"/>
      <c r="CN428" s="39"/>
      <c r="CO428" s="39"/>
      <c r="CP428" s="39"/>
      <c r="CQ428" s="39"/>
      <c r="CR428" s="39"/>
      <c r="CS428" s="39"/>
      <c r="CT428" s="39"/>
      <c r="CU428" s="39"/>
      <c r="CV428" s="39"/>
      <c r="CW428" s="39"/>
      <c r="CX428" s="39"/>
      <c r="CY428" s="39"/>
      <c r="CZ428" s="39"/>
      <c r="DA428" s="39"/>
      <c r="DB428" s="39"/>
      <c r="DC428" s="39"/>
      <c r="DD428" s="39"/>
      <c r="DE428" s="39"/>
      <c r="DF428" s="39"/>
      <c r="DG428" s="39"/>
      <c r="DH428" s="39"/>
      <c r="DI428" s="39"/>
      <c r="DJ428" s="39"/>
      <c r="DK428" s="39"/>
      <c r="DL428" s="39"/>
      <c r="DM428" s="39"/>
      <c r="DN428" s="39"/>
      <c r="DO428" s="39"/>
      <c r="DP428" s="39"/>
      <c r="DQ428" s="39"/>
      <c r="DR428" s="39"/>
      <c r="DS428" s="39"/>
      <c r="DT428" s="39"/>
      <c r="DU428" s="39"/>
      <c r="DV428" s="39"/>
      <c r="DW428" s="39"/>
      <c r="DX428" s="39"/>
      <c r="DY428" s="39"/>
      <c r="DZ428" s="39"/>
      <c r="EA428" s="39"/>
      <c r="EB428" s="39"/>
      <c r="EC428" s="39"/>
      <c r="ED428" s="39"/>
      <c r="EE428" s="39"/>
      <c r="EF428" s="39"/>
      <c r="EG428" s="39"/>
      <c r="EH428" s="39"/>
      <c r="EI428" s="39"/>
      <c r="EJ428" s="39"/>
      <c r="EK428" s="39"/>
      <c r="EL428" s="39"/>
      <c r="EM428" s="39"/>
      <c r="EN428" s="39"/>
      <c r="EO428" s="39"/>
    </row>
  </sheetData>
  <mergeCells count="14">
    <mergeCell ref="B83:F83"/>
    <mergeCell ref="B2:W2"/>
    <mergeCell ref="B3:W3"/>
    <mergeCell ref="B39:G39"/>
    <mergeCell ref="B58:G58"/>
    <mergeCell ref="B75:H75"/>
    <mergeCell ref="J75:O75"/>
    <mergeCell ref="Q10:T10"/>
    <mergeCell ref="B7:H7"/>
    <mergeCell ref="J7:O7"/>
    <mergeCell ref="B31:G31"/>
    <mergeCell ref="B5:H5"/>
    <mergeCell ref="B9:G9"/>
    <mergeCell ref="J9:O9"/>
  </mergeCells>
  <phoneticPr fontId="0" type="noConversion"/>
  <pageMargins left="0.75" right="0.75" top="1" bottom="1" header="0.5" footer="0.5"/>
  <pageSetup orientation="portrait" r:id="rId1"/>
  <headerFooter alignWithMargins="0"/>
  <ignoredErrors>
    <ignoredError sqref="J44:N44 C44:H44"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50"/>
  <sheetViews>
    <sheetView workbookViewId="0">
      <selection activeCell="I4" sqref="I4"/>
    </sheetView>
  </sheetViews>
  <sheetFormatPr defaultRowHeight="12.5"/>
  <cols>
    <col min="1" max="1" width="23.26953125" customWidth="1"/>
    <col min="2" max="2" width="13.453125" bestFit="1" customWidth="1"/>
    <col min="3" max="3" width="10.7265625" bestFit="1" customWidth="1"/>
    <col min="4" max="4" width="10.453125" customWidth="1"/>
    <col min="8" max="8" width="10.1796875" bestFit="1" customWidth="1"/>
  </cols>
  <sheetData>
    <row r="1" spans="1:17" ht="20">
      <c r="B1" s="749" t="s">
        <v>27</v>
      </c>
      <c r="C1" s="40"/>
      <c r="I1" s="40"/>
      <c r="Q1" s="40"/>
    </row>
    <row r="2" spans="1:17">
      <c r="C2" s="40"/>
      <c r="I2" s="40"/>
      <c r="Q2" s="40"/>
    </row>
    <row r="3" spans="1:17">
      <c r="C3" s="40"/>
      <c r="I3" s="40"/>
      <c r="Q3" s="40"/>
    </row>
    <row r="4" spans="1:17">
      <c r="A4" t="s">
        <v>582</v>
      </c>
      <c r="B4" s="139">
        <v>1000000</v>
      </c>
      <c r="C4" s="167"/>
      <c r="I4" s="167"/>
      <c r="Q4" s="167"/>
    </row>
    <row r="5" spans="1:17">
      <c r="A5" t="s">
        <v>586</v>
      </c>
      <c r="B5" s="741">
        <v>700000</v>
      </c>
      <c r="C5" s="167"/>
      <c r="I5" s="167"/>
      <c r="Q5" s="167"/>
    </row>
    <row r="6" spans="1:17">
      <c r="A6" t="s">
        <v>587</v>
      </c>
      <c r="B6" s="40">
        <f>B4-B5</f>
        <v>300000</v>
      </c>
      <c r="C6" s="167"/>
      <c r="I6" s="167"/>
      <c r="Q6" s="167"/>
    </row>
    <row r="7" spans="1:17">
      <c r="B7" s="40"/>
      <c r="C7" s="167"/>
      <c r="I7" s="167"/>
      <c r="Q7" s="167"/>
    </row>
    <row r="8" spans="1:17">
      <c r="A8" t="s">
        <v>582</v>
      </c>
      <c r="B8" s="139">
        <v>1000000</v>
      </c>
      <c r="C8" s="167"/>
      <c r="I8" s="167"/>
      <c r="Q8" s="167"/>
    </row>
    <row r="9" spans="1:17">
      <c r="A9" t="s">
        <v>383</v>
      </c>
      <c r="B9" s="741">
        <v>600000</v>
      </c>
      <c r="C9" s="167" t="s">
        <v>1179</v>
      </c>
      <c r="I9" s="167"/>
      <c r="Q9" s="167"/>
    </row>
    <row r="10" spans="1:17">
      <c r="A10" t="s">
        <v>291</v>
      </c>
      <c r="B10" s="40">
        <f>B8-B9</f>
        <v>400000</v>
      </c>
      <c r="C10" s="167"/>
      <c r="I10" s="167"/>
      <c r="Q10" s="167"/>
    </row>
    <row r="11" spans="1:17">
      <c r="B11" s="40"/>
      <c r="C11" s="167"/>
      <c r="I11" s="167"/>
      <c r="Q11" s="167"/>
    </row>
    <row r="12" spans="1:17">
      <c r="C12" s="167"/>
      <c r="I12" s="167"/>
      <c r="Q12" s="167"/>
    </row>
    <row r="13" spans="1:17">
      <c r="A13" t="s">
        <v>1180</v>
      </c>
      <c r="B13" s="167">
        <f>B6/B10</f>
        <v>0.75</v>
      </c>
      <c r="C13" s="167"/>
      <c r="I13" s="167"/>
      <c r="Q13" s="167"/>
    </row>
    <row r="14" spans="1:17">
      <c r="B14" s="167"/>
      <c r="C14" s="167"/>
      <c r="I14" s="167"/>
      <c r="Q14" s="167"/>
    </row>
    <row r="15" spans="1:17">
      <c r="A15" t="s">
        <v>1181</v>
      </c>
      <c r="B15" s="40">
        <v>25000</v>
      </c>
      <c r="C15" s="167"/>
      <c r="I15" s="167"/>
      <c r="Q15" s="167"/>
    </row>
    <row r="16" spans="1:17">
      <c r="A16" t="s">
        <v>1182</v>
      </c>
      <c r="B16" s="139">
        <f>B10-B15</f>
        <v>375000</v>
      </c>
      <c r="C16" s="167"/>
      <c r="I16" s="167"/>
      <c r="Q16" s="167"/>
    </row>
    <row r="17" spans="1:17">
      <c r="A17" t="s">
        <v>571</v>
      </c>
      <c r="B17" s="23">
        <v>0.1</v>
      </c>
      <c r="C17" s="167"/>
      <c r="I17" s="167"/>
      <c r="Q17" s="167"/>
    </row>
    <row r="18" spans="1:17">
      <c r="A18" t="s">
        <v>1183</v>
      </c>
      <c r="B18" s="139">
        <f>B16/5</f>
        <v>75000</v>
      </c>
      <c r="C18" s="167"/>
      <c r="I18" s="167"/>
      <c r="Q18" s="167"/>
    </row>
    <row r="19" spans="1:17">
      <c r="A19" t="s">
        <v>366</v>
      </c>
      <c r="B19" s="167">
        <v>0.3</v>
      </c>
      <c r="C19" s="167"/>
      <c r="I19" s="167"/>
      <c r="Q19" s="167"/>
    </row>
    <row r="20" spans="1:17">
      <c r="A20" t="s">
        <v>1184</v>
      </c>
      <c r="B20" s="167">
        <v>0.15</v>
      </c>
      <c r="C20" s="167"/>
      <c r="I20" s="167"/>
      <c r="Q20" s="167"/>
    </row>
    <row r="21" spans="1:17" ht="13">
      <c r="C21" s="742"/>
      <c r="I21" s="742"/>
      <c r="Q21" s="742"/>
    </row>
    <row r="23" spans="1:17">
      <c r="A23" s="83" t="s">
        <v>262</v>
      </c>
      <c r="B23" s="6">
        <v>0</v>
      </c>
      <c r="C23" s="6">
        <f>B23+1</f>
        <v>1</v>
      </c>
      <c r="D23" s="6">
        <f>C23+1</f>
        <v>2</v>
      </c>
      <c r="E23" s="6">
        <f>D23+1</f>
        <v>3</v>
      </c>
      <c r="F23" s="6">
        <f>E23+1</f>
        <v>4</v>
      </c>
      <c r="G23" s="6">
        <f>F23+1</f>
        <v>5</v>
      </c>
      <c r="H23" s="6" t="s">
        <v>292</v>
      </c>
    </row>
    <row r="24" spans="1:17">
      <c r="A24" t="s">
        <v>1185</v>
      </c>
      <c r="B24" s="40">
        <f>B15</f>
        <v>25000</v>
      </c>
      <c r="C24" s="40">
        <f>B18</f>
        <v>75000</v>
      </c>
      <c r="D24" s="40">
        <f>C24</f>
        <v>75000</v>
      </c>
      <c r="E24" s="40">
        <f>D24</f>
        <v>75000</v>
      </c>
      <c r="F24" s="40">
        <f>E24</f>
        <v>75000</v>
      </c>
      <c r="G24" s="40">
        <f>F24</f>
        <v>75000</v>
      </c>
      <c r="H24" s="40">
        <f>SUM(B24:G24)</f>
        <v>400000</v>
      </c>
    </row>
    <row r="25" spans="1:17">
      <c r="A25" t="s">
        <v>1186</v>
      </c>
      <c r="B25" s="167">
        <v>0.75</v>
      </c>
      <c r="C25" s="167">
        <v>0.75</v>
      </c>
      <c r="D25" s="167">
        <v>0.75</v>
      </c>
      <c r="E25" s="167">
        <v>0.75</v>
      </c>
      <c r="F25" s="167">
        <v>0.75</v>
      </c>
      <c r="G25" s="167">
        <v>0.75</v>
      </c>
      <c r="H25" s="40"/>
    </row>
    <row r="26" spans="1:17">
      <c r="A26" t="s">
        <v>1187</v>
      </c>
      <c r="B26" s="40">
        <f t="shared" ref="B26:G26" si="0">$B$13*B24</f>
        <v>18750</v>
      </c>
      <c r="C26" s="40">
        <f t="shared" si="0"/>
        <v>56250</v>
      </c>
      <c r="D26" s="40">
        <f t="shared" si="0"/>
        <v>56250</v>
      </c>
      <c r="E26" s="40">
        <f t="shared" si="0"/>
        <v>56250</v>
      </c>
      <c r="F26" s="40">
        <f t="shared" si="0"/>
        <v>56250</v>
      </c>
      <c r="G26" s="40">
        <f t="shared" si="0"/>
        <v>56250</v>
      </c>
      <c r="H26" s="40">
        <f>SUM(B26:G26)</f>
        <v>300000</v>
      </c>
      <c r="J26" s="40"/>
    </row>
    <row r="27" spans="1:17">
      <c r="A27" t="s">
        <v>1188</v>
      </c>
      <c r="B27" s="167">
        <v>0.15</v>
      </c>
      <c r="C27" s="167">
        <v>0.15</v>
      </c>
      <c r="D27" s="167">
        <v>0.15</v>
      </c>
      <c r="E27" s="167">
        <v>0.15</v>
      </c>
      <c r="F27" s="167">
        <v>0.15</v>
      </c>
      <c r="G27" s="167">
        <v>0.15</v>
      </c>
      <c r="H27" s="40"/>
      <c r="J27" s="40"/>
    </row>
    <row r="28" spans="1:17">
      <c r="A28" t="s">
        <v>1189</v>
      </c>
      <c r="B28" s="40">
        <f t="shared" ref="B28:G28" si="1">B26*$B$20</f>
        <v>2812.5</v>
      </c>
      <c r="C28" s="40">
        <f t="shared" si="1"/>
        <v>8437.5</v>
      </c>
      <c r="D28" s="40">
        <f t="shared" si="1"/>
        <v>8437.5</v>
      </c>
      <c r="E28" s="40">
        <f t="shared" si="1"/>
        <v>8437.5</v>
      </c>
      <c r="F28" s="40">
        <f t="shared" si="1"/>
        <v>8437.5</v>
      </c>
      <c r="G28" s="40">
        <f t="shared" si="1"/>
        <v>8437.5</v>
      </c>
      <c r="H28" s="40">
        <f>SUM(B28:G28)</f>
        <v>45000</v>
      </c>
      <c r="J28" s="40"/>
    </row>
    <row r="29" spans="1:17">
      <c r="B29" s="40"/>
      <c r="C29" s="40"/>
      <c r="D29" s="40"/>
      <c r="E29" s="40"/>
      <c r="F29" s="40"/>
      <c r="G29" s="40"/>
      <c r="H29" s="40"/>
      <c r="J29" s="40"/>
    </row>
    <row r="30" spans="1:17">
      <c r="A30" t="s">
        <v>1190</v>
      </c>
      <c r="B30" s="139">
        <f>B10-B15</f>
        <v>375000</v>
      </c>
      <c r="C30" s="139">
        <f>B30-C24</f>
        <v>300000</v>
      </c>
      <c r="D30" s="139">
        <f>C30-D24</f>
        <v>225000</v>
      </c>
      <c r="E30" s="139">
        <f>D30-E24</f>
        <v>150000</v>
      </c>
      <c r="F30" s="139">
        <f>E30-F24</f>
        <v>75000</v>
      </c>
      <c r="G30" s="139">
        <f>F30-G24</f>
        <v>0</v>
      </c>
    </row>
    <row r="31" spans="1:17">
      <c r="A31" t="s">
        <v>210</v>
      </c>
      <c r="C31" s="139">
        <f>$B$17*B30</f>
        <v>37500</v>
      </c>
      <c r="D31" s="139">
        <f>$B$17*C30</f>
        <v>30000</v>
      </c>
      <c r="E31" s="139">
        <f>$B$17*D30</f>
        <v>22500</v>
      </c>
      <c r="F31" s="139">
        <f>$B$17*E30</f>
        <v>15000</v>
      </c>
      <c r="G31" s="139">
        <f>$B$17*F30</f>
        <v>7500</v>
      </c>
      <c r="H31" s="40">
        <f>SUM(B31:G31)</f>
        <v>112500</v>
      </c>
    </row>
    <row r="32" spans="1:17">
      <c r="A32" t="s">
        <v>1191</v>
      </c>
      <c r="C32" s="167">
        <v>0.3</v>
      </c>
      <c r="D32" s="167">
        <v>0.3</v>
      </c>
      <c r="E32" s="167">
        <v>0.3</v>
      </c>
      <c r="F32" s="167">
        <v>0.3</v>
      </c>
      <c r="G32" s="167">
        <v>0.3</v>
      </c>
      <c r="H32" s="40"/>
    </row>
    <row r="33" spans="1:8">
      <c r="A33" t="s">
        <v>1192</v>
      </c>
      <c r="C33">
        <f>$B$19*C31</f>
        <v>11250</v>
      </c>
      <c r="D33">
        <f>$B$19*D31</f>
        <v>9000</v>
      </c>
      <c r="E33">
        <f>$B$19*E31</f>
        <v>6750</v>
      </c>
      <c r="F33">
        <f>$B$19*F31</f>
        <v>4500</v>
      </c>
      <c r="G33">
        <f>$B$19*G31</f>
        <v>2250</v>
      </c>
      <c r="H33" s="40">
        <f>SUM(B33:G33)</f>
        <v>33750</v>
      </c>
    </row>
    <row r="35" spans="1:8">
      <c r="A35" t="s">
        <v>1185</v>
      </c>
      <c r="B35" s="40">
        <f t="shared" ref="B35:H35" si="2">B24</f>
        <v>25000</v>
      </c>
      <c r="C35" s="40">
        <f t="shared" si="2"/>
        <v>75000</v>
      </c>
      <c r="D35" s="40">
        <f t="shared" si="2"/>
        <v>75000</v>
      </c>
      <c r="E35" s="40">
        <f t="shared" si="2"/>
        <v>75000</v>
      </c>
      <c r="F35" s="40">
        <f t="shared" si="2"/>
        <v>75000</v>
      </c>
      <c r="G35" s="40">
        <f t="shared" si="2"/>
        <v>75000</v>
      </c>
      <c r="H35" s="40">
        <f t="shared" si="2"/>
        <v>400000</v>
      </c>
    </row>
    <row r="36" spans="1:8">
      <c r="A36" t="s">
        <v>1193</v>
      </c>
      <c r="B36" s="40">
        <f t="shared" ref="B36:G36" si="3">B33</f>
        <v>0</v>
      </c>
      <c r="C36" s="40">
        <f t="shared" si="3"/>
        <v>11250</v>
      </c>
      <c r="D36" s="40">
        <f t="shared" si="3"/>
        <v>9000</v>
      </c>
      <c r="E36" s="40">
        <f t="shared" si="3"/>
        <v>6750</v>
      </c>
      <c r="F36" s="40">
        <f t="shared" si="3"/>
        <v>4500</v>
      </c>
      <c r="G36" s="40">
        <f t="shared" si="3"/>
        <v>2250</v>
      </c>
      <c r="H36" s="40"/>
    </row>
    <row r="37" spans="1:8">
      <c r="A37" t="s">
        <v>1194</v>
      </c>
      <c r="B37" s="40">
        <f t="shared" ref="B37:G37" si="4">B28</f>
        <v>2812.5</v>
      </c>
      <c r="C37" s="40">
        <f t="shared" si="4"/>
        <v>8437.5</v>
      </c>
      <c r="D37" s="40">
        <f t="shared" si="4"/>
        <v>8437.5</v>
      </c>
      <c r="E37" s="40">
        <f t="shared" si="4"/>
        <v>8437.5</v>
      </c>
      <c r="F37" s="40">
        <f t="shared" si="4"/>
        <v>8437.5</v>
      </c>
      <c r="G37" s="40">
        <f t="shared" si="4"/>
        <v>8437.5</v>
      </c>
      <c r="H37" s="40"/>
    </row>
    <row r="38" spans="1:8">
      <c r="A38" t="s">
        <v>596</v>
      </c>
      <c r="B38" s="40">
        <f>B24-B28-B33</f>
        <v>22187.5</v>
      </c>
      <c r="C38" s="40">
        <f>C24-C28-C33+C31</f>
        <v>92812.5</v>
      </c>
      <c r="D38" s="40">
        <f>D24-D28-D33+D31</f>
        <v>87562.5</v>
      </c>
      <c r="E38" s="40">
        <f>E24-E28-E33+E31</f>
        <v>82312.5</v>
      </c>
      <c r="F38" s="40">
        <f>F24-F28-F33+F31</f>
        <v>77062.5</v>
      </c>
      <c r="G38" s="40">
        <f>G24-G28-G33+G31</f>
        <v>71812.5</v>
      </c>
    </row>
    <row r="40" spans="1:8">
      <c r="A40" t="s">
        <v>867</v>
      </c>
      <c r="B40" s="23">
        <v>7.0000000000000007E-2</v>
      </c>
    </row>
    <row r="41" spans="1:8">
      <c r="A41" t="s">
        <v>786</v>
      </c>
      <c r="B41" s="139">
        <f>NPV(B40,C38:G38)+B38</f>
        <v>362592.08413419215</v>
      </c>
    </row>
    <row r="44" spans="1:8">
      <c r="A44" t="s">
        <v>1195</v>
      </c>
    </row>
    <row r="46" spans="1:8">
      <c r="A46" t="s">
        <v>582</v>
      </c>
      <c r="B46" s="139">
        <f>B4</f>
        <v>1000000</v>
      </c>
    </row>
    <row r="47" spans="1:8">
      <c r="A47" t="s">
        <v>1196</v>
      </c>
      <c r="B47" s="40">
        <f>B6</f>
        <v>300000</v>
      </c>
    </row>
    <row r="48" spans="1:8">
      <c r="A48" t="s">
        <v>551</v>
      </c>
      <c r="B48" s="40">
        <f>B47*B20</f>
        <v>45000</v>
      </c>
    </row>
    <row r="49" spans="1:2">
      <c r="A49" t="s">
        <v>580</v>
      </c>
      <c r="B49" s="40">
        <f>B9</f>
        <v>600000</v>
      </c>
    </row>
    <row r="50" spans="1:2">
      <c r="A50" t="s">
        <v>1197</v>
      </c>
      <c r="B50" s="139">
        <f>B46-B48-B49</f>
        <v>355000</v>
      </c>
    </row>
  </sheetData>
  <phoneticPr fontId="39" type="noConversion"/>
  <pageMargins left="0.75" right="0.75" top="1" bottom="1" header="0.5" footer="0.5"/>
  <pageSetup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F33"/>
  <sheetViews>
    <sheetView workbookViewId="0">
      <selection activeCell="D32" sqref="D32"/>
    </sheetView>
  </sheetViews>
  <sheetFormatPr defaultRowHeight="12.5"/>
  <cols>
    <col min="1" max="1" width="38.1796875" customWidth="1"/>
    <col min="2" max="2" width="12.1796875" customWidth="1"/>
    <col min="3" max="3" width="11.7265625" bestFit="1" customWidth="1"/>
    <col min="4" max="4" width="11.7265625" customWidth="1"/>
    <col min="5" max="5" width="36" customWidth="1"/>
    <col min="6" max="6" width="12.26953125" bestFit="1" customWidth="1"/>
    <col min="9" max="9" width="11.26953125" customWidth="1"/>
  </cols>
  <sheetData>
    <row r="1" spans="1:2" ht="20">
      <c r="B1" s="748" t="s">
        <v>28</v>
      </c>
    </row>
    <row r="3" spans="1:2" ht="13">
      <c r="A3" s="114" t="s">
        <v>1199</v>
      </c>
    </row>
    <row r="5" spans="1:2">
      <c r="A5" s="744" t="s">
        <v>0</v>
      </c>
      <c r="B5" s="275"/>
    </row>
    <row r="6" spans="1:2">
      <c r="A6" s="275" t="s">
        <v>1</v>
      </c>
      <c r="B6" s="745">
        <v>1000000</v>
      </c>
    </row>
    <row r="7" spans="1:2">
      <c r="A7" s="275" t="s">
        <v>2</v>
      </c>
      <c r="B7" s="746">
        <v>600000</v>
      </c>
    </row>
    <row r="8" spans="1:2">
      <c r="A8" s="275" t="s">
        <v>3</v>
      </c>
      <c r="B8" s="745">
        <f>B6-B7</f>
        <v>400000</v>
      </c>
    </row>
    <row r="9" spans="1:2">
      <c r="A9" s="275" t="s">
        <v>4</v>
      </c>
      <c r="B9" s="747">
        <v>0.15</v>
      </c>
    </row>
    <row r="10" spans="1:2">
      <c r="A10" s="275" t="s">
        <v>5</v>
      </c>
      <c r="B10" s="745">
        <f>B9*B8</f>
        <v>60000</v>
      </c>
    </row>
    <row r="12" spans="1:2">
      <c r="A12" s="275" t="s">
        <v>6</v>
      </c>
    </row>
    <row r="13" spans="1:2">
      <c r="A13" s="275" t="s">
        <v>1198</v>
      </c>
      <c r="B13" s="275">
        <v>40</v>
      </c>
    </row>
    <row r="14" spans="1:2">
      <c r="A14" s="275" t="s">
        <v>7</v>
      </c>
      <c r="B14" s="745">
        <f>B8/B13</f>
        <v>10000</v>
      </c>
    </row>
    <row r="15" spans="1:2">
      <c r="A15" s="275" t="s">
        <v>8</v>
      </c>
      <c r="B15" s="747">
        <v>0.3</v>
      </c>
    </row>
    <row r="16" spans="1:2">
      <c r="A16" s="275" t="s">
        <v>9</v>
      </c>
      <c r="B16" s="745">
        <f>B15*B14</f>
        <v>3000</v>
      </c>
    </row>
    <row r="18" spans="1:6">
      <c r="A18" s="275" t="s">
        <v>10</v>
      </c>
    </row>
    <row r="19" spans="1:6">
      <c r="A19" s="275" t="s">
        <v>1031</v>
      </c>
      <c r="B19" s="275">
        <v>5</v>
      </c>
    </row>
    <row r="20" spans="1:6">
      <c r="A20" s="275" t="s">
        <v>11</v>
      </c>
      <c r="B20" s="275"/>
    </row>
    <row r="21" spans="1:6">
      <c r="A21" s="275" t="s">
        <v>12</v>
      </c>
      <c r="B21" s="745">
        <f>B8</f>
        <v>400000</v>
      </c>
    </row>
    <row r="22" spans="1:6">
      <c r="A22" s="275" t="s">
        <v>13</v>
      </c>
      <c r="B22" s="745">
        <f>B14*B19</f>
        <v>50000</v>
      </c>
    </row>
    <row r="23" spans="1:6">
      <c r="A23" s="275" t="s">
        <v>14</v>
      </c>
      <c r="B23" s="745">
        <f>B21-B22</f>
        <v>350000</v>
      </c>
    </row>
    <row r="24" spans="1:6">
      <c r="A24" s="275" t="s">
        <v>15</v>
      </c>
      <c r="B24" s="747">
        <v>0.15</v>
      </c>
    </row>
    <row r="25" spans="1:6">
      <c r="A25" s="275" t="s">
        <v>16</v>
      </c>
      <c r="B25" s="745">
        <f>B24*B23</f>
        <v>52500</v>
      </c>
    </row>
    <row r="26" spans="1:6">
      <c r="A26" s="275"/>
      <c r="B26" s="275"/>
    </row>
    <row r="27" spans="1:6">
      <c r="A27" s="275" t="s">
        <v>17</v>
      </c>
    </row>
    <row r="28" spans="1:6">
      <c r="A28" s="275" t="s">
        <v>786</v>
      </c>
      <c r="B28" s="745">
        <f>-B10</f>
        <v>-60000</v>
      </c>
      <c r="D28" s="698" t="s">
        <v>18</v>
      </c>
      <c r="E28" s="698"/>
      <c r="F28" s="698"/>
    </row>
    <row r="29" spans="1:6">
      <c r="A29" s="275" t="s">
        <v>19</v>
      </c>
      <c r="B29" s="745">
        <f>B16</f>
        <v>3000</v>
      </c>
      <c r="D29" s="698" t="s">
        <v>20</v>
      </c>
      <c r="E29" s="698"/>
      <c r="F29" s="698"/>
    </row>
    <row r="30" spans="1:6">
      <c r="A30" s="275" t="s">
        <v>21</v>
      </c>
      <c r="B30" s="745">
        <f>B25</f>
        <v>52500</v>
      </c>
      <c r="D30" s="698" t="s">
        <v>22</v>
      </c>
      <c r="E30" s="698"/>
      <c r="F30" s="698"/>
    </row>
    <row r="31" spans="1:6">
      <c r="A31" s="275" t="s">
        <v>23</v>
      </c>
      <c r="B31" s="275">
        <f>B19</f>
        <v>5</v>
      </c>
      <c r="D31" s="698" t="s">
        <v>24</v>
      </c>
      <c r="E31" s="698"/>
      <c r="F31" s="698"/>
    </row>
    <row r="32" spans="1:6">
      <c r="A32" s="275" t="s">
        <v>822</v>
      </c>
      <c r="B32" s="743">
        <f>RATE(B31,B29,B28,B30)</f>
        <v>2.6279920183338482E-2</v>
      </c>
      <c r="D32" s="698" t="s">
        <v>25</v>
      </c>
      <c r="E32" s="698"/>
      <c r="F32" s="698"/>
    </row>
    <row r="33" spans="4:4">
      <c r="D33" s="698" t="s">
        <v>26</v>
      </c>
    </row>
  </sheetData>
  <phoneticPr fontId="39" type="noConversion"/>
  <pageMargins left="0.75" right="0.75" top="1" bottom="1" header="0.5" footer="0.5"/>
  <pageSetup scale="58"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9"/>
  <dimension ref="B1:Y240"/>
  <sheetViews>
    <sheetView workbookViewId="0"/>
  </sheetViews>
  <sheetFormatPr defaultRowHeight="12.5"/>
  <cols>
    <col min="1" max="1" width="7.7265625" customWidth="1"/>
    <col min="2" max="2" width="27.54296875" customWidth="1"/>
    <col min="3" max="3" width="10.7265625" bestFit="1" customWidth="1"/>
    <col min="4" max="4" width="11.1796875" bestFit="1" customWidth="1"/>
    <col min="5" max="5" width="21" bestFit="1" customWidth="1"/>
    <col min="6" max="6" width="11.26953125" bestFit="1" customWidth="1"/>
    <col min="7" max="7" width="20.81640625" customWidth="1"/>
    <col min="9" max="9" width="12.453125" customWidth="1"/>
    <col min="10" max="10" width="12" customWidth="1"/>
    <col min="18" max="18" width="10.453125" customWidth="1"/>
  </cols>
  <sheetData>
    <row r="1" spans="2:18" ht="13" thickBot="1"/>
    <row r="2" spans="2:18" ht="18.5" thickBot="1">
      <c r="B2" s="1525" t="s">
        <v>1009</v>
      </c>
      <c r="C2" s="1657"/>
      <c r="D2" s="1657"/>
      <c r="E2" s="1657"/>
      <c r="F2" s="1657"/>
      <c r="G2" s="1657"/>
      <c r="H2" s="1657"/>
      <c r="I2" s="1657"/>
      <c r="J2" s="1657"/>
      <c r="K2" s="1657"/>
      <c r="L2" s="1657"/>
      <c r="M2" s="1657"/>
      <c r="N2" s="1657"/>
      <c r="O2" s="1657"/>
      <c r="P2" s="1657"/>
      <c r="Q2" s="1657"/>
      <c r="R2" s="1658"/>
    </row>
    <row r="3" spans="2:18" ht="16" thickBot="1">
      <c r="B3" s="1528" t="s">
        <v>616</v>
      </c>
      <c r="C3" s="1659"/>
      <c r="D3" s="1659"/>
      <c r="E3" s="1659"/>
      <c r="F3" s="1659"/>
      <c r="G3" s="1659"/>
      <c r="H3" s="1659"/>
      <c r="I3" s="1659"/>
      <c r="J3" s="1659"/>
      <c r="K3" s="1659"/>
      <c r="L3" s="1659"/>
      <c r="M3" s="1659"/>
      <c r="N3" s="1659"/>
      <c r="O3" s="1659"/>
      <c r="P3" s="1659"/>
      <c r="Q3" s="1659"/>
      <c r="R3" s="1660"/>
    </row>
    <row r="4" spans="2:18" ht="13">
      <c r="B4" s="168" t="s">
        <v>1201</v>
      </c>
      <c r="I4" s="39"/>
      <c r="J4" s="39"/>
      <c r="K4" s="39"/>
      <c r="L4" s="39"/>
      <c r="R4" s="126"/>
    </row>
    <row r="5" spans="2:18" ht="13">
      <c r="B5" s="1589" t="s">
        <v>1089</v>
      </c>
      <c r="C5" s="1668"/>
      <c r="D5" s="1668"/>
      <c r="E5" s="1668"/>
      <c r="F5" s="1668"/>
      <c r="G5" s="1668"/>
      <c r="H5" s="1668"/>
      <c r="I5" s="39"/>
      <c r="J5" s="39"/>
      <c r="K5" s="39"/>
      <c r="L5" s="39"/>
      <c r="R5" s="126"/>
    </row>
    <row r="6" spans="2:18">
      <c r="B6" s="1669" t="s">
        <v>617</v>
      </c>
      <c r="C6" s="1590"/>
      <c r="D6" s="1590"/>
      <c r="E6" s="1590"/>
      <c r="F6" s="1590"/>
      <c r="G6" s="1590"/>
      <c r="H6" s="1590"/>
      <c r="I6" s="39"/>
      <c r="J6" s="39"/>
      <c r="K6" s="39"/>
      <c r="L6" s="39"/>
      <c r="R6" s="126"/>
    </row>
    <row r="7" spans="2:18" ht="13.5" thickBot="1">
      <c r="B7" s="430"/>
      <c r="C7" s="44"/>
      <c r="D7" s="44"/>
      <c r="E7" s="44"/>
      <c r="F7" s="44"/>
      <c r="G7" s="44"/>
      <c r="H7" s="44"/>
      <c r="I7" s="39"/>
      <c r="J7" s="39"/>
      <c r="K7" s="39"/>
      <c r="L7" s="39"/>
      <c r="R7" s="126"/>
    </row>
    <row r="8" spans="2:18" ht="13.5" thickBot="1">
      <c r="B8" s="1531" t="s">
        <v>207</v>
      </c>
      <c r="C8" s="1532"/>
      <c r="D8" s="1532"/>
      <c r="E8" s="1532"/>
      <c r="F8" s="1532"/>
      <c r="G8" s="1533"/>
      <c r="H8" s="39"/>
      <c r="I8" s="39"/>
      <c r="J8" s="39"/>
      <c r="K8" s="39"/>
      <c r="L8" s="39"/>
      <c r="R8" s="126"/>
    </row>
    <row r="9" spans="2:18" ht="13.5" thickBot="1">
      <c r="B9" s="276" t="s">
        <v>618</v>
      </c>
      <c r="C9" s="279">
        <v>1500000</v>
      </c>
      <c r="D9" s="278"/>
      <c r="E9" s="243" t="s">
        <v>619</v>
      </c>
      <c r="F9" s="277"/>
      <c r="G9" s="278"/>
      <c r="H9" s="39"/>
      <c r="I9" s="39"/>
      <c r="J9" s="39"/>
      <c r="K9" s="39"/>
      <c r="L9" s="39"/>
      <c r="R9" s="126"/>
    </row>
    <row r="10" spans="2:18">
      <c r="B10" s="171" t="s">
        <v>620</v>
      </c>
      <c r="C10" s="151">
        <v>0.5</v>
      </c>
      <c r="D10" s="146" t="s">
        <v>621</v>
      </c>
      <c r="E10" s="171" t="s">
        <v>622</v>
      </c>
      <c r="F10" s="150">
        <v>2000000</v>
      </c>
      <c r="G10" s="146"/>
      <c r="H10" s="39"/>
      <c r="I10" s="39"/>
      <c r="J10" s="39"/>
      <c r="K10" s="39"/>
      <c r="L10" s="39"/>
      <c r="R10" s="126"/>
    </row>
    <row r="11" spans="2:18">
      <c r="B11" s="171" t="s">
        <v>623</v>
      </c>
      <c r="C11" s="362">
        <v>200000</v>
      </c>
      <c r="D11" s="146"/>
      <c r="E11" s="171" t="s">
        <v>624</v>
      </c>
      <c r="F11" s="152">
        <v>5</v>
      </c>
      <c r="G11" s="146" t="s">
        <v>208</v>
      </c>
      <c r="H11" s="39"/>
      <c r="I11" s="39"/>
      <c r="J11" s="39"/>
      <c r="K11" s="39"/>
      <c r="L11" s="39"/>
      <c r="R11" s="126"/>
    </row>
    <row r="12" spans="2:18">
      <c r="B12" s="171" t="s">
        <v>625</v>
      </c>
      <c r="C12" s="451">
        <v>2500000</v>
      </c>
      <c r="D12" s="146"/>
      <c r="E12" s="171" t="s">
        <v>284</v>
      </c>
      <c r="F12" s="362">
        <f>1800000</f>
        <v>1800000</v>
      </c>
      <c r="G12" s="146"/>
      <c r="H12" s="39"/>
      <c r="I12" s="39"/>
      <c r="J12" s="39"/>
      <c r="K12" s="39"/>
      <c r="L12" s="39"/>
      <c r="R12" s="126"/>
    </row>
    <row r="13" spans="2:18" ht="13" thickBot="1">
      <c r="B13" s="171"/>
      <c r="C13" s="39"/>
      <c r="D13" s="146"/>
      <c r="E13" s="171" t="s">
        <v>364</v>
      </c>
      <c r="F13" s="362">
        <f>0.875*F12</f>
        <v>1575000</v>
      </c>
      <c r="G13" s="146"/>
      <c r="H13" s="39"/>
      <c r="I13" s="39"/>
      <c r="J13" s="39"/>
      <c r="K13" s="39"/>
      <c r="L13" s="39"/>
      <c r="R13" s="126"/>
    </row>
    <row r="14" spans="2:18" ht="13.5" thickBot="1">
      <c r="B14" s="243" t="s">
        <v>626</v>
      </c>
      <c r="C14" s="39"/>
      <c r="D14" s="146"/>
      <c r="E14" s="171" t="s">
        <v>627</v>
      </c>
      <c r="F14" s="362">
        <f>0.125*F12</f>
        <v>225000</v>
      </c>
      <c r="G14" s="146"/>
      <c r="H14" s="39"/>
      <c r="I14" s="39"/>
      <c r="J14" s="39"/>
      <c r="K14" s="39"/>
      <c r="L14" s="39"/>
      <c r="R14" s="126"/>
    </row>
    <row r="15" spans="2:18">
      <c r="B15" s="171" t="s">
        <v>628</v>
      </c>
      <c r="C15" s="362">
        <v>200000</v>
      </c>
      <c r="D15" s="146"/>
      <c r="E15" s="171" t="s">
        <v>629</v>
      </c>
      <c r="F15" s="362">
        <v>3000000</v>
      </c>
      <c r="G15" s="146"/>
      <c r="H15" s="39"/>
      <c r="I15" s="39"/>
      <c r="J15" s="39"/>
      <c r="K15" s="39"/>
      <c r="L15" s="39"/>
      <c r="R15" s="126"/>
    </row>
    <row r="16" spans="2:18">
      <c r="B16" s="171" t="s">
        <v>630</v>
      </c>
      <c r="C16" s="362">
        <v>15</v>
      </c>
      <c r="D16" s="146" t="s">
        <v>208</v>
      </c>
      <c r="E16" s="171" t="s">
        <v>368</v>
      </c>
      <c r="F16" s="452">
        <v>0.7605558</v>
      </c>
      <c r="G16" s="146"/>
      <c r="H16" s="39"/>
      <c r="I16" s="39"/>
      <c r="J16" s="39"/>
      <c r="K16" s="39"/>
      <c r="L16" s="39"/>
      <c r="R16" s="126"/>
    </row>
    <row r="17" spans="2:18">
      <c r="B17" s="171" t="s">
        <v>287</v>
      </c>
      <c r="C17" s="364">
        <f>0.5</f>
        <v>0.5</v>
      </c>
      <c r="D17" s="308" t="s">
        <v>631</v>
      </c>
      <c r="E17" s="171" t="s">
        <v>211</v>
      </c>
      <c r="F17" s="362">
        <f>F16*F12</f>
        <v>1369000.44</v>
      </c>
      <c r="G17" s="146"/>
      <c r="H17" s="39"/>
      <c r="I17" s="39"/>
      <c r="J17" s="39"/>
      <c r="K17" s="39"/>
      <c r="L17" s="39"/>
      <c r="R17" s="126"/>
    </row>
    <row r="18" spans="2:18" ht="13" thickBot="1">
      <c r="B18" s="171"/>
      <c r="C18" s="39"/>
      <c r="D18" s="146"/>
      <c r="E18" s="171" t="s">
        <v>571</v>
      </c>
      <c r="F18" s="151">
        <v>0.1</v>
      </c>
      <c r="G18" s="146"/>
      <c r="H18" s="39"/>
      <c r="I18" s="39"/>
      <c r="J18" s="39"/>
      <c r="K18" s="39"/>
      <c r="L18" s="39"/>
      <c r="R18" s="126"/>
    </row>
    <row r="19" spans="2:18" ht="13.5" thickBot="1">
      <c r="B19" s="243" t="s">
        <v>363</v>
      </c>
      <c r="C19" s="39"/>
      <c r="D19" s="146"/>
      <c r="E19" s="171" t="s">
        <v>213</v>
      </c>
      <c r="F19" s="453">
        <v>10</v>
      </c>
      <c r="G19" s="146" t="s">
        <v>1202</v>
      </c>
      <c r="H19" s="39"/>
      <c r="I19" s="39"/>
      <c r="J19" s="39"/>
      <c r="K19" s="39"/>
      <c r="L19" s="39"/>
      <c r="R19" s="126"/>
    </row>
    <row r="20" spans="2:18">
      <c r="B20" s="171" t="s">
        <v>632</v>
      </c>
      <c r="C20" s="364">
        <v>0.3</v>
      </c>
      <c r="D20" s="146"/>
      <c r="E20" s="171" t="s">
        <v>633</v>
      </c>
      <c r="F20" s="422">
        <f>F12-F17</f>
        <v>430999.56000000006</v>
      </c>
      <c r="G20" s="146"/>
      <c r="H20" s="39"/>
      <c r="I20" s="39"/>
      <c r="J20" s="39"/>
      <c r="K20" s="39"/>
      <c r="L20" s="39"/>
      <c r="R20" s="126"/>
    </row>
    <row r="21" spans="2:18" ht="13" thickBot="1">
      <c r="B21" s="228" t="s">
        <v>523</v>
      </c>
      <c r="C21" s="750">
        <v>31.5</v>
      </c>
      <c r="D21" s="149"/>
      <c r="E21" s="228"/>
      <c r="F21" s="63"/>
      <c r="G21" s="149"/>
      <c r="H21" s="39"/>
      <c r="I21" s="39"/>
      <c r="J21" s="39"/>
      <c r="K21" s="39"/>
      <c r="L21" s="39"/>
      <c r="R21" s="126"/>
    </row>
    <row r="22" spans="2:18">
      <c r="B22" s="433" t="s">
        <v>634</v>
      </c>
      <c r="C22" s="39"/>
      <c r="D22" s="299"/>
      <c r="E22" s="39"/>
      <c r="F22" s="39"/>
      <c r="G22" s="39"/>
      <c r="H22" s="39"/>
      <c r="I22" s="39"/>
      <c r="J22" s="39"/>
      <c r="K22" s="39"/>
      <c r="L22" s="39"/>
      <c r="R22" s="126"/>
    </row>
    <row r="23" spans="2:18">
      <c r="B23" s="171"/>
      <c r="C23" s="39"/>
      <c r="D23" s="299"/>
      <c r="E23" s="39"/>
      <c r="F23" s="39"/>
      <c r="G23" s="39"/>
      <c r="H23" s="39"/>
      <c r="I23" s="39"/>
      <c r="J23" s="39"/>
      <c r="K23" s="39"/>
      <c r="L23" s="39"/>
      <c r="R23" s="126"/>
    </row>
    <row r="24" spans="2:18">
      <c r="B24" s="171"/>
      <c r="C24" s="39"/>
      <c r="D24" s="299"/>
      <c r="E24" s="39"/>
      <c r="F24" s="39"/>
      <c r="G24" s="39"/>
      <c r="H24" s="39"/>
      <c r="I24" s="39"/>
      <c r="J24" s="39"/>
      <c r="K24" s="39"/>
      <c r="L24" s="39"/>
      <c r="R24" s="126"/>
    </row>
    <row r="25" spans="2:18">
      <c r="B25" s="171"/>
      <c r="C25" s="39"/>
      <c r="D25" s="299"/>
      <c r="E25" s="39"/>
      <c r="F25" s="39"/>
      <c r="G25" s="39"/>
      <c r="H25" s="39"/>
      <c r="I25" s="39"/>
      <c r="J25" s="39"/>
      <c r="K25" s="39"/>
      <c r="L25" s="39"/>
      <c r="R25" s="126"/>
    </row>
    <row r="26" spans="2:18" ht="13" thickBot="1">
      <c r="B26" s="460"/>
      <c r="C26" s="81"/>
      <c r="D26" s="81"/>
      <c r="E26" s="81"/>
      <c r="F26" s="81"/>
      <c r="G26" s="81"/>
      <c r="H26" s="39"/>
      <c r="I26" s="39"/>
      <c r="J26" s="39"/>
      <c r="K26" s="39"/>
      <c r="L26" s="39"/>
      <c r="R26" s="126"/>
    </row>
    <row r="27" spans="2:18" ht="13.5" thickBot="1">
      <c r="B27" s="1547" t="s">
        <v>635</v>
      </c>
      <c r="C27" s="1538"/>
      <c r="D27" s="1538"/>
      <c r="E27" s="1539"/>
      <c r="F27" s="39"/>
      <c r="G27" s="39"/>
      <c r="H27" s="39"/>
      <c r="I27" s="39"/>
      <c r="J27" s="39"/>
      <c r="K27" s="39"/>
      <c r="L27" s="39"/>
      <c r="R27" s="126"/>
    </row>
    <row r="28" spans="2:18" ht="13">
      <c r="B28" s="171"/>
      <c r="C28" s="396"/>
      <c r="D28" s="396"/>
      <c r="E28" s="454" t="s">
        <v>636</v>
      </c>
      <c r="F28" s="39"/>
      <c r="G28" s="39"/>
      <c r="H28" s="39"/>
      <c r="I28" s="39"/>
      <c r="J28" s="39"/>
      <c r="K28" s="39"/>
      <c r="L28" s="39"/>
      <c r="R28" s="126"/>
    </row>
    <row r="29" spans="2:18" ht="13.5" thickBot="1">
      <c r="B29" s="171"/>
      <c r="C29" s="397" t="s">
        <v>637</v>
      </c>
      <c r="D29" s="397" t="s">
        <v>638</v>
      </c>
      <c r="E29" s="397" t="s">
        <v>639</v>
      </c>
      <c r="F29" s="39"/>
      <c r="G29" s="39"/>
      <c r="H29" s="39"/>
      <c r="I29" s="39"/>
      <c r="J29" s="39"/>
      <c r="K29" s="39"/>
      <c r="L29" s="39"/>
      <c r="R29" s="126"/>
    </row>
    <row r="30" spans="2:18">
      <c r="B30" s="171" t="s">
        <v>640</v>
      </c>
      <c r="C30" s="299">
        <f>C9</f>
        <v>1500000</v>
      </c>
      <c r="D30" s="299">
        <f>C9</f>
        <v>1500000</v>
      </c>
      <c r="E30" s="455">
        <f>C30-D30</f>
        <v>0</v>
      </c>
      <c r="F30" s="39"/>
      <c r="G30" s="39"/>
      <c r="H30" s="39"/>
      <c r="I30" s="39"/>
      <c r="J30" s="39"/>
      <c r="K30" s="39"/>
      <c r="L30" s="39"/>
      <c r="R30" s="126"/>
    </row>
    <row r="31" spans="2:18">
      <c r="B31" s="171" t="s">
        <v>641</v>
      </c>
      <c r="C31" s="52">
        <f>0.5*C30</f>
        <v>750000</v>
      </c>
      <c r="D31" s="52">
        <f>C31</f>
        <v>750000</v>
      </c>
      <c r="E31" s="455">
        <f>C31-D31</f>
        <v>0</v>
      </c>
      <c r="F31" s="39"/>
      <c r="G31" s="39"/>
      <c r="H31" s="39"/>
      <c r="I31" s="39"/>
      <c r="J31" s="39"/>
      <c r="K31" s="39"/>
      <c r="L31" s="39"/>
      <c r="R31" s="126"/>
    </row>
    <row r="32" spans="2:18">
      <c r="B32" s="171" t="s">
        <v>642</v>
      </c>
      <c r="C32" s="34">
        <f>C30-C31</f>
        <v>750000</v>
      </c>
      <c r="D32" s="34">
        <f>D30-D31</f>
        <v>750000</v>
      </c>
      <c r="E32" s="455">
        <f>C32-D32</f>
        <v>0</v>
      </c>
      <c r="F32" s="39"/>
      <c r="G32" s="39"/>
      <c r="H32" s="39"/>
      <c r="I32" s="39"/>
      <c r="J32" s="39"/>
      <c r="K32" s="39"/>
      <c r="L32" s="39"/>
      <c r="R32" s="126"/>
    </row>
    <row r="33" spans="2:18">
      <c r="B33" s="171" t="s">
        <v>643</v>
      </c>
      <c r="C33" s="52">
        <f>C11</f>
        <v>200000</v>
      </c>
      <c r="D33" s="52">
        <f>C33</f>
        <v>200000</v>
      </c>
      <c r="E33" s="455">
        <f>C33-D33</f>
        <v>0</v>
      </c>
      <c r="F33" s="39"/>
      <c r="G33" s="39"/>
      <c r="H33" s="39"/>
      <c r="I33" s="39"/>
      <c r="J33" s="39"/>
      <c r="K33" s="39"/>
      <c r="L33" s="39"/>
      <c r="R33" s="126"/>
    </row>
    <row r="34" spans="2:18">
      <c r="B34" s="171" t="s">
        <v>644</v>
      </c>
      <c r="C34" s="34">
        <f>C32-C33</f>
        <v>550000</v>
      </c>
      <c r="D34" s="34">
        <f>D32-D33</f>
        <v>550000</v>
      </c>
      <c r="E34" s="455">
        <f>C34-D34</f>
        <v>0</v>
      </c>
      <c r="F34" s="39"/>
      <c r="G34" s="39"/>
      <c r="H34" s="39"/>
      <c r="I34" s="39"/>
      <c r="J34" s="39"/>
      <c r="K34" s="39"/>
      <c r="L34" s="39"/>
      <c r="R34" s="126"/>
    </row>
    <row r="35" spans="2:18">
      <c r="B35" s="171" t="s">
        <v>645</v>
      </c>
      <c r="C35" s="34"/>
      <c r="D35" s="34"/>
      <c r="E35" s="455"/>
      <c r="F35" s="39"/>
      <c r="G35" s="39"/>
      <c r="H35" s="39"/>
      <c r="I35" s="39"/>
      <c r="J35" s="39"/>
      <c r="K35" s="39"/>
      <c r="L35" s="39"/>
      <c r="R35" s="126"/>
    </row>
    <row r="36" spans="2:18">
      <c r="B36" s="171" t="s">
        <v>287</v>
      </c>
      <c r="C36" s="34">
        <f>C17*C15</f>
        <v>100000</v>
      </c>
      <c r="D36" s="34">
        <f>C17*C15</f>
        <v>100000</v>
      </c>
      <c r="E36" s="455">
        <f t="shared" ref="E36:E42" si="0">C36-D36</f>
        <v>0</v>
      </c>
      <c r="F36" s="39"/>
      <c r="G36" s="39"/>
      <c r="H36" s="39"/>
      <c r="I36" s="39"/>
      <c r="J36" s="39"/>
      <c r="K36" s="39"/>
      <c r="L36" s="39"/>
      <c r="R36" s="126"/>
    </row>
    <row r="37" spans="2:18">
      <c r="B37" s="171" t="s">
        <v>646</v>
      </c>
      <c r="C37" s="34">
        <v>0</v>
      </c>
      <c r="D37" s="34">
        <f>C15</f>
        <v>200000</v>
      </c>
      <c r="E37" s="309">
        <f t="shared" si="0"/>
        <v>-200000</v>
      </c>
      <c r="F37" s="39"/>
      <c r="G37" s="39"/>
      <c r="H37" s="39"/>
      <c r="I37" s="39"/>
      <c r="J37" s="39"/>
      <c r="K37" s="39"/>
      <c r="L37" s="39"/>
      <c r="R37" s="126"/>
    </row>
    <row r="38" spans="2:18">
      <c r="B38" s="171" t="s">
        <v>647</v>
      </c>
      <c r="C38" s="34">
        <f>F18*F17</f>
        <v>136900.04399999999</v>
      </c>
      <c r="D38" s="34">
        <v>0</v>
      </c>
      <c r="E38" s="309">
        <f t="shared" si="0"/>
        <v>136900.04399999999</v>
      </c>
      <c r="F38" s="39"/>
      <c r="G38" s="39"/>
      <c r="H38" s="39"/>
      <c r="I38" s="39"/>
      <c r="J38" s="39"/>
      <c r="K38" s="39"/>
      <c r="L38" s="39"/>
      <c r="R38" s="126"/>
    </row>
    <row r="39" spans="2:18">
      <c r="B39" s="171" t="s">
        <v>648</v>
      </c>
      <c r="C39" s="34">
        <f>F13/C21</f>
        <v>50000</v>
      </c>
      <c r="D39" s="34">
        <v>0</v>
      </c>
      <c r="E39" s="309">
        <f t="shared" si="0"/>
        <v>50000</v>
      </c>
      <c r="F39" s="39"/>
      <c r="G39" s="39"/>
      <c r="H39" s="39"/>
      <c r="I39" s="39"/>
      <c r="J39" s="39"/>
      <c r="K39" s="39"/>
      <c r="L39" s="39"/>
      <c r="R39" s="126"/>
    </row>
    <row r="40" spans="2:18">
      <c r="B40" s="171" t="s">
        <v>441</v>
      </c>
      <c r="C40" s="34">
        <f>C32-C33-C36-C37-C38-C39</f>
        <v>263099.95600000001</v>
      </c>
      <c r="D40" s="34">
        <f>D32-D33-D36-D37-D38-D39</f>
        <v>250000</v>
      </c>
      <c r="E40" s="309">
        <f t="shared" si="0"/>
        <v>13099.956000000006</v>
      </c>
      <c r="F40" s="39"/>
      <c r="G40" s="39"/>
      <c r="H40" s="39"/>
      <c r="I40" s="39"/>
      <c r="J40" s="39"/>
      <c r="K40" s="39"/>
      <c r="L40" s="39"/>
      <c r="R40" s="126"/>
    </row>
    <row r="41" spans="2:18">
      <c r="B41" s="171" t="s">
        <v>649</v>
      </c>
      <c r="C41" s="34">
        <f>C40*$C$20</f>
        <v>78929.986799999999</v>
      </c>
      <c r="D41" s="34">
        <f>D40*$C$20</f>
        <v>75000</v>
      </c>
      <c r="E41" s="309">
        <f t="shared" si="0"/>
        <v>3929.9867999999988</v>
      </c>
      <c r="F41" s="39"/>
      <c r="G41" s="39"/>
      <c r="H41" s="39"/>
      <c r="I41" s="39"/>
      <c r="J41" s="39"/>
      <c r="K41" s="39"/>
      <c r="L41" s="39"/>
      <c r="R41" s="126"/>
    </row>
    <row r="42" spans="2:18">
      <c r="B42" s="171" t="s">
        <v>650</v>
      </c>
      <c r="C42" s="34">
        <f>C40-C41</f>
        <v>184169.96919999999</v>
      </c>
      <c r="D42" s="34">
        <f>D40-D41</f>
        <v>175000</v>
      </c>
      <c r="E42" s="309">
        <f t="shared" si="0"/>
        <v>9169.9691999999923</v>
      </c>
      <c r="F42" s="39"/>
      <c r="G42" s="39"/>
      <c r="H42" s="39"/>
      <c r="I42" s="39"/>
      <c r="J42" s="39"/>
      <c r="K42" s="39"/>
      <c r="L42" s="39"/>
      <c r="R42" s="126"/>
    </row>
    <row r="43" spans="2:18">
      <c r="B43" s="171"/>
      <c r="C43" s="34"/>
      <c r="D43" s="34"/>
      <c r="E43" s="309"/>
      <c r="F43" s="39"/>
      <c r="G43" s="39"/>
      <c r="H43" s="39"/>
      <c r="I43" s="39"/>
      <c r="J43" s="39"/>
      <c r="K43" s="39"/>
      <c r="L43" s="39"/>
      <c r="R43" s="126"/>
    </row>
    <row r="44" spans="2:18">
      <c r="B44" s="171" t="s">
        <v>651</v>
      </c>
      <c r="C44" s="34">
        <f>C39</f>
        <v>50000</v>
      </c>
      <c r="D44" s="34">
        <v>0</v>
      </c>
      <c r="E44" s="309">
        <f>C44-D44</f>
        <v>50000</v>
      </c>
      <c r="F44" s="39"/>
      <c r="G44" s="39"/>
      <c r="H44" s="39"/>
      <c r="I44" s="39"/>
      <c r="J44" s="39"/>
      <c r="K44" s="39"/>
      <c r="L44" s="39"/>
      <c r="R44" s="126"/>
    </row>
    <row r="45" spans="2:18">
      <c r="B45" s="171" t="s">
        <v>652</v>
      </c>
      <c r="C45" s="34">
        <v>0</v>
      </c>
      <c r="D45" s="34">
        <v>0</v>
      </c>
      <c r="E45" s="309">
        <f>C45-D45</f>
        <v>0</v>
      </c>
      <c r="F45" s="39"/>
      <c r="G45" s="39"/>
      <c r="H45" s="39"/>
      <c r="I45" s="39"/>
      <c r="J45" s="39"/>
      <c r="K45" s="39"/>
      <c r="L45" s="39"/>
      <c r="R45" s="126"/>
    </row>
    <row r="46" spans="2:18" ht="13.5" thickBot="1">
      <c r="B46" s="375" t="s">
        <v>409</v>
      </c>
      <c r="C46" s="456">
        <f>C42+C44+C45</f>
        <v>234169.96919999999</v>
      </c>
      <c r="D46" s="456">
        <f>D42+D44+D45</f>
        <v>175000</v>
      </c>
      <c r="E46" s="457">
        <f>C46-D46</f>
        <v>59169.969199999992</v>
      </c>
      <c r="F46" s="39"/>
      <c r="G46" s="114" t="s">
        <v>1086</v>
      </c>
      <c r="H46" s="39"/>
      <c r="I46" s="39"/>
      <c r="J46" s="39"/>
      <c r="K46" s="39"/>
      <c r="L46" s="39"/>
      <c r="R46" s="126"/>
    </row>
    <row r="47" spans="2:18" ht="13" thickBot="1">
      <c r="B47" s="461"/>
      <c r="C47" s="81"/>
      <c r="D47" s="81"/>
      <c r="E47" s="81"/>
      <c r="F47" s="81"/>
      <c r="G47" s="80"/>
      <c r="H47" s="51"/>
      <c r="I47" s="51"/>
      <c r="J47" s="51"/>
      <c r="L47" s="39"/>
      <c r="R47" s="126"/>
    </row>
    <row r="48" spans="2:18" ht="13.5" thickBot="1">
      <c r="B48" s="1667" t="s">
        <v>653</v>
      </c>
      <c r="C48" s="1584"/>
      <c r="D48" s="1584"/>
      <c r="E48" s="1585"/>
      <c r="F48" s="39"/>
      <c r="G48" s="1667" t="s">
        <v>654</v>
      </c>
      <c r="H48" s="1584"/>
      <c r="I48" s="1584"/>
      <c r="J48" s="1585"/>
      <c r="L48" s="39"/>
      <c r="R48" s="126"/>
    </row>
    <row r="49" spans="2:18">
      <c r="B49" s="171" t="s">
        <v>655</v>
      </c>
      <c r="C49" s="34"/>
      <c r="D49" s="34">
        <f>F15</f>
        <v>3000000</v>
      </c>
      <c r="E49" s="309"/>
      <c r="F49" s="39"/>
      <c r="G49" s="171" t="s">
        <v>655</v>
      </c>
      <c r="I49" s="34"/>
      <c r="J49" s="309">
        <f>F10</f>
        <v>2000000</v>
      </c>
      <c r="L49" s="39"/>
      <c r="R49" s="126"/>
    </row>
    <row r="50" spans="2:18">
      <c r="B50" s="171" t="s">
        <v>656</v>
      </c>
      <c r="C50" s="34"/>
      <c r="D50" s="52">
        <f>F17</f>
        <v>1369000.44</v>
      </c>
      <c r="E50" s="309"/>
      <c r="F50" s="39"/>
      <c r="G50" s="171" t="s">
        <v>656</v>
      </c>
      <c r="I50" s="34"/>
      <c r="J50" s="398">
        <f>F17</f>
        <v>1369000.44</v>
      </c>
      <c r="L50" s="39"/>
      <c r="R50" s="126"/>
    </row>
    <row r="51" spans="2:18">
      <c r="B51" s="171" t="s">
        <v>408</v>
      </c>
      <c r="C51" s="34"/>
      <c r="D51" s="34">
        <f>D49-D50</f>
        <v>1630999.56</v>
      </c>
      <c r="E51" s="309"/>
      <c r="F51" s="39"/>
      <c r="G51" s="171" t="s">
        <v>408</v>
      </c>
      <c r="I51" s="34"/>
      <c r="J51" s="309">
        <f>J49-J50</f>
        <v>630999.56000000006</v>
      </c>
      <c r="L51" s="39"/>
      <c r="R51" s="126"/>
    </row>
    <row r="52" spans="2:18">
      <c r="B52" s="171" t="s">
        <v>655</v>
      </c>
      <c r="C52" s="34">
        <f>D49</f>
        <v>3000000</v>
      </c>
      <c r="D52" s="34"/>
      <c r="E52" s="309"/>
      <c r="F52" s="39"/>
      <c r="G52" s="171" t="s">
        <v>655</v>
      </c>
      <c r="I52" s="34">
        <f>J49</f>
        <v>2000000</v>
      </c>
      <c r="J52" s="309"/>
      <c r="L52" s="39"/>
      <c r="R52" s="126"/>
    </row>
    <row r="53" spans="2:18">
      <c r="B53" s="171" t="s">
        <v>657</v>
      </c>
      <c r="C53" s="52">
        <f>F12-(C16+F11)*C39</f>
        <v>800000</v>
      </c>
      <c r="D53" s="34"/>
      <c r="E53" s="309"/>
      <c r="F53" s="39"/>
      <c r="G53" s="171" t="s">
        <v>657</v>
      </c>
      <c r="I53" s="52">
        <f>F12-(F11*C39)</f>
        <v>1550000</v>
      </c>
      <c r="J53" s="309"/>
      <c r="L53" s="39"/>
      <c r="R53" s="126"/>
    </row>
    <row r="54" spans="2:18">
      <c r="B54" s="171" t="s">
        <v>401</v>
      </c>
      <c r="C54" s="34">
        <f>C52-C53</f>
        <v>2200000</v>
      </c>
      <c r="D54" s="34"/>
      <c r="E54" s="126"/>
      <c r="F54" s="39"/>
      <c r="G54" s="171" t="s">
        <v>401</v>
      </c>
      <c r="I54" s="34">
        <f>I52-I53</f>
        <v>450000</v>
      </c>
      <c r="J54" s="309"/>
      <c r="L54" s="39"/>
      <c r="R54" s="126"/>
    </row>
    <row r="55" spans="2:18" ht="13" thickBot="1">
      <c r="B55" s="171" t="s">
        <v>649</v>
      </c>
      <c r="C55" s="34"/>
      <c r="D55" s="34">
        <f>C54*C20</f>
        <v>660000</v>
      </c>
      <c r="E55" s="309"/>
      <c r="F55" s="39"/>
      <c r="G55" s="171" t="s">
        <v>649</v>
      </c>
      <c r="I55" s="34"/>
      <c r="J55" s="309">
        <f>I54*C20</f>
        <v>135000</v>
      </c>
      <c r="L55" s="39"/>
      <c r="R55" s="126"/>
    </row>
    <row r="56" spans="2:18" ht="26" thickBot="1">
      <c r="B56" s="375" t="s">
        <v>658</v>
      </c>
      <c r="C56" s="376"/>
      <c r="D56" s="456">
        <f>D49-D50-D55</f>
        <v>970999.56</v>
      </c>
      <c r="E56" s="459" t="s">
        <v>1087</v>
      </c>
      <c r="F56" s="39"/>
      <c r="G56" s="168" t="s">
        <v>658</v>
      </c>
      <c r="I56" s="41"/>
      <c r="J56" s="458">
        <f>J49-J50-J55</f>
        <v>495999.56000000006</v>
      </c>
      <c r="L56" s="39"/>
      <c r="R56" s="126"/>
    </row>
    <row r="57" spans="2:18" ht="13" thickBot="1">
      <c r="B57" s="462"/>
      <c r="C57" s="80"/>
      <c r="D57" s="80"/>
      <c r="E57" s="80"/>
      <c r="F57" s="81"/>
      <c r="G57" s="228"/>
      <c r="H57" s="63"/>
      <c r="I57" s="63"/>
      <c r="J57" s="149"/>
      <c r="L57" s="39"/>
      <c r="R57" s="126"/>
    </row>
    <row r="58" spans="2:18" ht="13.5" thickBot="1">
      <c r="B58" s="1667" t="s">
        <v>659</v>
      </c>
      <c r="C58" s="1584"/>
      <c r="D58" s="1584"/>
      <c r="E58" s="1585"/>
      <c r="F58" s="39"/>
      <c r="G58" s="39"/>
      <c r="H58" s="39"/>
      <c r="I58" s="39"/>
      <c r="J58" s="39"/>
      <c r="K58" s="39"/>
      <c r="L58" s="39"/>
      <c r="R58" s="126"/>
    </row>
    <row r="59" spans="2:18" ht="13.5" thickBot="1">
      <c r="B59" s="181"/>
      <c r="C59" s="157" t="s">
        <v>660</v>
      </c>
      <c r="D59" s="157" t="s">
        <v>281</v>
      </c>
      <c r="E59" s="157" t="s">
        <v>282</v>
      </c>
      <c r="F59" s="39"/>
      <c r="G59" s="39"/>
      <c r="H59" s="39"/>
      <c r="I59" s="39"/>
      <c r="J59" s="39"/>
      <c r="K59" s="39"/>
      <c r="L59" s="39"/>
      <c r="R59" s="126"/>
    </row>
    <row r="60" spans="2:18" ht="13">
      <c r="B60" s="374" t="s">
        <v>262</v>
      </c>
      <c r="C60" s="29">
        <v>0</v>
      </c>
      <c r="D60" s="29" t="s">
        <v>661</v>
      </c>
      <c r="E60" s="405">
        <v>15</v>
      </c>
      <c r="F60" s="28"/>
      <c r="G60" s="28"/>
      <c r="H60" s="28"/>
      <c r="I60" s="28"/>
      <c r="J60" s="28"/>
      <c r="K60" s="28"/>
      <c r="L60" s="28"/>
      <c r="R60" s="126"/>
    </row>
    <row r="61" spans="2:18">
      <c r="B61" s="171" t="s">
        <v>662</v>
      </c>
      <c r="C61" s="34">
        <f>C74</f>
        <v>-495999.56000000006</v>
      </c>
      <c r="D61" s="34"/>
      <c r="E61" s="262"/>
      <c r="F61" s="39"/>
      <c r="G61" s="39"/>
      <c r="H61" s="39"/>
      <c r="I61" s="39"/>
      <c r="J61" s="39"/>
      <c r="K61" s="39"/>
      <c r="L61" s="39"/>
      <c r="R61" s="126"/>
    </row>
    <row r="62" spans="2:18">
      <c r="B62" s="171" t="s">
        <v>663</v>
      </c>
      <c r="C62" s="34"/>
      <c r="D62" s="34">
        <f>E46</f>
        <v>59169.969199999992</v>
      </c>
      <c r="E62" s="309"/>
      <c r="F62" s="39"/>
      <c r="G62" s="39"/>
      <c r="H62" s="39"/>
      <c r="I62" s="39"/>
      <c r="J62" s="39"/>
      <c r="K62" s="39"/>
      <c r="L62" s="39"/>
      <c r="R62" s="126"/>
    </row>
    <row r="63" spans="2:18">
      <c r="B63" s="171" t="s">
        <v>664</v>
      </c>
      <c r="C63" s="52"/>
      <c r="D63" s="52"/>
      <c r="E63" s="398">
        <f>D56</f>
        <v>970999.56</v>
      </c>
      <c r="F63" s="39"/>
      <c r="G63" s="39"/>
      <c r="H63" s="39"/>
      <c r="I63" s="39"/>
      <c r="J63" s="39"/>
      <c r="K63" s="39"/>
      <c r="L63" s="39"/>
      <c r="R63" s="126"/>
    </row>
    <row r="64" spans="2:18">
      <c r="B64" s="171" t="s">
        <v>292</v>
      </c>
      <c r="C64" s="299">
        <f>C61+C62+C63</f>
        <v>-495999.56000000006</v>
      </c>
      <c r="D64" s="299">
        <f>D61+D62+D63</f>
        <v>59169.969199999992</v>
      </c>
      <c r="E64" s="308">
        <f>E61+E62+E63</f>
        <v>970999.56</v>
      </c>
      <c r="F64" s="39"/>
      <c r="G64" s="39"/>
      <c r="H64" s="39"/>
      <c r="I64" s="39"/>
      <c r="J64" s="39"/>
      <c r="K64" s="39"/>
      <c r="L64" s="39"/>
      <c r="R64" s="126"/>
    </row>
    <row r="65" spans="2:25" ht="13" thickBot="1">
      <c r="B65" s="171"/>
      <c r="C65" s="299"/>
      <c r="D65" s="299"/>
      <c r="E65" s="308"/>
      <c r="F65" s="39"/>
      <c r="G65" s="39"/>
      <c r="H65" s="39"/>
      <c r="I65" s="39"/>
      <c r="J65" s="39"/>
      <c r="K65" s="39"/>
      <c r="L65" s="39"/>
      <c r="R65" s="126"/>
    </row>
    <row r="66" spans="2:25" ht="26" thickBot="1">
      <c r="B66" s="168" t="s">
        <v>665</v>
      </c>
      <c r="C66" s="155">
        <f>C75</f>
        <v>0.14096612983647905</v>
      </c>
      <c r="D66" s="39"/>
      <c r="E66" s="459" t="s">
        <v>1088</v>
      </c>
      <c r="F66" s="39"/>
      <c r="G66" s="39"/>
      <c r="H66" s="39"/>
      <c r="I66" s="39"/>
      <c r="J66" s="39"/>
      <c r="K66" s="39"/>
      <c r="L66" s="39"/>
      <c r="R66" s="126"/>
    </row>
    <row r="67" spans="2:25" ht="13" thickBot="1">
      <c r="B67" s="228"/>
      <c r="C67" s="63"/>
      <c r="D67" s="63"/>
      <c r="E67" s="149"/>
      <c r="F67" s="39"/>
      <c r="G67" s="39"/>
      <c r="H67" s="39"/>
      <c r="I67" s="39"/>
      <c r="J67" s="39"/>
      <c r="K67" s="39"/>
      <c r="L67" s="39"/>
      <c r="R67" s="126"/>
    </row>
    <row r="68" spans="2:25">
      <c r="B68" s="171"/>
      <c r="C68" s="39"/>
      <c r="D68" s="39"/>
      <c r="E68" s="39"/>
      <c r="F68" s="39"/>
      <c r="G68" s="39"/>
      <c r="H68" s="39"/>
      <c r="I68" s="39"/>
      <c r="J68" s="39"/>
      <c r="K68" s="39"/>
      <c r="L68" s="39"/>
      <c r="R68" s="126"/>
    </row>
    <row r="69" spans="2:25" ht="13" thickBot="1">
      <c r="B69" s="171"/>
      <c r="C69" s="34"/>
      <c r="E69" s="34"/>
      <c r="F69" s="39"/>
      <c r="G69" s="39"/>
      <c r="H69" s="39"/>
      <c r="I69" s="39"/>
      <c r="J69" s="39"/>
      <c r="K69" s="39"/>
      <c r="L69" s="39"/>
      <c r="R69" s="126"/>
    </row>
    <row r="70" spans="2:25" ht="13.5" thickBot="1">
      <c r="B70" s="1597" t="s">
        <v>666</v>
      </c>
      <c r="C70" s="1538"/>
      <c r="D70" s="1538"/>
      <c r="E70" s="1538"/>
      <c r="F70" s="1538"/>
      <c r="G70" s="1538"/>
      <c r="H70" s="1538"/>
      <c r="I70" s="1538"/>
      <c r="J70" s="1538"/>
      <c r="K70" s="1538"/>
      <c r="L70" s="1538"/>
      <c r="M70" s="1538"/>
      <c r="N70" s="1538"/>
      <c r="O70" s="1538"/>
      <c r="P70" s="1538"/>
      <c r="Q70" s="1538"/>
      <c r="R70" s="1539"/>
      <c r="S70" s="39"/>
      <c r="T70" s="39"/>
      <c r="U70" s="39"/>
      <c r="V70" s="39"/>
      <c r="W70" s="39"/>
      <c r="X70" s="39"/>
      <c r="Y70" s="39"/>
    </row>
    <row r="71" spans="2:25" ht="13.5" thickBot="1">
      <c r="B71" s="157" t="s">
        <v>262</v>
      </c>
      <c r="C71" s="157">
        <v>0</v>
      </c>
      <c r="D71" s="157">
        <f t="shared" ref="D71:R71" si="1">1+C71</f>
        <v>1</v>
      </c>
      <c r="E71" s="157">
        <f t="shared" si="1"/>
        <v>2</v>
      </c>
      <c r="F71" s="157">
        <f t="shared" si="1"/>
        <v>3</v>
      </c>
      <c r="G71" s="157">
        <f t="shared" si="1"/>
        <v>4</v>
      </c>
      <c r="H71" s="157">
        <f t="shared" si="1"/>
        <v>5</v>
      </c>
      <c r="I71" s="157">
        <f t="shared" si="1"/>
        <v>6</v>
      </c>
      <c r="J71" s="157">
        <f t="shared" si="1"/>
        <v>7</v>
      </c>
      <c r="K71" s="157">
        <f t="shared" si="1"/>
        <v>8</v>
      </c>
      <c r="L71" s="157">
        <f t="shared" si="1"/>
        <v>9</v>
      </c>
      <c r="M71" s="157">
        <f t="shared" si="1"/>
        <v>10</v>
      </c>
      <c r="N71" s="157">
        <f t="shared" si="1"/>
        <v>11</v>
      </c>
      <c r="O71" s="157">
        <f t="shared" si="1"/>
        <v>12</v>
      </c>
      <c r="P71" s="157">
        <f t="shared" si="1"/>
        <v>13</v>
      </c>
      <c r="Q71" s="157">
        <f t="shared" si="1"/>
        <v>14</v>
      </c>
      <c r="R71" s="157">
        <f t="shared" si="1"/>
        <v>15</v>
      </c>
      <c r="S71" s="29"/>
      <c r="T71" s="39"/>
      <c r="U71" s="39"/>
      <c r="V71" s="39"/>
      <c r="W71" s="39"/>
      <c r="X71" s="39"/>
      <c r="Y71" s="39"/>
    </row>
    <row r="72" spans="2:25">
      <c r="B72" s="171" t="s">
        <v>667</v>
      </c>
      <c r="C72" s="34">
        <f>IF(F11&gt;0,0,-(F20+C12))</f>
        <v>0</v>
      </c>
      <c r="D72" s="34">
        <f>$C$46</f>
        <v>234169.96919999999</v>
      </c>
      <c r="E72" s="34">
        <f t="shared" ref="E72:Q72" si="2">$C$46</f>
        <v>234169.96919999999</v>
      </c>
      <c r="F72" s="34">
        <f t="shared" si="2"/>
        <v>234169.96919999999</v>
      </c>
      <c r="G72" s="34">
        <f t="shared" si="2"/>
        <v>234169.96919999999</v>
      </c>
      <c r="H72" s="34">
        <f t="shared" si="2"/>
        <v>234169.96919999999</v>
      </c>
      <c r="I72" s="34">
        <f t="shared" si="2"/>
        <v>234169.96919999999</v>
      </c>
      <c r="J72" s="34">
        <f t="shared" si="2"/>
        <v>234169.96919999999</v>
      </c>
      <c r="K72" s="34">
        <f t="shared" si="2"/>
        <v>234169.96919999999</v>
      </c>
      <c r="L72" s="34">
        <f t="shared" si="2"/>
        <v>234169.96919999999</v>
      </c>
      <c r="M72" s="34">
        <f t="shared" si="2"/>
        <v>234169.96919999999</v>
      </c>
      <c r="N72" s="34">
        <f t="shared" si="2"/>
        <v>234169.96919999999</v>
      </c>
      <c r="O72" s="34">
        <f t="shared" si="2"/>
        <v>234169.96919999999</v>
      </c>
      <c r="P72" s="34">
        <f t="shared" si="2"/>
        <v>234169.96919999999</v>
      </c>
      <c r="Q72" s="34">
        <f t="shared" si="2"/>
        <v>234169.96919999999</v>
      </c>
      <c r="R72" s="309">
        <f>$C$46+D56</f>
        <v>1205169.5292</v>
      </c>
      <c r="S72" s="34"/>
      <c r="T72" s="34"/>
      <c r="U72" s="34"/>
      <c r="V72" s="34"/>
      <c r="W72" s="34"/>
      <c r="X72" s="34"/>
      <c r="Y72" s="34"/>
    </row>
    <row r="73" spans="2:25">
      <c r="B73" s="171" t="s">
        <v>668</v>
      </c>
      <c r="C73" s="34">
        <f>IF(F11&gt;0,J56,-C13)</f>
        <v>495999.56000000006</v>
      </c>
      <c r="D73" s="34">
        <f>$D$46</f>
        <v>175000</v>
      </c>
      <c r="E73" s="34">
        <f t="shared" ref="E73:R73" si="3">$D$46</f>
        <v>175000</v>
      </c>
      <c r="F73" s="34">
        <f t="shared" si="3"/>
        <v>175000</v>
      </c>
      <c r="G73" s="34">
        <f t="shared" si="3"/>
        <v>175000</v>
      </c>
      <c r="H73" s="34">
        <f t="shared" si="3"/>
        <v>175000</v>
      </c>
      <c r="I73" s="34">
        <f t="shared" si="3"/>
        <v>175000</v>
      </c>
      <c r="J73" s="34">
        <f t="shared" si="3"/>
        <v>175000</v>
      </c>
      <c r="K73" s="34">
        <f t="shared" si="3"/>
        <v>175000</v>
      </c>
      <c r="L73" s="34">
        <f t="shared" si="3"/>
        <v>175000</v>
      </c>
      <c r="M73" s="34">
        <f t="shared" si="3"/>
        <v>175000</v>
      </c>
      <c r="N73" s="34">
        <f t="shared" si="3"/>
        <v>175000</v>
      </c>
      <c r="O73" s="34">
        <f t="shared" si="3"/>
        <v>175000</v>
      </c>
      <c r="P73" s="34">
        <f t="shared" si="3"/>
        <v>175000</v>
      </c>
      <c r="Q73" s="34">
        <f t="shared" si="3"/>
        <v>175000</v>
      </c>
      <c r="R73" s="309">
        <f t="shared" si="3"/>
        <v>175000</v>
      </c>
      <c r="S73" s="34"/>
      <c r="T73" s="34"/>
      <c r="U73" s="34"/>
      <c r="V73" s="34"/>
      <c r="W73" s="34"/>
      <c r="X73" s="34"/>
      <c r="Y73" s="34"/>
    </row>
    <row r="74" spans="2:25">
      <c r="B74" s="171" t="s">
        <v>669</v>
      </c>
      <c r="C74" s="34">
        <f>C72-C73</f>
        <v>-495999.56000000006</v>
      </c>
      <c r="D74" s="34">
        <f t="shared" ref="D74:R74" si="4">D72-D73</f>
        <v>59169.969199999992</v>
      </c>
      <c r="E74" s="34">
        <f t="shared" si="4"/>
        <v>59169.969199999992</v>
      </c>
      <c r="F74" s="34">
        <f t="shared" si="4"/>
        <v>59169.969199999992</v>
      </c>
      <c r="G74" s="34">
        <f t="shared" si="4"/>
        <v>59169.969199999992</v>
      </c>
      <c r="H74" s="34">
        <f t="shared" si="4"/>
        <v>59169.969199999992</v>
      </c>
      <c r="I74" s="34">
        <f t="shared" si="4"/>
        <v>59169.969199999992</v>
      </c>
      <c r="J74" s="34">
        <f t="shared" si="4"/>
        <v>59169.969199999992</v>
      </c>
      <c r="K74" s="34">
        <f t="shared" si="4"/>
        <v>59169.969199999992</v>
      </c>
      <c r="L74" s="34">
        <f t="shared" si="4"/>
        <v>59169.969199999992</v>
      </c>
      <c r="M74" s="34">
        <f t="shared" si="4"/>
        <v>59169.969199999992</v>
      </c>
      <c r="N74" s="34">
        <f t="shared" si="4"/>
        <v>59169.969199999992</v>
      </c>
      <c r="O74" s="34">
        <f t="shared" si="4"/>
        <v>59169.969199999992</v>
      </c>
      <c r="P74" s="34">
        <f t="shared" si="4"/>
        <v>59169.969199999992</v>
      </c>
      <c r="Q74" s="34">
        <f t="shared" si="4"/>
        <v>59169.969199999992</v>
      </c>
      <c r="R74" s="309">
        <f t="shared" si="4"/>
        <v>1030169.5292</v>
      </c>
      <c r="S74" s="39"/>
      <c r="T74" s="39"/>
      <c r="U74" s="39"/>
      <c r="V74" s="39"/>
      <c r="W74" s="39"/>
      <c r="X74" s="39"/>
      <c r="Y74" s="39"/>
    </row>
    <row r="75" spans="2:25" ht="13" thickBot="1">
      <c r="B75" s="228" t="s">
        <v>670</v>
      </c>
      <c r="C75" s="321">
        <f>IRR(C74:R74,0.1)</f>
        <v>0.14096612983647905</v>
      </c>
      <c r="D75" s="63"/>
      <c r="E75" s="63"/>
      <c r="F75" s="63"/>
      <c r="G75" s="63"/>
      <c r="H75" s="63"/>
      <c r="I75" s="63"/>
      <c r="J75" s="63"/>
      <c r="K75" s="63"/>
      <c r="L75" s="63"/>
      <c r="M75" s="63"/>
      <c r="N75" s="63"/>
      <c r="O75" s="63"/>
      <c r="P75" s="63"/>
      <c r="Q75" s="63"/>
      <c r="R75" s="149"/>
      <c r="S75" s="39"/>
      <c r="T75" s="39"/>
      <c r="U75" s="39"/>
      <c r="V75" s="39"/>
      <c r="W75" s="39"/>
      <c r="X75" s="39"/>
      <c r="Y75" s="39"/>
    </row>
    <row r="76" spans="2:25" ht="13" thickBot="1">
      <c r="B76" s="228"/>
      <c r="C76" s="63"/>
      <c r="D76" s="63"/>
      <c r="E76" s="63"/>
      <c r="F76" s="63"/>
      <c r="G76" s="63"/>
      <c r="H76" s="63"/>
      <c r="I76" s="63"/>
      <c r="J76" s="63"/>
      <c r="K76" s="63"/>
      <c r="L76" s="63"/>
      <c r="M76" s="63"/>
      <c r="N76" s="63"/>
      <c r="O76" s="63"/>
      <c r="P76" s="63"/>
      <c r="Q76" s="63"/>
      <c r="R76" s="149"/>
      <c r="S76" s="39"/>
      <c r="T76" s="39"/>
      <c r="U76" s="39"/>
      <c r="V76" s="39"/>
      <c r="W76" s="39"/>
      <c r="X76" s="39"/>
      <c r="Y76" s="39"/>
    </row>
    <row r="77" spans="2:25">
      <c r="B77" s="39"/>
      <c r="D77" s="39"/>
      <c r="E77" s="39"/>
      <c r="F77" s="39"/>
      <c r="G77" s="39"/>
      <c r="H77" s="39"/>
      <c r="I77" s="39"/>
      <c r="J77" s="39"/>
      <c r="K77" s="39"/>
      <c r="L77" s="39"/>
    </row>
    <row r="78" spans="2:25">
      <c r="B78" s="39"/>
      <c r="D78" s="39"/>
      <c r="E78" s="39"/>
      <c r="F78" s="39"/>
      <c r="G78" s="39"/>
      <c r="H78" s="39"/>
      <c r="I78" s="39"/>
      <c r="J78" s="39"/>
      <c r="K78" s="39"/>
      <c r="L78" s="39"/>
    </row>
    <row r="79" spans="2:25">
      <c r="B79" s="39"/>
      <c r="C79" s="39"/>
      <c r="D79" s="39"/>
      <c r="E79" s="39"/>
      <c r="F79" s="39"/>
      <c r="G79" s="39"/>
      <c r="H79" s="39"/>
      <c r="I79" s="39"/>
      <c r="J79" s="39"/>
      <c r="K79" s="39"/>
      <c r="L79" s="39"/>
    </row>
    <row r="80" spans="2:25">
      <c r="B80" s="39"/>
      <c r="C80" s="39"/>
      <c r="D80" s="39"/>
      <c r="E80" s="39"/>
      <c r="F80" s="39"/>
      <c r="G80" s="39"/>
      <c r="H80" s="39"/>
      <c r="I80" s="39"/>
      <c r="J80" s="39"/>
      <c r="K80" s="39"/>
      <c r="L80" s="39"/>
    </row>
    <row r="81" spans="2:12">
      <c r="B81" s="39"/>
      <c r="C81" s="39"/>
      <c r="D81" s="39"/>
      <c r="E81" s="39"/>
      <c r="F81" s="39"/>
      <c r="G81" s="39"/>
      <c r="H81" s="39"/>
      <c r="I81" s="39"/>
      <c r="J81" s="39"/>
      <c r="K81" s="39"/>
      <c r="L81" s="39"/>
    </row>
    <row r="82" spans="2:12">
      <c r="B82" s="39"/>
      <c r="C82" s="39"/>
      <c r="D82" s="39"/>
      <c r="E82" s="39"/>
      <c r="F82" s="39"/>
      <c r="G82" s="39"/>
      <c r="H82" s="39"/>
      <c r="I82" s="39"/>
      <c r="J82" s="39"/>
      <c r="K82" s="39"/>
      <c r="L82" s="39"/>
    </row>
    <row r="83" spans="2:12">
      <c r="B83" s="39"/>
      <c r="C83" s="39"/>
      <c r="D83" s="39"/>
      <c r="E83" s="39"/>
      <c r="F83" s="39"/>
      <c r="G83" s="39"/>
      <c r="H83" s="39"/>
      <c r="I83" s="39"/>
      <c r="J83" s="39"/>
      <c r="K83" s="39"/>
      <c r="L83" s="39"/>
    </row>
    <row r="84" spans="2:12">
      <c r="B84" s="39"/>
      <c r="C84" s="39"/>
      <c r="D84" s="39"/>
      <c r="E84" s="39"/>
      <c r="F84" s="39"/>
      <c r="G84" s="39"/>
      <c r="H84" s="39"/>
      <c r="I84" s="39"/>
      <c r="J84" s="39"/>
      <c r="K84" s="39"/>
      <c r="L84" s="39"/>
    </row>
    <row r="85" spans="2:12">
      <c r="B85" s="39"/>
      <c r="C85" s="39"/>
      <c r="D85" s="39"/>
      <c r="E85" s="39"/>
      <c r="F85" s="39"/>
      <c r="G85" s="39"/>
      <c r="H85" s="39"/>
      <c r="I85" s="39"/>
      <c r="J85" s="39"/>
      <c r="K85" s="39"/>
      <c r="L85" s="39"/>
    </row>
    <row r="86" spans="2:12">
      <c r="B86" s="39"/>
      <c r="C86" s="39"/>
      <c r="D86" s="39"/>
      <c r="E86" s="39"/>
      <c r="F86" s="39"/>
      <c r="G86" s="39"/>
      <c r="H86" s="39"/>
      <c r="I86" s="39"/>
      <c r="J86" s="39"/>
      <c r="K86" s="39"/>
      <c r="L86" s="39"/>
    </row>
    <row r="87" spans="2:12">
      <c r="B87" s="39"/>
      <c r="C87" s="39"/>
      <c r="D87" s="39"/>
      <c r="E87" s="39"/>
      <c r="F87" s="39"/>
      <c r="G87" s="39"/>
      <c r="H87" s="39"/>
      <c r="I87" s="39"/>
      <c r="J87" s="39"/>
      <c r="K87" s="39"/>
      <c r="L87" s="39"/>
    </row>
    <row r="88" spans="2:12">
      <c r="B88" s="39"/>
      <c r="C88" s="39"/>
      <c r="D88" s="39"/>
      <c r="E88" s="39"/>
      <c r="F88" s="39"/>
      <c r="G88" s="39"/>
      <c r="H88" s="39"/>
      <c r="I88" s="39"/>
      <c r="J88" s="39"/>
      <c r="K88" s="39"/>
      <c r="L88" s="39"/>
    </row>
    <row r="89" spans="2:12">
      <c r="B89" s="39"/>
      <c r="C89" s="39"/>
      <c r="D89" s="39"/>
      <c r="E89" s="39"/>
      <c r="F89" s="39"/>
      <c r="G89" s="39"/>
      <c r="H89" s="39"/>
      <c r="I89" s="39"/>
      <c r="J89" s="39"/>
      <c r="K89" s="39"/>
      <c r="L89" s="39"/>
    </row>
    <row r="90" spans="2:12">
      <c r="B90" s="39"/>
      <c r="C90" s="39"/>
      <c r="D90" s="39"/>
      <c r="E90" s="39"/>
      <c r="F90" s="39"/>
      <c r="G90" s="39"/>
      <c r="H90" s="39"/>
      <c r="I90" s="39"/>
      <c r="J90" s="39"/>
      <c r="K90" s="39"/>
      <c r="L90" s="39"/>
    </row>
    <row r="91" spans="2:12">
      <c r="B91" s="39"/>
      <c r="C91" s="39"/>
      <c r="D91" s="39"/>
      <c r="E91" s="39"/>
      <c r="F91" s="39"/>
      <c r="G91" s="39"/>
      <c r="H91" s="39"/>
      <c r="I91" s="39"/>
      <c r="J91" s="39"/>
      <c r="K91" s="39"/>
      <c r="L91" s="39"/>
    </row>
    <row r="92" spans="2:12">
      <c r="B92" s="39"/>
      <c r="C92" s="39"/>
      <c r="D92" s="39"/>
      <c r="E92" s="39"/>
      <c r="F92" s="39"/>
      <c r="G92" s="39"/>
      <c r="H92" s="39"/>
      <c r="I92" s="39"/>
      <c r="J92" s="39"/>
      <c r="K92" s="39"/>
      <c r="L92" s="39"/>
    </row>
    <row r="93" spans="2:12">
      <c r="B93" s="39"/>
      <c r="C93" s="39"/>
      <c r="D93" s="39"/>
      <c r="E93" s="39"/>
      <c r="F93" s="39"/>
      <c r="G93" s="39"/>
      <c r="H93" s="39"/>
      <c r="I93" s="39"/>
      <c r="J93" s="39"/>
      <c r="K93" s="39"/>
      <c r="L93" s="39"/>
    </row>
    <row r="94" spans="2:12">
      <c r="B94" s="39"/>
      <c r="C94" s="39"/>
      <c r="D94" s="39"/>
      <c r="E94" s="39"/>
      <c r="F94" s="39"/>
      <c r="G94" s="39"/>
      <c r="H94" s="39"/>
      <c r="I94" s="39"/>
      <c r="J94" s="39"/>
      <c r="K94" s="39"/>
      <c r="L94" s="39"/>
    </row>
    <row r="95" spans="2:12">
      <c r="B95" s="39"/>
      <c r="C95" s="39"/>
      <c r="D95" s="39"/>
      <c r="E95" s="39"/>
      <c r="F95" s="39"/>
      <c r="G95" s="39"/>
      <c r="H95" s="39"/>
      <c r="I95" s="39"/>
      <c r="J95" s="39"/>
      <c r="K95" s="39"/>
      <c r="L95" s="39"/>
    </row>
    <row r="96" spans="2:12">
      <c r="B96" s="39"/>
      <c r="C96" s="39"/>
      <c r="D96" s="39"/>
      <c r="E96" s="39"/>
      <c r="F96" s="39"/>
      <c r="G96" s="39"/>
      <c r="H96" s="39"/>
      <c r="I96" s="39"/>
      <c r="J96" s="39"/>
      <c r="K96" s="39"/>
      <c r="L96" s="39"/>
    </row>
    <row r="97" spans="2:12">
      <c r="B97" s="39"/>
      <c r="C97" s="39"/>
      <c r="D97" s="39"/>
      <c r="E97" s="39"/>
      <c r="F97" s="39"/>
      <c r="G97" s="39"/>
      <c r="H97" s="39"/>
      <c r="I97" s="39"/>
      <c r="J97" s="39"/>
      <c r="K97" s="39"/>
      <c r="L97" s="39"/>
    </row>
    <row r="98" spans="2:12">
      <c r="B98" s="39"/>
      <c r="C98" s="39"/>
      <c r="D98" s="39"/>
      <c r="E98" s="39"/>
      <c r="F98" s="39"/>
      <c r="G98" s="39"/>
      <c r="H98" s="39"/>
      <c r="I98" s="39"/>
      <c r="J98" s="39"/>
      <c r="K98" s="39"/>
      <c r="L98" s="39"/>
    </row>
    <row r="99" spans="2:12">
      <c r="B99" s="39"/>
      <c r="C99" s="39"/>
      <c r="D99" s="39"/>
      <c r="E99" s="39"/>
      <c r="F99" s="39"/>
      <c r="G99" s="39"/>
      <c r="H99" s="39"/>
      <c r="I99" s="39"/>
      <c r="J99" s="39"/>
      <c r="K99" s="39"/>
      <c r="L99" s="39"/>
    </row>
    <row r="100" spans="2:12">
      <c r="B100" s="39"/>
      <c r="C100" s="39"/>
      <c r="D100" s="39"/>
      <c r="E100" s="39"/>
      <c r="F100" s="39"/>
      <c r="G100" s="39"/>
      <c r="H100" s="39"/>
      <c r="I100" s="39"/>
      <c r="J100" s="39"/>
      <c r="K100" s="39"/>
      <c r="L100" s="39"/>
    </row>
    <row r="101" spans="2:12">
      <c r="B101" s="39"/>
      <c r="C101" s="39"/>
      <c r="D101" s="39"/>
      <c r="E101" s="39"/>
      <c r="F101" s="39"/>
      <c r="G101" s="39"/>
      <c r="H101" s="39"/>
      <c r="I101" s="39"/>
      <c r="J101" s="39"/>
      <c r="K101" s="39"/>
      <c r="L101" s="39"/>
    </row>
    <row r="102" spans="2:12">
      <c r="B102" s="39"/>
      <c r="C102" s="39"/>
      <c r="D102" s="39"/>
      <c r="E102" s="39"/>
      <c r="F102" s="39"/>
      <c r="G102" s="39"/>
      <c r="H102" s="39"/>
      <c r="I102" s="39"/>
      <c r="J102" s="39"/>
      <c r="K102" s="39"/>
      <c r="L102" s="39"/>
    </row>
    <row r="103" spans="2:12">
      <c r="B103" s="39"/>
      <c r="C103" s="39"/>
      <c r="D103" s="39"/>
      <c r="E103" s="39"/>
      <c r="F103" s="39"/>
      <c r="G103" s="39"/>
      <c r="H103" s="39"/>
      <c r="I103" s="39"/>
      <c r="J103" s="39"/>
      <c r="K103" s="39"/>
      <c r="L103" s="39"/>
    </row>
    <row r="104" spans="2:12">
      <c r="B104" s="39"/>
      <c r="C104" s="39"/>
      <c r="D104" s="39"/>
      <c r="E104" s="39"/>
      <c r="F104" s="39"/>
      <c r="G104" s="39"/>
      <c r="H104" s="39"/>
      <c r="I104" s="39"/>
      <c r="J104" s="39"/>
      <c r="K104" s="39"/>
      <c r="L104" s="39"/>
    </row>
    <row r="105" spans="2:12">
      <c r="B105" s="39"/>
      <c r="C105" s="39"/>
      <c r="D105" s="39"/>
      <c r="E105" s="39"/>
      <c r="F105" s="39"/>
      <c r="G105" s="39"/>
      <c r="H105" s="39"/>
      <c r="I105" s="39"/>
      <c r="J105" s="39"/>
      <c r="K105" s="39"/>
      <c r="L105" s="39"/>
    </row>
    <row r="106" spans="2:12">
      <c r="B106" s="39"/>
      <c r="C106" s="39"/>
      <c r="D106" s="39"/>
      <c r="E106" s="39"/>
      <c r="F106" s="39"/>
      <c r="G106" s="39"/>
      <c r="H106" s="39"/>
      <c r="I106" s="39"/>
      <c r="J106" s="39"/>
      <c r="K106" s="39"/>
      <c r="L106" s="39"/>
    </row>
    <row r="107" spans="2:12">
      <c r="B107" s="39"/>
      <c r="C107" s="39"/>
      <c r="D107" s="39"/>
      <c r="E107" s="39"/>
      <c r="F107" s="39"/>
      <c r="G107" s="39"/>
      <c r="H107" s="39"/>
      <c r="I107" s="39"/>
      <c r="J107" s="39"/>
      <c r="K107" s="39"/>
      <c r="L107" s="39"/>
    </row>
    <row r="108" spans="2:12">
      <c r="B108" s="39"/>
      <c r="C108" s="39"/>
      <c r="D108" s="39"/>
      <c r="E108" s="39"/>
      <c r="F108" s="39"/>
      <c r="G108" s="39"/>
      <c r="H108" s="39"/>
      <c r="I108" s="39"/>
      <c r="J108" s="39"/>
      <c r="K108" s="39"/>
      <c r="L108" s="39"/>
    </row>
    <row r="109" spans="2:12">
      <c r="B109" s="39"/>
      <c r="C109" s="39"/>
      <c r="D109" s="39"/>
      <c r="E109" s="39"/>
      <c r="F109" s="39"/>
      <c r="G109" s="39"/>
      <c r="H109" s="39"/>
      <c r="I109" s="39"/>
      <c r="J109" s="39"/>
      <c r="K109" s="39"/>
      <c r="L109" s="39"/>
    </row>
    <row r="110" spans="2:12">
      <c r="B110" s="39"/>
      <c r="C110" s="39"/>
      <c r="D110" s="39"/>
      <c r="E110" s="39"/>
      <c r="F110" s="39"/>
      <c r="G110" s="39"/>
      <c r="H110" s="39"/>
      <c r="I110" s="39"/>
      <c r="J110" s="39"/>
      <c r="K110" s="39"/>
      <c r="L110" s="39"/>
    </row>
    <row r="111" spans="2:12">
      <c r="B111" s="39"/>
      <c r="C111" s="39"/>
      <c r="D111" s="39"/>
      <c r="E111" s="39"/>
      <c r="F111" s="39"/>
      <c r="G111" s="39"/>
      <c r="H111" s="39"/>
      <c r="I111" s="39"/>
      <c r="J111" s="39"/>
      <c r="K111" s="39"/>
      <c r="L111" s="39"/>
    </row>
    <row r="112" spans="2:12">
      <c r="B112" s="39"/>
      <c r="C112" s="39"/>
      <c r="D112" s="39"/>
      <c r="E112" s="39"/>
      <c r="F112" s="39"/>
      <c r="G112" s="39"/>
      <c r="H112" s="39"/>
      <c r="I112" s="39"/>
      <c r="J112" s="39"/>
      <c r="K112" s="39"/>
      <c r="L112" s="39"/>
    </row>
    <row r="113" spans="2:12">
      <c r="B113" s="39"/>
      <c r="C113" s="39"/>
      <c r="D113" s="39"/>
      <c r="E113" s="39"/>
      <c r="F113" s="39"/>
      <c r="G113" s="39"/>
      <c r="H113" s="39"/>
      <c r="I113" s="39"/>
      <c r="J113" s="39"/>
      <c r="K113" s="39"/>
      <c r="L113" s="39"/>
    </row>
    <row r="114" spans="2:12">
      <c r="B114" s="39"/>
      <c r="C114" s="39"/>
      <c r="D114" s="39"/>
      <c r="E114" s="39"/>
      <c r="F114" s="39"/>
      <c r="G114" s="39"/>
      <c r="H114" s="39"/>
      <c r="I114" s="39"/>
      <c r="J114" s="39"/>
      <c r="K114" s="39"/>
      <c r="L114" s="39"/>
    </row>
    <row r="115" spans="2:12">
      <c r="B115" s="39"/>
      <c r="C115" s="39"/>
      <c r="D115" s="39"/>
      <c r="E115" s="39"/>
      <c r="F115" s="39"/>
      <c r="G115" s="39"/>
      <c r="H115" s="39"/>
      <c r="I115" s="39"/>
      <c r="J115" s="39"/>
      <c r="K115" s="39"/>
      <c r="L115" s="39"/>
    </row>
    <row r="116" spans="2:12">
      <c r="B116" s="39"/>
      <c r="C116" s="39"/>
      <c r="D116" s="39"/>
      <c r="E116" s="39"/>
      <c r="F116" s="39"/>
      <c r="G116" s="39"/>
      <c r="H116" s="39"/>
      <c r="I116" s="39"/>
      <c r="J116" s="39"/>
      <c r="K116" s="39"/>
      <c r="L116" s="39"/>
    </row>
    <row r="117" spans="2:12">
      <c r="B117" s="39"/>
      <c r="C117" s="39"/>
      <c r="D117" s="39"/>
      <c r="E117" s="39"/>
      <c r="F117" s="39"/>
      <c r="G117" s="39"/>
      <c r="H117" s="39"/>
      <c r="I117" s="39"/>
      <c r="J117" s="39"/>
      <c r="K117" s="39"/>
      <c r="L117" s="39"/>
    </row>
    <row r="118" spans="2:12">
      <c r="B118" s="39"/>
      <c r="C118" s="39"/>
      <c r="D118" s="39"/>
      <c r="E118" s="39"/>
      <c r="F118" s="39"/>
      <c r="G118" s="39"/>
      <c r="H118" s="39"/>
      <c r="I118" s="39"/>
      <c r="J118" s="39"/>
      <c r="K118" s="39"/>
      <c r="L118" s="39"/>
    </row>
    <row r="119" spans="2:12">
      <c r="B119" s="39"/>
      <c r="C119" s="39"/>
      <c r="D119" s="39"/>
      <c r="E119" s="39"/>
      <c r="F119" s="39"/>
      <c r="G119" s="39"/>
      <c r="H119" s="39"/>
      <c r="I119" s="39"/>
      <c r="J119" s="39"/>
      <c r="K119" s="39"/>
      <c r="L119" s="39"/>
    </row>
    <row r="120" spans="2:12">
      <c r="B120" s="39"/>
      <c r="C120" s="39"/>
      <c r="D120" s="39"/>
      <c r="E120" s="39"/>
      <c r="F120" s="39"/>
      <c r="G120" s="39"/>
      <c r="H120" s="39"/>
      <c r="I120" s="39"/>
      <c r="J120" s="39"/>
      <c r="K120" s="39"/>
      <c r="L120" s="39"/>
    </row>
    <row r="121" spans="2:12">
      <c r="B121" s="39"/>
      <c r="C121" s="39"/>
      <c r="D121" s="39"/>
      <c r="E121" s="39"/>
      <c r="F121" s="39"/>
      <c r="G121" s="39"/>
      <c r="H121" s="39"/>
      <c r="I121" s="39"/>
      <c r="J121" s="39"/>
      <c r="K121" s="39"/>
      <c r="L121" s="39"/>
    </row>
    <row r="122" spans="2:12">
      <c r="B122" s="39"/>
      <c r="C122" s="39"/>
      <c r="D122" s="39"/>
      <c r="E122" s="39"/>
      <c r="F122" s="39"/>
      <c r="G122" s="39"/>
      <c r="H122" s="39"/>
      <c r="I122" s="39"/>
      <c r="J122" s="39"/>
      <c r="K122" s="39"/>
      <c r="L122" s="39"/>
    </row>
    <row r="123" spans="2:12">
      <c r="B123" s="39"/>
      <c r="C123" s="39"/>
      <c r="D123" s="39"/>
      <c r="E123" s="39"/>
      <c r="F123" s="39"/>
      <c r="G123" s="39"/>
      <c r="H123" s="39"/>
      <c r="I123" s="39"/>
      <c r="J123" s="39"/>
      <c r="K123" s="39"/>
      <c r="L123" s="39"/>
    </row>
    <row r="124" spans="2:12">
      <c r="B124" s="39"/>
      <c r="C124" s="39"/>
      <c r="D124" s="39"/>
      <c r="E124" s="39"/>
      <c r="F124" s="39"/>
      <c r="G124" s="39"/>
      <c r="H124" s="39"/>
      <c r="I124" s="39"/>
      <c r="J124" s="39"/>
      <c r="K124" s="39"/>
      <c r="L124" s="39"/>
    </row>
    <row r="125" spans="2:12">
      <c r="B125" s="39"/>
      <c r="C125" s="39"/>
      <c r="D125" s="39"/>
      <c r="E125" s="39"/>
      <c r="F125" s="39"/>
      <c r="G125" s="39"/>
      <c r="H125" s="39"/>
      <c r="I125" s="39"/>
      <c r="J125" s="39"/>
      <c r="K125" s="39"/>
      <c r="L125" s="39"/>
    </row>
    <row r="126" spans="2:12">
      <c r="B126" s="39"/>
      <c r="C126" s="39"/>
      <c r="D126" s="39"/>
      <c r="E126" s="39"/>
      <c r="F126" s="39"/>
      <c r="G126" s="39"/>
      <c r="H126" s="39"/>
      <c r="I126" s="39"/>
      <c r="J126" s="39"/>
      <c r="K126" s="39"/>
      <c r="L126" s="39"/>
    </row>
    <row r="127" spans="2:12">
      <c r="B127" s="39"/>
      <c r="C127" s="39"/>
      <c r="D127" s="39"/>
      <c r="E127" s="39"/>
      <c r="F127" s="39"/>
      <c r="G127" s="39"/>
      <c r="H127" s="39"/>
      <c r="I127" s="39"/>
      <c r="J127" s="39"/>
      <c r="K127" s="39"/>
      <c r="L127" s="39"/>
    </row>
    <row r="128" spans="2:12">
      <c r="B128" s="39"/>
      <c r="C128" s="39"/>
      <c r="D128" s="39"/>
      <c r="E128" s="39"/>
      <c r="F128" s="39"/>
      <c r="G128" s="39"/>
      <c r="H128" s="39"/>
      <c r="I128" s="39"/>
      <c r="J128" s="39"/>
      <c r="K128" s="39"/>
      <c r="L128" s="39"/>
    </row>
    <row r="129" spans="2:12">
      <c r="B129" s="39"/>
      <c r="C129" s="39"/>
      <c r="D129" s="39"/>
      <c r="E129" s="39"/>
      <c r="F129" s="39"/>
      <c r="G129" s="39"/>
      <c r="H129" s="39"/>
      <c r="I129" s="39"/>
      <c r="J129" s="39"/>
      <c r="K129" s="39"/>
      <c r="L129" s="39"/>
    </row>
    <row r="130" spans="2:12">
      <c r="B130" s="39"/>
      <c r="C130" s="39"/>
      <c r="D130" s="39"/>
      <c r="E130" s="39"/>
      <c r="F130" s="39"/>
      <c r="G130" s="39"/>
      <c r="H130" s="39"/>
      <c r="I130" s="39"/>
      <c r="J130" s="39"/>
      <c r="K130" s="39"/>
      <c r="L130" s="39"/>
    </row>
    <row r="131" spans="2:12">
      <c r="B131" s="39"/>
      <c r="C131" s="39"/>
      <c r="D131" s="39"/>
      <c r="E131" s="39"/>
      <c r="F131" s="39"/>
      <c r="G131" s="39"/>
      <c r="H131" s="39"/>
      <c r="I131" s="39"/>
      <c r="J131" s="39"/>
      <c r="K131" s="39"/>
      <c r="L131" s="39"/>
    </row>
    <row r="132" spans="2:12">
      <c r="B132" s="39"/>
      <c r="C132" s="39"/>
      <c r="D132" s="39"/>
      <c r="E132" s="39"/>
      <c r="F132" s="39"/>
      <c r="G132" s="39"/>
      <c r="H132" s="39"/>
      <c r="I132" s="39"/>
      <c r="J132" s="39"/>
      <c r="K132" s="39"/>
      <c r="L132" s="39"/>
    </row>
    <row r="133" spans="2:12">
      <c r="B133" s="39"/>
      <c r="C133" s="39"/>
      <c r="D133" s="39"/>
      <c r="E133" s="39"/>
      <c r="F133" s="39"/>
      <c r="G133" s="39"/>
      <c r="H133" s="39"/>
      <c r="I133" s="39"/>
      <c r="J133" s="39"/>
      <c r="K133" s="39"/>
      <c r="L133" s="39"/>
    </row>
    <row r="134" spans="2:12">
      <c r="B134" s="39"/>
      <c r="C134" s="39"/>
      <c r="D134" s="39"/>
      <c r="E134" s="39"/>
      <c r="F134" s="39"/>
      <c r="G134" s="39"/>
      <c r="H134" s="39"/>
      <c r="I134" s="39"/>
      <c r="J134" s="39"/>
      <c r="K134" s="39"/>
      <c r="L134" s="39"/>
    </row>
    <row r="135" spans="2:12">
      <c r="B135" s="39"/>
      <c r="C135" s="39"/>
      <c r="D135" s="39"/>
      <c r="E135" s="39"/>
      <c r="F135" s="39"/>
      <c r="G135" s="39"/>
      <c r="H135" s="39"/>
      <c r="I135" s="39"/>
      <c r="J135" s="39"/>
      <c r="K135" s="39"/>
      <c r="L135" s="39"/>
    </row>
    <row r="136" spans="2:12">
      <c r="B136" s="39"/>
      <c r="C136" s="39"/>
      <c r="D136" s="39"/>
      <c r="E136" s="39"/>
      <c r="F136" s="39"/>
      <c r="G136" s="39"/>
      <c r="H136" s="39"/>
      <c r="I136" s="39"/>
      <c r="J136" s="39"/>
      <c r="K136" s="39"/>
      <c r="L136" s="39"/>
    </row>
    <row r="137" spans="2:12">
      <c r="B137" s="39"/>
      <c r="C137" s="39"/>
      <c r="D137" s="39"/>
      <c r="E137" s="39"/>
      <c r="F137" s="39"/>
      <c r="G137" s="39"/>
      <c r="H137" s="39"/>
      <c r="I137" s="39"/>
      <c r="J137" s="39"/>
      <c r="K137" s="39"/>
      <c r="L137" s="39"/>
    </row>
    <row r="138" spans="2:12">
      <c r="B138" s="39"/>
      <c r="C138" s="39"/>
      <c r="D138" s="39"/>
      <c r="E138" s="39"/>
      <c r="F138" s="39"/>
      <c r="G138" s="39"/>
      <c r="H138" s="39"/>
      <c r="I138" s="39"/>
      <c r="J138" s="39"/>
      <c r="K138" s="39"/>
      <c r="L138" s="39"/>
    </row>
    <row r="139" spans="2:12">
      <c r="B139" s="39"/>
      <c r="C139" s="39"/>
      <c r="D139" s="39"/>
      <c r="E139" s="39"/>
      <c r="F139" s="39"/>
      <c r="G139" s="39"/>
      <c r="H139" s="39"/>
      <c r="I139" s="39"/>
      <c r="J139" s="39"/>
      <c r="K139" s="39"/>
      <c r="L139" s="39"/>
    </row>
    <row r="140" spans="2:12">
      <c r="B140" s="39"/>
      <c r="C140" s="39"/>
      <c r="D140" s="39"/>
      <c r="E140" s="39"/>
      <c r="F140" s="39"/>
      <c r="G140" s="39"/>
      <c r="H140" s="39"/>
      <c r="I140" s="39"/>
      <c r="J140" s="39"/>
      <c r="K140" s="39"/>
      <c r="L140" s="39"/>
    </row>
    <row r="141" spans="2:12">
      <c r="B141" s="39"/>
      <c r="C141" s="39"/>
      <c r="D141" s="39"/>
      <c r="E141" s="39"/>
      <c r="F141" s="39"/>
      <c r="G141" s="39"/>
      <c r="H141" s="39"/>
      <c r="I141" s="39"/>
      <c r="J141" s="39"/>
      <c r="K141" s="39"/>
      <c r="L141" s="39"/>
    </row>
    <row r="142" spans="2:12">
      <c r="B142" s="39"/>
      <c r="C142" s="39"/>
      <c r="D142" s="39"/>
      <c r="E142" s="39"/>
      <c r="F142" s="39"/>
      <c r="G142" s="39"/>
      <c r="H142" s="39"/>
      <c r="I142" s="39"/>
      <c r="J142" s="39"/>
      <c r="K142" s="39"/>
      <c r="L142" s="39"/>
    </row>
    <row r="143" spans="2:12">
      <c r="B143" s="39"/>
      <c r="C143" s="39"/>
      <c r="D143" s="39"/>
      <c r="E143" s="39"/>
      <c r="F143" s="39"/>
      <c r="G143" s="39"/>
      <c r="H143" s="39"/>
      <c r="I143" s="39"/>
      <c r="J143" s="39"/>
      <c r="K143" s="39"/>
      <c r="L143" s="39"/>
    </row>
    <row r="144" spans="2:12">
      <c r="B144" s="39"/>
      <c r="C144" s="39"/>
      <c r="D144" s="39"/>
      <c r="E144" s="39"/>
      <c r="F144" s="39"/>
      <c r="G144" s="39"/>
      <c r="H144" s="39"/>
      <c r="I144" s="39"/>
      <c r="J144" s="39"/>
      <c r="K144" s="39"/>
      <c r="L144" s="39"/>
    </row>
    <row r="145" spans="2:12">
      <c r="B145" s="39"/>
      <c r="C145" s="39"/>
      <c r="D145" s="39"/>
      <c r="E145" s="39"/>
      <c r="F145" s="39"/>
      <c r="G145" s="39"/>
      <c r="H145" s="39"/>
      <c r="I145" s="39"/>
      <c r="J145" s="39"/>
      <c r="K145" s="39"/>
      <c r="L145" s="39"/>
    </row>
    <row r="146" spans="2:12">
      <c r="B146" s="39"/>
      <c r="C146" s="39"/>
      <c r="D146" s="39"/>
      <c r="E146" s="39"/>
      <c r="F146" s="39"/>
      <c r="G146" s="39"/>
      <c r="H146" s="39"/>
      <c r="I146" s="39"/>
      <c r="J146" s="39"/>
      <c r="K146" s="39"/>
      <c r="L146" s="39"/>
    </row>
    <row r="147" spans="2:12">
      <c r="B147" s="39"/>
      <c r="C147" s="39"/>
      <c r="D147" s="39"/>
      <c r="E147" s="39"/>
      <c r="F147" s="39"/>
      <c r="G147" s="39"/>
      <c r="H147" s="39"/>
      <c r="I147" s="39"/>
      <c r="J147" s="39"/>
      <c r="K147" s="39"/>
      <c r="L147" s="39"/>
    </row>
    <row r="148" spans="2:12">
      <c r="B148" s="39"/>
      <c r="C148" s="39"/>
      <c r="D148" s="39"/>
      <c r="E148" s="39"/>
      <c r="F148" s="39"/>
      <c r="G148" s="39"/>
      <c r="H148" s="39"/>
      <c r="I148" s="39"/>
      <c r="J148" s="39"/>
      <c r="K148" s="39"/>
      <c r="L148" s="39"/>
    </row>
    <row r="149" spans="2:12">
      <c r="B149" s="39"/>
      <c r="C149" s="39"/>
      <c r="D149" s="39"/>
      <c r="E149" s="39"/>
      <c r="F149" s="39"/>
      <c r="G149" s="39"/>
      <c r="H149" s="39"/>
      <c r="I149" s="39"/>
      <c r="J149" s="39"/>
      <c r="K149" s="39"/>
      <c r="L149" s="39"/>
    </row>
    <row r="150" spans="2:12">
      <c r="B150" s="39"/>
      <c r="C150" s="39"/>
      <c r="D150" s="39"/>
      <c r="E150" s="39"/>
      <c r="F150" s="39"/>
      <c r="G150" s="39"/>
      <c r="H150" s="39"/>
      <c r="I150" s="39"/>
      <c r="J150" s="39"/>
      <c r="K150" s="39"/>
      <c r="L150" s="39"/>
    </row>
    <row r="151" spans="2:12">
      <c r="B151" s="39"/>
      <c r="C151" s="39"/>
      <c r="D151" s="39"/>
      <c r="E151" s="39"/>
      <c r="F151" s="39"/>
      <c r="G151" s="39"/>
      <c r="H151" s="39"/>
      <c r="I151" s="39"/>
      <c r="J151" s="39"/>
      <c r="K151" s="39"/>
      <c r="L151" s="39"/>
    </row>
    <row r="152" spans="2:12">
      <c r="B152" s="39"/>
      <c r="C152" s="39"/>
      <c r="D152" s="39"/>
      <c r="E152" s="39"/>
      <c r="F152" s="39"/>
      <c r="G152" s="39"/>
      <c r="H152" s="39"/>
      <c r="I152" s="39"/>
      <c r="J152" s="39"/>
      <c r="K152" s="39"/>
      <c r="L152" s="39"/>
    </row>
    <row r="153" spans="2:12">
      <c r="B153" s="39"/>
      <c r="C153" s="39"/>
      <c r="D153" s="39"/>
      <c r="E153" s="39"/>
      <c r="F153" s="39"/>
      <c r="G153" s="39"/>
      <c r="H153" s="39"/>
      <c r="I153" s="39"/>
      <c r="J153" s="39"/>
      <c r="K153" s="39"/>
      <c r="L153" s="39"/>
    </row>
    <row r="154" spans="2:12">
      <c r="B154" s="39"/>
      <c r="C154" s="39"/>
      <c r="D154" s="39"/>
      <c r="E154" s="39"/>
      <c r="F154" s="39"/>
      <c r="G154" s="39"/>
      <c r="H154" s="39"/>
      <c r="I154" s="39"/>
      <c r="J154" s="39"/>
      <c r="K154" s="39"/>
      <c r="L154" s="39"/>
    </row>
    <row r="155" spans="2:12">
      <c r="B155" s="39"/>
      <c r="C155" s="39"/>
      <c r="D155" s="39"/>
      <c r="E155" s="39"/>
      <c r="F155" s="39"/>
      <c r="G155" s="39"/>
      <c r="H155" s="39"/>
      <c r="I155" s="39"/>
      <c r="J155" s="39"/>
      <c r="K155" s="39"/>
      <c r="L155" s="39"/>
    </row>
    <row r="156" spans="2:12">
      <c r="B156" s="39"/>
      <c r="C156" s="39"/>
      <c r="D156" s="39"/>
      <c r="E156" s="39"/>
      <c r="F156" s="39"/>
      <c r="G156" s="39"/>
      <c r="H156" s="39"/>
      <c r="I156" s="39"/>
      <c r="J156" s="39"/>
      <c r="K156" s="39"/>
      <c r="L156" s="39"/>
    </row>
    <row r="157" spans="2:12">
      <c r="B157" s="39"/>
      <c r="C157" s="39"/>
      <c r="D157" s="39"/>
      <c r="E157" s="39"/>
      <c r="F157" s="39"/>
      <c r="G157" s="39"/>
      <c r="H157" s="39"/>
      <c r="I157" s="39"/>
      <c r="J157" s="39"/>
      <c r="K157" s="39"/>
      <c r="L157" s="39"/>
    </row>
    <row r="158" spans="2:12">
      <c r="B158" s="39"/>
      <c r="C158" s="39"/>
      <c r="D158" s="39"/>
      <c r="E158" s="39"/>
      <c r="F158" s="39"/>
      <c r="G158" s="39"/>
      <c r="H158" s="39"/>
      <c r="I158" s="39"/>
      <c r="J158" s="39"/>
      <c r="K158" s="39"/>
      <c r="L158" s="39"/>
    </row>
    <row r="159" spans="2:12">
      <c r="B159" s="39"/>
      <c r="C159" s="39"/>
      <c r="D159" s="39"/>
      <c r="E159" s="39"/>
      <c r="F159" s="39"/>
      <c r="G159" s="39"/>
      <c r="H159" s="39"/>
      <c r="I159" s="39"/>
      <c r="J159" s="39"/>
      <c r="K159" s="39"/>
      <c r="L159" s="39"/>
    </row>
    <row r="160" spans="2:12">
      <c r="B160" s="39"/>
      <c r="C160" s="39"/>
      <c r="D160" s="39"/>
      <c r="E160" s="39"/>
      <c r="F160" s="39"/>
      <c r="G160" s="39"/>
      <c r="H160" s="39"/>
      <c r="I160" s="39"/>
      <c r="J160" s="39"/>
      <c r="K160" s="39"/>
      <c r="L160" s="39"/>
    </row>
    <row r="161" spans="2:12">
      <c r="B161" s="39"/>
      <c r="C161" s="39"/>
      <c r="D161" s="39"/>
      <c r="E161" s="39"/>
      <c r="F161" s="39"/>
      <c r="G161" s="39"/>
      <c r="H161" s="39"/>
      <c r="I161" s="39"/>
      <c r="J161" s="39"/>
      <c r="K161" s="39"/>
      <c r="L161" s="39"/>
    </row>
    <row r="162" spans="2:12">
      <c r="B162" s="39"/>
      <c r="C162" s="39"/>
      <c r="D162" s="39"/>
      <c r="E162" s="39"/>
      <c r="F162" s="39"/>
      <c r="G162" s="39"/>
      <c r="H162" s="39"/>
      <c r="I162" s="39"/>
      <c r="J162" s="39"/>
      <c r="K162" s="39"/>
      <c r="L162" s="39"/>
    </row>
    <row r="163" spans="2:12">
      <c r="B163" s="39"/>
      <c r="C163" s="39"/>
      <c r="D163" s="39"/>
      <c r="E163" s="39"/>
      <c r="F163" s="39"/>
      <c r="G163" s="39"/>
      <c r="H163" s="39"/>
      <c r="I163" s="39"/>
      <c r="J163" s="39"/>
      <c r="K163" s="39"/>
      <c r="L163" s="39"/>
    </row>
    <row r="164" spans="2:12">
      <c r="B164" s="39"/>
      <c r="C164" s="39"/>
      <c r="D164" s="39"/>
      <c r="E164" s="39"/>
      <c r="F164" s="39"/>
      <c r="G164" s="39"/>
      <c r="H164" s="39"/>
      <c r="I164" s="39"/>
      <c r="J164" s="39"/>
      <c r="K164" s="39"/>
      <c r="L164" s="39"/>
    </row>
    <row r="165" spans="2:12">
      <c r="B165" s="39"/>
      <c r="C165" s="39"/>
      <c r="D165" s="39"/>
      <c r="E165" s="39"/>
      <c r="F165" s="39"/>
      <c r="G165" s="39"/>
      <c r="H165" s="39"/>
      <c r="I165" s="39"/>
      <c r="J165" s="39"/>
      <c r="K165" s="39"/>
      <c r="L165" s="39"/>
    </row>
    <row r="166" spans="2:12">
      <c r="B166" s="39"/>
      <c r="C166" s="39"/>
      <c r="D166" s="39"/>
      <c r="E166" s="39"/>
      <c r="F166" s="39"/>
      <c r="G166" s="39"/>
      <c r="H166" s="39"/>
      <c r="I166" s="39"/>
      <c r="J166" s="39"/>
      <c r="K166" s="39"/>
      <c r="L166" s="39"/>
    </row>
    <row r="167" spans="2:12">
      <c r="B167" s="39"/>
      <c r="C167" s="39"/>
      <c r="D167" s="39"/>
      <c r="E167" s="39"/>
      <c r="F167" s="39"/>
      <c r="G167" s="39"/>
      <c r="H167" s="39"/>
      <c r="I167" s="39"/>
      <c r="J167" s="39"/>
      <c r="K167" s="39"/>
      <c r="L167" s="39"/>
    </row>
    <row r="168" spans="2:12">
      <c r="B168" s="39"/>
      <c r="C168" s="39"/>
      <c r="D168" s="39"/>
      <c r="E168" s="39"/>
      <c r="F168" s="39"/>
      <c r="G168" s="39"/>
      <c r="H168" s="39"/>
      <c r="I168" s="39"/>
      <c r="J168" s="39"/>
      <c r="K168" s="39"/>
      <c r="L168" s="39"/>
    </row>
    <row r="169" spans="2:12">
      <c r="B169" s="39"/>
      <c r="C169" s="39"/>
      <c r="D169" s="39"/>
      <c r="E169" s="39"/>
      <c r="F169" s="39"/>
      <c r="G169" s="39"/>
      <c r="H169" s="39"/>
      <c r="I169" s="39"/>
      <c r="J169" s="39"/>
      <c r="K169" s="39"/>
      <c r="L169" s="39"/>
    </row>
    <row r="170" spans="2:12">
      <c r="B170" s="39"/>
      <c r="C170" s="39"/>
      <c r="D170" s="39"/>
      <c r="E170" s="39"/>
      <c r="F170" s="39"/>
      <c r="G170" s="39"/>
      <c r="H170" s="39"/>
      <c r="I170" s="39"/>
      <c r="J170" s="39"/>
      <c r="K170" s="39"/>
      <c r="L170" s="39"/>
    </row>
    <row r="171" spans="2:12">
      <c r="B171" s="39"/>
      <c r="C171" s="39"/>
      <c r="D171" s="39"/>
      <c r="E171" s="39"/>
      <c r="F171" s="39"/>
      <c r="G171" s="39"/>
      <c r="H171" s="39"/>
      <c r="I171" s="39"/>
      <c r="J171" s="39"/>
      <c r="K171" s="39"/>
      <c r="L171" s="39"/>
    </row>
    <row r="172" spans="2:12">
      <c r="B172" s="39"/>
      <c r="C172" s="39"/>
      <c r="D172" s="39"/>
      <c r="E172" s="39"/>
      <c r="F172" s="39"/>
      <c r="G172" s="39"/>
      <c r="H172" s="39"/>
      <c r="I172" s="39"/>
      <c r="J172" s="39"/>
      <c r="K172" s="39"/>
      <c r="L172" s="39"/>
    </row>
    <row r="173" spans="2:12">
      <c r="B173" s="39"/>
      <c r="C173" s="39"/>
      <c r="D173" s="39"/>
      <c r="E173" s="39"/>
      <c r="F173" s="39"/>
      <c r="G173" s="39"/>
      <c r="H173" s="39"/>
      <c r="I173" s="39"/>
      <c r="J173" s="39"/>
      <c r="K173" s="39"/>
      <c r="L173" s="39"/>
    </row>
    <row r="174" spans="2:12">
      <c r="B174" s="39"/>
      <c r="C174" s="39"/>
      <c r="D174" s="39"/>
      <c r="E174" s="39"/>
      <c r="F174" s="39"/>
      <c r="G174" s="39"/>
      <c r="H174" s="39"/>
      <c r="I174" s="39"/>
      <c r="J174" s="39"/>
      <c r="K174" s="39"/>
      <c r="L174" s="39"/>
    </row>
    <row r="175" spans="2:12">
      <c r="B175" s="39"/>
      <c r="C175" s="39"/>
      <c r="D175" s="39"/>
      <c r="E175" s="39"/>
      <c r="F175" s="39"/>
      <c r="G175" s="39"/>
      <c r="H175" s="39"/>
      <c r="I175" s="39"/>
      <c r="J175" s="39"/>
      <c r="K175" s="39"/>
      <c r="L175" s="39"/>
    </row>
    <row r="176" spans="2:12">
      <c r="B176" s="39"/>
      <c r="C176" s="39"/>
      <c r="D176" s="39"/>
      <c r="E176" s="39"/>
      <c r="F176" s="39"/>
      <c r="G176" s="39"/>
      <c r="H176" s="39"/>
      <c r="I176" s="39"/>
      <c r="J176" s="39"/>
      <c r="K176" s="39"/>
      <c r="L176" s="39"/>
    </row>
    <row r="177" spans="2:12">
      <c r="B177" s="39"/>
      <c r="C177" s="39"/>
      <c r="D177" s="39"/>
      <c r="E177" s="39"/>
      <c r="F177" s="39"/>
      <c r="G177" s="39"/>
      <c r="H177" s="39"/>
      <c r="I177" s="39"/>
      <c r="J177" s="39"/>
      <c r="K177" s="39"/>
      <c r="L177" s="39"/>
    </row>
    <row r="178" spans="2:12">
      <c r="B178" s="39"/>
      <c r="C178" s="39"/>
      <c r="D178" s="39"/>
      <c r="E178" s="39"/>
      <c r="F178" s="39"/>
      <c r="G178" s="39"/>
      <c r="H178" s="39"/>
      <c r="I178" s="39"/>
      <c r="J178" s="39"/>
      <c r="K178" s="39"/>
      <c r="L178" s="39"/>
    </row>
    <row r="179" spans="2:12">
      <c r="B179" s="39"/>
      <c r="C179" s="39"/>
      <c r="D179" s="39"/>
      <c r="E179" s="39"/>
      <c r="F179" s="39"/>
      <c r="G179" s="39"/>
      <c r="H179" s="39"/>
      <c r="I179" s="39"/>
      <c r="J179" s="39"/>
      <c r="K179" s="39"/>
      <c r="L179" s="39"/>
    </row>
    <row r="180" spans="2:12">
      <c r="B180" s="39"/>
      <c r="C180" s="39"/>
      <c r="D180" s="39"/>
      <c r="E180" s="39"/>
      <c r="F180" s="39"/>
      <c r="G180" s="39"/>
      <c r="H180" s="39"/>
      <c r="I180" s="39"/>
      <c r="J180" s="39"/>
      <c r="K180" s="39"/>
      <c r="L180" s="39"/>
    </row>
    <row r="181" spans="2:12">
      <c r="B181" s="39"/>
      <c r="C181" s="39"/>
      <c r="D181" s="39"/>
      <c r="E181" s="39"/>
      <c r="F181" s="39"/>
      <c r="G181" s="39"/>
      <c r="H181" s="39"/>
      <c r="I181" s="39"/>
      <c r="J181" s="39"/>
      <c r="K181" s="39"/>
      <c r="L181" s="39"/>
    </row>
    <row r="182" spans="2:12">
      <c r="B182" s="39"/>
      <c r="C182" s="39"/>
      <c r="D182" s="39"/>
      <c r="E182" s="39"/>
      <c r="F182" s="39"/>
      <c r="G182" s="39"/>
      <c r="H182" s="39"/>
      <c r="I182" s="39"/>
      <c r="J182" s="39"/>
      <c r="K182" s="39"/>
      <c r="L182" s="39"/>
    </row>
    <row r="183" spans="2:12">
      <c r="B183" s="39"/>
      <c r="C183" s="39"/>
      <c r="D183" s="39"/>
      <c r="E183" s="39"/>
      <c r="F183" s="39"/>
      <c r="G183" s="39"/>
      <c r="H183" s="39"/>
      <c r="I183" s="39"/>
      <c r="J183" s="39"/>
      <c r="K183" s="39"/>
      <c r="L183" s="39"/>
    </row>
    <row r="184" spans="2:12">
      <c r="B184" s="39"/>
      <c r="C184" s="39"/>
      <c r="D184" s="39"/>
      <c r="E184" s="39"/>
      <c r="F184" s="39"/>
      <c r="G184" s="39"/>
      <c r="H184" s="39"/>
      <c r="I184" s="39"/>
      <c r="J184" s="39"/>
      <c r="K184" s="39"/>
      <c r="L184" s="39"/>
    </row>
    <row r="185" spans="2:12">
      <c r="B185" s="39"/>
      <c r="C185" s="39"/>
      <c r="D185" s="39"/>
      <c r="E185" s="39"/>
      <c r="F185" s="39"/>
      <c r="G185" s="39"/>
      <c r="H185" s="39"/>
      <c r="I185" s="39"/>
      <c r="J185" s="39"/>
      <c r="K185" s="39"/>
      <c r="L185" s="39"/>
    </row>
    <row r="186" spans="2:12">
      <c r="B186" s="39"/>
      <c r="C186" s="39"/>
      <c r="D186" s="39"/>
      <c r="E186" s="39"/>
      <c r="F186" s="39"/>
      <c r="G186" s="39"/>
      <c r="H186" s="39"/>
      <c r="I186" s="39"/>
      <c r="J186" s="39"/>
      <c r="K186" s="39"/>
      <c r="L186" s="39"/>
    </row>
    <row r="187" spans="2:12">
      <c r="B187" s="39"/>
      <c r="C187" s="39"/>
      <c r="D187" s="39"/>
      <c r="E187" s="39"/>
      <c r="F187" s="39"/>
      <c r="G187" s="39"/>
      <c r="H187" s="39"/>
      <c r="I187" s="39"/>
      <c r="J187" s="39"/>
      <c r="K187" s="39"/>
      <c r="L187" s="39"/>
    </row>
    <row r="188" spans="2:12">
      <c r="B188" s="39"/>
      <c r="C188" s="39"/>
      <c r="D188" s="39"/>
      <c r="E188" s="39"/>
      <c r="F188" s="39"/>
      <c r="G188" s="39"/>
      <c r="H188" s="39"/>
      <c r="I188" s="39"/>
      <c r="J188" s="39"/>
      <c r="K188" s="39"/>
      <c r="L188" s="39"/>
    </row>
    <row r="189" spans="2:12">
      <c r="B189" s="39"/>
      <c r="C189" s="39"/>
      <c r="D189" s="39"/>
      <c r="E189" s="39"/>
      <c r="F189" s="39"/>
      <c r="G189" s="39"/>
      <c r="H189" s="39"/>
      <c r="I189" s="39"/>
      <c r="J189" s="39"/>
      <c r="K189" s="39"/>
      <c r="L189" s="39"/>
    </row>
    <row r="190" spans="2:12">
      <c r="B190" s="39"/>
      <c r="C190" s="39"/>
      <c r="D190" s="39"/>
      <c r="E190" s="39"/>
      <c r="F190" s="39"/>
      <c r="G190" s="39"/>
      <c r="H190" s="39"/>
      <c r="I190" s="39"/>
      <c r="J190" s="39"/>
      <c r="K190" s="39"/>
      <c r="L190" s="39"/>
    </row>
    <row r="191" spans="2:12">
      <c r="B191" s="39"/>
      <c r="C191" s="39"/>
      <c r="D191" s="39"/>
      <c r="E191" s="39"/>
      <c r="F191" s="39"/>
      <c r="G191" s="39"/>
      <c r="H191" s="39"/>
      <c r="I191" s="39"/>
      <c r="J191" s="39"/>
      <c r="K191" s="39"/>
      <c r="L191" s="39"/>
    </row>
    <row r="192" spans="2:12">
      <c r="B192" s="39"/>
      <c r="C192" s="39"/>
      <c r="D192" s="39"/>
      <c r="E192" s="39"/>
      <c r="F192" s="39"/>
      <c r="G192" s="39"/>
      <c r="H192" s="39"/>
      <c r="I192" s="39"/>
      <c r="J192" s="39"/>
      <c r="K192" s="39"/>
      <c r="L192" s="39"/>
    </row>
    <row r="193" spans="2:12">
      <c r="B193" s="39"/>
      <c r="C193" s="39"/>
      <c r="D193" s="39"/>
      <c r="E193" s="39"/>
      <c r="F193" s="39"/>
      <c r="G193" s="39"/>
      <c r="H193" s="39"/>
      <c r="I193" s="39"/>
      <c r="J193" s="39"/>
      <c r="K193" s="39"/>
      <c r="L193" s="39"/>
    </row>
    <row r="194" spans="2:12">
      <c r="B194" s="39"/>
      <c r="C194" s="39"/>
      <c r="D194" s="39"/>
      <c r="E194" s="39"/>
      <c r="F194" s="39"/>
      <c r="G194" s="39"/>
      <c r="H194" s="39"/>
      <c r="I194" s="39"/>
      <c r="J194" s="39"/>
      <c r="K194" s="39"/>
      <c r="L194" s="39"/>
    </row>
    <row r="195" spans="2:12">
      <c r="B195" s="39"/>
      <c r="C195" s="39"/>
      <c r="D195" s="39"/>
      <c r="E195" s="39"/>
      <c r="F195" s="39"/>
      <c r="G195" s="39"/>
      <c r="H195" s="39"/>
      <c r="I195" s="39"/>
      <c r="J195" s="39"/>
      <c r="K195" s="39"/>
      <c r="L195" s="39"/>
    </row>
    <row r="196" spans="2:12">
      <c r="B196" s="39"/>
      <c r="C196" s="39"/>
      <c r="D196" s="39"/>
      <c r="E196" s="39"/>
      <c r="F196" s="39"/>
      <c r="G196" s="39"/>
      <c r="H196" s="39"/>
      <c r="I196" s="39"/>
      <c r="J196" s="39"/>
      <c r="K196" s="39"/>
      <c r="L196" s="39"/>
    </row>
    <row r="197" spans="2:12">
      <c r="B197" s="39"/>
      <c r="C197" s="39"/>
      <c r="D197" s="39"/>
      <c r="E197" s="39"/>
      <c r="F197" s="39"/>
      <c r="G197" s="39"/>
      <c r="H197" s="39"/>
      <c r="I197" s="39"/>
      <c r="J197" s="39"/>
      <c r="K197" s="39"/>
      <c r="L197" s="39"/>
    </row>
    <row r="198" spans="2:12">
      <c r="B198" s="39"/>
      <c r="C198" s="39"/>
      <c r="D198" s="39"/>
      <c r="E198" s="39"/>
      <c r="F198" s="39"/>
      <c r="G198" s="39"/>
      <c r="H198" s="39"/>
      <c r="I198" s="39"/>
      <c r="J198" s="39"/>
      <c r="K198" s="39"/>
      <c r="L198" s="39"/>
    </row>
    <row r="199" spans="2:12">
      <c r="B199" s="39"/>
      <c r="C199" s="39"/>
      <c r="D199" s="39"/>
      <c r="E199" s="39"/>
      <c r="F199" s="39"/>
      <c r="G199" s="39"/>
      <c r="H199" s="39"/>
      <c r="I199" s="39"/>
      <c r="J199" s="39"/>
      <c r="K199" s="39"/>
      <c r="L199" s="39"/>
    </row>
    <row r="200" spans="2:12">
      <c r="B200" s="39"/>
      <c r="C200" s="39"/>
      <c r="D200" s="39"/>
      <c r="E200" s="39"/>
      <c r="F200" s="39"/>
      <c r="G200" s="39"/>
      <c r="H200" s="39"/>
      <c r="I200" s="39"/>
      <c r="J200" s="39"/>
      <c r="K200" s="39"/>
      <c r="L200" s="39"/>
    </row>
    <row r="201" spans="2:12">
      <c r="B201" s="39"/>
      <c r="C201" s="39"/>
      <c r="D201" s="39"/>
      <c r="E201" s="39"/>
      <c r="F201" s="39"/>
      <c r="G201" s="39"/>
      <c r="H201" s="39"/>
      <c r="I201" s="39"/>
      <c r="J201" s="39"/>
      <c r="K201" s="39"/>
      <c r="L201" s="39"/>
    </row>
    <row r="202" spans="2:12">
      <c r="B202" s="39"/>
      <c r="C202" s="39"/>
      <c r="D202" s="39"/>
      <c r="E202" s="39"/>
      <c r="F202" s="39"/>
      <c r="G202" s="39"/>
      <c r="H202" s="39"/>
      <c r="I202" s="39"/>
      <c r="J202" s="39"/>
      <c r="K202" s="39"/>
      <c r="L202" s="39"/>
    </row>
    <row r="203" spans="2:12">
      <c r="B203" s="39"/>
      <c r="C203" s="39"/>
      <c r="D203" s="39"/>
      <c r="E203" s="39"/>
      <c r="F203" s="39"/>
      <c r="G203" s="39"/>
      <c r="H203" s="39"/>
      <c r="I203" s="39"/>
      <c r="J203" s="39"/>
      <c r="K203" s="39"/>
      <c r="L203" s="39"/>
    </row>
    <row r="204" spans="2:12">
      <c r="B204" s="39"/>
      <c r="C204" s="39"/>
      <c r="D204" s="39"/>
      <c r="E204" s="39"/>
      <c r="F204" s="39"/>
      <c r="G204" s="39"/>
      <c r="H204" s="39"/>
      <c r="I204" s="39"/>
      <c r="J204" s="39"/>
      <c r="K204" s="39"/>
      <c r="L204" s="39"/>
    </row>
    <row r="205" spans="2:12">
      <c r="B205" s="39"/>
      <c r="C205" s="39"/>
      <c r="D205" s="39"/>
      <c r="E205" s="39"/>
      <c r="F205" s="39"/>
      <c r="G205" s="39"/>
      <c r="H205" s="39"/>
      <c r="I205" s="39"/>
      <c r="J205" s="39"/>
      <c r="K205" s="39"/>
      <c r="L205" s="39"/>
    </row>
    <row r="206" spans="2:12">
      <c r="B206" s="39"/>
      <c r="C206" s="39"/>
      <c r="D206" s="39"/>
      <c r="E206" s="39"/>
      <c r="F206" s="39"/>
      <c r="G206" s="39"/>
      <c r="H206" s="39"/>
      <c r="I206" s="39"/>
      <c r="J206" s="39"/>
      <c r="K206" s="39"/>
      <c r="L206" s="39"/>
    </row>
    <row r="207" spans="2:12">
      <c r="B207" s="39"/>
      <c r="C207" s="39"/>
      <c r="D207" s="39"/>
      <c r="E207" s="39"/>
      <c r="F207" s="39"/>
      <c r="G207" s="39"/>
      <c r="H207" s="39"/>
      <c r="I207" s="39"/>
      <c r="J207" s="39"/>
      <c r="K207" s="39"/>
      <c r="L207" s="39"/>
    </row>
    <row r="208" spans="2:12">
      <c r="B208" s="39"/>
      <c r="C208" s="39"/>
      <c r="D208" s="39"/>
      <c r="E208" s="39"/>
      <c r="F208" s="39"/>
      <c r="G208" s="39"/>
      <c r="H208" s="39"/>
      <c r="I208" s="39"/>
      <c r="J208" s="39"/>
      <c r="K208" s="39"/>
      <c r="L208" s="39"/>
    </row>
    <row r="209" spans="2:12">
      <c r="B209" s="39"/>
      <c r="C209" s="39"/>
      <c r="D209" s="39"/>
      <c r="E209" s="39"/>
      <c r="F209" s="39"/>
      <c r="G209" s="39"/>
      <c r="H209" s="39"/>
      <c r="I209" s="39"/>
      <c r="J209" s="39"/>
      <c r="K209" s="39"/>
      <c r="L209" s="39"/>
    </row>
    <row r="210" spans="2:12">
      <c r="B210" s="39"/>
      <c r="C210" s="39"/>
      <c r="D210" s="39"/>
      <c r="E210" s="39"/>
      <c r="F210" s="39"/>
      <c r="G210" s="39"/>
      <c r="H210" s="39"/>
      <c r="I210" s="39"/>
      <c r="J210" s="39"/>
      <c r="K210" s="39"/>
      <c r="L210" s="39"/>
    </row>
    <row r="211" spans="2:12">
      <c r="B211" s="39"/>
      <c r="C211" s="39"/>
      <c r="D211" s="39"/>
      <c r="E211" s="39"/>
      <c r="F211" s="39"/>
      <c r="G211" s="39"/>
      <c r="H211" s="39"/>
      <c r="I211" s="39"/>
      <c r="J211" s="39"/>
      <c r="K211" s="39"/>
      <c r="L211" s="39"/>
    </row>
    <row r="212" spans="2:12">
      <c r="B212" s="39"/>
      <c r="C212" s="39"/>
      <c r="D212" s="39"/>
      <c r="E212" s="39"/>
      <c r="F212" s="39"/>
      <c r="G212" s="39"/>
      <c r="H212" s="39"/>
      <c r="I212" s="39"/>
      <c r="J212" s="39"/>
      <c r="K212" s="39"/>
      <c r="L212" s="39"/>
    </row>
    <row r="213" spans="2:12">
      <c r="B213" s="39"/>
      <c r="C213" s="39"/>
      <c r="D213" s="39"/>
      <c r="E213" s="39"/>
      <c r="F213" s="39"/>
      <c r="G213" s="39"/>
      <c r="H213" s="39"/>
      <c r="I213" s="39"/>
      <c r="J213" s="39"/>
      <c r="K213" s="39"/>
      <c r="L213" s="39"/>
    </row>
    <row r="214" spans="2:12">
      <c r="B214" s="39"/>
      <c r="C214" s="39"/>
      <c r="D214" s="39"/>
      <c r="E214" s="39"/>
      <c r="F214" s="39"/>
      <c r="G214" s="39"/>
      <c r="H214" s="39"/>
      <c r="I214" s="39"/>
      <c r="J214" s="39"/>
      <c r="K214" s="39"/>
      <c r="L214" s="39"/>
    </row>
    <row r="215" spans="2:12">
      <c r="B215" s="39"/>
      <c r="C215" s="39"/>
      <c r="D215" s="39"/>
      <c r="E215" s="39"/>
      <c r="F215" s="39"/>
      <c r="G215" s="39"/>
      <c r="H215" s="39"/>
      <c r="I215" s="39"/>
      <c r="J215" s="39"/>
      <c r="K215" s="39"/>
      <c r="L215" s="39"/>
    </row>
    <row r="216" spans="2:12">
      <c r="B216" s="39"/>
      <c r="C216" s="39"/>
      <c r="D216" s="39"/>
      <c r="E216" s="39"/>
      <c r="F216" s="39"/>
      <c r="G216" s="39"/>
      <c r="H216" s="39"/>
      <c r="I216" s="39"/>
      <c r="J216" s="39"/>
      <c r="K216" s="39"/>
      <c r="L216" s="39"/>
    </row>
    <row r="217" spans="2:12">
      <c r="B217" s="39"/>
      <c r="C217" s="39"/>
      <c r="D217" s="39"/>
      <c r="E217" s="39"/>
      <c r="F217" s="39"/>
      <c r="G217" s="39"/>
      <c r="H217" s="39"/>
      <c r="I217" s="39"/>
      <c r="J217" s="39"/>
      <c r="K217" s="39"/>
      <c r="L217" s="39"/>
    </row>
    <row r="218" spans="2:12">
      <c r="B218" s="39"/>
      <c r="C218" s="39"/>
      <c r="D218" s="39"/>
      <c r="E218" s="39"/>
      <c r="F218" s="39"/>
      <c r="G218" s="39"/>
      <c r="H218" s="39"/>
      <c r="I218" s="39"/>
      <c r="J218" s="39"/>
      <c r="K218" s="39"/>
      <c r="L218" s="39"/>
    </row>
    <row r="219" spans="2:12">
      <c r="B219" s="39"/>
      <c r="C219" s="39"/>
      <c r="D219" s="39"/>
      <c r="E219" s="39"/>
      <c r="F219" s="39"/>
      <c r="G219" s="39"/>
      <c r="H219" s="39"/>
      <c r="I219" s="39"/>
      <c r="J219" s="39"/>
      <c r="K219" s="39"/>
      <c r="L219" s="39"/>
    </row>
    <row r="220" spans="2:12">
      <c r="B220" s="39"/>
      <c r="C220" s="39"/>
      <c r="D220" s="39"/>
      <c r="E220" s="39"/>
      <c r="F220" s="39"/>
      <c r="G220" s="39"/>
      <c r="H220" s="39"/>
      <c r="I220" s="39"/>
      <c r="J220" s="39"/>
      <c r="K220" s="39"/>
      <c r="L220" s="39"/>
    </row>
    <row r="221" spans="2:12">
      <c r="B221" s="39"/>
      <c r="C221" s="39"/>
      <c r="D221" s="39"/>
      <c r="E221" s="39"/>
      <c r="F221" s="39"/>
      <c r="G221" s="39"/>
      <c r="H221" s="39"/>
      <c r="I221" s="39"/>
      <c r="J221" s="39"/>
      <c r="K221" s="39"/>
      <c r="L221" s="39"/>
    </row>
    <row r="222" spans="2:12">
      <c r="B222" s="39"/>
      <c r="C222" s="39"/>
      <c r="D222" s="39"/>
      <c r="E222" s="39"/>
      <c r="F222" s="39"/>
      <c r="G222" s="39"/>
      <c r="H222" s="39"/>
      <c r="I222" s="39"/>
      <c r="J222" s="39"/>
      <c r="K222" s="39"/>
      <c r="L222" s="39"/>
    </row>
    <row r="223" spans="2:12">
      <c r="B223" s="39"/>
      <c r="C223" s="39"/>
      <c r="D223" s="39"/>
      <c r="E223" s="39"/>
      <c r="F223" s="39"/>
      <c r="G223" s="39"/>
      <c r="H223" s="39"/>
      <c r="I223" s="39"/>
      <c r="J223" s="39"/>
      <c r="K223" s="39"/>
      <c r="L223" s="39"/>
    </row>
    <row r="224" spans="2:12">
      <c r="B224" s="39"/>
      <c r="C224" s="39"/>
      <c r="D224" s="39"/>
      <c r="E224" s="39"/>
      <c r="F224" s="39"/>
      <c r="G224" s="39"/>
      <c r="H224" s="39"/>
      <c r="I224" s="39"/>
      <c r="J224" s="39"/>
      <c r="K224" s="39"/>
      <c r="L224" s="39"/>
    </row>
    <row r="225" spans="2:12">
      <c r="B225" s="39"/>
      <c r="C225" s="39"/>
      <c r="D225" s="39"/>
      <c r="E225" s="39"/>
      <c r="F225" s="39"/>
      <c r="G225" s="39"/>
      <c r="H225" s="39"/>
      <c r="I225" s="39"/>
      <c r="J225" s="39"/>
      <c r="K225" s="39"/>
      <c r="L225" s="39"/>
    </row>
    <row r="226" spans="2:12">
      <c r="B226" s="39"/>
      <c r="C226" s="39"/>
      <c r="D226" s="39"/>
      <c r="E226" s="39"/>
      <c r="F226" s="39"/>
      <c r="G226" s="39"/>
      <c r="H226" s="39"/>
      <c r="I226" s="39"/>
      <c r="J226" s="39"/>
      <c r="K226" s="39"/>
      <c r="L226" s="39"/>
    </row>
    <row r="227" spans="2:12">
      <c r="B227" s="39"/>
      <c r="C227" s="39"/>
      <c r="D227" s="39"/>
      <c r="E227" s="39"/>
      <c r="F227" s="39"/>
      <c r="G227" s="39"/>
      <c r="H227" s="39"/>
      <c r="I227" s="39"/>
      <c r="J227" s="39"/>
      <c r="K227" s="39"/>
      <c r="L227" s="39"/>
    </row>
    <row r="228" spans="2:12">
      <c r="B228" s="39"/>
      <c r="C228" s="39"/>
      <c r="D228" s="39"/>
      <c r="E228" s="39"/>
      <c r="F228" s="39"/>
      <c r="G228" s="39"/>
      <c r="H228" s="39"/>
      <c r="I228" s="39"/>
      <c r="J228" s="39"/>
      <c r="K228" s="39"/>
      <c r="L228" s="39"/>
    </row>
    <row r="229" spans="2:12">
      <c r="B229" s="39"/>
      <c r="C229" s="39"/>
      <c r="D229" s="39"/>
      <c r="E229" s="39"/>
      <c r="F229" s="39"/>
      <c r="G229" s="39"/>
      <c r="H229" s="39"/>
      <c r="I229" s="39"/>
      <c r="J229" s="39"/>
      <c r="K229" s="39"/>
      <c r="L229" s="39"/>
    </row>
    <row r="230" spans="2:12">
      <c r="B230" s="39"/>
      <c r="C230" s="39"/>
      <c r="D230" s="39"/>
      <c r="E230" s="39"/>
      <c r="F230" s="39"/>
      <c r="G230" s="39"/>
      <c r="H230" s="39"/>
      <c r="I230" s="39"/>
      <c r="J230" s="39"/>
      <c r="K230" s="39"/>
      <c r="L230" s="39"/>
    </row>
    <row r="231" spans="2:12">
      <c r="B231" s="39"/>
      <c r="C231" s="39"/>
      <c r="D231" s="39"/>
      <c r="E231" s="39"/>
      <c r="F231" s="39"/>
      <c r="G231" s="39"/>
      <c r="H231" s="39"/>
      <c r="I231" s="39"/>
      <c r="J231" s="39"/>
      <c r="K231" s="39"/>
      <c r="L231" s="39"/>
    </row>
    <row r="232" spans="2:12">
      <c r="B232" s="39"/>
      <c r="C232" s="39"/>
      <c r="D232" s="39"/>
      <c r="E232" s="39"/>
      <c r="F232" s="39"/>
      <c r="G232" s="39"/>
      <c r="H232" s="39"/>
      <c r="I232" s="39"/>
      <c r="J232" s="39"/>
      <c r="K232" s="39"/>
      <c r="L232" s="39"/>
    </row>
    <row r="233" spans="2:12">
      <c r="B233" s="39"/>
      <c r="C233" s="39"/>
      <c r="D233" s="39"/>
      <c r="E233" s="39"/>
      <c r="F233" s="39"/>
      <c r="G233" s="39"/>
      <c r="H233" s="39"/>
      <c r="I233" s="39"/>
      <c r="J233" s="39"/>
      <c r="K233" s="39"/>
      <c r="L233" s="39"/>
    </row>
    <row r="234" spans="2:12">
      <c r="B234" s="39"/>
      <c r="C234" s="39"/>
      <c r="D234" s="39"/>
      <c r="E234" s="39"/>
      <c r="F234" s="39"/>
      <c r="G234" s="39"/>
      <c r="H234" s="39"/>
      <c r="I234" s="39"/>
      <c r="J234" s="39"/>
      <c r="K234" s="39"/>
      <c r="L234" s="39"/>
    </row>
    <row r="235" spans="2:12">
      <c r="B235" s="39"/>
      <c r="C235" s="39"/>
      <c r="D235" s="39"/>
      <c r="E235" s="39"/>
      <c r="F235" s="39"/>
      <c r="G235" s="39"/>
      <c r="H235" s="39"/>
      <c r="I235" s="39"/>
      <c r="J235" s="39"/>
      <c r="K235" s="39"/>
      <c r="L235" s="39"/>
    </row>
    <row r="236" spans="2:12">
      <c r="B236" s="39"/>
      <c r="C236" s="39"/>
      <c r="D236" s="39"/>
      <c r="E236" s="39"/>
      <c r="F236" s="39"/>
      <c r="G236" s="39"/>
      <c r="H236" s="39"/>
      <c r="I236" s="39"/>
      <c r="J236" s="39"/>
      <c r="K236" s="39"/>
      <c r="L236" s="39"/>
    </row>
    <row r="237" spans="2:12">
      <c r="B237" s="39"/>
      <c r="C237" s="39"/>
      <c r="D237" s="39"/>
      <c r="E237" s="39"/>
      <c r="F237" s="39"/>
      <c r="G237" s="39"/>
      <c r="H237" s="39"/>
      <c r="I237" s="39"/>
      <c r="J237" s="39"/>
      <c r="K237" s="39"/>
      <c r="L237" s="39"/>
    </row>
    <row r="238" spans="2:12">
      <c r="B238" s="39"/>
      <c r="C238" s="39"/>
      <c r="D238" s="39"/>
      <c r="E238" s="39"/>
      <c r="F238" s="39"/>
      <c r="G238" s="39"/>
      <c r="H238" s="39"/>
      <c r="I238" s="39"/>
      <c r="J238" s="39"/>
      <c r="K238" s="39"/>
      <c r="L238" s="39"/>
    </row>
    <row r="239" spans="2:12">
      <c r="B239" s="39"/>
      <c r="C239" s="39"/>
      <c r="D239" s="39"/>
      <c r="E239" s="39"/>
      <c r="F239" s="39"/>
      <c r="G239" s="39"/>
      <c r="H239" s="39"/>
      <c r="I239" s="39"/>
      <c r="J239" s="39"/>
      <c r="K239" s="39"/>
      <c r="L239" s="39"/>
    </row>
    <row r="240" spans="2:12">
      <c r="B240" s="39"/>
      <c r="C240" s="39"/>
      <c r="D240" s="39"/>
      <c r="E240" s="39"/>
      <c r="F240" s="39"/>
      <c r="G240" s="39"/>
      <c r="H240" s="39"/>
      <c r="I240" s="39"/>
      <c r="J240" s="39"/>
      <c r="K240" s="39"/>
      <c r="L240" s="39"/>
    </row>
  </sheetData>
  <mergeCells count="10">
    <mergeCell ref="B2:R2"/>
    <mergeCell ref="B3:R3"/>
    <mergeCell ref="B8:G8"/>
    <mergeCell ref="B70:R70"/>
    <mergeCell ref="B48:E48"/>
    <mergeCell ref="B58:E58"/>
    <mergeCell ref="G48:J48"/>
    <mergeCell ref="B27:E27"/>
    <mergeCell ref="B5:H5"/>
    <mergeCell ref="B6:H6"/>
  </mergeCells>
  <phoneticPr fontId="4" type="noConversion"/>
  <pageMargins left="0.75" right="0.75" top="1" bottom="1" header="0.5" footer="0.5"/>
  <pageSetup orientation="portrait" r:id="rId1"/>
  <headerFooter alignWithMargins="0"/>
  <ignoredErrors>
    <ignoredError sqref="C33 D32" 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Y241"/>
  <sheetViews>
    <sheetView topLeftCell="A2" workbookViewId="0">
      <selection activeCell="I44" sqref="I44"/>
    </sheetView>
  </sheetViews>
  <sheetFormatPr defaultRowHeight="12.5"/>
  <cols>
    <col min="1" max="1" width="7.7265625" customWidth="1"/>
    <col min="2" max="2" width="27.54296875" customWidth="1"/>
    <col min="3" max="3" width="11.54296875" customWidth="1"/>
    <col min="4" max="4" width="11.1796875" bestFit="1" customWidth="1"/>
    <col min="5" max="5" width="21" bestFit="1" customWidth="1"/>
    <col min="6" max="6" width="11.26953125" bestFit="1" customWidth="1"/>
    <col min="7" max="7" width="20.81640625" customWidth="1"/>
    <col min="9" max="9" width="12.453125" customWidth="1"/>
    <col min="10" max="10" width="12" customWidth="1"/>
    <col min="18" max="18" width="10.453125" customWidth="1"/>
  </cols>
  <sheetData>
    <row r="1" spans="2:18" ht="13" thickBot="1"/>
    <row r="2" spans="2:18" ht="18.5" thickBot="1">
      <c r="B2" s="1525" t="s">
        <v>1009</v>
      </c>
      <c r="C2" s="1657"/>
      <c r="D2" s="1657"/>
      <c r="E2" s="1657"/>
      <c r="F2" s="1657"/>
      <c r="G2" s="1657"/>
      <c r="H2" s="1657"/>
      <c r="I2" s="1657"/>
      <c r="J2" s="1657"/>
      <c r="K2" s="1657"/>
      <c r="L2" s="1657"/>
      <c r="M2" s="1657"/>
      <c r="N2" s="1657"/>
      <c r="O2" s="1657"/>
      <c r="P2" s="1657"/>
      <c r="Q2" s="1657"/>
      <c r="R2" s="1658"/>
    </row>
    <row r="3" spans="2:18" ht="16" thickBot="1">
      <c r="B3" s="1528" t="s">
        <v>616</v>
      </c>
      <c r="C3" s="1659"/>
      <c r="D3" s="1659"/>
      <c r="E3" s="1659"/>
      <c r="F3" s="1659"/>
      <c r="G3" s="1659"/>
      <c r="H3" s="1659"/>
      <c r="I3" s="1659"/>
      <c r="J3" s="1659"/>
      <c r="K3" s="1659"/>
      <c r="L3" s="1659"/>
      <c r="M3" s="1659"/>
      <c r="N3" s="1659"/>
      <c r="O3" s="1659"/>
      <c r="P3" s="1659"/>
      <c r="Q3" s="1659"/>
      <c r="R3" s="1660"/>
    </row>
    <row r="4" spans="2:18" ht="13">
      <c r="B4" s="168" t="s">
        <v>1210</v>
      </c>
      <c r="I4" s="39"/>
      <c r="J4" s="39"/>
      <c r="K4" s="39"/>
      <c r="L4" s="39"/>
      <c r="R4" s="126"/>
    </row>
    <row r="5" spans="2:18" ht="13">
      <c r="B5" s="1589" t="s">
        <v>1089</v>
      </c>
      <c r="C5" s="1668"/>
      <c r="D5" s="1668"/>
      <c r="E5" s="1668"/>
      <c r="F5" s="1668"/>
      <c r="G5" s="1668"/>
      <c r="H5" s="1668"/>
      <c r="I5" s="39"/>
      <c r="J5" s="39"/>
      <c r="K5" s="39"/>
      <c r="L5" s="39"/>
      <c r="R5" s="126"/>
    </row>
    <row r="6" spans="2:18">
      <c r="B6" s="1669" t="s">
        <v>617</v>
      </c>
      <c r="C6" s="1590"/>
      <c r="D6" s="1590"/>
      <c r="E6" s="1590"/>
      <c r="F6" s="1590"/>
      <c r="G6" s="1590"/>
      <c r="H6" s="1590"/>
      <c r="I6" s="39"/>
      <c r="J6" s="39"/>
      <c r="K6" s="39"/>
      <c r="L6" s="39"/>
      <c r="R6" s="126"/>
    </row>
    <row r="7" spans="2:18" ht="13.5" thickBot="1">
      <c r="B7" s="430"/>
      <c r="C7" s="44"/>
      <c r="D7" s="44"/>
      <c r="E7" s="44"/>
      <c r="F7" s="44"/>
      <c r="G7" s="44"/>
      <c r="H7" s="44"/>
      <c r="I7" s="39"/>
      <c r="J7" s="39"/>
      <c r="K7" s="39"/>
      <c r="L7" s="39"/>
      <c r="R7" s="126"/>
    </row>
    <row r="8" spans="2:18" ht="13.5" thickBot="1">
      <c r="B8" s="1531" t="s">
        <v>207</v>
      </c>
      <c r="C8" s="1532"/>
      <c r="D8" s="1532"/>
      <c r="E8" s="1532"/>
      <c r="F8" s="1532"/>
      <c r="G8" s="1533"/>
      <c r="H8" s="39"/>
      <c r="I8" s="39"/>
      <c r="J8" s="39"/>
      <c r="K8" s="39"/>
      <c r="L8" s="39"/>
      <c r="R8" s="126"/>
    </row>
    <row r="9" spans="2:18" ht="13.5" thickBot="1">
      <c r="B9" s="276" t="s">
        <v>618</v>
      </c>
      <c r="C9" s="279">
        <v>2500000</v>
      </c>
      <c r="D9" s="278"/>
      <c r="E9" s="243" t="s">
        <v>619</v>
      </c>
      <c r="F9" s="277"/>
      <c r="G9" s="278"/>
      <c r="H9" s="39"/>
      <c r="I9" s="39"/>
      <c r="J9" s="39"/>
      <c r="K9" s="39"/>
      <c r="L9" s="39"/>
      <c r="R9" s="126"/>
    </row>
    <row r="10" spans="2:18">
      <c r="B10" s="171" t="s">
        <v>620</v>
      </c>
      <c r="C10" s="151">
        <v>0.4</v>
      </c>
      <c r="D10" s="146" t="s">
        <v>621</v>
      </c>
      <c r="E10" s="171" t="s">
        <v>622</v>
      </c>
      <c r="F10" s="150">
        <v>3900000</v>
      </c>
      <c r="G10" s="146"/>
      <c r="H10" s="39"/>
      <c r="I10" s="39"/>
      <c r="J10" s="39"/>
      <c r="K10" s="39"/>
      <c r="L10" s="39"/>
      <c r="R10" s="126"/>
    </row>
    <row r="11" spans="2:18">
      <c r="B11" s="171" t="s">
        <v>623</v>
      </c>
      <c r="C11" s="362">
        <v>300000</v>
      </c>
      <c r="D11" s="146"/>
      <c r="E11" s="171" t="s">
        <v>624</v>
      </c>
      <c r="F11" s="152">
        <v>0</v>
      </c>
      <c r="G11" s="146" t="s">
        <v>208</v>
      </c>
      <c r="H11" s="39"/>
      <c r="I11" s="39"/>
      <c r="J11" s="39"/>
      <c r="K11" s="39"/>
      <c r="L11" s="39"/>
      <c r="R11" s="126"/>
    </row>
    <row r="12" spans="2:18">
      <c r="B12" s="171" t="s">
        <v>625</v>
      </c>
      <c r="C12" s="451">
        <v>2500000</v>
      </c>
      <c r="D12" s="146"/>
      <c r="E12" s="171" t="s">
        <v>284</v>
      </c>
      <c r="F12" s="362">
        <v>3900000</v>
      </c>
      <c r="G12" s="146"/>
      <c r="H12" s="39"/>
      <c r="I12" s="39"/>
      <c r="J12" s="39"/>
      <c r="K12" s="39"/>
      <c r="L12" s="39"/>
      <c r="R12" s="126"/>
    </row>
    <row r="13" spans="2:18" ht="13" thickBot="1">
      <c r="B13" s="171"/>
      <c r="C13" s="39"/>
      <c r="D13" s="146"/>
      <c r="E13" s="171" t="s">
        <v>364</v>
      </c>
      <c r="F13" s="362">
        <v>3300000</v>
      </c>
      <c r="G13" s="146"/>
      <c r="H13" s="39"/>
      <c r="I13" s="39"/>
      <c r="J13" s="39"/>
      <c r="K13" s="39"/>
      <c r="L13" s="39"/>
      <c r="R13" s="126"/>
    </row>
    <row r="14" spans="2:18" ht="13.5" thickBot="1">
      <c r="B14" s="243" t="s">
        <v>626</v>
      </c>
      <c r="C14" s="39"/>
      <c r="D14" s="146"/>
      <c r="E14" s="171" t="s">
        <v>627</v>
      </c>
      <c r="F14" s="362">
        <v>600000</v>
      </c>
      <c r="G14" s="146"/>
      <c r="H14" s="39"/>
      <c r="I14" s="39"/>
      <c r="J14" s="39"/>
      <c r="K14" s="39"/>
      <c r="L14" s="39"/>
      <c r="R14" s="126"/>
    </row>
    <row r="15" spans="2:18">
      <c r="B15" s="171" t="s">
        <v>628</v>
      </c>
      <c r="C15" s="362">
        <v>450000</v>
      </c>
      <c r="D15" s="146"/>
      <c r="E15" s="171" t="s">
        <v>629</v>
      </c>
      <c r="F15" s="362">
        <v>4900000</v>
      </c>
      <c r="G15" s="146"/>
      <c r="H15" s="39"/>
      <c r="I15" s="39"/>
      <c r="J15" s="39"/>
      <c r="K15" s="39"/>
      <c r="L15" s="39"/>
      <c r="R15" s="126"/>
    </row>
    <row r="16" spans="2:18">
      <c r="B16" s="171" t="s">
        <v>630</v>
      </c>
      <c r="C16" s="362">
        <v>15</v>
      </c>
      <c r="D16" s="146" t="s">
        <v>208</v>
      </c>
      <c r="E16" s="171" t="s">
        <v>368</v>
      </c>
      <c r="F16" s="452">
        <v>0.7605558</v>
      </c>
      <c r="G16" s="146"/>
      <c r="H16" s="39"/>
      <c r="I16" s="39"/>
      <c r="J16" s="39"/>
      <c r="K16" s="39"/>
      <c r="L16" s="39"/>
      <c r="R16" s="126"/>
    </row>
    <row r="17" spans="2:18">
      <c r="B17" s="171" t="s">
        <v>287</v>
      </c>
      <c r="C17" s="364">
        <f>0.5</f>
        <v>0.5</v>
      </c>
      <c r="D17" s="308" t="s">
        <v>631</v>
      </c>
      <c r="E17" s="171" t="s">
        <v>211</v>
      </c>
      <c r="F17" s="362">
        <v>2730000</v>
      </c>
      <c r="G17" s="146"/>
      <c r="H17" s="39"/>
      <c r="I17" s="39"/>
      <c r="J17" s="39"/>
      <c r="K17" s="39"/>
      <c r="L17" s="39"/>
      <c r="R17" s="126"/>
    </row>
    <row r="18" spans="2:18" ht="13" thickBot="1">
      <c r="B18" s="171"/>
      <c r="C18" s="39"/>
      <c r="D18" s="146"/>
      <c r="E18" s="171" t="s">
        <v>571</v>
      </c>
      <c r="F18" s="151">
        <v>0.1</v>
      </c>
      <c r="G18" s="146"/>
      <c r="H18" s="39"/>
      <c r="I18" s="39"/>
      <c r="J18" s="39"/>
      <c r="K18" s="39"/>
      <c r="L18" s="39"/>
      <c r="R18" s="126"/>
    </row>
    <row r="19" spans="2:18" ht="13.5" thickBot="1">
      <c r="B19" s="243" t="s">
        <v>363</v>
      </c>
      <c r="C19" s="39"/>
      <c r="D19" s="146"/>
      <c r="E19" s="171" t="s">
        <v>213</v>
      </c>
      <c r="F19" s="453">
        <v>15</v>
      </c>
      <c r="G19" s="146" t="s">
        <v>1202</v>
      </c>
      <c r="H19" s="39"/>
      <c r="I19" s="39"/>
      <c r="J19" s="39"/>
      <c r="K19" s="39"/>
      <c r="L19" s="39"/>
      <c r="R19" s="126"/>
    </row>
    <row r="20" spans="2:18">
      <c r="B20" s="171" t="s">
        <v>632</v>
      </c>
      <c r="C20" s="364">
        <v>0.3</v>
      </c>
      <c r="D20" s="146"/>
      <c r="E20" s="171" t="s">
        <v>633</v>
      </c>
      <c r="F20" s="422">
        <f>F12-F17</f>
        <v>1170000</v>
      </c>
      <c r="G20" s="146"/>
      <c r="H20" s="39"/>
      <c r="I20" s="39"/>
      <c r="J20" s="39"/>
      <c r="K20" s="39"/>
      <c r="L20" s="39"/>
      <c r="R20" s="126"/>
    </row>
    <row r="21" spans="2:18" ht="13" thickBot="1">
      <c r="B21" s="228" t="s">
        <v>523</v>
      </c>
      <c r="C21" s="750">
        <v>39</v>
      </c>
      <c r="D21" s="149"/>
      <c r="E21" s="228"/>
      <c r="F21" s="63"/>
      <c r="G21" s="149"/>
      <c r="H21" s="39"/>
      <c r="I21" s="39"/>
      <c r="J21" s="39"/>
      <c r="K21" s="39"/>
      <c r="L21" s="39"/>
      <c r="R21" s="126"/>
    </row>
    <row r="22" spans="2:18">
      <c r="B22" s="433" t="s">
        <v>634</v>
      </c>
      <c r="C22" s="39"/>
      <c r="D22" s="299"/>
      <c r="E22" s="39"/>
      <c r="F22" s="39"/>
      <c r="G22" s="39"/>
      <c r="H22" s="39"/>
      <c r="I22" s="39"/>
      <c r="J22" s="39"/>
      <c r="K22" s="39"/>
      <c r="L22" s="39"/>
      <c r="R22" s="126"/>
    </row>
    <row r="23" spans="2:18">
      <c r="B23" s="171"/>
      <c r="C23" s="39"/>
      <c r="D23" s="299"/>
      <c r="E23" s="39"/>
      <c r="F23" s="39"/>
      <c r="G23" s="39"/>
      <c r="H23" s="39"/>
      <c r="I23" s="39"/>
      <c r="J23" s="39"/>
      <c r="K23" s="39"/>
      <c r="L23" s="39"/>
      <c r="R23" s="126"/>
    </row>
    <row r="24" spans="2:18">
      <c r="B24" s="171"/>
      <c r="C24" s="39"/>
      <c r="D24" s="299"/>
      <c r="E24" s="39"/>
      <c r="F24" s="39"/>
      <c r="G24" s="39"/>
      <c r="H24" s="39"/>
      <c r="I24" s="39"/>
      <c r="J24" s="39"/>
      <c r="K24" s="39"/>
      <c r="L24" s="39"/>
      <c r="R24" s="126"/>
    </row>
    <row r="25" spans="2:18">
      <c r="B25" s="171"/>
      <c r="C25" s="39"/>
      <c r="D25" s="299"/>
      <c r="E25" s="39"/>
      <c r="F25" s="39"/>
      <c r="G25" s="39"/>
      <c r="H25" s="39"/>
      <c r="I25" s="39"/>
      <c r="J25" s="39"/>
      <c r="K25" s="39"/>
      <c r="L25" s="39"/>
      <c r="R25" s="126"/>
    </row>
    <row r="26" spans="2:18" ht="13" thickBot="1">
      <c r="B26" s="460"/>
      <c r="C26" s="81"/>
      <c r="D26" s="81"/>
      <c r="E26" s="81"/>
      <c r="F26" s="81"/>
      <c r="G26" s="81"/>
      <c r="H26" s="39"/>
      <c r="I26" s="39"/>
      <c r="J26" s="39"/>
      <c r="K26" s="39"/>
      <c r="L26" s="39"/>
      <c r="R26" s="126"/>
    </row>
    <row r="27" spans="2:18" ht="13.5" thickBot="1">
      <c r="B27" s="1547" t="s">
        <v>635</v>
      </c>
      <c r="C27" s="1538"/>
      <c r="D27" s="1538"/>
      <c r="E27" s="1539"/>
      <c r="F27" s="39"/>
      <c r="G27" s="39"/>
      <c r="H27" s="39"/>
      <c r="I27" s="39"/>
      <c r="J27" s="39"/>
      <c r="K27" s="39"/>
      <c r="L27" s="39"/>
      <c r="R27" s="126"/>
    </row>
    <row r="28" spans="2:18" ht="13">
      <c r="B28" s="171"/>
      <c r="C28" s="396"/>
      <c r="D28" s="396"/>
      <c r="E28" s="454" t="s">
        <v>636</v>
      </c>
      <c r="F28" s="39"/>
      <c r="G28" s="39"/>
      <c r="H28" s="39"/>
      <c r="I28" s="39"/>
      <c r="J28" s="39"/>
      <c r="K28" s="39"/>
      <c r="L28" s="39"/>
      <c r="R28" s="126"/>
    </row>
    <row r="29" spans="2:18" ht="13.5" thickBot="1">
      <c r="B29" s="171"/>
      <c r="C29" s="397" t="s">
        <v>637</v>
      </c>
      <c r="D29" s="397" t="s">
        <v>638</v>
      </c>
      <c r="E29" s="397" t="s">
        <v>639</v>
      </c>
      <c r="F29" s="39"/>
      <c r="G29" s="39"/>
      <c r="H29" s="39"/>
      <c r="I29" s="39"/>
      <c r="J29" s="39"/>
      <c r="K29" s="39"/>
      <c r="L29" s="39"/>
      <c r="R29" s="126"/>
    </row>
    <row r="30" spans="2:18">
      <c r="B30" s="171" t="s">
        <v>640</v>
      </c>
      <c r="C30" s="299">
        <f>C9</f>
        <v>2500000</v>
      </c>
      <c r="D30" s="299">
        <f>C9</f>
        <v>2500000</v>
      </c>
      <c r="E30" s="455">
        <f>C30-D30</f>
        <v>0</v>
      </c>
      <c r="F30" s="39"/>
      <c r="G30" s="39"/>
      <c r="H30" s="39"/>
      <c r="I30" s="39"/>
      <c r="J30" s="39"/>
      <c r="K30" s="39"/>
      <c r="L30" s="39"/>
      <c r="R30" s="126"/>
    </row>
    <row r="31" spans="2:18">
      <c r="B31" s="171" t="s">
        <v>641</v>
      </c>
      <c r="C31" s="752">
        <f>C10*C30</f>
        <v>1000000</v>
      </c>
      <c r="D31" s="52">
        <f>C31</f>
        <v>1000000</v>
      </c>
      <c r="E31" s="455">
        <f>C31-D31</f>
        <v>0</v>
      </c>
      <c r="F31" s="39"/>
      <c r="G31" s="39"/>
      <c r="H31" s="39"/>
      <c r="I31" s="39"/>
      <c r="J31" s="39"/>
      <c r="K31" s="39"/>
      <c r="L31" s="39"/>
      <c r="R31" s="126"/>
    </row>
    <row r="32" spans="2:18">
      <c r="B32" s="171" t="s">
        <v>642</v>
      </c>
      <c r="C32" s="34">
        <f>C30-C31</f>
        <v>1500000</v>
      </c>
      <c r="D32" s="34">
        <f>D30-D31</f>
        <v>1500000</v>
      </c>
      <c r="E32" s="455">
        <f>C32-D32</f>
        <v>0</v>
      </c>
      <c r="F32" s="39"/>
      <c r="G32" s="39"/>
      <c r="H32" s="39"/>
      <c r="I32" s="39"/>
      <c r="J32" s="39"/>
      <c r="K32" s="39"/>
      <c r="L32" s="39"/>
      <c r="R32" s="126"/>
    </row>
    <row r="33" spans="2:18">
      <c r="B33" s="171" t="s">
        <v>643</v>
      </c>
      <c r="C33" s="52">
        <f>C11</f>
        <v>300000</v>
      </c>
      <c r="D33" s="52">
        <f>C33</f>
        <v>300000</v>
      </c>
      <c r="E33" s="455">
        <f>C33-D33</f>
        <v>0</v>
      </c>
      <c r="F33" s="39"/>
      <c r="G33" s="39"/>
      <c r="H33" s="39"/>
      <c r="I33" s="39"/>
      <c r="J33" s="39"/>
      <c r="K33" s="39"/>
      <c r="L33" s="39"/>
      <c r="R33" s="126"/>
    </row>
    <row r="34" spans="2:18">
      <c r="B34" s="171" t="s">
        <v>644</v>
      </c>
      <c r="C34" s="34">
        <f>C32-C33</f>
        <v>1200000</v>
      </c>
      <c r="D34" s="34">
        <f>D32-D33</f>
        <v>1200000</v>
      </c>
      <c r="E34" s="455">
        <f>C34-D34</f>
        <v>0</v>
      </c>
      <c r="F34" s="39"/>
      <c r="G34" s="39"/>
      <c r="H34" s="39"/>
      <c r="I34" s="39"/>
      <c r="J34" s="39"/>
      <c r="K34" s="39"/>
      <c r="L34" s="39"/>
      <c r="R34" s="126"/>
    </row>
    <row r="35" spans="2:18">
      <c r="B35" s="171" t="s">
        <v>645</v>
      </c>
      <c r="C35" s="34"/>
      <c r="D35" s="34"/>
      <c r="E35" s="455"/>
      <c r="F35" s="39"/>
      <c r="G35" s="39"/>
      <c r="H35" s="39"/>
      <c r="I35" s="39"/>
      <c r="J35" s="39"/>
      <c r="K35" s="39"/>
      <c r="L35" s="39"/>
      <c r="R35" s="126"/>
    </row>
    <row r="36" spans="2:18">
      <c r="B36" s="171" t="s">
        <v>287</v>
      </c>
      <c r="C36" s="34">
        <f>C17*C15</f>
        <v>225000</v>
      </c>
      <c r="D36" s="34">
        <f>C17*C15</f>
        <v>225000</v>
      </c>
      <c r="E36" s="455">
        <f t="shared" ref="E36:E42" si="0">C36-D36</f>
        <v>0</v>
      </c>
      <c r="F36" s="39"/>
      <c r="G36" s="39"/>
      <c r="H36" s="39"/>
      <c r="I36" s="39"/>
      <c r="J36" s="39"/>
      <c r="K36" s="39"/>
      <c r="L36" s="39"/>
      <c r="R36" s="126"/>
    </row>
    <row r="37" spans="2:18">
      <c r="B37" s="171" t="s">
        <v>646</v>
      </c>
      <c r="C37" s="34">
        <v>0</v>
      </c>
      <c r="D37" s="34">
        <f>C15</f>
        <v>450000</v>
      </c>
      <c r="E37" s="309">
        <f t="shared" si="0"/>
        <v>-450000</v>
      </c>
      <c r="F37" s="39"/>
      <c r="G37" s="39"/>
      <c r="H37" s="39"/>
      <c r="I37" s="39"/>
      <c r="J37" s="39"/>
      <c r="K37" s="39"/>
      <c r="L37" s="39"/>
      <c r="R37" s="126"/>
    </row>
    <row r="38" spans="2:18">
      <c r="B38" s="171" t="s">
        <v>647</v>
      </c>
      <c r="C38" s="34">
        <f>F18*F17</f>
        <v>273000</v>
      </c>
      <c r="D38" s="34">
        <v>0</v>
      </c>
      <c r="E38" s="309">
        <f t="shared" si="0"/>
        <v>273000</v>
      </c>
      <c r="F38" s="39"/>
      <c r="G38" s="39"/>
      <c r="H38" s="39"/>
      <c r="I38" s="39"/>
      <c r="J38" s="39"/>
      <c r="K38" s="39"/>
      <c r="L38" s="39"/>
      <c r="R38" s="126"/>
    </row>
    <row r="39" spans="2:18">
      <c r="B39" s="171" t="s">
        <v>648</v>
      </c>
      <c r="C39" s="34">
        <f>F13/C21</f>
        <v>84615.38461538461</v>
      </c>
      <c r="D39" s="34">
        <v>0</v>
      </c>
      <c r="E39" s="309">
        <f t="shared" si="0"/>
        <v>84615.38461538461</v>
      </c>
      <c r="F39" s="39"/>
      <c r="G39" s="39"/>
      <c r="H39" s="39"/>
      <c r="I39" s="39"/>
      <c r="J39" s="39"/>
      <c r="K39" s="39"/>
      <c r="L39" s="39"/>
      <c r="R39" s="126"/>
    </row>
    <row r="40" spans="2:18">
      <c r="B40" s="171" t="s">
        <v>441</v>
      </c>
      <c r="C40" s="34">
        <f>C32-C33-C36-C37-C38-C39</f>
        <v>617384.61538461538</v>
      </c>
      <c r="D40" s="34">
        <f>D32-D33-D36-D37-D38-D39</f>
        <v>525000</v>
      </c>
      <c r="E40" s="309">
        <f t="shared" si="0"/>
        <v>92384.615384615376</v>
      </c>
      <c r="F40" s="39"/>
      <c r="G40" s="39"/>
      <c r="H40" s="39"/>
      <c r="I40" s="39"/>
      <c r="J40" s="39"/>
      <c r="K40" s="39"/>
      <c r="L40" s="39"/>
      <c r="R40" s="126"/>
    </row>
    <row r="41" spans="2:18">
      <c r="B41" s="171" t="s">
        <v>649</v>
      </c>
      <c r="C41" s="34">
        <f>C40*$C$20</f>
        <v>185215.3846153846</v>
      </c>
      <c r="D41" s="34">
        <f>D40*$C$20</f>
        <v>157500</v>
      </c>
      <c r="E41" s="309">
        <f t="shared" si="0"/>
        <v>27715.384615384595</v>
      </c>
      <c r="F41" s="39"/>
      <c r="G41" s="39"/>
      <c r="H41" s="39"/>
      <c r="I41" s="39"/>
      <c r="J41" s="39"/>
      <c r="K41" s="39"/>
      <c r="L41" s="39"/>
      <c r="R41" s="126"/>
    </row>
    <row r="42" spans="2:18">
      <c r="B42" s="171" t="s">
        <v>650</v>
      </c>
      <c r="C42" s="34">
        <f>C40-C41</f>
        <v>432169.23076923075</v>
      </c>
      <c r="D42" s="34">
        <f>D40-D41</f>
        <v>367500</v>
      </c>
      <c r="E42" s="309">
        <f t="shared" si="0"/>
        <v>64669.230769230751</v>
      </c>
      <c r="F42" s="39"/>
      <c r="G42" s="39"/>
      <c r="H42" s="39"/>
      <c r="I42" s="39"/>
      <c r="J42" s="39"/>
      <c r="K42" s="39"/>
      <c r="L42" s="39"/>
      <c r="R42" s="126"/>
    </row>
    <row r="43" spans="2:18">
      <c r="B43" s="171"/>
      <c r="C43" s="34"/>
      <c r="D43" s="34"/>
      <c r="E43" s="309"/>
      <c r="F43" s="39"/>
      <c r="G43" s="39"/>
      <c r="H43" s="39"/>
      <c r="I43" s="39"/>
      <c r="J43" s="39"/>
      <c r="K43" s="39"/>
      <c r="L43" s="39"/>
      <c r="R43" s="126"/>
    </row>
    <row r="44" spans="2:18">
      <c r="B44" s="171" t="s">
        <v>651</v>
      </c>
      <c r="C44" s="34">
        <f>C39</f>
        <v>84615.38461538461</v>
      </c>
      <c r="D44" s="34">
        <v>0</v>
      </c>
      <c r="E44" s="309">
        <f>C44-D44</f>
        <v>84615.38461538461</v>
      </c>
      <c r="F44" s="39"/>
      <c r="G44" s="39"/>
      <c r="H44" s="39"/>
      <c r="I44" s="39"/>
      <c r="J44" s="39"/>
      <c r="K44" s="39"/>
      <c r="L44" s="39"/>
      <c r="R44" s="126"/>
    </row>
    <row r="45" spans="2:18">
      <c r="B45" s="171" t="s">
        <v>652</v>
      </c>
      <c r="C45" s="34">
        <v>0</v>
      </c>
      <c r="D45" s="34">
        <v>0</v>
      </c>
      <c r="E45" s="309">
        <f>C45-D45</f>
        <v>0</v>
      </c>
      <c r="F45" s="39"/>
      <c r="G45" s="39"/>
      <c r="H45" s="39"/>
      <c r="I45" s="39"/>
      <c r="J45" s="39"/>
      <c r="K45" s="39"/>
      <c r="L45" s="39"/>
      <c r="R45" s="126"/>
    </row>
    <row r="46" spans="2:18" ht="13.5" thickBot="1">
      <c r="B46" s="375" t="s">
        <v>409</v>
      </c>
      <c r="C46" s="456">
        <f>C42+C44+C45</f>
        <v>516784.61538461538</v>
      </c>
      <c r="D46" s="456">
        <f>D42+D44+D45</f>
        <v>367500</v>
      </c>
      <c r="E46" s="457">
        <f>C46-D46</f>
        <v>149284.61538461538</v>
      </c>
      <c r="F46" s="39"/>
      <c r="G46" s="114" t="s">
        <v>1086</v>
      </c>
      <c r="H46" s="39"/>
      <c r="I46" s="39"/>
      <c r="J46" s="39"/>
      <c r="K46" s="39"/>
      <c r="L46" s="39"/>
      <c r="R46" s="126"/>
    </row>
    <row r="47" spans="2:18" ht="13" thickBot="1">
      <c r="B47" s="461"/>
      <c r="C47" s="81"/>
      <c r="D47" s="81"/>
      <c r="E47" s="81"/>
      <c r="F47" s="81"/>
      <c r="G47" s="80"/>
      <c r="H47" s="51"/>
      <c r="I47" s="51"/>
      <c r="J47" s="51"/>
      <c r="L47" s="39"/>
      <c r="R47" s="126"/>
    </row>
    <row r="48" spans="2:18" ht="13.5" thickBot="1">
      <c r="B48" s="1667" t="s">
        <v>653</v>
      </c>
      <c r="C48" s="1584"/>
      <c r="D48" s="1584"/>
      <c r="E48" s="1585"/>
      <c r="F48" s="39"/>
      <c r="G48" s="1667" t="s">
        <v>654</v>
      </c>
      <c r="H48" s="1584"/>
      <c r="I48" s="1584"/>
      <c r="J48" s="1585"/>
      <c r="L48" s="39"/>
      <c r="R48" s="126"/>
    </row>
    <row r="49" spans="2:18">
      <c r="B49" s="171" t="s">
        <v>655</v>
      </c>
      <c r="C49" s="34"/>
      <c r="D49" s="34">
        <f>F15</f>
        <v>4900000</v>
      </c>
      <c r="E49" s="309"/>
      <c r="F49" s="39"/>
      <c r="G49" s="171" t="s">
        <v>655</v>
      </c>
      <c r="I49" s="34"/>
      <c r="J49" s="309">
        <f>F10</f>
        <v>3900000</v>
      </c>
      <c r="L49" s="39"/>
      <c r="R49" s="126"/>
    </row>
    <row r="50" spans="2:18">
      <c r="B50" s="171" t="s">
        <v>656</v>
      </c>
      <c r="C50" s="34"/>
      <c r="D50" s="52">
        <f>F17</f>
        <v>2730000</v>
      </c>
      <c r="E50" s="309"/>
      <c r="F50" s="39"/>
      <c r="G50" s="171" t="s">
        <v>656</v>
      </c>
      <c r="I50" s="34"/>
      <c r="J50" s="398">
        <f>F17</f>
        <v>2730000</v>
      </c>
      <c r="L50" s="39"/>
      <c r="R50" s="126"/>
    </row>
    <row r="51" spans="2:18">
      <c r="B51" s="171" t="s">
        <v>408</v>
      </c>
      <c r="C51" s="34"/>
      <c r="D51" s="34">
        <f>D49-D50</f>
        <v>2170000</v>
      </c>
      <c r="E51" s="309"/>
      <c r="F51" s="39"/>
      <c r="G51" s="171" t="s">
        <v>408</v>
      </c>
      <c r="I51" s="34"/>
      <c r="J51" s="309">
        <f>J49-J50</f>
        <v>1170000</v>
      </c>
      <c r="L51" s="39"/>
      <c r="R51" s="126"/>
    </row>
    <row r="52" spans="2:18">
      <c r="B52" s="171" t="s">
        <v>655</v>
      </c>
      <c r="C52" s="34">
        <f>D49</f>
        <v>4900000</v>
      </c>
      <c r="D52" s="34"/>
      <c r="E52" s="309"/>
      <c r="F52" s="39"/>
      <c r="G52" s="171" t="s">
        <v>655</v>
      </c>
      <c r="I52" s="34">
        <f>J49</f>
        <v>3900000</v>
      </c>
      <c r="J52" s="309"/>
      <c r="L52" s="39"/>
      <c r="R52" s="126"/>
    </row>
    <row r="53" spans="2:18">
      <c r="B53" s="171" t="s">
        <v>657</v>
      </c>
      <c r="C53" s="52">
        <f>F12-(C16+F11)*C39</f>
        <v>2630769.230769231</v>
      </c>
      <c r="D53" s="34"/>
      <c r="E53" s="309"/>
      <c r="F53" s="39"/>
      <c r="G53" s="171" t="s">
        <v>657</v>
      </c>
      <c r="I53" s="52">
        <f>F12-(F11*C39)</f>
        <v>3900000</v>
      </c>
      <c r="J53" s="309"/>
      <c r="L53" s="39"/>
      <c r="R53" s="126"/>
    </row>
    <row r="54" spans="2:18">
      <c r="B54" s="171" t="s">
        <v>401</v>
      </c>
      <c r="C54" s="34">
        <f>C52-C53</f>
        <v>2269230.769230769</v>
      </c>
      <c r="D54" s="34"/>
      <c r="E54" s="126"/>
      <c r="F54" s="39"/>
      <c r="G54" s="171" t="s">
        <v>401</v>
      </c>
      <c r="I54" s="34">
        <f>I52-I53</f>
        <v>0</v>
      </c>
      <c r="J54" s="309"/>
      <c r="L54" s="39"/>
      <c r="R54" s="126"/>
    </row>
    <row r="55" spans="2:18" ht="13" thickBot="1">
      <c r="B55" s="171" t="s">
        <v>649</v>
      </c>
      <c r="C55" s="34"/>
      <c r="D55" s="34">
        <f>C54*C20</f>
        <v>680769.23076923063</v>
      </c>
      <c r="E55" s="309"/>
      <c r="F55" s="39"/>
      <c r="G55" s="171" t="s">
        <v>649</v>
      </c>
      <c r="I55" s="34"/>
      <c r="J55" s="309">
        <f>I54*C20</f>
        <v>0</v>
      </c>
      <c r="L55" s="39"/>
      <c r="R55" s="126"/>
    </row>
    <row r="56" spans="2:18" ht="26" thickBot="1">
      <c r="B56" s="375" t="s">
        <v>658</v>
      </c>
      <c r="C56" s="376"/>
      <c r="D56" s="456">
        <f>D49-D50-D55</f>
        <v>1489230.7692307695</v>
      </c>
      <c r="E56" s="459" t="s">
        <v>1087</v>
      </c>
      <c r="F56" s="39"/>
      <c r="G56" s="168" t="s">
        <v>658</v>
      </c>
      <c r="I56" s="41"/>
      <c r="J56" s="458">
        <f>J49-J50-J55</f>
        <v>1170000</v>
      </c>
      <c r="L56" s="39"/>
      <c r="R56" s="126"/>
    </row>
    <row r="57" spans="2:18" ht="13" thickBot="1">
      <c r="B57" s="462"/>
      <c r="C57" s="80"/>
      <c r="D57" s="80"/>
      <c r="E57" s="80"/>
      <c r="F57" s="81"/>
      <c r="G57" s="228"/>
      <c r="H57" s="63"/>
      <c r="I57" s="63"/>
      <c r="J57" s="149"/>
      <c r="L57" s="39"/>
      <c r="R57" s="126"/>
    </row>
    <row r="58" spans="2:18" ht="13" thickBot="1">
      <c r="B58" s="460"/>
      <c r="C58" s="81"/>
      <c r="D58" s="81"/>
      <c r="E58" s="81"/>
      <c r="F58" s="81"/>
      <c r="G58" s="39"/>
      <c r="H58" s="39"/>
      <c r="I58" s="39"/>
      <c r="J58" s="39"/>
      <c r="L58" s="39"/>
      <c r="R58" s="126"/>
    </row>
    <row r="59" spans="2:18" ht="13.5" thickBot="1">
      <c r="B59" s="1667" t="s">
        <v>659</v>
      </c>
      <c r="C59" s="1584"/>
      <c r="D59" s="1584"/>
      <c r="E59" s="1585"/>
      <c r="F59" s="39"/>
      <c r="G59" s="39"/>
      <c r="H59" s="39"/>
      <c r="I59" s="39"/>
      <c r="J59" s="39"/>
      <c r="K59" s="39"/>
      <c r="L59" s="39"/>
      <c r="R59" s="126"/>
    </row>
    <row r="60" spans="2:18" ht="13.5" thickBot="1">
      <c r="B60" s="181"/>
      <c r="C60" s="157" t="s">
        <v>660</v>
      </c>
      <c r="D60" s="157" t="s">
        <v>281</v>
      </c>
      <c r="E60" s="157" t="s">
        <v>282</v>
      </c>
      <c r="F60" s="39"/>
      <c r="G60" s="39"/>
      <c r="H60" s="39"/>
      <c r="I60" s="39"/>
      <c r="J60" s="39"/>
      <c r="K60" s="39"/>
      <c r="L60" s="39"/>
      <c r="R60" s="126"/>
    </row>
    <row r="61" spans="2:18" ht="13">
      <c r="B61" s="374" t="s">
        <v>262</v>
      </c>
      <c r="C61" s="29">
        <v>0</v>
      </c>
      <c r="D61" s="29" t="s">
        <v>661</v>
      </c>
      <c r="E61" s="405">
        <v>15</v>
      </c>
      <c r="F61" s="28"/>
      <c r="G61" s="28"/>
      <c r="H61" s="28"/>
      <c r="I61" s="28"/>
      <c r="J61" s="28"/>
      <c r="K61" s="28"/>
      <c r="L61" s="28"/>
      <c r="R61" s="126"/>
    </row>
    <row r="62" spans="2:18">
      <c r="B62" s="171" t="s">
        <v>662</v>
      </c>
      <c r="C62" s="34">
        <f>C75</f>
        <v>-1170000</v>
      </c>
      <c r="D62" s="34"/>
      <c r="E62" s="262"/>
      <c r="F62" s="39"/>
      <c r="G62" s="39"/>
      <c r="H62" s="39"/>
      <c r="I62" s="39"/>
      <c r="J62" s="39"/>
      <c r="K62" s="39"/>
      <c r="L62" s="39"/>
      <c r="R62" s="126"/>
    </row>
    <row r="63" spans="2:18">
      <c r="B63" s="171" t="s">
        <v>663</v>
      </c>
      <c r="C63" s="34"/>
      <c r="D63" s="34">
        <f>E46</f>
        <v>149284.61538461538</v>
      </c>
      <c r="E63" s="309"/>
      <c r="F63" s="39"/>
      <c r="G63" s="39"/>
      <c r="H63" s="39"/>
      <c r="I63" s="39"/>
      <c r="J63" s="39"/>
      <c r="K63" s="39"/>
      <c r="L63" s="39"/>
      <c r="R63" s="126"/>
    </row>
    <row r="64" spans="2:18">
      <c r="B64" s="171" t="s">
        <v>664</v>
      </c>
      <c r="C64" s="52"/>
      <c r="D64" s="52"/>
      <c r="E64" s="398">
        <f>D56</f>
        <v>1489230.7692307695</v>
      </c>
      <c r="F64" s="39"/>
      <c r="G64" s="39"/>
      <c r="H64" s="39"/>
      <c r="I64" s="39"/>
      <c r="J64" s="39"/>
      <c r="K64" s="39"/>
      <c r="L64" s="39"/>
      <c r="R64" s="126"/>
    </row>
    <row r="65" spans="1:25">
      <c r="B65" s="171" t="s">
        <v>292</v>
      </c>
      <c r="C65" s="299">
        <f>C62+C63+C64</f>
        <v>-1170000</v>
      </c>
      <c r="D65" s="299">
        <f>D62+D63+D64</f>
        <v>149284.61538461538</v>
      </c>
      <c r="E65" s="308">
        <f>E62+E63+E64</f>
        <v>1489230.7692307695</v>
      </c>
      <c r="F65" s="39"/>
      <c r="G65" s="39"/>
      <c r="H65" s="39"/>
      <c r="I65" s="39"/>
      <c r="J65" s="39"/>
      <c r="K65" s="39"/>
      <c r="L65" s="39"/>
      <c r="R65" s="126"/>
    </row>
    <row r="66" spans="1:25" ht="13" thickBot="1">
      <c r="B66" s="171"/>
      <c r="C66" s="299"/>
      <c r="D66" s="299"/>
      <c r="E66" s="308"/>
      <c r="F66" s="39"/>
      <c r="G66" s="39"/>
      <c r="H66" s="39"/>
      <c r="I66" s="39"/>
      <c r="J66" s="39"/>
      <c r="K66" s="39"/>
      <c r="L66" s="39"/>
      <c r="R66" s="126"/>
    </row>
    <row r="67" spans="1:25" ht="26" thickBot="1">
      <c r="B67" s="168" t="s">
        <v>665</v>
      </c>
      <c r="C67" s="155">
        <f>C76</f>
        <v>0.13412220495033389</v>
      </c>
      <c r="D67" s="39"/>
      <c r="E67" s="459" t="s">
        <v>1088</v>
      </c>
      <c r="F67" s="39"/>
      <c r="G67" s="39"/>
      <c r="H67" s="39"/>
      <c r="I67" s="39"/>
      <c r="J67" s="39"/>
      <c r="K67" s="39"/>
      <c r="L67" s="39"/>
      <c r="R67" s="126"/>
    </row>
    <row r="68" spans="1:25" ht="13" thickBot="1">
      <c r="B68" s="228"/>
      <c r="C68" s="63"/>
      <c r="D68" s="63"/>
      <c r="E68" s="149"/>
      <c r="F68" s="39"/>
      <c r="G68" s="39"/>
      <c r="H68" s="39"/>
      <c r="I68" s="39"/>
      <c r="J68" s="39"/>
      <c r="K68" s="39"/>
      <c r="L68" s="39"/>
      <c r="R68" s="126"/>
    </row>
    <row r="69" spans="1:25">
      <c r="B69" s="171"/>
      <c r="C69" s="39"/>
      <c r="D69" s="39"/>
      <c r="E69" s="39"/>
      <c r="F69" s="39"/>
      <c r="G69" s="39"/>
      <c r="H69" s="39"/>
      <c r="I69" s="39"/>
      <c r="J69" s="39"/>
      <c r="K69" s="39"/>
      <c r="L69" s="39"/>
      <c r="R69" s="126"/>
    </row>
    <row r="70" spans="1:25" ht="13" thickBot="1">
      <c r="B70" s="171"/>
      <c r="C70" s="34"/>
      <c r="E70" s="34"/>
      <c r="F70" s="39"/>
      <c r="G70" s="39"/>
      <c r="H70" s="39"/>
      <c r="I70" s="39"/>
      <c r="J70" s="39"/>
      <c r="K70" s="39"/>
      <c r="L70" s="39"/>
      <c r="R70" s="126"/>
    </row>
    <row r="71" spans="1:25" ht="13.5" thickBot="1">
      <c r="B71" s="1597" t="s">
        <v>666</v>
      </c>
      <c r="C71" s="1538"/>
      <c r="D71" s="1538"/>
      <c r="E71" s="1538"/>
      <c r="F71" s="1538"/>
      <c r="G71" s="1538"/>
      <c r="H71" s="1538"/>
      <c r="I71" s="1538"/>
      <c r="J71" s="1538"/>
      <c r="K71" s="1538"/>
      <c r="L71" s="1538"/>
      <c r="M71" s="1538"/>
      <c r="N71" s="1538"/>
      <c r="O71" s="1538"/>
      <c r="P71" s="1538"/>
      <c r="Q71" s="1538"/>
      <c r="R71" s="1539"/>
      <c r="S71" s="39"/>
      <c r="T71" s="39"/>
      <c r="U71" s="39"/>
      <c r="V71" s="39"/>
      <c r="W71" s="39"/>
      <c r="X71" s="39"/>
      <c r="Y71" s="39"/>
    </row>
    <row r="72" spans="1:25" ht="13.5" thickBot="1">
      <c r="B72" s="157" t="s">
        <v>262</v>
      </c>
      <c r="C72" s="157">
        <v>0</v>
      </c>
      <c r="D72" s="157">
        <f t="shared" ref="D72:R72" si="1">1+C72</f>
        <v>1</v>
      </c>
      <c r="E72" s="157">
        <f t="shared" si="1"/>
        <v>2</v>
      </c>
      <c r="F72" s="157">
        <f t="shared" si="1"/>
        <v>3</v>
      </c>
      <c r="G72" s="157">
        <f t="shared" si="1"/>
        <v>4</v>
      </c>
      <c r="H72" s="157">
        <f t="shared" si="1"/>
        <v>5</v>
      </c>
      <c r="I72" s="157">
        <f t="shared" si="1"/>
        <v>6</v>
      </c>
      <c r="J72" s="157">
        <f t="shared" si="1"/>
        <v>7</v>
      </c>
      <c r="K72" s="157">
        <f t="shared" si="1"/>
        <v>8</v>
      </c>
      <c r="L72" s="157">
        <f t="shared" si="1"/>
        <v>9</v>
      </c>
      <c r="M72" s="157">
        <f t="shared" si="1"/>
        <v>10</v>
      </c>
      <c r="N72" s="157">
        <f t="shared" si="1"/>
        <v>11</v>
      </c>
      <c r="O72" s="157">
        <f t="shared" si="1"/>
        <v>12</v>
      </c>
      <c r="P72" s="157">
        <f t="shared" si="1"/>
        <v>13</v>
      </c>
      <c r="Q72" s="157">
        <f t="shared" si="1"/>
        <v>14</v>
      </c>
      <c r="R72" s="157">
        <f t="shared" si="1"/>
        <v>15</v>
      </c>
      <c r="S72" s="29"/>
      <c r="T72" s="39"/>
      <c r="U72" s="39"/>
      <c r="V72" s="39"/>
      <c r="W72" s="39"/>
      <c r="X72" s="39"/>
      <c r="Y72" s="39"/>
    </row>
    <row r="73" spans="1:25">
      <c r="B73" s="171" t="s">
        <v>667</v>
      </c>
      <c r="C73" s="34">
        <f>IF(F11&gt;0,0,-(F20+C12))</f>
        <v>-3670000</v>
      </c>
      <c r="D73" s="34">
        <f>$C$46</f>
        <v>516784.61538461538</v>
      </c>
      <c r="E73" s="34">
        <f t="shared" ref="E73:Q73" si="2">$C$46</f>
        <v>516784.61538461538</v>
      </c>
      <c r="F73" s="34">
        <f t="shared" si="2"/>
        <v>516784.61538461538</v>
      </c>
      <c r="G73" s="34">
        <f t="shared" si="2"/>
        <v>516784.61538461538</v>
      </c>
      <c r="H73" s="34">
        <f t="shared" si="2"/>
        <v>516784.61538461538</v>
      </c>
      <c r="I73" s="34">
        <f t="shared" si="2"/>
        <v>516784.61538461538</v>
      </c>
      <c r="J73" s="34">
        <f t="shared" si="2"/>
        <v>516784.61538461538</v>
      </c>
      <c r="K73" s="34">
        <f t="shared" si="2"/>
        <v>516784.61538461538</v>
      </c>
      <c r="L73" s="34">
        <f t="shared" si="2"/>
        <v>516784.61538461538</v>
      </c>
      <c r="M73" s="34">
        <f t="shared" si="2"/>
        <v>516784.61538461538</v>
      </c>
      <c r="N73" s="34">
        <f t="shared" si="2"/>
        <v>516784.61538461538</v>
      </c>
      <c r="O73" s="34">
        <f t="shared" si="2"/>
        <v>516784.61538461538</v>
      </c>
      <c r="P73" s="34">
        <f t="shared" si="2"/>
        <v>516784.61538461538</v>
      </c>
      <c r="Q73" s="34">
        <f t="shared" si="2"/>
        <v>516784.61538461538</v>
      </c>
      <c r="R73" s="309">
        <f>$C$46+D56</f>
        <v>2006015.384615385</v>
      </c>
      <c r="S73" s="34"/>
      <c r="T73" s="34"/>
      <c r="U73" s="34"/>
      <c r="V73" s="34"/>
      <c r="W73" s="34"/>
      <c r="X73" s="34"/>
      <c r="Y73" s="34"/>
    </row>
    <row r="74" spans="1:25">
      <c r="B74" s="171" t="s">
        <v>668</v>
      </c>
      <c r="C74" s="753">
        <f>IF(F11&gt;0,J56,-C12)</f>
        <v>-2500000</v>
      </c>
      <c r="D74" s="34">
        <f>$D$46</f>
        <v>367500</v>
      </c>
      <c r="E74" s="34">
        <f t="shared" ref="E74:R74" si="3">$D$46</f>
        <v>367500</v>
      </c>
      <c r="F74" s="34">
        <f t="shared" si="3"/>
        <v>367500</v>
      </c>
      <c r="G74" s="34">
        <f t="shared" si="3"/>
        <v>367500</v>
      </c>
      <c r="H74" s="34">
        <f t="shared" si="3"/>
        <v>367500</v>
      </c>
      <c r="I74" s="34">
        <f t="shared" si="3"/>
        <v>367500</v>
      </c>
      <c r="J74" s="34">
        <f t="shared" si="3"/>
        <v>367500</v>
      </c>
      <c r="K74" s="34">
        <f t="shared" si="3"/>
        <v>367500</v>
      </c>
      <c r="L74" s="34">
        <f t="shared" si="3"/>
        <v>367500</v>
      </c>
      <c r="M74" s="34">
        <f t="shared" si="3"/>
        <v>367500</v>
      </c>
      <c r="N74" s="34">
        <f t="shared" si="3"/>
        <v>367500</v>
      </c>
      <c r="O74" s="34">
        <f t="shared" si="3"/>
        <v>367500</v>
      </c>
      <c r="P74" s="34">
        <f t="shared" si="3"/>
        <v>367500</v>
      </c>
      <c r="Q74" s="34">
        <f t="shared" si="3"/>
        <v>367500</v>
      </c>
      <c r="R74" s="309">
        <f t="shared" si="3"/>
        <v>367500</v>
      </c>
      <c r="S74" s="34"/>
      <c r="T74" s="34"/>
      <c r="U74" s="34"/>
      <c r="V74" s="34"/>
      <c r="W74" s="34"/>
      <c r="X74" s="34"/>
      <c r="Y74" s="34"/>
    </row>
    <row r="75" spans="1:25">
      <c r="B75" s="171" t="s">
        <v>669</v>
      </c>
      <c r="C75" s="34">
        <f>C73-C74</f>
        <v>-1170000</v>
      </c>
      <c r="D75" s="34">
        <f t="shared" ref="D75:R75" si="4">D73-D74</f>
        <v>149284.61538461538</v>
      </c>
      <c r="E75" s="34">
        <f t="shared" si="4"/>
        <v>149284.61538461538</v>
      </c>
      <c r="F75" s="34">
        <f t="shared" si="4"/>
        <v>149284.61538461538</v>
      </c>
      <c r="G75" s="34">
        <f t="shared" si="4"/>
        <v>149284.61538461538</v>
      </c>
      <c r="H75" s="34">
        <f t="shared" si="4"/>
        <v>149284.61538461538</v>
      </c>
      <c r="I75" s="34">
        <f t="shared" si="4"/>
        <v>149284.61538461538</v>
      </c>
      <c r="J75" s="34">
        <f t="shared" si="4"/>
        <v>149284.61538461538</v>
      </c>
      <c r="K75" s="34">
        <f t="shared" si="4"/>
        <v>149284.61538461538</v>
      </c>
      <c r="L75" s="34">
        <f t="shared" si="4"/>
        <v>149284.61538461538</v>
      </c>
      <c r="M75" s="34">
        <f t="shared" si="4"/>
        <v>149284.61538461538</v>
      </c>
      <c r="N75" s="34">
        <f t="shared" si="4"/>
        <v>149284.61538461538</v>
      </c>
      <c r="O75" s="34">
        <f t="shared" si="4"/>
        <v>149284.61538461538</v>
      </c>
      <c r="P75" s="34">
        <f t="shared" si="4"/>
        <v>149284.61538461538</v>
      </c>
      <c r="Q75" s="34">
        <f t="shared" si="4"/>
        <v>149284.61538461538</v>
      </c>
      <c r="R75" s="309">
        <f t="shared" si="4"/>
        <v>1638515.384615385</v>
      </c>
      <c r="S75" s="39"/>
      <c r="T75" s="39"/>
      <c r="U75" s="39"/>
      <c r="V75" s="39"/>
      <c r="W75" s="39"/>
      <c r="X75" s="39"/>
      <c r="Y75" s="39"/>
    </row>
    <row r="76" spans="1:25" ht="13" thickBot="1">
      <c r="A76" t="s">
        <v>1207</v>
      </c>
      <c r="B76" s="228" t="s">
        <v>670</v>
      </c>
      <c r="C76" s="321">
        <f>IRR(C75:R75,0.1)</f>
        <v>0.13412220495033389</v>
      </c>
      <c r="D76" s="63"/>
      <c r="E76" s="63"/>
      <c r="F76" s="63"/>
      <c r="G76" s="63"/>
      <c r="H76" s="63"/>
      <c r="I76" s="63"/>
      <c r="J76" s="63"/>
      <c r="K76" s="63"/>
      <c r="L76" s="63"/>
      <c r="M76" s="63"/>
      <c r="N76" s="63"/>
      <c r="O76" s="63"/>
      <c r="P76" s="63"/>
      <c r="Q76" s="63"/>
      <c r="R76" s="149"/>
      <c r="S76" s="39"/>
      <c r="T76" s="39"/>
      <c r="U76" s="39"/>
      <c r="V76" s="39"/>
      <c r="W76" s="39"/>
      <c r="X76" s="39"/>
      <c r="Y76" s="39"/>
    </row>
    <row r="77" spans="1:25" ht="13" thickBot="1">
      <c r="B77" s="228"/>
      <c r="C77" s="63"/>
      <c r="D77" s="63"/>
      <c r="E77" s="63"/>
      <c r="F77" s="63"/>
      <c r="G77" s="63"/>
      <c r="H77" s="63"/>
      <c r="I77" s="63"/>
      <c r="J77" s="63"/>
      <c r="K77" s="63"/>
      <c r="L77" s="63"/>
      <c r="M77" s="63"/>
      <c r="N77" s="63"/>
      <c r="O77" s="63"/>
      <c r="P77" s="63"/>
      <c r="Q77" s="63"/>
      <c r="R77" s="149"/>
      <c r="S77" s="39"/>
      <c r="T77" s="39"/>
      <c r="U77" s="39"/>
      <c r="V77" s="39"/>
      <c r="W77" s="39"/>
      <c r="X77" s="39"/>
      <c r="Y77" s="39"/>
    </row>
    <row r="78" spans="1:25">
      <c r="B78" s="39"/>
      <c r="D78" s="39"/>
      <c r="E78" s="39"/>
      <c r="F78" s="39"/>
      <c r="G78" s="39"/>
      <c r="H78" s="39"/>
      <c r="I78" s="39"/>
      <c r="J78" s="39"/>
      <c r="K78" s="39"/>
      <c r="L78" s="39"/>
    </row>
    <row r="79" spans="1:25">
      <c r="A79" t="s">
        <v>1206</v>
      </c>
      <c r="B79" s="39" t="s">
        <v>1203</v>
      </c>
      <c r="C79" s="23">
        <f>IRR(C73:R73,0.1)</f>
        <v>0.12557502996314107</v>
      </c>
      <c r="D79" s="39"/>
      <c r="E79" s="39"/>
      <c r="F79" s="39"/>
      <c r="G79" s="39"/>
      <c r="H79" s="39"/>
      <c r="I79" s="39"/>
      <c r="J79" s="39"/>
      <c r="K79" s="39"/>
      <c r="L79" s="39"/>
    </row>
    <row r="80" spans="1:25">
      <c r="A80" t="s">
        <v>1205</v>
      </c>
      <c r="B80" s="39" t="s">
        <v>1204</v>
      </c>
      <c r="C80" s="23">
        <f>IRR(C74:R74,0.1)</f>
        <v>0.12022414011786653</v>
      </c>
      <c r="D80" s="39"/>
      <c r="E80" s="39"/>
      <c r="F80" s="39"/>
      <c r="G80" s="39"/>
      <c r="H80" s="39"/>
      <c r="I80" s="39"/>
      <c r="J80" s="39"/>
      <c r="K80" s="39"/>
      <c r="L80" s="39"/>
    </row>
    <row r="81" spans="1:12">
      <c r="B81" s="39"/>
      <c r="C81" s="39"/>
      <c r="D81" s="39"/>
      <c r="E81" s="39"/>
      <c r="F81" s="39"/>
      <c r="G81" s="39"/>
      <c r="H81" s="39"/>
      <c r="I81" s="39"/>
      <c r="J81" s="39"/>
      <c r="K81" s="39"/>
      <c r="L81" s="39"/>
    </row>
    <row r="82" spans="1:12" ht="13">
      <c r="A82" t="s">
        <v>1208</v>
      </c>
      <c r="B82" s="751" t="s">
        <v>1209</v>
      </c>
      <c r="C82" s="39"/>
      <c r="D82" s="39"/>
      <c r="E82" s="39"/>
      <c r="F82" s="39"/>
      <c r="G82" s="39"/>
      <c r="H82" s="39"/>
      <c r="I82" s="39"/>
      <c r="J82" s="39"/>
      <c r="K82" s="39"/>
      <c r="L82" s="39"/>
    </row>
    <row r="83" spans="1:12">
      <c r="B83" s="39"/>
      <c r="C83" s="39"/>
      <c r="D83" s="39"/>
      <c r="E83" s="39"/>
      <c r="F83" s="39"/>
      <c r="G83" s="39"/>
      <c r="H83" s="39"/>
      <c r="I83" s="39"/>
      <c r="J83" s="39"/>
      <c r="K83" s="39"/>
      <c r="L83" s="39"/>
    </row>
    <row r="84" spans="1:12">
      <c r="B84" s="39"/>
      <c r="C84" s="39"/>
      <c r="D84" s="39"/>
      <c r="E84" s="39"/>
      <c r="F84" s="39"/>
      <c r="G84" s="39"/>
      <c r="H84" s="39"/>
      <c r="I84" s="39"/>
      <c r="J84" s="39"/>
      <c r="K84" s="39"/>
      <c r="L84" s="39"/>
    </row>
    <row r="85" spans="1:12">
      <c r="B85" s="39"/>
      <c r="C85" s="39"/>
      <c r="D85" s="39"/>
      <c r="E85" s="39"/>
      <c r="F85" s="39"/>
      <c r="G85" s="39"/>
      <c r="H85" s="39"/>
      <c r="I85" s="39"/>
      <c r="J85" s="39"/>
      <c r="K85" s="39"/>
      <c r="L85" s="39"/>
    </row>
    <row r="86" spans="1:12">
      <c r="B86" s="39"/>
      <c r="C86" s="39"/>
      <c r="D86" s="39"/>
      <c r="E86" s="39"/>
      <c r="F86" s="39"/>
      <c r="G86" s="39"/>
      <c r="H86" s="39"/>
      <c r="I86" s="39"/>
      <c r="J86" s="39"/>
      <c r="K86" s="39"/>
      <c r="L86" s="39"/>
    </row>
    <row r="87" spans="1:12">
      <c r="B87" s="39"/>
      <c r="C87" s="39"/>
      <c r="D87" s="39"/>
      <c r="E87" s="39"/>
      <c r="F87" s="39"/>
      <c r="G87" s="39"/>
      <c r="H87" s="39"/>
      <c r="I87" s="39"/>
      <c r="J87" s="39"/>
      <c r="K87" s="39"/>
      <c r="L87" s="39"/>
    </row>
    <row r="88" spans="1:12">
      <c r="B88" s="39"/>
      <c r="C88" s="39"/>
      <c r="D88" s="39"/>
      <c r="E88" s="39"/>
      <c r="F88" s="39"/>
      <c r="G88" s="39"/>
      <c r="H88" s="39"/>
      <c r="I88" s="39"/>
      <c r="J88" s="39"/>
      <c r="K88" s="39"/>
      <c r="L88" s="39"/>
    </row>
    <row r="89" spans="1:12">
      <c r="B89" s="39"/>
      <c r="C89" s="39"/>
      <c r="D89" s="39"/>
      <c r="E89" s="39"/>
      <c r="F89" s="39"/>
      <c r="G89" s="39"/>
      <c r="H89" s="39"/>
      <c r="I89" s="39"/>
      <c r="J89" s="39"/>
      <c r="K89" s="39"/>
      <c r="L89" s="39"/>
    </row>
    <row r="90" spans="1:12">
      <c r="B90" s="39"/>
      <c r="C90" s="39"/>
      <c r="D90" s="39"/>
      <c r="E90" s="39"/>
      <c r="F90" s="39"/>
      <c r="G90" s="39"/>
      <c r="H90" s="39"/>
      <c r="I90" s="39"/>
      <c r="J90" s="39"/>
      <c r="K90" s="39"/>
      <c r="L90" s="39"/>
    </row>
    <row r="91" spans="1:12">
      <c r="B91" s="39"/>
      <c r="C91" s="39"/>
      <c r="D91" s="39"/>
      <c r="E91" s="39"/>
      <c r="F91" s="39"/>
      <c r="G91" s="39"/>
      <c r="H91" s="39"/>
      <c r="I91" s="39"/>
      <c r="J91" s="39"/>
      <c r="K91" s="39"/>
      <c r="L91" s="39"/>
    </row>
    <row r="92" spans="1:12">
      <c r="B92" s="39"/>
      <c r="C92" s="39"/>
      <c r="D92" s="39"/>
      <c r="E92" s="39"/>
      <c r="F92" s="39"/>
      <c r="G92" s="39"/>
      <c r="H92" s="39"/>
      <c r="I92" s="39"/>
      <c r="J92" s="39"/>
      <c r="K92" s="39"/>
      <c r="L92" s="39"/>
    </row>
    <row r="93" spans="1:12">
      <c r="B93" s="39"/>
      <c r="C93" s="39"/>
      <c r="D93" s="39"/>
      <c r="E93" s="39"/>
      <c r="F93" s="39"/>
      <c r="G93" s="39"/>
      <c r="H93" s="39"/>
      <c r="I93" s="39"/>
      <c r="J93" s="39"/>
      <c r="K93" s="39"/>
      <c r="L93" s="39"/>
    </row>
    <row r="94" spans="1:12">
      <c r="B94" s="39"/>
      <c r="C94" s="39"/>
      <c r="D94" s="39"/>
      <c r="E94" s="39"/>
      <c r="F94" s="39"/>
      <c r="G94" s="39"/>
      <c r="H94" s="39"/>
      <c r="I94" s="39"/>
      <c r="J94" s="39"/>
      <c r="K94" s="39"/>
      <c r="L94" s="39"/>
    </row>
    <row r="95" spans="1:12">
      <c r="B95" s="39"/>
      <c r="C95" s="39"/>
      <c r="D95" s="39"/>
      <c r="E95" s="39"/>
      <c r="F95" s="39"/>
      <c r="G95" s="39"/>
      <c r="H95" s="39"/>
      <c r="I95" s="39"/>
      <c r="J95" s="39"/>
      <c r="K95" s="39"/>
      <c r="L95" s="39"/>
    </row>
    <row r="96" spans="1:12">
      <c r="B96" s="39"/>
      <c r="C96" s="39"/>
      <c r="D96" s="39"/>
      <c r="E96" s="39"/>
      <c r="F96" s="39"/>
      <c r="G96" s="39"/>
      <c r="H96" s="39"/>
      <c r="I96" s="39"/>
      <c r="J96" s="39"/>
      <c r="K96" s="39"/>
      <c r="L96" s="39"/>
    </row>
    <row r="97" spans="2:12">
      <c r="B97" s="39"/>
      <c r="C97" s="39"/>
      <c r="D97" s="39"/>
      <c r="E97" s="39"/>
      <c r="F97" s="39"/>
      <c r="G97" s="39"/>
      <c r="H97" s="39"/>
      <c r="I97" s="39"/>
      <c r="J97" s="39"/>
      <c r="K97" s="39"/>
      <c r="L97" s="39"/>
    </row>
    <row r="98" spans="2:12">
      <c r="B98" s="39"/>
      <c r="C98" s="39"/>
      <c r="D98" s="39"/>
      <c r="E98" s="39"/>
      <c r="F98" s="39"/>
      <c r="G98" s="39"/>
      <c r="H98" s="39"/>
      <c r="I98" s="39"/>
      <c r="J98" s="39"/>
      <c r="K98" s="39"/>
      <c r="L98" s="39"/>
    </row>
    <row r="99" spans="2:12">
      <c r="B99" s="39"/>
      <c r="C99" s="39"/>
      <c r="D99" s="39"/>
      <c r="E99" s="39"/>
      <c r="F99" s="39"/>
      <c r="G99" s="39"/>
      <c r="H99" s="39"/>
      <c r="I99" s="39"/>
      <c r="J99" s="39"/>
      <c r="K99" s="39"/>
      <c r="L99" s="39"/>
    </row>
    <row r="100" spans="2:12">
      <c r="B100" s="39"/>
      <c r="C100" s="39"/>
      <c r="D100" s="39"/>
      <c r="E100" s="39"/>
      <c r="F100" s="39"/>
      <c r="G100" s="39"/>
      <c r="H100" s="39"/>
      <c r="I100" s="39"/>
      <c r="J100" s="39"/>
      <c r="K100" s="39"/>
      <c r="L100" s="39"/>
    </row>
    <row r="101" spans="2:12">
      <c r="B101" s="39"/>
      <c r="C101" s="39"/>
      <c r="D101" s="39"/>
      <c r="E101" s="39"/>
      <c r="F101" s="39"/>
      <c r="G101" s="39"/>
      <c r="H101" s="39"/>
      <c r="I101" s="39"/>
      <c r="J101" s="39"/>
      <c r="K101" s="39"/>
      <c r="L101" s="39"/>
    </row>
    <row r="102" spans="2:12">
      <c r="B102" s="39"/>
      <c r="C102" s="39"/>
      <c r="D102" s="39"/>
      <c r="E102" s="39"/>
      <c r="F102" s="39"/>
      <c r="G102" s="39"/>
      <c r="H102" s="39"/>
      <c r="I102" s="39"/>
      <c r="J102" s="39"/>
      <c r="K102" s="39"/>
      <c r="L102" s="39"/>
    </row>
    <row r="103" spans="2:12">
      <c r="B103" s="39"/>
      <c r="C103" s="39"/>
      <c r="D103" s="39"/>
      <c r="E103" s="39"/>
      <c r="F103" s="39"/>
      <c r="G103" s="39"/>
      <c r="H103" s="39"/>
      <c r="I103" s="39"/>
      <c r="J103" s="39"/>
      <c r="K103" s="39"/>
      <c r="L103" s="39"/>
    </row>
    <row r="104" spans="2:12">
      <c r="B104" s="39"/>
      <c r="C104" s="39"/>
      <c r="D104" s="39"/>
      <c r="E104" s="39"/>
      <c r="F104" s="39"/>
      <c r="G104" s="39"/>
      <c r="H104" s="39"/>
      <c r="I104" s="39"/>
      <c r="J104" s="39"/>
      <c r="K104" s="39"/>
      <c r="L104" s="39"/>
    </row>
    <row r="105" spans="2:12">
      <c r="B105" s="39"/>
      <c r="C105" s="39"/>
      <c r="D105" s="39"/>
      <c r="E105" s="39"/>
      <c r="F105" s="39"/>
      <c r="G105" s="39"/>
      <c r="H105" s="39"/>
      <c r="I105" s="39"/>
      <c r="J105" s="39"/>
      <c r="K105" s="39"/>
      <c r="L105" s="39"/>
    </row>
    <row r="106" spans="2:12">
      <c r="B106" s="39"/>
      <c r="C106" s="39"/>
      <c r="D106" s="39"/>
      <c r="E106" s="39"/>
      <c r="F106" s="39"/>
      <c r="G106" s="39"/>
      <c r="H106" s="39"/>
      <c r="I106" s="39"/>
      <c r="J106" s="39"/>
      <c r="K106" s="39"/>
      <c r="L106" s="39"/>
    </row>
    <row r="107" spans="2:12">
      <c r="B107" s="39"/>
      <c r="C107" s="39"/>
      <c r="D107" s="39"/>
      <c r="E107" s="39"/>
      <c r="F107" s="39"/>
      <c r="G107" s="39"/>
      <c r="H107" s="39"/>
      <c r="I107" s="39"/>
      <c r="J107" s="39"/>
      <c r="K107" s="39"/>
      <c r="L107" s="39"/>
    </row>
    <row r="108" spans="2:12">
      <c r="B108" s="39"/>
      <c r="C108" s="39"/>
      <c r="D108" s="39"/>
      <c r="E108" s="39"/>
      <c r="F108" s="39"/>
      <c r="G108" s="39"/>
      <c r="H108" s="39"/>
      <c r="I108" s="39"/>
      <c r="J108" s="39"/>
      <c r="K108" s="39"/>
      <c r="L108" s="39"/>
    </row>
    <row r="109" spans="2:12">
      <c r="B109" s="39"/>
      <c r="C109" s="39"/>
      <c r="D109" s="39"/>
      <c r="E109" s="39"/>
      <c r="F109" s="39"/>
      <c r="G109" s="39"/>
      <c r="H109" s="39"/>
      <c r="I109" s="39"/>
      <c r="J109" s="39"/>
      <c r="K109" s="39"/>
      <c r="L109" s="39"/>
    </row>
    <row r="110" spans="2:12">
      <c r="B110" s="39"/>
      <c r="C110" s="39"/>
      <c r="D110" s="39"/>
      <c r="E110" s="39"/>
      <c r="F110" s="39"/>
      <c r="G110" s="39"/>
      <c r="H110" s="39"/>
      <c r="I110" s="39"/>
      <c r="J110" s="39"/>
      <c r="K110" s="39"/>
      <c r="L110" s="39"/>
    </row>
    <row r="111" spans="2:12">
      <c r="B111" s="39"/>
      <c r="C111" s="39"/>
      <c r="D111" s="39"/>
      <c r="E111" s="39"/>
      <c r="F111" s="39"/>
      <c r="G111" s="39"/>
      <c r="H111" s="39"/>
      <c r="I111" s="39"/>
      <c r="J111" s="39"/>
      <c r="K111" s="39"/>
      <c r="L111" s="39"/>
    </row>
    <row r="112" spans="2:12">
      <c r="B112" s="39"/>
      <c r="C112" s="39"/>
      <c r="D112" s="39"/>
      <c r="E112" s="39"/>
      <c r="F112" s="39"/>
      <c r="G112" s="39"/>
      <c r="H112" s="39"/>
      <c r="I112" s="39"/>
      <c r="J112" s="39"/>
      <c r="K112" s="39"/>
      <c r="L112" s="39"/>
    </row>
    <row r="113" spans="2:12">
      <c r="B113" s="39"/>
      <c r="C113" s="39"/>
      <c r="D113" s="39"/>
      <c r="E113" s="39"/>
      <c r="F113" s="39"/>
      <c r="G113" s="39"/>
      <c r="H113" s="39"/>
      <c r="I113" s="39"/>
      <c r="J113" s="39"/>
      <c r="K113" s="39"/>
      <c r="L113" s="39"/>
    </row>
    <row r="114" spans="2:12">
      <c r="B114" s="39"/>
      <c r="C114" s="39"/>
      <c r="D114" s="39"/>
      <c r="E114" s="39"/>
      <c r="F114" s="39"/>
      <c r="G114" s="39"/>
      <c r="H114" s="39"/>
      <c r="I114" s="39"/>
      <c r="J114" s="39"/>
      <c r="K114" s="39"/>
      <c r="L114" s="39"/>
    </row>
    <row r="115" spans="2:12">
      <c r="B115" s="39"/>
      <c r="C115" s="39"/>
      <c r="D115" s="39"/>
      <c r="E115" s="39"/>
      <c r="F115" s="39"/>
      <c r="G115" s="39"/>
      <c r="H115" s="39"/>
      <c r="I115" s="39"/>
      <c r="J115" s="39"/>
      <c r="K115" s="39"/>
      <c r="L115" s="39"/>
    </row>
    <row r="116" spans="2:12">
      <c r="B116" s="39"/>
      <c r="C116" s="39"/>
      <c r="D116" s="39"/>
      <c r="E116" s="39"/>
      <c r="F116" s="39"/>
      <c r="G116" s="39"/>
      <c r="H116" s="39"/>
      <c r="I116" s="39"/>
      <c r="J116" s="39"/>
      <c r="K116" s="39"/>
      <c r="L116" s="39"/>
    </row>
    <row r="117" spans="2:12">
      <c r="B117" s="39"/>
      <c r="C117" s="39"/>
      <c r="D117" s="39"/>
      <c r="E117" s="39"/>
      <c r="F117" s="39"/>
      <c r="G117" s="39"/>
      <c r="H117" s="39"/>
      <c r="I117" s="39"/>
      <c r="J117" s="39"/>
      <c r="K117" s="39"/>
      <c r="L117" s="39"/>
    </row>
    <row r="118" spans="2:12">
      <c r="B118" s="39"/>
      <c r="C118" s="39"/>
      <c r="D118" s="39"/>
      <c r="E118" s="39"/>
      <c r="F118" s="39"/>
      <c r="G118" s="39"/>
      <c r="H118" s="39"/>
      <c r="I118" s="39"/>
      <c r="J118" s="39"/>
      <c r="K118" s="39"/>
      <c r="L118" s="39"/>
    </row>
    <row r="119" spans="2:12">
      <c r="B119" s="39"/>
      <c r="C119" s="39"/>
      <c r="D119" s="39"/>
      <c r="E119" s="39"/>
      <c r="F119" s="39"/>
      <c r="G119" s="39"/>
      <c r="H119" s="39"/>
      <c r="I119" s="39"/>
      <c r="J119" s="39"/>
      <c r="K119" s="39"/>
      <c r="L119" s="39"/>
    </row>
    <row r="120" spans="2:12">
      <c r="B120" s="39"/>
      <c r="C120" s="39"/>
      <c r="D120" s="39"/>
      <c r="E120" s="39"/>
      <c r="F120" s="39"/>
      <c r="G120" s="39"/>
      <c r="H120" s="39"/>
      <c r="I120" s="39"/>
      <c r="J120" s="39"/>
      <c r="K120" s="39"/>
      <c r="L120" s="39"/>
    </row>
    <row r="121" spans="2:12">
      <c r="B121" s="39"/>
      <c r="C121" s="39"/>
      <c r="D121" s="39"/>
      <c r="E121" s="39"/>
      <c r="F121" s="39"/>
      <c r="G121" s="39"/>
      <c r="H121" s="39"/>
      <c r="I121" s="39"/>
      <c r="J121" s="39"/>
      <c r="K121" s="39"/>
      <c r="L121" s="39"/>
    </row>
    <row r="122" spans="2:12">
      <c r="B122" s="39"/>
      <c r="C122" s="39"/>
      <c r="D122" s="39"/>
      <c r="E122" s="39"/>
      <c r="F122" s="39"/>
      <c r="G122" s="39"/>
      <c r="H122" s="39"/>
      <c r="I122" s="39"/>
      <c r="J122" s="39"/>
      <c r="K122" s="39"/>
      <c r="L122" s="39"/>
    </row>
    <row r="123" spans="2:12">
      <c r="B123" s="39"/>
      <c r="C123" s="39"/>
      <c r="D123" s="39"/>
      <c r="E123" s="39"/>
      <c r="F123" s="39"/>
      <c r="G123" s="39"/>
      <c r="H123" s="39"/>
      <c r="I123" s="39"/>
      <c r="J123" s="39"/>
      <c r="K123" s="39"/>
      <c r="L123" s="39"/>
    </row>
    <row r="124" spans="2:12">
      <c r="B124" s="39"/>
      <c r="C124" s="39"/>
      <c r="D124" s="39"/>
      <c r="E124" s="39"/>
      <c r="F124" s="39"/>
      <c r="G124" s="39"/>
      <c r="H124" s="39"/>
      <c r="I124" s="39"/>
      <c r="J124" s="39"/>
      <c r="K124" s="39"/>
      <c r="L124" s="39"/>
    </row>
    <row r="125" spans="2:12">
      <c r="B125" s="39"/>
      <c r="C125" s="39"/>
      <c r="D125" s="39"/>
      <c r="E125" s="39"/>
      <c r="F125" s="39"/>
      <c r="G125" s="39"/>
      <c r="H125" s="39"/>
      <c r="I125" s="39"/>
      <c r="J125" s="39"/>
      <c r="K125" s="39"/>
      <c r="L125" s="39"/>
    </row>
    <row r="126" spans="2:12">
      <c r="B126" s="39"/>
      <c r="C126" s="39"/>
      <c r="D126" s="39"/>
      <c r="E126" s="39"/>
      <c r="F126" s="39"/>
      <c r="G126" s="39"/>
      <c r="H126" s="39"/>
      <c r="I126" s="39"/>
      <c r="J126" s="39"/>
      <c r="K126" s="39"/>
      <c r="L126" s="39"/>
    </row>
    <row r="127" spans="2:12">
      <c r="B127" s="39"/>
      <c r="C127" s="39"/>
      <c r="D127" s="39"/>
      <c r="E127" s="39"/>
      <c r="F127" s="39"/>
      <c r="G127" s="39"/>
      <c r="H127" s="39"/>
      <c r="I127" s="39"/>
      <c r="J127" s="39"/>
      <c r="K127" s="39"/>
      <c r="L127" s="39"/>
    </row>
    <row r="128" spans="2:12">
      <c r="B128" s="39"/>
      <c r="C128" s="39"/>
      <c r="D128" s="39"/>
      <c r="E128" s="39"/>
      <c r="F128" s="39"/>
      <c r="G128" s="39"/>
      <c r="H128" s="39"/>
      <c r="I128" s="39"/>
      <c r="J128" s="39"/>
      <c r="K128" s="39"/>
      <c r="L128" s="39"/>
    </row>
    <row r="129" spans="2:12">
      <c r="B129" s="39"/>
      <c r="C129" s="39"/>
      <c r="D129" s="39"/>
      <c r="E129" s="39"/>
      <c r="F129" s="39"/>
      <c r="G129" s="39"/>
      <c r="H129" s="39"/>
      <c r="I129" s="39"/>
      <c r="J129" s="39"/>
      <c r="K129" s="39"/>
      <c r="L129" s="39"/>
    </row>
    <row r="130" spans="2:12">
      <c r="B130" s="39"/>
      <c r="C130" s="39"/>
      <c r="D130" s="39"/>
      <c r="E130" s="39"/>
      <c r="F130" s="39"/>
      <c r="G130" s="39"/>
      <c r="H130" s="39"/>
      <c r="I130" s="39"/>
      <c r="J130" s="39"/>
      <c r="K130" s="39"/>
      <c r="L130" s="39"/>
    </row>
    <row r="131" spans="2:12">
      <c r="B131" s="39"/>
      <c r="C131" s="39"/>
      <c r="D131" s="39"/>
      <c r="E131" s="39"/>
      <c r="F131" s="39"/>
      <c r="G131" s="39"/>
      <c r="H131" s="39"/>
      <c r="I131" s="39"/>
      <c r="J131" s="39"/>
      <c r="K131" s="39"/>
      <c r="L131" s="39"/>
    </row>
    <row r="132" spans="2:12">
      <c r="B132" s="39"/>
      <c r="C132" s="39"/>
      <c r="D132" s="39"/>
      <c r="E132" s="39"/>
      <c r="F132" s="39"/>
      <c r="G132" s="39"/>
      <c r="H132" s="39"/>
      <c r="I132" s="39"/>
      <c r="J132" s="39"/>
      <c r="K132" s="39"/>
      <c r="L132" s="39"/>
    </row>
    <row r="133" spans="2:12">
      <c r="B133" s="39"/>
      <c r="C133" s="39"/>
      <c r="D133" s="39"/>
      <c r="E133" s="39"/>
      <c r="F133" s="39"/>
      <c r="G133" s="39"/>
      <c r="H133" s="39"/>
      <c r="I133" s="39"/>
      <c r="J133" s="39"/>
      <c r="K133" s="39"/>
      <c r="L133" s="39"/>
    </row>
    <row r="134" spans="2:12">
      <c r="B134" s="39"/>
      <c r="C134" s="39"/>
      <c r="D134" s="39"/>
      <c r="E134" s="39"/>
      <c r="F134" s="39"/>
      <c r="G134" s="39"/>
      <c r="H134" s="39"/>
      <c r="I134" s="39"/>
      <c r="J134" s="39"/>
      <c r="K134" s="39"/>
      <c r="L134" s="39"/>
    </row>
    <row r="135" spans="2:12">
      <c r="B135" s="39"/>
      <c r="C135" s="39"/>
      <c r="D135" s="39"/>
      <c r="E135" s="39"/>
      <c r="F135" s="39"/>
      <c r="G135" s="39"/>
      <c r="H135" s="39"/>
      <c r="I135" s="39"/>
      <c r="J135" s="39"/>
      <c r="K135" s="39"/>
      <c r="L135" s="39"/>
    </row>
    <row r="136" spans="2:12">
      <c r="B136" s="39"/>
      <c r="C136" s="39"/>
      <c r="D136" s="39"/>
      <c r="E136" s="39"/>
      <c r="F136" s="39"/>
      <c r="G136" s="39"/>
      <c r="H136" s="39"/>
      <c r="I136" s="39"/>
      <c r="J136" s="39"/>
      <c r="K136" s="39"/>
      <c r="L136" s="39"/>
    </row>
    <row r="137" spans="2:12">
      <c r="B137" s="39"/>
      <c r="C137" s="39"/>
      <c r="D137" s="39"/>
      <c r="E137" s="39"/>
      <c r="F137" s="39"/>
      <c r="G137" s="39"/>
      <c r="H137" s="39"/>
      <c r="I137" s="39"/>
      <c r="J137" s="39"/>
      <c r="K137" s="39"/>
      <c r="L137" s="39"/>
    </row>
    <row r="138" spans="2:12">
      <c r="B138" s="39"/>
      <c r="C138" s="39"/>
      <c r="D138" s="39"/>
      <c r="E138" s="39"/>
      <c r="F138" s="39"/>
      <c r="G138" s="39"/>
      <c r="H138" s="39"/>
      <c r="I138" s="39"/>
      <c r="J138" s="39"/>
      <c r="K138" s="39"/>
      <c r="L138" s="39"/>
    </row>
    <row r="139" spans="2:12">
      <c r="B139" s="39"/>
      <c r="C139" s="39"/>
      <c r="D139" s="39"/>
      <c r="E139" s="39"/>
      <c r="F139" s="39"/>
      <c r="G139" s="39"/>
      <c r="H139" s="39"/>
      <c r="I139" s="39"/>
      <c r="J139" s="39"/>
      <c r="K139" s="39"/>
      <c r="L139" s="39"/>
    </row>
    <row r="140" spans="2:12">
      <c r="B140" s="39"/>
      <c r="C140" s="39"/>
      <c r="D140" s="39"/>
      <c r="E140" s="39"/>
      <c r="F140" s="39"/>
      <c r="G140" s="39"/>
      <c r="H140" s="39"/>
      <c r="I140" s="39"/>
      <c r="J140" s="39"/>
      <c r="K140" s="39"/>
      <c r="L140" s="39"/>
    </row>
    <row r="141" spans="2:12">
      <c r="B141" s="39"/>
      <c r="C141" s="39"/>
      <c r="D141" s="39"/>
      <c r="E141" s="39"/>
      <c r="F141" s="39"/>
      <c r="G141" s="39"/>
      <c r="H141" s="39"/>
      <c r="I141" s="39"/>
      <c r="J141" s="39"/>
      <c r="K141" s="39"/>
      <c r="L141" s="39"/>
    </row>
    <row r="142" spans="2:12">
      <c r="B142" s="39"/>
      <c r="C142" s="39"/>
      <c r="D142" s="39"/>
      <c r="E142" s="39"/>
      <c r="F142" s="39"/>
      <c r="G142" s="39"/>
      <c r="H142" s="39"/>
      <c r="I142" s="39"/>
      <c r="J142" s="39"/>
      <c r="K142" s="39"/>
      <c r="L142" s="39"/>
    </row>
    <row r="143" spans="2:12">
      <c r="B143" s="39"/>
      <c r="C143" s="39"/>
      <c r="D143" s="39"/>
      <c r="E143" s="39"/>
      <c r="F143" s="39"/>
      <c r="G143" s="39"/>
      <c r="H143" s="39"/>
      <c r="I143" s="39"/>
      <c r="J143" s="39"/>
      <c r="K143" s="39"/>
      <c r="L143" s="39"/>
    </row>
    <row r="144" spans="2:12">
      <c r="B144" s="39"/>
      <c r="C144" s="39"/>
      <c r="D144" s="39"/>
      <c r="E144" s="39"/>
      <c r="F144" s="39"/>
      <c r="G144" s="39"/>
      <c r="H144" s="39"/>
      <c r="I144" s="39"/>
      <c r="J144" s="39"/>
      <c r="K144" s="39"/>
      <c r="L144" s="39"/>
    </row>
    <row r="145" spans="2:12">
      <c r="B145" s="39"/>
      <c r="C145" s="39"/>
      <c r="D145" s="39"/>
      <c r="E145" s="39"/>
      <c r="F145" s="39"/>
      <c r="G145" s="39"/>
      <c r="H145" s="39"/>
      <c r="I145" s="39"/>
      <c r="J145" s="39"/>
      <c r="K145" s="39"/>
      <c r="L145" s="39"/>
    </row>
    <row r="146" spans="2:12">
      <c r="B146" s="39"/>
      <c r="C146" s="39"/>
      <c r="D146" s="39"/>
      <c r="E146" s="39"/>
      <c r="F146" s="39"/>
      <c r="G146" s="39"/>
      <c r="H146" s="39"/>
      <c r="I146" s="39"/>
      <c r="J146" s="39"/>
      <c r="K146" s="39"/>
      <c r="L146" s="39"/>
    </row>
    <row r="147" spans="2:12">
      <c r="B147" s="39"/>
      <c r="C147" s="39"/>
      <c r="D147" s="39"/>
      <c r="E147" s="39"/>
      <c r="F147" s="39"/>
      <c r="G147" s="39"/>
      <c r="H147" s="39"/>
      <c r="I147" s="39"/>
      <c r="J147" s="39"/>
      <c r="K147" s="39"/>
      <c r="L147" s="39"/>
    </row>
    <row r="148" spans="2:12">
      <c r="B148" s="39"/>
      <c r="C148" s="39"/>
      <c r="D148" s="39"/>
      <c r="E148" s="39"/>
      <c r="F148" s="39"/>
      <c r="G148" s="39"/>
      <c r="H148" s="39"/>
      <c r="I148" s="39"/>
      <c r="J148" s="39"/>
      <c r="K148" s="39"/>
      <c r="L148" s="39"/>
    </row>
    <row r="149" spans="2:12">
      <c r="B149" s="39"/>
      <c r="C149" s="39"/>
      <c r="D149" s="39"/>
      <c r="E149" s="39"/>
      <c r="F149" s="39"/>
      <c r="G149" s="39"/>
      <c r="H149" s="39"/>
      <c r="I149" s="39"/>
      <c r="J149" s="39"/>
      <c r="K149" s="39"/>
      <c r="L149" s="39"/>
    </row>
    <row r="150" spans="2:12">
      <c r="B150" s="39"/>
      <c r="C150" s="39"/>
      <c r="D150" s="39"/>
      <c r="E150" s="39"/>
      <c r="F150" s="39"/>
      <c r="G150" s="39"/>
      <c r="H150" s="39"/>
      <c r="I150" s="39"/>
      <c r="J150" s="39"/>
      <c r="K150" s="39"/>
      <c r="L150" s="39"/>
    </row>
    <row r="151" spans="2:12">
      <c r="B151" s="39"/>
      <c r="C151" s="39"/>
      <c r="D151" s="39"/>
      <c r="E151" s="39"/>
      <c r="F151" s="39"/>
      <c r="G151" s="39"/>
      <c r="H151" s="39"/>
      <c r="I151" s="39"/>
      <c r="J151" s="39"/>
      <c r="K151" s="39"/>
      <c r="L151" s="39"/>
    </row>
    <row r="152" spans="2:12">
      <c r="B152" s="39"/>
      <c r="C152" s="39"/>
      <c r="D152" s="39"/>
      <c r="E152" s="39"/>
      <c r="F152" s="39"/>
      <c r="G152" s="39"/>
      <c r="H152" s="39"/>
      <c r="I152" s="39"/>
      <c r="J152" s="39"/>
      <c r="K152" s="39"/>
      <c r="L152" s="39"/>
    </row>
    <row r="153" spans="2:12">
      <c r="B153" s="39"/>
      <c r="C153" s="39"/>
      <c r="D153" s="39"/>
      <c r="E153" s="39"/>
      <c r="F153" s="39"/>
      <c r="G153" s="39"/>
      <c r="H153" s="39"/>
      <c r="I153" s="39"/>
      <c r="J153" s="39"/>
      <c r="K153" s="39"/>
      <c r="L153" s="39"/>
    </row>
    <row r="154" spans="2:12">
      <c r="B154" s="39"/>
      <c r="C154" s="39"/>
      <c r="D154" s="39"/>
      <c r="E154" s="39"/>
      <c r="F154" s="39"/>
      <c r="G154" s="39"/>
      <c r="H154" s="39"/>
      <c r="I154" s="39"/>
      <c r="J154" s="39"/>
      <c r="K154" s="39"/>
      <c r="L154" s="39"/>
    </row>
    <row r="155" spans="2:12">
      <c r="B155" s="39"/>
      <c r="C155" s="39"/>
      <c r="D155" s="39"/>
      <c r="E155" s="39"/>
      <c r="F155" s="39"/>
      <c r="G155" s="39"/>
      <c r="H155" s="39"/>
      <c r="I155" s="39"/>
      <c r="J155" s="39"/>
      <c r="K155" s="39"/>
      <c r="L155" s="39"/>
    </row>
    <row r="156" spans="2:12">
      <c r="B156" s="39"/>
      <c r="C156" s="39"/>
      <c r="D156" s="39"/>
      <c r="E156" s="39"/>
      <c r="F156" s="39"/>
      <c r="G156" s="39"/>
      <c r="H156" s="39"/>
      <c r="I156" s="39"/>
      <c r="J156" s="39"/>
      <c r="K156" s="39"/>
      <c r="L156" s="39"/>
    </row>
    <row r="157" spans="2:12">
      <c r="B157" s="39"/>
      <c r="C157" s="39"/>
      <c r="D157" s="39"/>
      <c r="E157" s="39"/>
      <c r="F157" s="39"/>
      <c r="G157" s="39"/>
      <c r="H157" s="39"/>
      <c r="I157" s="39"/>
      <c r="J157" s="39"/>
      <c r="K157" s="39"/>
      <c r="L157" s="39"/>
    </row>
    <row r="158" spans="2:12">
      <c r="B158" s="39"/>
      <c r="C158" s="39"/>
      <c r="D158" s="39"/>
      <c r="E158" s="39"/>
      <c r="F158" s="39"/>
      <c r="G158" s="39"/>
      <c r="H158" s="39"/>
      <c r="I158" s="39"/>
      <c r="J158" s="39"/>
      <c r="K158" s="39"/>
      <c r="L158" s="39"/>
    </row>
    <row r="159" spans="2:12">
      <c r="B159" s="39"/>
      <c r="C159" s="39"/>
      <c r="D159" s="39"/>
      <c r="E159" s="39"/>
      <c r="F159" s="39"/>
      <c r="G159" s="39"/>
      <c r="H159" s="39"/>
      <c r="I159" s="39"/>
      <c r="J159" s="39"/>
      <c r="K159" s="39"/>
      <c r="L159" s="39"/>
    </row>
    <row r="160" spans="2:12">
      <c r="B160" s="39"/>
      <c r="C160" s="39"/>
      <c r="D160" s="39"/>
      <c r="E160" s="39"/>
      <c r="F160" s="39"/>
      <c r="G160" s="39"/>
      <c r="H160" s="39"/>
      <c r="I160" s="39"/>
      <c r="J160" s="39"/>
      <c r="K160" s="39"/>
      <c r="L160" s="39"/>
    </row>
    <row r="161" spans="2:12">
      <c r="B161" s="39"/>
      <c r="C161" s="39"/>
      <c r="D161" s="39"/>
      <c r="E161" s="39"/>
      <c r="F161" s="39"/>
      <c r="G161" s="39"/>
      <c r="H161" s="39"/>
      <c r="I161" s="39"/>
      <c r="J161" s="39"/>
      <c r="K161" s="39"/>
      <c r="L161" s="39"/>
    </row>
    <row r="162" spans="2:12">
      <c r="B162" s="39"/>
      <c r="C162" s="39"/>
      <c r="D162" s="39"/>
      <c r="E162" s="39"/>
      <c r="F162" s="39"/>
      <c r="G162" s="39"/>
      <c r="H162" s="39"/>
      <c r="I162" s="39"/>
      <c r="J162" s="39"/>
      <c r="K162" s="39"/>
      <c r="L162" s="39"/>
    </row>
    <row r="163" spans="2:12">
      <c r="B163" s="39"/>
      <c r="C163" s="39"/>
      <c r="D163" s="39"/>
      <c r="E163" s="39"/>
      <c r="F163" s="39"/>
      <c r="G163" s="39"/>
      <c r="H163" s="39"/>
      <c r="I163" s="39"/>
      <c r="J163" s="39"/>
      <c r="K163" s="39"/>
      <c r="L163" s="39"/>
    </row>
    <row r="164" spans="2:12">
      <c r="B164" s="39"/>
      <c r="C164" s="39"/>
      <c r="D164" s="39"/>
      <c r="E164" s="39"/>
      <c r="F164" s="39"/>
      <c r="G164" s="39"/>
      <c r="H164" s="39"/>
      <c r="I164" s="39"/>
      <c r="J164" s="39"/>
      <c r="K164" s="39"/>
      <c r="L164" s="39"/>
    </row>
    <row r="165" spans="2:12">
      <c r="B165" s="39"/>
      <c r="C165" s="39"/>
      <c r="D165" s="39"/>
      <c r="E165" s="39"/>
      <c r="F165" s="39"/>
      <c r="G165" s="39"/>
      <c r="H165" s="39"/>
      <c r="I165" s="39"/>
      <c r="J165" s="39"/>
      <c r="K165" s="39"/>
      <c r="L165" s="39"/>
    </row>
    <row r="166" spans="2:12">
      <c r="B166" s="39"/>
      <c r="C166" s="39"/>
      <c r="D166" s="39"/>
      <c r="E166" s="39"/>
      <c r="F166" s="39"/>
      <c r="G166" s="39"/>
      <c r="H166" s="39"/>
      <c r="I166" s="39"/>
      <c r="J166" s="39"/>
      <c r="K166" s="39"/>
      <c r="L166" s="39"/>
    </row>
    <row r="167" spans="2:12">
      <c r="B167" s="39"/>
      <c r="C167" s="39"/>
      <c r="D167" s="39"/>
      <c r="E167" s="39"/>
      <c r="F167" s="39"/>
      <c r="G167" s="39"/>
      <c r="H167" s="39"/>
      <c r="I167" s="39"/>
      <c r="J167" s="39"/>
      <c r="K167" s="39"/>
      <c r="L167" s="39"/>
    </row>
    <row r="168" spans="2:12">
      <c r="B168" s="39"/>
      <c r="C168" s="39"/>
      <c r="D168" s="39"/>
      <c r="E168" s="39"/>
      <c r="F168" s="39"/>
      <c r="G168" s="39"/>
      <c r="H168" s="39"/>
      <c r="I168" s="39"/>
      <c r="J168" s="39"/>
      <c r="K168" s="39"/>
      <c r="L168" s="39"/>
    </row>
    <row r="169" spans="2:12">
      <c r="B169" s="39"/>
      <c r="C169" s="39"/>
      <c r="D169" s="39"/>
      <c r="E169" s="39"/>
      <c r="F169" s="39"/>
      <c r="G169" s="39"/>
      <c r="H169" s="39"/>
      <c r="I169" s="39"/>
      <c r="J169" s="39"/>
      <c r="K169" s="39"/>
      <c r="L169" s="39"/>
    </row>
    <row r="170" spans="2:12">
      <c r="B170" s="39"/>
      <c r="C170" s="39"/>
      <c r="D170" s="39"/>
      <c r="E170" s="39"/>
      <c r="F170" s="39"/>
      <c r="G170" s="39"/>
      <c r="H170" s="39"/>
      <c r="I170" s="39"/>
      <c r="J170" s="39"/>
      <c r="K170" s="39"/>
      <c r="L170" s="39"/>
    </row>
    <row r="171" spans="2:12">
      <c r="B171" s="39"/>
      <c r="C171" s="39"/>
      <c r="D171" s="39"/>
      <c r="E171" s="39"/>
      <c r="F171" s="39"/>
      <c r="G171" s="39"/>
      <c r="H171" s="39"/>
      <c r="I171" s="39"/>
      <c r="J171" s="39"/>
      <c r="K171" s="39"/>
      <c r="L171" s="39"/>
    </row>
    <row r="172" spans="2:12">
      <c r="B172" s="39"/>
      <c r="C172" s="39"/>
      <c r="D172" s="39"/>
      <c r="E172" s="39"/>
      <c r="F172" s="39"/>
      <c r="G172" s="39"/>
      <c r="H172" s="39"/>
      <c r="I172" s="39"/>
      <c r="J172" s="39"/>
      <c r="K172" s="39"/>
      <c r="L172" s="39"/>
    </row>
    <row r="173" spans="2:12">
      <c r="B173" s="39"/>
      <c r="C173" s="39"/>
      <c r="D173" s="39"/>
      <c r="E173" s="39"/>
      <c r="F173" s="39"/>
      <c r="G173" s="39"/>
      <c r="H173" s="39"/>
      <c r="I173" s="39"/>
      <c r="J173" s="39"/>
      <c r="K173" s="39"/>
      <c r="L173" s="39"/>
    </row>
    <row r="174" spans="2:12">
      <c r="B174" s="39"/>
      <c r="C174" s="39"/>
      <c r="D174" s="39"/>
      <c r="E174" s="39"/>
      <c r="F174" s="39"/>
      <c r="G174" s="39"/>
      <c r="H174" s="39"/>
      <c r="I174" s="39"/>
      <c r="J174" s="39"/>
      <c r="K174" s="39"/>
      <c r="L174" s="39"/>
    </row>
    <row r="175" spans="2:12">
      <c r="B175" s="39"/>
      <c r="C175" s="39"/>
      <c r="D175" s="39"/>
      <c r="E175" s="39"/>
      <c r="F175" s="39"/>
      <c r="G175" s="39"/>
      <c r="H175" s="39"/>
      <c r="I175" s="39"/>
      <c r="J175" s="39"/>
      <c r="K175" s="39"/>
      <c r="L175" s="39"/>
    </row>
    <row r="176" spans="2:12">
      <c r="B176" s="39"/>
      <c r="C176" s="39"/>
      <c r="D176" s="39"/>
      <c r="E176" s="39"/>
      <c r="F176" s="39"/>
      <c r="G176" s="39"/>
      <c r="H176" s="39"/>
      <c r="I176" s="39"/>
      <c r="J176" s="39"/>
      <c r="K176" s="39"/>
      <c r="L176" s="39"/>
    </row>
    <row r="177" spans="2:12">
      <c r="B177" s="39"/>
      <c r="C177" s="39"/>
      <c r="D177" s="39"/>
      <c r="E177" s="39"/>
      <c r="F177" s="39"/>
      <c r="G177" s="39"/>
      <c r="H177" s="39"/>
      <c r="I177" s="39"/>
      <c r="J177" s="39"/>
      <c r="K177" s="39"/>
      <c r="L177" s="39"/>
    </row>
    <row r="178" spans="2:12">
      <c r="B178" s="39"/>
      <c r="C178" s="39"/>
      <c r="D178" s="39"/>
      <c r="E178" s="39"/>
      <c r="F178" s="39"/>
      <c r="G178" s="39"/>
      <c r="H178" s="39"/>
      <c r="I178" s="39"/>
      <c r="J178" s="39"/>
      <c r="K178" s="39"/>
      <c r="L178" s="39"/>
    </row>
    <row r="179" spans="2:12">
      <c r="B179" s="39"/>
      <c r="C179" s="39"/>
      <c r="D179" s="39"/>
      <c r="E179" s="39"/>
      <c r="F179" s="39"/>
      <c r="G179" s="39"/>
      <c r="H179" s="39"/>
      <c r="I179" s="39"/>
      <c r="J179" s="39"/>
      <c r="K179" s="39"/>
      <c r="L179" s="39"/>
    </row>
    <row r="180" spans="2:12">
      <c r="B180" s="39"/>
      <c r="C180" s="39"/>
      <c r="D180" s="39"/>
      <c r="E180" s="39"/>
      <c r="F180" s="39"/>
      <c r="G180" s="39"/>
      <c r="H180" s="39"/>
      <c r="I180" s="39"/>
      <c r="J180" s="39"/>
      <c r="K180" s="39"/>
      <c r="L180" s="39"/>
    </row>
    <row r="181" spans="2:12">
      <c r="B181" s="39"/>
      <c r="C181" s="39"/>
      <c r="D181" s="39"/>
      <c r="E181" s="39"/>
      <c r="F181" s="39"/>
      <c r="G181" s="39"/>
      <c r="H181" s="39"/>
      <c r="I181" s="39"/>
      <c r="J181" s="39"/>
      <c r="K181" s="39"/>
      <c r="L181" s="39"/>
    </row>
    <row r="182" spans="2:12">
      <c r="B182" s="39"/>
      <c r="C182" s="39"/>
      <c r="D182" s="39"/>
      <c r="E182" s="39"/>
      <c r="F182" s="39"/>
      <c r="G182" s="39"/>
      <c r="H182" s="39"/>
      <c r="I182" s="39"/>
      <c r="J182" s="39"/>
      <c r="K182" s="39"/>
      <c r="L182" s="39"/>
    </row>
    <row r="183" spans="2:12">
      <c r="B183" s="39"/>
      <c r="C183" s="39"/>
      <c r="D183" s="39"/>
      <c r="E183" s="39"/>
      <c r="F183" s="39"/>
      <c r="G183" s="39"/>
      <c r="H183" s="39"/>
      <c r="I183" s="39"/>
      <c r="J183" s="39"/>
      <c r="K183" s="39"/>
      <c r="L183" s="39"/>
    </row>
    <row r="184" spans="2:12">
      <c r="B184" s="39"/>
      <c r="C184" s="39"/>
      <c r="D184" s="39"/>
      <c r="E184" s="39"/>
      <c r="F184" s="39"/>
      <c r="G184" s="39"/>
      <c r="H184" s="39"/>
      <c r="I184" s="39"/>
      <c r="J184" s="39"/>
      <c r="K184" s="39"/>
      <c r="L184" s="39"/>
    </row>
    <row r="185" spans="2:12">
      <c r="B185" s="39"/>
      <c r="C185" s="39"/>
      <c r="D185" s="39"/>
      <c r="E185" s="39"/>
      <c r="F185" s="39"/>
      <c r="G185" s="39"/>
      <c r="H185" s="39"/>
      <c r="I185" s="39"/>
      <c r="J185" s="39"/>
      <c r="K185" s="39"/>
      <c r="L185" s="39"/>
    </row>
    <row r="186" spans="2:12">
      <c r="B186" s="39"/>
      <c r="C186" s="39"/>
      <c r="D186" s="39"/>
      <c r="E186" s="39"/>
      <c r="F186" s="39"/>
      <c r="G186" s="39"/>
      <c r="H186" s="39"/>
      <c r="I186" s="39"/>
      <c r="J186" s="39"/>
      <c r="K186" s="39"/>
      <c r="L186" s="39"/>
    </row>
    <row r="187" spans="2:12">
      <c r="B187" s="39"/>
      <c r="C187" s="39"/>
      <c r="D187" s="39"/>
      <c r="E187" s="39"/>
      <c r="F187" s="39"/>
      <c r="G187" s="39"/>
      <c r="H187" s="39"/>
      <c r="I187" s="39"/>
      <c r="J187" s="39"/>
      <c r="K187" s="39"/>
      <c r="L187" s="39"/>
    </row>
    <row r="188" spans="2:12">
      <c r="B188" s="39"/>
      <c r="C188" s="39"/>
      <c r="D188" s="39"/>
      <c r="E188" s="39"/>
      <c r="F188" s="39"/>
      <c r="G188" s="39"/>
      <c r="H188" s="39"/>
      <c r="I188" s="39"/>
      <c r="J188" s="39"/>
      <c r="K188" s="39"/>
      <c r="L188" s="39"/>
    </row>
    <row r="189" spans="2:12">
      <c r="B189" s="39"/>
      <c r="C189" s="39"/>
      <c r="D189" s="39"/>
      <c r="E189" s="39"/>
      <c r="F189" s="39"/>
      <c r="G189" s="39"/>
      <c r="H189" s="39"/>
      <c r="I189" s="39"/>
      <c r="J189" s="39"/>
      <c r="K189" s="39"/>
      <c r="L189" s="39"/>
    </row>
    <row r="190" spans="2:12">
      <c r="B190" s="39"/>
      <c r="C190" s="39"/>
      <c r="D190" s="39"/>
      <c r="E190" s="39"/>
      <c r="F190" s="39"/>
      <c r="G190" s="39"/>
      <c r="H190" s="39"/>
      <c r="I190" s="39"/>
      <c r="J190" s="39"/>
      <c r="K190" s="39"/>
      <c r="L190" s="39"/>
    </row>
    <row r="191" spans="2:12">
      <c r="B191" s="39"/>
      <c r="C191" s="39"/>
      <c r="D191" s="39"/>
      <c r="E191" s="39"/>
      <c r="F191" s="39"/>
      <c r="G191" s="39"/>
      <c r="H191" s="39"/>
      <c r="I191" s="39"/>
      <c r="J191" s="39"/>
      <c r="K191" s="39"/>
      <c r="L191" s="39"/>
    </row>
    <row r="192" spans="2:12">
      <c r="B192" s="39"/>
      <c r="C192" s="39"/>
      <c r="D192" s="39"/>
      <c r="E192" s="39"/>
      <c r="F192" s="39"/>
      <c r="G192" s="39"/>
      <c r="H192" s="39"/>
      <c r="I192" s="39"/>
      <c r="J192" s="39"/>
      <c r="K192" s="39"/>
      <c r="L192" s="39"/>
    </row>
    <row r="193" spans="2:12">
      <c r="B193" s="39"/>
      <c r="C193" s="39"/>
      <c r="D193" s="39"/>
      <c r="E193" s="39"/>
      <c r="F193" s="39"/>
      <c r="G193" s="39"/>
      <c r="H193" s="39"/>
      <c r="I193" s="39"/>
      <c r="J193" s="39"/>
      <c r="K193" s="39"/>
      <c r="L193" s="39"/>
    </row>
    <row r="194" spans="2:12">
      <c r="B194" s="39"/>
      <c r="C194" s="39"/>
      <c r="D194" s="39"/>
      <c r="E194" s="39"/>
      <c r="F194" s="39"/>
      <c r="G194" s="39"/>
      <c r="H194" s="39"/>
      <c r="I194" s="39"/>
      <c r="J194" s="39"/>
      <c r="K194" s="39"/>
      <c r="L194" s="39"/>
    </row>
    <row r="195" spans="2:12">
      <c r="B195" s="39"/>
      <c r="C195" s="39"/>
      <c r="D195" s="39"/>
      <c r="E195" s="39"/>
      <c r="F195" s="39"/>
      <c r="G195" s="39"/>
      <c r="H195" s="39"/>
      <c r="I195" s="39"/>
      <c r="J195" s="39"/>
      <c r="K195" s="39"/>
      <c r="L195" s="39"/>
    </row>
    <row r="196" spans="2:12">
      <c r="B196" s="39"/>
      <c r="C196" s="39"/>
      <c r="D196" s="39"/>
      <c r="E196" s="39"/>
      <c r="F196" s="39"/>
      <c r="G196" s="39"/>
      <c r="H196" s="39"/>
      <c r="I196" s="39"/>
      <c r="J196" s="39"/>
      <c r="K196" s="39"/>
      <c r="L196" s="39"/>
    </row>
    <row r="197" spans="2:12">
      <c r="B197" s="39"/>
      <c r="C197" s="39"/>
      <c r="D197" s="39"/>
      <c r="E197" s="39"/>
      <c r="F197" s="39"/>
      <c r="G197" s="39"/>
      <c r="H197" s="39"/>
      <c r="I197" s="39"/>
      <c r="J197" s="39"/>
      <c r="K197" s="39"/>
      <c r="L197" s="39"/>
    </row>
    <row r="198" spans="2:12">
      <c r="B198" s="39"/>
      <c r="C198" s="39"/>
      <c r="D198" s="39"/>
      <c r="E198" s="39"/>
      <c r="F198" s="39"/>
      <c r="G198" s="39"/>
      <c r="H198" s="39"/>
      <c r="I198" s="39"/>
      <c r="J198" s="39"/>
      <c r="K198" s="39"/>
      <c r="L198" s="39"/>
    </row>
    <row r="199" spans="2:12">
      <c r="B199" s="39"/>
      <c r="C199" s="39"/>
      <c r="D199" s="39"/>
      <c r="E199" s="39"/>
      <c r="F199" s="39"/>
      <c r="G199" s="39"/>
      <c r="H199" s="39"/>
      <c r="I199" s="39"/>
      <c r="J199" s="39"/>
      <c r="K199" s="39"/>
      <c r="L199" s="39"/>
    </row>
    <row r="200" spans="2:12">
      <c r="B200" s="39"/>
      <c r="C200" s="39"/>
      <c r="D200" s="39"/>
      <c r="E200" s="39"/>
      <c r="F200" s="39"/>
      <c r="G200" s="39"/>
      <c r="H200" s="39"/>
      <c r="I200" s="39"/>
      <c r="J200" s="39"/>
      <c r="K200" s="39"/>
      <c r="L200" s="39"/>
    </row>
    <row r="201" spans="2:12">
      <c r="B201" s="39"/>
      <c r="C201" s="39"/>
      <c r="D201" s="39"/>
      <c r="E201" s="39"/>
      <c r="F201" s="39"/>
      <c r="G201" s="39"/>
      <c r="H201" s="39"/>
      <c r="I201" s="39"/>
      <c r="J201" s="39"/>
      <c r="K201" s="39"/>
      <c r="L201" s="39"/>
    </row>
    <row r="202" spans="2:12">
      <c r="B202" s="39"/>
      <c r="C202" s="39"/>
      <c r="D202" s="39"/>
      <c r="E202" s="39"/>
      <c r="F202" s="39"/>
      <c r="G202" s="39"/>
      <c r="H202" s="39"/>
      <c r="I202" s="39"/>
      <c r="J202" s="39"/>
      <c r="K202" s="39"/>
      <c r="L202" s="39"/>
    </row>
    <row r="203" spans="2:12">
      <c r="B203" s="39"/>
      <c r="C203" s="39"/>
      <c r="D203" s="39"/>
      <c r="E203" s="39"/>
      <c r="F203" s="39"/>
      <c r="G203" s="39"/>
      <c r="H203" s="39"/>
      <c r="I203" s="39"/>
      <c r="J203" s="39"/>
      <c r="K203" s="39"/>
      <c r="L203" s="39"/>
    </row>
    <row r="204" spans="2:12">
      <c r="B204" s="39"/>
      <c r="C204" s="39"/>
      <c r="D204" s="39"/>
      <c r="E204" s="39"/>
      <c r="F204" s="39"/>
      <c r="G204" s="39"/>
      <c r="H204" s="39"/>
      <c r="I204" s="39"/>
      <c r="J204" s="39"/>
      <c r="K204" s="39"/>
      <c r="L204" s="39"/>
    </row>
    <row r="205" spans="2:12">
      <c r="B205" s="39"/>
      <c r="C205" s="39"/>
      <c r="D205" s="39"/>
      <c r="E205" s="39"/>
      <c r="F205" s="39"/>
      <c r="G205" s="39"/>
      <c r="H205" s="39"/>
      <c r="I205" s="39"/>
      <c r="J205" s="39"/>
      <c r="K205" s="39"/>
      <c r="L205" s="39"/>
    </row>
    <row r="206" spans="2:12">
      <c r="B206" s="39"/>
      <c r="C206" s="39"/>
      <c r="D206" s="39"/>
      <c r="E206" s="39"/>
      <c r="F206" s="39"/>
      <c r="G206" s="39"/>
      <c r="H206" s="39"/>
      <c r="I206" s="39"/>
      <c r="J206" s="39"/>
      <c r="K206" s="39"/>
      <c r="L206" s="39"/>
    </row>
    <row r="207" spans="2:12">
      <c r="B207" s="39"/>
      <c r="C207" s="39"/>
      <c r="D207" s="39"/>
      <c r="E207" s="39"/>
      <c r="F207" s="39"/>
      <c r="G207" s="39"/>
      <c r="H207" s="39"/>
      <c r="I207" s="39"/>
      <c r="J207" s="39"/>
      <c r="K207" s="39"/>
      <c r="L207" s="39"/>
    </row>
    <row r="208" spans="2:12">
      <c r="B208" s="39"/>
      <c r="C208" s="39"/>
      <c r="D208" s="39"/>
      <c r="E208" s="39"/>
      <c r="F208" s="39"/>
      <c r="G208" s="39"/>
      <c r="H208" s="39"/>
      <c r="I208" s="39"/>
      <c r="J208" s="39"/>
      <c r="K208" s="39"/>
      <c r="L208" s="39"/>
    </row>
    <row r="209" spans="2:12">
      <c r="B209" s="39"/>
      <c r="C209" s="39"/>
      <c r="D209" s="39"/>
      <c r="E209" s="39"/>
      <c r="F209" s="39"/>
      <c r="G209" s="39"/>
      <c r="H209" s="39"/>
      <c r="I209" s="39"/>
      <c r="J209" s="39"/>
      <c r="K209" s="39"/>
      <c r="L209" s="39"/>
    </row>
    <row r="210" spans="2:12">
      <c r="B210" s="39"/>
      <c r="C210" s="39"/>
      <c r="D210" s="39"/>
      <c r="E210" s="39"/>
      <c r="F210" s="39"/>
      <c r="G210" s="39"/>
      <c r="H210" s="39"/>
      <c r="I210" s="39"/>
      <c r="J210" s="39"/>
      <c r="K210" s="39"/>
      <c r="L210" s="39"/>
    </row>
    <row r="211" spans="2:12">
      <c r="B211" s="39"/>
      <c r="C211" s="39"/>
      <c r="D211" s="39"/>
      <c r="E211" s="39"/>
      <c r="F211" s="39"/>
      <c r="G211" s="39"/>
      <c r="H211" s="39"/>
      <c r="I211" s="39"/>
      <c r="J211" s="39"/>
      <c r="K211" s="39"/>
      <c r="L211" s="39"/>
    </row>
    <row r="212" spans="2:12">
      <c r="B212" s="39"/>
      <c r="C212" s="39"/>
      <c r="D212" s="39"/>
      <c r="E212" s="39"/>
      <c r="F212" s="39"/>
      <c r="G212" s="39"/>
      <c r="H212" s="39"/>
      <c r="I212" s="39"/>
      <c r="J212" s="39"/>
      <c r="K212" s="39"/>
      <c r="L212" s="39"/>
    </row>
    <row r="213" spans="2:12">
      <c r="B213" s="39"/>
      <c r="C213" s="39"/>
      <c r="D213" s="39"/>
      <c r="E213" s="39"/>
      <c r="F213" s="39"/>
      <c r="G213" s="39"/>
      <c r="H213" s="39"/>
      <c r="I213" s="39"/>
      <c r="J213" s="39"/>
      <c r="K213" s="39"/>
      <c r="L213" s="39"/>
    </row>
    <row r="214" spans="2:12">
      <c r="B214" s="39"/>
      <c r="C214" s="39"/>
      <c r="D214" s="39"/>
      <c r="E214" s="39"/>
      <c r="F214" s="39"/>
      <c r="G214" s="39"/>
      <c r="H214" s="39"/>
      <c r="I214" s="39"/>
      <c r="J214" s="39"/>
      <c r="K214" s="39"/>
      <c r="L214" s="39"/>
    </row>
    <row r="215" spans="2:12">
      <c r="B215" s="39"/>
      <c r="C215" s="39"/>
      <c r="D215" s="39"/>
      <c r="E215" s="39"/>
      <c r="F215" s="39"/>
      <c r="G215" s="39"/>
      <c r="H215" s="39"/>
      <c r="I215" s="39"/>
      <c r="J215" s="39"/>
      <c r="K215" s="39"/>
      <c r="L215" s="39"/>
    </row>
    <row r="216" spans="2:12">
      <c r="B216" s="39"/>
      <c r="C216" s="39"/>
      <c r="D216" s="39"/>
      <c r="E216" s="39"/>
      <c r="F216" s="39"/>
      <c r="G216" s="39"/>
      <c r="H216" s="39"/>
      <c r="I216" s="39"/>
      <c r="J216" s="39"/>
      <c r="K216" s="39"/>
      <c r="L216" s="39"/>
    </row>
    <row r="217" spans="2:12">
      <c r="B217" s="39"/>
      <c r="C217" s="39"/>
      <c r="D217" s="39"/>
      <c r="E217" s="39"/>
      <c r="F217" s="39"/>
      <c r="G217" s="39"/>
      <c r="H217" s="39"/>
      <c r="I217" s="39"/>
      <c r="J217" s="39"/>
      <c r="K217" s="39"/>
      <c r="L217" s="39"/>
    </row>
    <row r="218" spans="2:12">
      <c r="B218" s="39"/>
      <c r="C218" s="39"/>
      <c r="D218" s="39"/>
      <c r="E218" s="39"/>
      <c r="F218" s="39"/>
      <c r="G218" s="39"/>
      <c r="H218" s="39"/>
      <c r="I218" s="39"/>
      <c r="J218" s="39"/>
      <c r="K218" s="39"/>
      <c r="L218" s="39"/>
    </row>
    <row r="219" spans="2:12">
      <c r="B219" s="39"/>
      <c r="C219" s="39"/>
      <c r="D219" s="39"/>
      <c r="E219" s="39"/>
      <c r="F219" s="39"/>
      <c r="G219" s="39"/>
      <c r="H219" s="39"/>
      <c r="I219" s="39"/>
      <c r="J219" s="39"/>
      <c r="K219" s="39"/>
      <c r="L219" s="39"/>
    </row>
    <row r="220" spans="2:12">
      <c r="B220" s="39"/>
      <c r="C220" s="39"/>
      <c r="D220" s="39"/>
      <c r="E220" s="39"/>
      <c r="F220" s="39"/>
      <c r="G220" s="39"/>
      <c r="H220" s="39"/>
      <c r="I220" s="39"/>
      <c r="J220" s="39"/>
      <c r="K220" s="39"/>
      <c r="L220" s="39"/>
    </row>
    <row r="221" spans="2:12">
      <c r="B221" s="39"/>
      <c r="C221" s="39"/>
      <c r="D221" s="39"/>
      <c r="E221" s="39"/>
      <c r="F221" s="39"/>
      <c r="G221" s="39"/>
      <c r="H221" s="39"/>
      <c r="I221" s="39"/>
      <c r="J221" s="39"/>
      <c r="K221" s="39"/>
      <c r="L221" s="39"/>
    </row>
    <row r="222" spans="2:12">
      <c r="B222" s="39"/>
      <c r="C222" s="39"/>
      <c r="D222" s="39"/>
      <c r="E222" s="39"/>
      <c r="F222" s="39"/>
      <c r="G222" s="39"/>
      <c r="H222" s="39"/>
      <c r="I222" s="39"/>
      <c r="J222" s="39"/>
      <c r="K222" s="39"/>
      <c r="L222" s="39"/>
    </row>
    <row r="223" spans="2:12">
      <c r="B223" s="39"/>
      <c r="C223" s="39"/>
      <c r="D223" s="39"/>
      <c r="E223" s="39"/>
      <c r="F223" s="39"/>
      <c r="G223" s="39"/>
      <c r="H223" s="39"/>
      <c r="I223" s="39"/>
      <c r="J223" s="39"/>
      <c r="K223" s="39"/>
      <c r="L223" s="39"/>
    </row>
    <row r="224" spans="2:12">
      <c r="B224" s="39"/>
      <c r="C224" s="39"/>
      <c r="D224" s="39"/>
      <c r="E224" s="39"/>
      <c r="F224" s="39"/>
      <c r="G224" s="39"/>
      <c r="H224" s="39"/>
      <c r="I224" s="39"/>
      <c r="J224" s="39"/>
      <c r="K224" s="39"/>
      <c r="L224" s="39"/>
    </row>
    <row r="225" spans="2:12">
      <c r="B225" s="39"/>
      <c r="C225" s="39"/>
      <c r="D225" s="39"/>
      <c r="E225" s="39"/>
      <c r="F225" s="39"/>
      <c r="G225" s="39"/>
      <c r="H225" s="39"/>
      <c r="I225" s="39"/>
      <c r="J225" s="39"/>
      <c r="K225" s="39"/>
      <c r="L225" s="39"/>
    </row>
    <row r="226" spans="2:12">
      <c r="B226" s="39"/>
      <c r="C226" s="39"/>
      <c r="D226" s="39"/>
      <c r="E226" s="39"/>
      <c r="F226" s="39"/>
      <c r="G226" s="39"/>
      <c r="H226" s="39"/>
      <c r="I226" s="39"/>
      <c r="J226" s="39"/>
      <c r="K226" s="39"/>
      <c r="L226" s="39"/>
    </row>
    <row r="227" spans="2:12">
      <c r="B227" s="39"/>
      <c r="C227" s="39"/>
      <c r="D227" s="39"/>
      <c r="E227" s="39"/>
      <c r="F227" s="39"/>
      <c r="G227" s="39"/>
      <c r="H227" s="39"/>
      <c r="I227" s="39"/>
      <c r="J227" s="39"/>
      <c r="K227" s="39"/>
      <c r="L227" s="39"/>
    </row>
    <row r="228" spans="2:12">
      <c r="B228" s="39"/>
      <c r="C228" s="39"/>
      <c r="D228" s="39"/>
      <c r="E228" s="39"/>
      <c r="F228" s="39"/>
      <c r="G228" s="39"/>
      <c r="H228" s="39"/>
      <c r="I228" s="39"/>
      <c r="J228" s="39"/>
      <c r="K228" s="39"/>
      <c r="L228" s="39"/>
    </row>
    <row r="229" spans="2:12">
      <c r="B229" s="39"/>
      <c r="C229" s="39"/>
      <c r="D229" s="39"/>
      <c r="E229" s="39"/>
      <c r="F229" s="39"/>
      <c r="G229" s="39"/>
      <c r="H229" s="39"/>
      <c r="I229" s="39"/>
      <c r="J229" s="39"/>
      <c r="K229" s="39"/>
      <c r="L229" s="39"/>
    </row>
    <row r="230" spans="2:12">
      <c r="B230" s="39"/>
      <c r="C230" s="39"/>
      <c r="D230" s="39"/>
      <c r="E230" s="39"/>
      <c r="F230" s="39"/>
      <c r="G230" s="39"/>
      <c r="H230" s="39"/>
      <c r="I230" s="39"/>
      <c r="J230" s="39"/>
      <c r="K230" s="39"/>
      <c r="L230" s="39"/>
    </row>
    <row r="231" spans="2:12">
      <c r="B231" s="39"/>
      <c r="C231" s="39"/>
      <c r="D231" s="39"/>
      <c r="E231" s="39"/>
      <c r="F231" s="39"/>
      <c r="G231" s="39"/>
      <c r="H231" s="39"/>
      <c r="I231" s="39"/>
      <c r="J231" s="39"/>
      <c r="K231" s="39"/>
      <c r="L231" s="39"/>
    </row>
    <row r="232" spans="2:12">
      <c r="B232" s="39"/>
      <c r="C232" s="39"/>
      <c r="D232" s="39"/>
      <c r="E232" s="39"/>
      <c r="F232" s="39"/>
      <c r="G232" s="39"/>
      <c r="H232" s="39"/>
      <c r="I232" s="39"/>
      <c r="J232" s="39"/>
      <c r="K232" s="39"/>
      <c r="L232" s="39"/>
    </row>
    <row r="233" spans="2:12">
      <c r="B233" s="39"/>
      <c r="C233" s="39"/>
      <c r="D233" s="39"/>
      <c r="E233" s="39"/>
      <c r="F233" s="39"/>
      <c r="G233" s="39"/>
      <c r="H233" s="39"/>
      <c r="I233" s="39"/>
      <c r="J233" s="39"/>
      <c r="K233" s="39"/>
      <c r="L233" s="39"/>
    </row>
    <row r="234" spans="2:12">
      <c r="B234" s="39"/>
      <c r="C234" s="39"/>
      <c r="D234" s="39"/>
      <c r="E234" s="39"/>
      <c r="F234" s="39"/>
      <c r="G234" s="39"/>
      <c r="H234" s="39"/>
      <c r="I234" s="39"/>
      <c r="J234" s="39"/>
      <c r="K234" s="39"/>
      <c r="L234" s="39"/>
    </row>
    <row r="235" spans="2:12">
      <c r="B235" s="39"/>
      <c r="C235" s="39"/>
      <c r="D235" s="39"/>
      <c r="E235" s="39"/>
      <c r="F235" s="39"/>
      <c r="G235" s="39"/>
      <c r="H235" s="39"/>
      <c r="I235" s="39"/>
      <c r="J235" s="39"/>
      <c r="K235" s="39"/>
      <c r="L235" s="39"/>
    </row>
    <row r="236" spans="2:12">
      <c r="B236" s="39"/>
      <c r="C236" s="39"/>
      <c r="D236" s="39"/>
      <c r="E236" s="39"/>
      <c r="F236" s="39"/>
      <c r="G236" s="39"/>
      <c r="H236" s="39"/>
      <c r="I236" s="39"/>
      <c r="J236" s="39"/>
      <c r="K236" s="39"/>
      <c r="L236" s="39"/>
    </row>
    <row r="237" spans="2:12">
      <c r="B237" s="39"/>
      <c r="C237" s="39"/>
      <c r="D237" s="39"/>
      <c r="E237" s="39"/>
      <c r="F237" s="39"/>
      <c r="G237" s="39"/>
      <c r="H237" s="39"/>
      <c r="I237" s="39"/>
      <c r="J237" s="39"/>
      <c r="K237" s="39"/>
      <c r="L237" s="39"/>
    </row>
    <row r="238" spans="2:12">
      <c r="B238" s="39"/>
      <c r="C238" s="39"/>
      <c r="D238" s="39"/>
      <c r="E238" s="39"/>
      <c r="F238" s="39"/>
      <c r="G238" s="39"/>
      <c r="H238" s="39"/>
      <c r="I238" s="39"/>
      <c r="J238" s="39"/>
      <c r="K238" s="39"/>
      <c r="L238" s="39"/>
    </row>
    <row r="239" spans="2:12">
      <c r="B239" s="39"/>
      <c r="C239" s="39"/>
      <c r="D239" s="39"/>
      <c r="E239" s="39"/>
      <c r="F239" s="39"/>
      <c r="G239" s="39"/>
      <c r="H239" s="39"/>
      <c r="I239" s="39"/>
      <c r="J239" s="39"/>
      <c r="K239" s="39"/>
      <c r="L239" s="39"/>
    </row>
    <row r="240" spans="2:12">
      <c r="B240" s="39"/>
      <c r="C240" s="39"/>
      <c r="D240" s="39"/>
      <c r="E240" s="39"/>
      <c r="F240" s="39"/>
      <c r="G240" s="39"/>
      <c r="H240" s="39"/>
      <c r="I240" s="39"/>
      <c r="J240" s="39"/>
      <c r="K240" s="39"/>
      <c r="L240" s="39"/>
    </row>
    <row r="241" spans="2:12">
      <c r="B241" s="39"/>
      <c r="C241" s="39"/>
      <c r="D241" s="39"/>
      <c r="E241" s="39"/>
      <c r="F241" s="39"/>
      <c r="G241" s="39"/>
      <c r="H241" s="39"/>
      <c r="I241" s="39"/>
      <c r="J241" s="39"/>
      <c r="K241" s="39"/>
      <c r="L241" s="39"/>
    </row>
  </sheetData>
  <mergeCells count="10">
    <mergeCell ref="B48:E48"/>
    <mergeCell ref="G48:J48"/>
    <mergeCell ref="B59:E59"/>
    <mergeCell ref="B71:R71"/>
    <mergeCell ref="B2:R2"/>
    <mergeCell ref="B3:R3"/>
    <mergeCell ref="B5:H5"/>
    <mergeCell ref="B6:H6"/>
    <mergeCell ref="B8:G8"/>
    <mergeCell ref="B27:E27"/>
  </mergeCells>
  <pageMargins left="0.75" right="0.75" top="1" bottom="1" header="0.5" footer="0.5"/>
  <pageSetup orientation="portrait" r:id="rId1"/>
  <headerFooter alignWithMargins="0"/>
  <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0">
    <tabColor rgb="FFFFC000"/>
  </sheetPr>
  <dimension ref="B1:J155"/>
  <sheetViews>
    <sheetView workbookViewId="0"/>
  </sheetViews>
  <sheetFormatPr defaultRowHeight="12.5"/>
  <cols>
    <col min="2" max="2" width="23.81640625" customWidth="1"/>
    <col min="3" max="3" width="12.54296875" customWidth="1"/>
    <col min="4" max="4" width="13.81640625" customWidth="1"/>
    <col min="5" max="5" width="22.7265625" customWidth="1"/>
    <col min="6" max="6" width="14" customWidth="1"/>
    <col min="7" max="7" width="13.7265625" customWidth="1"/>
    <col min="8" max="8" width="15.54296875" customWidth="1"/>
    <col min="9" max="9" width="11.453125" customWidth="1"/>
  </cols>
  <sheetData>
    <row r="1" spans="2:9" ht="13" thickBot="1"/>
    <row r="2" spans="2:9" ht="18.5" thickBot="1">
      <c r="B2" s="1525" t="s">
        <v>1750</v>
      </c>
      <c r="C2" s="1557"/>
      <c r="D2" s="1557"/>
      <c r="E2" s="1557"/>
      <c r="F2" s="1557"/>
      <c r="G2" s="1557"/>
      <c r="H2" s="1657"/>
      <c r="I2" s="1658"/>
    </row>
    <row r="3" spans="2:9" ht="16" thickBot="1">
      <c r="B3" s="1528" t="s">
        <v>1472</v>
      </c>
      <c r="C3" s="1659"/>
      <c r="D3" s="1659"/>
      <c r="E3" s="1659"/>
      <c r="F3" s="1659"/>
      <c r="G3" s="1659"/>
      <c r="H3" s="1659"/>
      <c r="I3" s="1660"/>
    </row>
    <row r="4" spans="2:9">
      <c r="B4" s="1678" t="s">
        <v>1558</v>
      </c>
      <c r="C4" s="1679"/>
      <c r="D4" s="1679"/>
      <c r="E4" s="1679"/>
      <c r="F4" s="1679"/>
      <c r="G4" s="1679"/>
      <c r="H4" s="1679"/>
      <c r="I4" s="1680"/>
    </row>
    <row r="5" spans="2:9">
      <c r="B5" s="124"/>
      <c r="I5" s="126"/>
    </row>
    <row r="6" spans="2:9">
      <c r="B6" s="1670" t="s">
        <v>1480</v>
      </c>
      <c r="C6" s="1671"/>
      <c r="D6" s="1671"/>
      <c r="E6" s="1671"/>
      <c r="F6" s="1671"/>
      <c r="G6" s="1671"/>
      <c r="I6" s="126"/>
    </row>
    <row r="7" spans="2:9">
      <c r="B7" s="1672" t="s">
        <v>1085</v>
      </c>
      <c r="C7" s="1673"/>
      <c r="D7" s="1673"/>
      <c r="E7" s="1673"/>
      <c r="F7" s="1673"/>
      <c r="G7" s="1673"/>
      <c r="I7" s="126"/>
    </row>
    <row r="8" spans="2:9">
      <c r="B8" s="1672" t="s">
        <v>671</v>
      </c>
      <c r="C8" s="1673"/>
      <c r="D8" s="1673"/>
      <c r="E8" s="1673"/>
      <c r="F8" s="1673"/>
      <c r="G8" s="1673"/>
      <c r="I8" s="126"/>
    </row>
    <row r="9" spans="2:9" ht="13" thickBot="1">
      <c r="B9" s="124"/>
      <c r="I9" s="126"/>
    </row>
    <row r="10" spans="2:9" ht="13.5" thickBot="1">
      <c r="B10" s="1531" t="s">
        <v>207</v>
      </c>
      <c r="C10" s="1592"/>
      <c r="D10" s="1592"/>
      <c r="E10" s="1592"/>
      <c r="F10" s="1592"/>
      <c r="G10" s="1593"/>
      <c r="I10" s="126"/>
    </row>
    <row r="11" spans="2:9" ht="13" thickBot="1">
      <c r="B11" s="276" t="s">
        <v>672</v>
      </c>
      <c r="C11" s="425">
        <v>0.06</v>
      </c>
      <c r="D11" s="278" t="s">
        <v>258</v>
      </c>
      <c r="E11" s="39" t="s">
        <v>673</v>
      </c>
      <c r="F11" s="152">
        <v>5</v>
      </c>
      <c r="G11" s="146" t="s">
        <v>208</v>
      </c>
      <c r="I11" s="126"/>
    </row>
    <row r="12" spans="2:9" ht="13.5" thickBot="1">
      <c r="B12" s="171" t="s">
        <v>477</v>
      </c>
      <c r="C12" s="364">
        <v>0.02</v>
      </c>
      <c r="D12" s="146" t="s">
        <v>378</v>
      </c>
      <c r="E12" s="242" t="s">
        <v>674</v>
      </c>
      <c r="F12" s="39"/>
      <c r="G12" s="146"/>
      <c r="I12" s="126"/>
    </row>
    <row r="13" spans="2:9">
      <c r="B13" s="171" t="s">
        <v>675</v>
      </c>
      <c r="C13" s="362">
        <v>120000</v>
      </c>
      <c r="D13" s="146"/>
      <c r="E13" s="39" t="s">
        <v>676</v>
      </c>
      <c r="F13" s="364">
        <v>0.03</v>
      </c>
      <c r="G13" s="146" t="s">
        <v>677</v>
      </c>
      <c r="I13" s="126"/>
    </row>
    <row r="14" spans="2:9">
      <c r="B14" s="171" t="s">
        <v>678</v>
      </c>
      <c r="C14" s="362">
        <v>110000</v>
      </c>
      <c r="D14" s="146"/>
      <c r="E14" s="39" t="s">
        <v>679</v>
      </c>
      <c r="F14" s="152">
        <v>10</v>
      </c>
      <c r="G14" s="146" t="s">
        <v>208</v>
      </c>
      <c r="I14" s="126"/>
    </row>
    <row r="15" spans="2:9">
      <c r="B15" s="171" t="s">
        <v>680</v>
      </c>
      <c r="C15" s="362">
        <v>2500000</v>
      </c>
      <c r="D15" s="146"/>
      <c r="E15" s="39" t="s">
        <v>681</v>
      </c>
      <c r="F15" s="152">
        <v>25</v>
      </c>
      <c r="G15" s="146" t="s">
        <v>208</v>
      </c>
      <c r="I15" s="126"/>
    </row>
    <row r="16" spans="2:9">
      <c r="B16" s="171" t="s">
        <v>682</v>
      </c>
      <c r="C16" s="362">
        <v>850000</v>
      </c>
      <c r="D16" s="146"/>
      <c r="E16" s="39" t="s">
        <v>213</v>
      </c>
      <c r="F16" s="152">
        <v>10</v>
      </c>
      <c r="G16" s="146" t="s">
        <v>208</v>
      </c>
      <c r="I16" s="126"/>
    </row>
    <row r="17" spans="2:9">
      <c r="B17" s="171" t="s">
        <v>683</v>
      </c>
      <c r="C17" s="362">
        <v>7055500</v>
      </c>
      <c r="D17" s="146"/>
      <c r="E17" s="39" t="s">
        <v>212</v>
      </c>
      <c r="F17" s="152">
        <v>0.12</v>
      </c>
      <c r="G17" s="146"/>
      <c r="I17" s="126"/>
    </row>
    <row r="18" spans="2:9" ht="13" thickBot="1">
      <c r="B18" s="171" t="s">
        <v>684</v>
      </c>
      <c r="C18" s="362">
        <v>1576787</v>
      </c>
      <c r="D18" s="146"/>
      <c r="E18" s="39" t="s">
        <v>470</v>
      </c>
      <c r="F18" s="152">
        <v>12</v>
      </c>
      <c r="G18" s="309"/>
      <c r="I18" s="126"/>
    </row>
    <row r="19" spans="2:9" ht="13.5" thickBot="1">
      <c r="B19" s="171" t="s">
        <v>685</v>
      </c>
      <c r="C19" s="422">
        <v>45300</v>
      </c>
      <c r="D19" s="146"/>
      <c r="E19" s="242" t="s">
        <v>686</v>
      </c>
      <c r="F19" s="39"/>
      <c r="G19" s="146"/>
      <c r="I19" s="126"/>
    </row>
    <row r="20" spans="2:9" ht="13.5" thickBot="1">
      <c r="B20" s="171" t="s">
        <v>687</v>
      </c>
      <c r="C20" s="152">
        <v>15</v>
      </c>
      <c r="D20" s="146" t="s">
        <v>688</v>
      </c>
      <c r="E20" s="39" t="s">
        <v>1264</v>
      </c>
      <c r="F20" s="1123">
        <v>8309000</v>
      </c>
      <c r="G20" s="1233" t="s">
        <v>1536</v>
      </c>
      <c r="H20" s="1289">
        <f>F38</f>
        <v>9001417</v>
      </c>
      <c r="I20" s="126"/>
    </row>
    <row r="21" spans="2:9">
      <c r="B21" s="171" t="s">
        <v>689</v>
      </c>
      <c r="C21" s="364">
        <v>0.06</v>
      </c>
      <c r="D21" s="146" t="s">
        <v>258</v>
      </c>
      <c r="E21" s="39" t="s">
        <v>690</v>
      </c>
      <c r="F21" s="152">
        <v>12</v>
      </c>
      <c r="G21" s="146" t="s">
        <v>691</v>
      </c>
      <c r="I21" s="126"/>
    </row>
    <row r="22" spans="2:9">
      <c r="B22" s="171" t="s">
        <v>692</v>
      </c>
      <c r="C22" s="364">
        <v>0.05</v>
      </c>
      <c r="D22" s="146" t="s">
        <v>693</v>
      </c>
      <c r="E22" s="39" t="s">
        <v>694</v>
      </c>
      <c r="F22" s="364">
        <v>0.75</v>
      </c>
      <c r="G22" s="146"/>
      <c r="I22" s="126"/>
    </row>
    <row r="23" spans="2:9">
      <c r="B23" s="171" t="s">
        <v>695</v>
      </c>
      <c r="C23" s="423">
        <v>200</v>
      </c>
      <c r="D23" s="146" t="s">
        <v>688</v>
      </c>
      <c r="E23" s="39" t="s">
        <v>696</v>
      </c>
      <c r="F23" s="364">
        <v>0.25</v>
      </c>
      <c r="G23" s="146"/>
      <c r="H23" s="447"/>
      <c r="I23" s="126"/>
    </row>
    <row r="24" spans="2:9">
      <c r="B24" s="171" t="s">
        <v>697</v>
      </c>
      <c r="C24" s="423">
        <v>200.272727272727</v>
      </c>
      <c r="D24" s="146" t="s">
        <v>688</v>
      </c>
      <c r="E24" s="39" t="s">
        <v>212</v>
      </c>
      <c r="F24" s="364">
        <v>0.12</v>
      </c>
      <c r="G24" s="146"/>
      <c r="I24" s="126"/>
    </row>
    <row r="25" spans="2:9" ht="13" thickBot="1">
      <c r="B25" s="171" t="s">
        <v>698</v>
      </c>
      <c r="C25" s="424">
        <v>3.16</v>
      </c>
      <c r="D25" s="146"/>
      <c r="E25" s="39" t="s">
        <v>676</v>
      </c>
      <c r="F25" s="364">
        <v>0.02</v>
      </c>
      <c r="G25" s="146"/>
      <c r="I25" s="126"/>
    </row>
    <row r="26" spans="2:9" ht="13.5" thickBot="1">
      <c r="B26" s="171" t="s">
        <v>699</v>
      </c>
      <c r="C26" s="364">
        <v>0.04</v>
      </c>
      <c r="D26" s="146" t="s">
        <v>258</v>
      </c>
      <c r="E26" s="242" t="s">
        <v>700</v>
      </c>
      <c r="F26" s="152"/>
      <c r="G26" s="146"/>
      <c r="I26" s="126"/>
    </row>
    <row r="27" spans="2:9">
      <c r="B27" s="171" t="s">
        <v>701</v>
      </c>
      <c r="C27" s="423">
        <v>8.3909099999999999</v>
      </c>
      <c r="D27" s="146" t="s">
        <v>702</v>
      </c>
      <c r="E27" s="39" t="s">
        <v>514</v>
      </c>
      <c r="F27" s="364">
        <v>0.28000000000000003</v>
      </c>
      <c r="G27" s="146"/>
      <c r="I27" s="126"/>
    </row>
    <row r="28" spans="2:9" ht="13" thickBot="1">
      <c r="B28" s="171" t="s">
        <v>703</v>
      </c>
      <c r="C28" s="364">
        <v>0.04</v>
      </c>
      <c r="D28" s="146" t="s">
        <v>258</v>
      </c>
      <c r="E28" s="39" t="s">
        <v>517</v>
      </c>
      <c r="F28" s="364">
        <v>0.28000000000000003</v>
      </c>
      <c r="G28" s="146"/>
      <c r="I28" s="126"/>
    </row>
    <row r="29" spans="2:9" ht="13.5" thickBot="1">
      <c r="B29" s="171" t="s">
        <v>591</v>
      </c>
      <c r="C29" s="423">
        <v>9.68</v>
      </c>
      <c r="D29" s="146" t="s">
        <v>688</v>
      </c>
      <c r="E29" s="242" t="s">
        <v>422</v>
      </c>
      <c r="F29" s="39"/>
      <c r="G29" s="146"/>
      <c r="I29" s="126"/>
    </row>
    <row r="30" spans="2:9">
      <c r="B30" s="171" t="s">
        <v>704</v>
      </c>
      <c r="C30" s="364">
        <v>2.5922400000000002E-2</v>
      </c>
      <c r="D30" s="146"/>
      <c r="E30" s="39" t="s">
        <v>705</v>
      </c>
      <c r="F30" s="152">
        <v>31.5</v>
      </c>
      <c r="G30" s="146" t="s">
        <v>706</v>
      </c>
      <c r="I30" s="126"/>
    </row>
    <row r="31" spans="2:9">
      <c r="B31" s="171" t="s">
        <v>707</v>
      </c>
      <c r="C31" s="364">
        <v>4.1600900000000003E-2</v>
      </c>
      <c r="D31" s="146" t="s">
        <v>258</v>
      </c>
      <c r="E31" s="39" t="s">
        <v>705</v>
      </c>
      <c r="F31" s="364">
        <v>0.9</v>
      </c>
      <c r="G31" s="146" t="s">
        <v>708</v>
      </c>
      <c r="I31" s="126"/>
    </row>
    <row r="32" spans="2:9">
      <c r="B32" s="171" t="s">
        <v>709</v>
      </c>
      <c r="C32" s="934">
        <v>0.3</v>
      </c>
      <c r="D32" s="146"/>
      <c r="E32" s="39" t="s">
        <v>710</v>
      </c>
      <c r="F32" s="152">
        <v>7</v>
      </c>
      <c r="G32" s="146" t="s">
        <v>711</v>
      </c>
      <c r="I32" s="126"/>
    </row>
    <row r="33" spans="2:9" ht="13" thickBot="1">
      <c r="B33" s="228" t="s">
        <v>712</v>
      </c>
      <c r="C33" s="367">
        <v>0.05</v>
      </c>
      <c r="D33" s="149"/>
      <c r="E33" s="63" t="s">
        <v>710</v>
      </c>
      <c r="F33" s="367">
        <v>0.1</v>
      </c>
      <c r="G33" s="149" t="s">
        <v>708</v>
      </c>
      <c r="I33" s="126"/>
    </row>
    <row r="34" spans="2:9" ht="13">
      <c r="B34" s="226"/>
      <c r="C34" s="2"/>
      <c r="D34" s="2"/>
      <c r="I34" s="126"/>
    </row>
    <row r="35" spans="2:9" ht="13.5" thickBot="1">
      <c r="B35" s="226"/>
      <c r="C35" s="2"/>
      <c r="D35" s="2"/>
      <c r="E35" s="2"/>
      <c r="F35" s="2"/>
      <c r="I35" s="126"/>
    </row>
    <row r="36" spans="2:9" ht="13.5" thickBot="1">
      <c r="B36" s="1531" t="s">
        <v>1492</v>
      </c>
      <c r="C36" s="1592"/>
      <c r="D36" s="1592"/>
      <c r="E36" s="1602"/>
      <c r="F36" s="1691"/>
      <c r="I36" s="126"/>
    </row>
    <row r="37" spans="2:9">
      <c r="B37" s="1127" t="s">
        <v>713</v>
      </c>
      <c r="C37" s="1128">
        <f>C15</f>
        <v>2500000</v>
      </c>
      <c r="E37" s="1106" t="s">
        <v>714</v>
      </c>
      <c r="F37" s="1169">
        <f>C47</f>
        <v>11982287</v>
      </c>
      <c r="I37" s="126"/>
    </row>
    <row r="38" spans="2:9">
      <c r="B38" s="1242" t="s">
        <v>1538</v>
      </c>
      <c r="C38" s="1236">
        <v>480870</v>
      </c>
      <c r="E38" s="1171" t="s">
        <v>1525</v>
      </c>
      <c r="F38" s="1170">
        <f>C46</f>
        <v>9001417</v>
      </c>
      <c r="I38" s="126"/>
    </row>
    <row r="39" spans="2:9">
      <c r="B39" s="1242" t="s">
        <v>1539</v>
      </c>
      <c r="C39" s="1243">
        <f>SUM(C37:C38)</f>
        <v>2980870</v>
      </c>
      <c r="E39" s="987" t="s">
        <v>716</v>
      </c>
      <c r="F39" s="959">
        <f>F37-F38</f>
        <v>2980870</v>
      </c>
      <c r="I39" s="126"/>
    </row>
    <row r="40" spans="2:9">
      <c r="B40" s="124"/>
      <c r="C40" s="24"/>
      <c r="E40" s="39"/>
      <c r="F40" s="163"/>
      <c r="I40" s="126"/>
    </row>
    <row r="41" spans="2:9">
      <c r="B41" s="1237" t="s">
        <v>715</v>
      </c>
      <c r="C41" s="1238">
        <f>C16</f>
        <v>850000</v>
      </c>
      <c r="E41" s="39"/>
      <c r="F41" s="163"/>
      <c r="I41" s="126"/>
    </row>
    <row r="42" spans="2:9">
      <c r="B42" s="1237" t="s">
        <v>683</v>
      </c>
      <c r="C42" s="1238">
        <f>C17</f>
        <v>7055500</v>
      </c>
      <c r="D42" s="24"/>
      <c r="E42" s="39"/>
      <c r="F42" s="163"/>
      <c r="I42" s="126"/>
    </row>
    <row r="43" spans="2:9">
      <c r="B43" s="1239" t="s">
        <v>1540</v>
      </c>
      <c r="C43" s="1240">
        <f>C18-C38-C45</f>
        <v>403500.69724802906</v>
      </c>
      <c r="D43" s="24"/>
      <c r="E43" s="39"/>
      <c r="F43" s="163"/>
      <c r="I43" s="126"/>
    </row>
    <row r="44" spans="2:9">
      <c r="B44" s="1239" t="s">
        <v>1651</v>
      </c>
      <c r="C44" s="1409">
        <f>SUM(C41:C43)</f>
        <v>8309000.6972480286</v>
      </c>
      <c r="E44" s="39"/>
      <c r="F44" s="163"/>
      <c r="I44" s="126"/>
    </row>
    <row r="45" spans="2:9">
      <c r="B45" s="1239" t="s">
        <v>210</v>
      </c>
      <c r="C45" s="1410">
        <f>D66</f>
        <v>692416.30275197094</v>
      </c>
      <c r="E45" s="758" t="s">
        <v>1526</v>
      </c>
      <c r="F45" s="126"/>
      <c r="I45" s="126"/>
    </row>
    <row r="46" spans="2:9">
      <c r="B46" s="1239" t="s">
        <v>1541</v>
      </c>
      <c r="C46" s="1411">
        <f>SUM(C44:C45)</f>
        <v>9001417</v>
      </c>
      <c r="E46" t="s">
        <v>1471</v>
      </c>
      <c r="F46" s="381">
        <f>F25*F65</f>
        <v>180028.32605503942</v>
      </c>
      <c r="I46" s="126"/>
    </row>
    <row r="47" spans="2:9" ht="13.5" thickBot="1">
      <c r="B47" s="1412" t="s">
        <v>714</v>
      </c>
      <c r="C47" s="1241">
        <f>C39+C46</f>
        <v>11982287</v>
      </c>
      <c r="D47" s="4"/>
      <c r="E47" s="63" t="s">
        <v>717</v>
      </c>
      <c r="F47" s="426">
        <f>F13*F38</f>
        <v>270042.51</v>
      </c>
      <c r="I47" s="126"/>
    </row>
    <row r="48" spans="2:9" ht="13" thickBot="1">
      <c r="B48" s="171"/>
      <c r="C48" s="24"/>
      <c r="E48" s="39"/>
      <c r="F48" s="24"/>
      <c r="I48" s="126"/>
    </row>
    <row r="49" spans="2:9" ht="13.5" thickBot="1">
      <c r="B49" s="1547" t="s">
        <v>1580</v>
      </c>
      <c r="C49" s="1548"/>
      <c r="D49" s="1548"/>
      <c r="E49" s="1548"/>
      <c r="F49" s="1548"/>
      <c r="G49" s="1549"/>
      <c r="I49" s="126"/>
    </row>
    <row r="50" spans="2:9" ht="13.5" thickBot="1">
      <c r="B50" s="1674" t="s">
        <v>1523</v>
      </c>
      <c r="C50" s="1675"/>
      <c r="D50" s="1675"/>
      <c r="E50" s="1676"/>
      <c r="F50" s="1676"/>
      <c r="G50" s="1677"/>
      <c r="I50" s="126"/>
    </row>
    <row r="51" spans="2:9" ht="13.5" thickBot="1">
      <c r="B51" s="1163"/>
      <c r="C51" s="1692" t="s">
        <v>787</v>
      </c>
      <c r="D51" s="1693"/>
      <c r="E51" s="1164"/>
      <c r="F51" s="1164"/>
      <c r="G51" s="1165"/>
      <c r="I51" s="126"/>
    </row>
    <row r="52" spans="2:9" ht="39.5" thickBot="1">
      <c r="B52" s="157" t="s">
        <v>718</v>
      </c>
      <c r="C52" s="1166" t="s">
        <v>1522</v>
      </c>
      <c r="D52" s="1167" t="s">
        <v>210</v>
      </c>
      <c r="E52" s="156" t="s">
        <v>719</v>
      </c>
      <c r="F52" s="156" t="s">
        <v>956</v>
      </c>
      <c r="G52" s="431" t="s">
        <v>1537</v>
      </c>
      <c r="I52" s="126"/>
    </row>
    <row r="53" spans="2:9" ht="13">
      <c r="B53" s="402">
        <v>0</v>
      </c>
      <c r="C53" s="29"/>
      <c r="D53" s="29"/>
      <c r="E53" s="1107"/>
      <c r="F53" s="29"/>
      <c r="G53" s="381">
        <f>F46</f>
        <v>180028.32605503942</v>
      </c>
      <c r="I53" s="126"/>
    </row>
    <row r="54" spans="2:9">
      <c r="B54" s="402">
        <v>1</v>
      </c>
      <c r="C54" s="427">
        <f>($F$22/4)*$F$20</f>
        <v>1557937.5</v>
      </c>
      <c r="D54" s="83">
        <v>0</v>
      </c>
      <c r="E54" s="1108">
        <f>C54+D54</f>
        <v>1557937.5</v>
      </c>
      <c r="F54" s="83">
        <v>0</v>
      </c>
      <c r="G54" s="163">
        <f>-C54-D54+F54+D54</f>
        <v>-1557937.5</v>
      </c>
      <c r="I54" s="126"/>
    </row>
    <row r="55" spans="2:9">
      <c r="B55" s="402">
        <v>2</v>
      </c>
      <c r="C55" s="428">
        <f>($F$22/4)*$F$20</f>
        <v>1557937.5</v>
      </c>
      <c r="D55" s="429">
        <f t="shared" ref="D55:D65" si="0">E54*($F$24/$F$21)</f>
        <v>15579.375</v>
      </c>
      <c r="E55" s="1109">
        <f>E54+C55+D55</f>
        <v>3131454.375</v>
      </c>
      <c r="F55" s="83">
        <v>0</v>
      </c>
      <c r="G55" s="163">
        <f t="shared" ref="G55:G65" si="1">-C55-D55+F55+D55</f>
        <v>-1557937.5</v>
      </c>
      <c r="I55" s="126"/>
    </row>
    <row r="56" spans="2:9">
      <c r="B56" s="402">
        <v>3</v>
      </c>
      <c r="C56" s="428">
        <f>($F$22/4)*$F$20</f>
        <v>1557937.5</v>
      </c>
      <c r="D56" s="429">
        <f t="shared" si="0"/>
        <v>31314.543750000001</v>
      </c>
      <c r="E56" s="1109">
        <f>E55+C56+D56</f>
        <v>4720706.4187500002</v>
      </c>
      <c r="F56" s="83">
        <v>0</v>
      </c>
      <c r="G56" s="163">
        <f t="shared" si="1"/>
        <v>-1557937.5</v>
      </c>
      <c r="I56" s="126"/>
    </row>
    <row r="57" spans="2:9">
      <c r="B57" s="402">
        <v>4</v>
      </c>
      <c r="C57" s="428">
        <f>($F$22/4)*$F$20</f>
        <v>1557937.5</v>
      </c>
      <c r="D57" s="429">
        <f t="shared" si="0"/>
        <v>47207.0641875</v>
      </c>
      <c r="E57" s="1109">
        <f t="shared" ref="E57:E65" si="2">E56+C57+D57</f>
        <v>6325850.9829374999</v>
      </c>
      <c r="F57" s="83">
        <v>0</v>
      </c>
      <c r="G57" s="163">
        <f t="shared" si="1"/>
        <v>-1557937.5</v>
      </c>
      <c r="I57" s="126"/>
    </row>
    <row r="58" spans="2:9">
      <c r="B58" s="402">
        <v>5</v>
      </c>
      <c r="C58" s="429">
        <f t="shared" ref="C58:C65" si="3">($F$23/8)*$F$20</f>
        <v>259656.25</v>
      </c>
      <c r="D58" s="429">
        <f t="shared" si="0"/>
        <v>63258.509829374998</v>
      </c>
      <c r="E58" s="1109">
        <f t="shared" si="2"/>
        <v>6648765.7427668748</v>
      </c>
      <c r="F58" s="83">
        <v>0</v>
      </c>
      <c r="G58" s="163">
        <f t="shared" si="1"/>
        <v>-259656.25000000003</v>
      </c>
      <c r="I58" s="126"/>
    </row>
    <row r="59" spans="2:9">
      <c r="B59" s="402">
        <v>6</v>
      </c>
      <c r="C59" s="429">
        <f t="shared" si="3"/>
        <v>259656.25</v>
      </c>
      <c r="D59" s="429">
        <f t="shared" si="0"/>
        <v>66487.657427668746</v>
      </c>
      <c r="E59" s="1109">
        <f t="shared" si="2"/>
        <v>6974909.6501945434</v>
      </c>
      <c r="F59" s="83">
        <v>0</v>
      </c>
      <c r="G59" s="163">
        <f t="shared" si="1"/>
        <v>-259656.25</v>
      </c>
      <c r="I59" s="126"/>
    </row>
    <row r="60" spans="2:9">
      <c r="B60" s="402">
        <v>7</v>
      </c>
      <c r="C60" s="429">
        <f t="shared" si="3"/>
        <v>259656.25</v>
      </c>
      <c r="D60" s="429">
        <f t="shared" si="0"/>
        <v>69749.096501945431</v>
      </c>
      <c r="E60" s="1109">
        <f t="shared" si="2"/>
        <v>7304314.9966964889</v>
      </c>
      <c r="F60" s="83">
        <v>0</v>
      </c>
      <c r="G60" s="163">
        <f t="shared" si="1"/>
        <v>-259656.24999999997</v>
      </c>
      <c r="I60" s="126"/>
    </row>
    <row r="61" spans="2:9">
      <c r="B61" s="402">
        <v>8</v>
      </c>
      <c r="C61" s="429">
        <f t="shared" si="3"/>
        <v>259656.25</v>
      </c>
      <c r="D61" s="429">
        <f t="shared" si="0"/>
        <v>73043.149966964891</v>
      </c>
      <c r="E61" s="1109">
        <f t="shared" si="2"/>
        <v>7637014.3966634534</v>
      </c>
      <c r="F61" s="83">
        <v>0</v>
      </c>
      <c r="G61" s="163">
        <f t="shared" si="1"/>
        <v>-259656.25</v>
      </c>
      <c r="I61" s="126"/>
    </row>
    <row r="62" spans="2:9">
      <c r="B62" s="402">
        <v>9</v>
      </c>
      <c r="C62" s="429">
        <f t="shared" si="3"/>
        <v>259656.25</v>
      </c>
      <c r="D62" s="429">
        <f t="shared" si="0"/>
        <v>76370.14396663454</v>
      </c>
      <c r="E62" s="1109">
        <f t="shared" si="2"/>
        <v>7973040.7906300882</v>
      </c>
      <c r="F62" s="83">
        <v>0</v>
      </c>
      <c r="G62" s="163">
        <f t="shared" si="1"/>
        <v>-259656.25</v>
      </c>
      <c r="I62" s="126"/>
    </row>
    <row r="63" spans="2:9">
      <c r="B63" s="402">
        <v>10</v>
      </c>
      <c r="C63" s="429">
        <f t="shared" si="3"/>
        <v>259656.25</v>
      </c>
      <c r="D63" s="429">
        <f t="shared" si="0"/>
        <v>79730.407906300883</v>
      </c>
      <c r="E63" s="1109">
        <f t="shared" si="2"/>
        <v>8312427.4485363895</v>
      </c>
      <c r="F63" s="83">
        <v>0</v>
      </c>
      <c r="G63" s="163">
        <f t="shared" si="1"/>
        <v>-259656.24999999997</v>
      </c>
      <c r="I63" s="126"/>
    </row>
    <row r="64" spans="2:9">
      <c r="B64" s="402">
        <v>11</v>
      </c>
      <c r="C64" s="429">
        <f t="shared" si="3"/>
        <v>259656.25</v>
      </c>
      <c r="D64" s="429">
        <f t="shared" si="0"/>
        <v>83124.274485363901</v>
      </c>
      <c r="E64" s="1109">
        <f t="shared" si="2"/>
        <v>8655207.9730217531</v>
      </c>
      <c r="F64" s="83">
        <v>0</v>
      </c>
      <c r="G64" s="163">
        <f t="shared" si="1"/>
        <v>-259656.25</v>
      </c>
      <c r="I64" s="126"/>
    </row>
    <row r="65" spans="2:9">
      <c r="B65" s="402">
        <v>12</v>
      </c>
      <c r="C65" s="429">
        <f t="shared" si="3"/>
        <v>259656.25</v>
      </c>
      <c r="D65" s="429">
        <f t="shared" si="0"/>
        <v>86552.079730217534</v>
      </c>
      <c r="E65" s="1109">
        <f t="shared" si="2"/>
        <v>9001416.3027519714</v>
      </c>
      <c r="F65" s="779">
        <f>E65</f>
        <v>9001416.3027519714</v>
      </c>
      <c r="G65" s="163">
        <f t="shared" si="1"/>
        <v>8741760.0527519714</v>
      </c>
      <c r="I65" s="126"/>
    </row>
    <row r="66" spans="2:9" ht="13.5" thickBot="1">
      <c r="B66" s="430" t="s">
        <v>292</v>
      </c>
      <c r="C66" s="84">
        <f>SUM(C54:C65)</f>
        <v>8309000</v>
      </c>
      <c r="D66" s="84">
        <f>SUM(D54:D65)</f>
        <v>692416.30275197094</v>
      </c>
      <c r="E66" s="1234"/>
      <c r="F66" s="6"/>
      <c r="G66" s="436"/>
      <c r="H66" s="378"/>
      <c r="I66" s="126"/>
    </row>
    <row r="67" spans="2:9" ht="14" thickTop="1" thickBot="1">
      <c r="B67" s="134"/>
      <c r="C67" s="4"/>
      <c r="D67" s="4"/>
      <c r="E67" s="1636" t="s">
        <v>797</v>
      </c>
      <c r="F67" s="1636"/>
      <c r="G67" s="143">
        <f>IRR(G53:G65)*12</f>
        <v>0.15454049188345653</v>
      </c>
      <c r="I67" s="126"/>
    </row>
    <row r="68" spans="2:9" ht="13">
      <c r="B68" s="124"/>
      <c r="E68" s="44"/>
      <c r="F68" s="44"/>
      <c r="G68" s="23"/>
      <c r="I68" s="126"/>
    </row>
    <row r="69" spans="2:9" ht="13.5" thickBot="1">
      <c r="B69" s="385"/>
      <c r="C69" s="21"/>
      <c r="D69" s="21"/>
      <c r="E69" s="85"/>
      <c r="F69" s="85"/>
      <c r="G69" s="86"/>
      <c r="I69" s="126"/>
    </row>
    <row r="70" spans="2:9" ht="13.5" thickBot="1">
      <c r="B70" s="1547" t="s">
        <v>1524</v>
      </c>
      <c r="C70" s="1538"/>
      <c r="D70" s="1538"/>
      <c r="E70" s="1538"/>
      <c r="F70" s="1538"/>
      <c r="G70" s="1539"/>
      <c r="I70" s="126"/>
    </row>
    <row r="71" spans="2:9" ht="13.5" thickBot="1">
      <c r="B71" s="157" t="s">
        <v>720</v>
      </c>
      <c r="C71" s="156"/>
      <c r="D71" s="156">
        <v>1</v>
      </c>
      <c r="E71" s="156">
        <v>2</v>
      </c>
      <c r="F71" s="156">
        <v>3</v>
      </c>
      <c r="G71" s="156">
        <v>4</v>
      </c>
      <c r="H71" s="156">
        <v>5</v>
      </c>
      <c r="I71" s="156">
        <v>6</v>
      </c>
    </row>
    <row r="72" spans="2:9">
      <c r="B72" s="1118" t="s">
        <v>796</v>
      </c>
      <c r="C72" s="122"/>
      <c r="D72" s="122"/>
      <c r="E72" s="470">
        <f>PMT($F$17/$F$18,$F$15*$F$18,-$F$38)*12</f>
        <v>1137661.1638065774</v>
      </c>
      <c r="F72" s="470">
        <f>PMT($F$17/$F$18,$F$15*$F$18,-$F$38)*12</f>
        <v>1137661.1638065774</v>
      </c>
      <c r="G72" s="470">
        <f>PMT($F$17/$F$18,$F$15*$F$18,-$F$38)*12</f>
        <v>1137661.1638065774</v>
      </c>
      <c r="H72" s="470">
        <f>PMT($F$17/$F$18,$F$15*$F$18,-$F$38)*12</f>
        <v>1137661.1638065774</v>
      </c>
      <c r="I72" s="535">
        <f>PMT($F$17/$F$18,$F$15*$F$18,-$F$38)*12</f>
        <v>1137661.1638065774</v>
      </c>
    </row>
    <row r="73" spans="2:9">
      <c r="B73" s="171" t="s">
        <v>1260</v>
      </c>
      <c r="D73" s="34">
        <f t="shared" ref="D73:I73" si="4">FV($F$17/$F$18,(D71-1)*$F$18,$E$72/$F$18,-$F$38)</f>
        <v>9001417</v>
      </c>
      <c r="E73" s="34">
        <f t="shared" si="4"/>
        <v>8940656.0540909171</v>
      </c>
      <c r="F73" s="34">
        <f t="shared" si="4"/>
        <v>8872189.0993860662</v>
      </c>
      <c r="G73" s="34">
        <f t="shared" si="4"/>
        <v>8795038.821087731</v>
      </c>
      <c r="H73" s="34">
        <f t="shared" si="4"/>
        <v>8708103.9564195164</v>
      </c>
      <c r="I73" s="309">
        <f t="shared" si="4"/>
        <v>8610143.5749202408</v>
      </c>
    </row>
    <row r="74" spans="2:9">
      <c r="B74" s="171" t="s">
        <v>210</v>
      </c>
      <c r="E74" s="34">
        <f>(E72-(F38-E73))</f>
        <v>1076900.2178974946</v>
      </c>
      <c r="F74" s="34">
        <f>(F72-(E73-F73))</f>
        <v>1069194.2091017265</v>
      </c>
      <c r="G74" s="34">
        <f>(G72-(F73-G73))</f>
        <v>1060510.8855082423</v>
      </c>
      <c r="H74" s="34">
        <f>(H72-(G73-H73))</f>
        <v>1050726.2991383628</v>
      </c>
      <c r="I74" s="309">
        <f>(I72-(H73-I73))</f>
        <v>1039700.7823073019</v>
      </c>
    </row>
    <row r="75" spans="2:9" ht="13" thickBot="1">
      <c r="B75" s="228" t="s">
        <v>387</v>
      </c>
      <c r="C75" s="4"/>
      <c r="D75" s="4"/>
      <c r="E75" s="64">
        <f>E72-E74</f>
        <v>60760.94590908289</v>
      </c>
      <c r="F75" s="64">
        <f>F72-F74</f>
        <v>68466.954704850912</v>
      </c>
      <c r="G75" s="64">
        <f>G72-G74</f>
        <v>77150.27829833515</v>
      </c>
      <c r="H75" s="64">
        <f>H72-H74</f>
        <v>86934.864668214694</v>
      </c>
      <c r="I75" s="379">
        <f>I72-I74</f>
        <v>97960.381499275565</v>
      </c>
    </row>
    <row r="76" spans="2:9">
      <c r="B76" s="171"/>
      <c r="C76" s="34"/>
      <c r="D76" s="34"/>
      <c r="E76" s="34"/>
      <c r="F76" s="34"/>
      <c r="G76" s="34"/>
      <c r="H76" s="87"/>
      <c r="I76" s="448"/>
    </row>
    <row r="77" spans="2:9" ht="13" thickBot="1">
      <c r="B77" s="171"/>
      <c r="C77" s="34"/>
      <c r="D77" s="34"/>
      <c r="E77" s="34"/>
      <c r="F77" s="87"/>
      <c r="G77" s="87"/>
      <c r="H77" s="87"/>
      <c r="I77" s="448"/>
    </row>
    <row r="78" spans="2:9" ht="13.5" thickBot="1">
      <c r="B78" s="1684" t="s">
        <v>1652</v>
      </c>
      <c r="C78" s="1685"/>
      <c r="D78" s="1685"/>
      <c r="E78" s="1686"/>
      <c r="F78" s="87"/>
      <c r="G78" s="87"/>
      <c r="H78" s="87"/>
      <c r="I78" s="448"/>
    </row>
    <row r="79" spans="2:9">
      <c r="B79" s="171" t="s">
        <v>721</v>
      </c>
      <c r="C79" s="34">
        <f>C41</f>
        <v>850000</v>
      </c>
      <c r="D79" s="1112" t="s">
        <v>1493</v>
      </c>
      <c r="E79" s="309"/>
      <c r="F79" s="34"/>
      <c r="G79" s="34"/>
      <c r="H79" s="87"/>
      <c r="I79" s="448"/>
    </row>
    <row r="80" spans="2:9">
      <c r="B80" s="171" t="s">
        <v>683</v>
      </c>
      <c r="C80" s="34">
        <f>C42</f>
        <v>7055500</v>
      </c>
      <c r="D80" s="34"/>
      <c r="E80" s="309"/>
      <c r="F80" s="34"/>
      <c r="G80" s="34"/>
      <c r="H80" s="87"/>
      <c r="I80" s="448"/>
    </row>
    <row r="81" spans="2:9">
      <c r="B81" s="171" t="s">
        <v>684</v>
      </c>
      <c r="C81" s="34">
        <f>C43</f>
        <v>403500.69724802906</v>
      </c>
      <c r="D81" s="1687"/>
      <c r="E81" s="1688"/>
      <c r="F81" s="34"/>
      <c r="G81" s="34"/>
      <c r="H81" s="87"/>
      <c r="I81" s="448"/>
    </row>
    <row r="82" spans="2:9" ht="13.5" thickBot="1">
      <c r="B82" s="134" t="s">
        <v>722</v>
      </c>
      <c r="C82" s="432">
        <f>SUM(C79:C81)</f>
        <v>8309000.6972480286</v>
      </c>
      <c r="D82" s="1689"/>
      <c r="E82" s="1690"/>
      <c r="F82" s="44"/>
      <c r="G82" s="23"/>
      <c r="I82" s="126"/>
    </row>
    <row r="83" spans="2:9" ht="13">
      <c r="B83" s="124"/>
      <c r="C83" s="24"/>
      <c r="E83" s="44"/>
      <c r="F83" s="44"/>
      <c r="G83" s="23"/>
      <c r="I83" s="126"/>
    </row>
    <row r="84" spans="2:9" ht="13.5" thickBot="1">
      <c r="B84" s="449"/>
      <c r="I84" s="126"/>
    </row>
    <row r="85" spans="2:9" ht="13.5" thickBot="1">
      <c r="B85" s="1547" t="s">
        <v>1603</v>
      </c>
      <c r="C85" s="1538"/>
      <c r="D85" s="1538"/>
      <c r="E85" s="1538"/>
      <c r="F85" s="1538"/>
      <c r="G85" s="1538"/>
      <c r="H85" s="1538"/>
      <c r="I85" s="1539"/>
    </row>
    <row r="86" spans="2:9" ht="13.5" thickBot="1">
      <c r="B86" s="157" t="s">
        <v>262</v>
      </c>
      <c r="C86" s="157">
        <v>0</v>
      </c>
      <c r="D86" s="157">
        <v>1</v>
      </c>
      <c r="E86" s="157">
        <v>2</v>
      </c>
      <c r="F86" s="157">
        <v>3</v>
      </c>
      <c r="G86" s="157">
        <v>4</v>
      </c>
      <c r="H86" s="157">
        <v>5</v>
      </c>
      <c r="I86" s="157">
        <v>6</v>
      </c>
    </row>
    <row r="87" spans="2:9">
      <c r="B87" s="124" t="s">
        <v>723</v>
      </c>
      <c r="C87" s="24">
        <f>C37</f>
        <v>2500000</v>
      </c>
      <c r="E87" s="24"/>
      <c r="I87" s="126"/>
    </row>
    <row r="88" spans="2:9">
      <c r="B88" s="124" t="s">
        <v>724</v>
      </c>
      <c r="D88" s="24">
        <f>C41</f>
        <v>850000</v>
      </c>
      <c r="E88" s="24"/>
      <c r="I88" s="126"/>
    </row>
    <row r="89" spans="2:9">
      <c r="B89" s="124" t="s">
        <v>683</v>
      </c>
      <c r="D89" s="24">
        <f>C42</f>
        <v>7055500</v>
      </c>
      <c r="E89" s="24"/>
      <c r="I89" s="126"/>
    </row>
    <row r="90" spans="2:9">
      <c r="B90" s="124" t="s">
        <v>725</v>
      </c>
      <c r="D90" s="24">
        <f>(C43+C38)-(C92+C93)</f>
        <v>434299.86119298963</v>
      </c>
      <c r="E90" s="24"/>
      <c r="I90" s="126"/>
    </row>
    <row r="91" spans="2:9">
      <c r="B91" s="433" t="s">
        <v>726</v>
      </c>
      <c r="E91" s="24"/>
      <c r="I91" s="126"/>
    </row>
    <row r="92" spans="2:9">
      <c r="B92" s="124" t="s">
        <v>727</v>
      </c>
      <c r="C92" s="24">
        <f>F47</f>
        <v>270042.51</v>
      </c>
      <c r="E92" s="24"/>
      <c r="I92" s="126"/>
    </row>
    <row r="93" spans="2:9">
      <c r="B93" s="124" t="s">
        <v>728</v>
      </c>
      <c r="C93" s="24">
        <f>G53</f>
        <v>180028.32605503942</v>
      </c>
      <c r="E93" s="24"/>
      <c r="I93" s="126"/>
    </row>
    <row r="94" spans="2:9" ht="13" thickBot="1">
      <c r="B94" s="124" t="s">
        <v>729</v>
      </c>
      <c r="C94" s="4"/>
      <c r="D94" s="31">
        <f>D66</f>
        <v>692416.30275197094</v>
      </c>
      <c r="E94" s="24"/>
      <c r="I94" s="126"/>
    </row>
    <row r="95" spans="2:9">
      <c r="B95" s="124" t="s">
        <v>730</v>
      </c>
      <c r="C95" s="24">
        <f>SUM(C87:C94)</f>
        <v>2950070.8360550394</v>
      </c>
      <c r="D95" s="24">
        <f>SUM(D87:D94)</f>
        <v>9032216.1639449615</v>
      </c>
      <c r="E95" s="24"/>
      <c r="I95" s="126"/>
    </row>
    <row r="96" spans="2:9" ht="13">
      <c r="B96" s="374" t="s">
        <v>731</v>
      </c>
      <c r="C96">
        <v>0</v>
      </c>
      <c r="D96" s="24">
        <f>F65</f>
        <v>9001416.3027519714</v>
      </c>
      <c r="E96" s="24"/>
      <c r="I96" s="126"/>
    </row>
    <row r="97" spans="2:10" ht="13.5" thickBot="1">
      <c r="B97" s="375" t="s">
        <v>732</v>
      </c>
      <c r="C97" s="434">
        <f>C95-C96</f>
        <v>2950070.8360550394</v>
      </c>
      <c r="D97" s="434">
        <f>D95-D96</f>
        <v>30799.861192990094</v>
      </c>
      <c r="E97" s="435"/>
      <c r="F97" s="4"/>
      <c r="G97" s="4"/>
      <c r="H97" s="4"/>
      <c r="I97" s="135"/>
    </row>
    <row r="98" spans="2:10" ht="13">
      <c r="B98" s="168"/>
      <c r="C98" s="88"/>
      <c r="D98" s="88"/>
      <c r="E98" s="88"/>
      <c r="I98" s="126"/>
    </row>
    <row r="99" spans="2:10" ht="13">
      <c r="B99" s="449"/>
      <c r="C99" s="89"/>
      <c r="D99" s="90"/>
      <c r="E99" s="90"/>
      <c r="F99" s="90"/>
      <c r="G99" s="90"/>
      <c r="H99" s="90"/>
      <c r="I99" s="126"/>
    </row>
    <row r="100" spans="2:10" ht="13.5" thickBot="1">
      <c r="B100" s="1681" t="s">
        <v>733</v>
      </c>
      <c r="C100" s="1682"/>
      <c r="D100" s="1682"/>
      <c r="E100" s="1682"/>
      <c r="F100" s="1682"/>
      <c r="G100" s="1682"/>
      <c r="H100" s="1682"/>
      <c r="I100" s="1683"/>
    </row>
    <row r="101" spans="2:10" ht="13.5" thickBot="1">
      <c r="B101" s="157" t="s">
        <v>262</v>
      </c>
      <c r="C101" s="157">
        <v>0</v>
      </c>
      <c r="D101" s="157">
        <v>1</v>
      </c>
      <c r="E101" s="157">
        <v>2</v>
      </c>
      <c r="F101" s="157">
        <v>3</v>
      </c>
      <c r="G101" s="157">
        <v>4</v>
      </c>
      <c r="H101" s="157">
        <v>5</v>
      </c>
      <c r="I101" s="157">
        <v>6</v>
      </c>
    </row>
    <row r="102" spans="2:10">
      <c r="B102" s="124" t="s">
        <v>307</v>
      </c>
      <c r="E102" s="91">
        <f>C14*C20</f>
        <v>1650000</v>
      </c>
      <c r="F102" s="91">
        <f>E102*(1+$C$21)</f>
        <v>1749000</v>
      </c>
      <c r="G102" s="91">
        <f>F102*(1+$C$21)</f>
        <v>1853940</v>
      </c>
      <c r="H102" s="91">
        <f>G102*(1+$C$21)</f>
        <v>1965176.4000000001</v>
      </c>
      <c r="I102" s="436">
        <f>H102*(1+$C$21)</f>
        <v>2083086.9840000002</v>
      </c>
    </row>
    <row r="103" spans="2:10">
      <c r="B103" s="124" t="s">
        <v>285</v>
      </c>
      <c r="E103" s="91">
        <f>C14*(C24-C23)</f>
        <v>29999.99999996959</v>
      </c>
      <c r="F103" s="92">
        <f>IF(C25&gt;0, E103*(1+C25),E103*(1+C26))</f>
        <v>124799.9999998735</v>
      </c>
      <c r="G103" s="91">
        <f>F103*(1+$C$26)</f>
        <v>129791.99999986845</v>
      </c>
      <c r="H103" s="91">
        <f>G103*(1+$C$26)</f>
        <v>134983.67999986321</v>
      </c>
      <c r="I103" s="436">
        <f>H103*(1+$C$26)</f>
        <v>140383.02719985775</v>
      </c>
    </row>
    <row r="104" spans="2:10">
      <c r="B104" s="124" t="s">
        <v>734</v>
      </c>
      <c r="E104" s="93">
        <f>C14*C27</f>
        <v>923000.1</v>
      </c>
      <c r="F104" s="93">
        <f>E104*(1+$C$28)</f>
        <v>959920.10400000005</v>
      </c>
      <c r="G104" s="93">
        <f>F104*(1+$C$28)</f>
        <v>998316.90816000011</v>
      </c>
      <c r="H104" s="93">
        <f>G104*(1+$C$28)</f>
        <v>1038249.5844864001</v>
      </c>
      <c r="I104" s="437">
        <f>H104*(1+$C$28)</f>
        <v>1079779.5678658562</v>
      </c>
    </row>
    <row r="105" spans="2:10" ht="13">
      <c r="B105" s="168" t="s">
        <v>270</v>
      </c>
      <c r="E105" s="91">
        <f>SUM(E102:E104)</f>
        <v>2603000.0999999694</v>
      </c>
      <c r="F105" s="91">
        <f>SUM(F102:F104)</f>
        <v>2833720.1039998736</v>
      </c>
      <c r="G105" s="91">
        <f>SUM(G102:G104)</f>
        <v>2982048.9081598688</v>
      </c>
      <c r="H105" s="91">
        <f>SUM(H102:H104)</f>
        <v>3138409.6644862634</v>
      </c>
      <c r="I105" s="436">
        <f>SUM(I102:I104)</f>
        <v>3303249.579065714</v>
      </c>
    </row>
    <row r="106" spans="2:10" ht="13">
      <c r="B106" s="374" t="s">
        <v>735</v>
      </c>
      <c r="E106" s="1235">
        <f>C32*SUM(E102:E104)</f>
        <v>780900.02999999083</v>
      </c>
      <c r="F106" s="94">
        <f>$C$33*SUM(F102:F104)</f>
        <v>141686.0051999937</v>
      </c>
      <c r="G106" s="94">
        <f>$C$33*SUM(G102:G104)</f>
        <v>149102.44540799345</v>
      </c>
      <c r="H106" s="94">
        <f>$C$33*SUM(H102:H104)</f>
        <v>156920.48322431318</v>
      </c>
      <c r="I106" s="438">
        <f>$C$33*SUM(I102:I104)</f>
        <v>165162.47895328572</v>
      </c>
    </row>
    <row r="107" spans="2:10" ht="13">
      <c r="B107" s="168" t="s">
        <v>271</v>
      </c>
      <c r="E107" s="91">
        <f>E105-E106</f>
        <v>1822100.0699999784</v>
      </c>
      <c r="F107" s="91">
        <f>F105-F106</f>
        <v>2692034.0987998801</v>
      </c>
      <c r="G107" s="91">
        <f>G105-G106</f>
        <v>2832946.4627518752</v>
      </c>
      <c r="H107" s="91">
        <f>H105-H106</f>
        <v>2981489.1812619502</v>
      </c>
      <c r="I107" s="436">
        <f>I105-I106</f>
        <v>3138087.1001124284</v>
      </c>
    </row>
    <row r="108" spans="2:10" ht="13" thickBot="1">
      <c r="B108" s="171" t="s">
        <v>278</v>
      </c>
      <c r="E108" s="95">
        <f>C14*C29</f>
        <v>1064800</v>
      </c>
      <c r="F108" s="95">
        <f>IF(C30&gt;0,E108*(1+C30),E108*(1+C31))</f>
        <v>1092402.1715200001</v>
      </c>
      <c r="G108" s="95">
        <f>F108*(1+$C$31)</f>
        <v>1137847.0850171864</v>
      </c>
      <c r="H108" s="95">
        <f>G108*(1+$C$31)</f>
        <v>1185182.5478162777</v>
      </c>
      <c r="I108" s="439">
        <f>H108*(1+$C$31)</f>
        <v>1234487.2084697278</v>
      </c>
    </row>
    <row r="109" spans="2:10" ht="13">
      <c r="B109" s="780" t="s">
        <v>279</v>
      </c>
      <c r="E109" s="1346">
        <f>E107-E108</f>
        <v>757300.06999997841</v>
      </c>
      <c r="F109" s="1346">
        <f>F107-F108</f>
        <v>1599631.92727988</v>
      </c>
      <c r="G109" s="1346">
        <f>G107-G108</f>
        <v>1695099.3777346888</v>
      </c>
      <c r="H109" s="1346">
        <f>H107-H108</f>
        <v>1796306.6334456725</v>
      </c>
      <c r="I109" s="1347">
        <f>I107-I108</f>
        <v>1903599.8916427006</v>
      </c>
      <c r="J109" s="87"/>
    </row>
    <row r="110" spans="2:10" ht="13">
      <c r="B110" s="374" t="s">
        <v>488</v>
      </c>
      <c r="E110" s="91">
        <f>E72</f>
        <v>1137661.1638065774</v>
      </c>
      <c r="F110" s="91">
        <f>F72</f>
        <v>1137661.1638065774</v>
      </c>
      <c r="G110" s="91">
        <f>G72</f>
        <v>1137661.1638065774</v>
      </c>
      <c r="H110" s="91">
        <f>H72</f>
        <v>1137661.1638065774</v>
      </c>
      <c r="I110" s="436">
        <f>I72</f>
        <v>1137661.1638065774</v>
      </c>
    </row>
    <row r="111" spans="2:10" ht="13.5" thickBot="1">
      <c r="B111" s="168" t="s">
        <v>408</v>
      </c>
      <c r="C111" s="1119">
        <f>-C97</f>
        <v>-2950070.8360550394</v>
      </c>
      <c r="D111" s="1119">
        <f>-D97</f>
        <v>-30799.861192990094</v>
      </c>
      <c r="E111" s="1119">
        <f>E109-E110</f>
        <v>-380361.09380659903</v>
      </c>
      <c r="F111" s="1119">
        <f>F109-F110</f>
        <v>461970.76347330259</v>
      </c>
      <c r="G111" s="1119">
        <f>G109-G110</f>
        <v>557438.21392811136</v>
      </c>
      <c r="H111" s="1119">
        <f>H109-H110</f>
        <v>658645.46963909501</v>
      </c>
      <c r="I111" s="1120">
        <f>I109-I110</f>
        <v>765938.7278361232</v>
      </c>
    </row>
    <row r="112" spans="2:10" ht="13.5" thickTop="1">
      <c r="B112" s="124"/>
      <c r="E112" s="91"/>
      <c r="F112" s="91"/>
      <c r="G112" s="91"/>
      <c r="H112" s="91"/>
      <c r="I112" s="436"/>
      <c r="J112" s="28"/>
    </row>
    <row r="113" spans="2:10">
      <c r="B113" s="124" t="s">
        <v>279</v>
      </c>
      <c r="E113" s="91">
        <f>E109</f>
        <v>757300.06999997841</v>
      </c>
      <c r="F113" s="91">
        <f>F109</f>
        <v>1599631.92727988</v>
      </c>
      <c r="G113" s="91">
        <f>G109</f>
        <v>1695099.3777346888</v>
      </c>
      <c r="H113" s="91">
        <f>H109</f>
        <v>1796306.6334456725</v>
      </c>
      <c r="I113" s="436">
        <f>I109</f>
        <v>1903599.8916427006</v>
      </c>
      <c r="J113" s="91"/>
    </row>
    <row r="114" spans="2:10">
      <c r="B114" s="124" t="s">
        <v>736</v>
      </c>
      <c r="E114" s="91"/>
      <c r="F114" s="91"/>
      <c r="G114" s="91"/>
      <c r="H114" s="91"/>
      <c r="I114" s="436"/>
      <c r="J114" s="91"/>
    </row>
    <row r="115" spans="2:10">
      <c r="B115" s="124" t="s">
        <v>737</v>
      </c>
      <c r="E115" s="91">
        <f>E74</f>
        <v>1076900.2178974946</v>
      </c>
      <c r="F115" s="91">
        <f>F74</f>
        <v>1069194.2091017265</v>
      </c>
      <c r="G115" s="91">
        <f>G74</f>
        <v>1060510.8855082423</v>
      </c>
      <c r="H115" s="91">
        <f>H74</f>
        <v>1050726.2991383628</v>
      </c>
      <c r="I115" s="436">
        <f>I74</f>
        <v>1039700.7823073019</v>
      </c>
      <c r="J115" s="91"/>
    </row>
    <row r="116" spans="2:10">
      <c r="B116" s="124" t="s">
        <v>391</v>
      </c>
      <c r="E116" s="91"/>
      <c r="F116" s="91"/>
      <c r="G116" s="91"/>
      <c r="H116" s="91"/>
      <c r="I116" s="436"/>
      <c r="J116" s="91"/>
    </row>
    <row r="117" spans="2:10">
      <c r="B117" s="124" t="s">
        <v>738</v>
      </c>
      <c r="E117" s="91">
        <f>($F$31*$C$82)/$F$30</f>
        <v>237400.01992137224</v>
      </c>
      <c r="F117" s="91">
        <f>($F$31*$C$82)/$F$30</f>
        <v>237400.01992137224</v>
      </c>
      <c r="G117" s="91">
        <f>($F$31*$C$82)/$F$30</f>
        <v>237400.01992137224</v>
      </c>
      <c r="H117" s="91">
        <f>($F$31*$C$82)/$F$30</f>
        <v>237400.01992137224</v>
      </c>
      <c r="I117" s="436">
        <f>($F$31*$C$82)/$F$30</f>
        <v>237400.01992137224</v>
      </c>
      <c r="J117" s="91"/>
    </row>
    <row r="118" spans="2:10">
      <c r="B118" s="124" t="s">
        <v>739</v>
      </c>
      <c r="E118" s="91">
        <f>((C82*F33)/F32)*2</f>
        <v>237400.01992137224</v>
      </c>
      <c r="F118" s="91">
        <f>((($C$82*$F$33)-$E$118)/$F$32)*2</f>
        <v>169571.44280098021</v>
      </c>
      <c r="G118" s="91">
        <f>((($C$82*$F$33)-$E$118-$F$118)/$F$32)*2</f>
        <v>121122.45914355728</v>
      </c>
      <c r="H118" s="91">
        <f>((($C$82*$F$33)-$E$118-$F$118-$G$118)/$F$32)*2</f>
        <v>86516.042245398057</v>
      </c>
      <c r="I118" s="441">
        <f>((($C$82*$F$33)-$E$118-$F$118-$G$118-$H$118)/$F$32)*2</f>
        <v>61797.173032427192</v>
      </c>
      <c r="J118" s="91"/>
    </row>
    <row r="119" spans="2:10">
      <c r="B119" s="124" t="s">
        <v>740</v>
      </c>
      <c r="E119" s="91"/>
      <c r="F119" s="91"/>
      <c r="G119" s="91"/>
      <c r="H119" s="91"/>
      <c r="I119" s="436"/>
      <c r="J119" s="91"/>
    </row>
    <row r="120" spans="2:10">
      <c r="B120" s="171" t="s">
        <v>741</v>
      </c>
      <c r="D120" s="91">
        <f>C93</f>
        <v>180028.32605503942</v>
      </c>
      <c r="E120" s="91"/>
      <c r="F120" s="91"/>
      <c r="G120" s="91"/>
      <c r="H120" s="92"/>
      <c r="I120" s="146"/>
      <c r="J120" s="39"/>
    </row>
    <row r="121" spans="2:10" ht="13">
      <c r="B121" s="171" t="s">
        <v>742</v>
      </c>
      <c r="D121" s="96"/>
      <c r="E121" s="92">
        <f>$C$92/$F$14</f>
        <v>27004.251</v>
      </c>
      <c r="F121" s="92">
        <f>$C$92/$F$14</f>
        <v>27004.251</v>
      </c>
      <c r="G121" s="92">
        <f>$C$92/$F$14</f>
        <v>27004.251</v>
      </c>
      <c r="H121" s="92">
        <f>$C$92/$F$14</f>
        <v>27004.251</v>
      </c>
      <c r="I121" s="440">
        <f>$C$92/$F$14</f>
        <v>27004.251</v>
      </c>
    </row>
    <row r="122" spans="2:10">
      <c r="B122" s="171" t="s">
        <v>743</v>
      </c>
      <c r="D122" s="92"/>
      <c r="E122" s="92">
        <f>$C$19/5</f>
        <v>9060</v>
      </c>
      <c r="F122" s="92">
        <f>$C$19/5</f>
        <v>9060</v>
      </c>
      <c r="G122" s="92">
        <f>$C$19/5</f>
        <v>9060</v>
      </c>
      <c r="H122" s="92">
        <f>$C$19/5</f>
        <v>9060</v>
      </c>
      <c r="I122" s="92">
        <f>$C$19/5</f>
        <v>9060</v>
      </c>
    </row>
    <row r="123" spans="2:10" ht="13" thickBot="1">
      <c r="B123" s="124" t="s">
        <v>441</v>
      </c>
      <c r="D123" s="31">
        <f t="shared" ref="D123:I123" si="5">-SUM(D115:D121)+D113-D122</f>
        <v>-180028.32605503942</v>
      </c>
      <c r="E123" s="31">
        <f t="shared" si="5"/>
        <v>-830464.43874026043</v>
      </c>
      <c r="F123" s="31">
        <f t="shared" si="5"/>
        <v>87402.0044558011</v>
      </c>
      <c r="G123" s="31">
        <f t="shared" si="5"/>
        <v>240001.76216151705</v>
      </c>
      <c r="H123" s="31">
        <f t="shared" si="5"/>
        <v>385600.02114053955</v>
      </c>
      <c r="I123" s="207">
        <f t="shared" si="5"/>
        <v>528637.66538159945</v>
      </c>
    </row>
    <row r="124" spans="2:10">
      <c r="B124" s="124" t="s">
        <v>500</v>
      </c>
      <c r="D124" s="24">
        <f t="shared" ref="D124:I124" si="6">D123*$F$27</f>
        <v>-50407.931295411043</v>
      </c>
      <c r="E124" s="24">
        <f t="shared" si="6"/>
        <v>-232530.04284727294</v>
      </c>
      <c r="F124" s="24">
        <f t="shared" si="6"/>
        <v>24472.561247624311</v>
      </c>
      <c r="G124" s="24">
        <f t="shared" si="6"/>
        <v>67200.493405224785</v>
      </c>
      <c r="H124" s="24">
        <f t="shared" si="6"/>
        <v>107968.00591935108</v>
      </c>
      <c r="I124" s="163">
        <f t="shared" si="6"/>
        <v>148018.54630684786</v>
      </c>
    </row>
    <row r="125" spans="2:10">
      <c r="B125" s="124"/>
      <c r="D125" s="24"/>
      <c r="E125" s="24"/>
      <c r="F125" s="24"/>
      <c r="G125" s="24"/>
      <c r="H125" s="24"/>
      <c r="I125" s="163"/>
    </row>
    <row r="126" spans="2:10" ht="13.5" thickBot="1">
      <c r="B126" s="1133" t="s">
        <v>409</v>
      </c>
      <c r="C126" s="1366">
        <f t="shared" ref="C126:I126" si="7">C111-C124</f>
        <v>-2950070.8360550394</v>
      </c>
      <c r="D126" s="1366">
        <f t="shared" si="7"/>
        <v>19608.070102420948</v>
      </c>
      <c r="E126" s="1366">
        <f t="shared" si="7"/>
        <v>-147831.05095932609</v>
      </c>
      <c r="F126" s="1366">
        <f t="shared" si="7"/>
        <v>437498.20222567825</v>
      </c>
      <c r="G126" s="1366">
        <f t="shared" si="7"/>
        <v>490237.72052288661</v>
      </c>
      <c r="H126" s="1366">
        <f t="shared" si="7"/>
        <v>550677.46371974389</v>
      </c>
      <c r="I126" s="1367">
        <f t="shared" si="7"/>
        <v>617920.18152927537</v>
      </c>
      <c r="J126" s="1"/>
    </row>
    <row r="127" spans="2:10" ht="14" thickTop="1" thickBot="1">
      <c r="B127" s="375"/>
      <c r="C127" s="376"/>
      <c r="D127" s="376"/>
      <c r="E127" s="376"/>
      <c r="F127" s="376"/>
      <c r="G127" s="376"/>
      <c r="H127" s="377"/>
      <c r="I127" s="192"/>
      <c r="J127" s="1"/>
    </row>
    <row r="128" spans="2:10" ht="13" thickBot="1">
      <c r="B128" s="124"/>
      <c r="F128" s="21"/>
      <c r="G128" s="21"/>
      <c r="H128" s="93"/>
      <c r="I128" s="126"/>
    </row>
    <row r="129" spans="2:9" ht="13.5" thickBot="1">
      <c r="B129" s="1547" t="s">
        <v>1596</v>
      </c>
      <c r="C129" s="1538"/>
      <c r="D129" s="1538"/>
      <c r="E129" s="1539"/>
      <c r="H129" s="91"/>
      <c r="I129" s="126"/>
    </row>
    <row r="130" spans="2:9">
      <c r="B130" s="369" t="s">
        <v>1262</v>
      </c>
      <c r="C130" s="57"/>
      <c r="D130" s="57">
        <f>F37*(1+C11)^F11</f>
        <v>16035002.941543978</v>
      </c>
      <c r="E130" s="126"/>
      <c r="F130" s="57" t="s">
        <v>1261</v>
      </c>
      <c r="H130" s="828">
        <f>I111/D130</f>
        <v>4.7766672112775584E-2</v>
      </c>
      <c r="I130" s="126"/>
    </row>
    <row r="131" spans="2:9">
      <c r="B131" s="369" t="s">
        <v>396</v>
      </c>
      <c r="C131" s="57"/>
      <c r="D131" s="57">
        <f>C12*D130</f>
        <v>320700.05883087957</v>
      </c>
      <c r="E131" s="126"/>
      <c r="F131" s="57"/>
      <c r="H131" s="91"/>
      <c r="I131" s="126"/>
    </row>
    <row r="132" spans="2:9">
      <c r="B132" s="369" t="s">
        <v>383</v>
      </c>
      <c r="C132" s="57"/>
      <c r="D132" s="61">
        <f>I73</f>
        <v>8610143.5749202408</v>
      </c>
      <c r="E132" s="126"/>
      <c r="F132" s="57"/>
      <c r="H132" s="91"/>
      <c r="I132" s="126"/>
    </row>
    <row r="133" spans="2:9">
      <c r="B133" s="369" t="s">
        <v>439</v>
      </c>
      <c r="C133" s="57"/>
      <c r="E133" s="1168">
        <f>D130-D131-D132</f>
        <v>7104159.3077928573</v>
      </c>
      <c r="F133" s="57"/>
      <c r="H133" s="91"/>
      <c r="I133" s="126"/>
    </row>
    <row r="134" spans="2:9">
      <c r="B134" s="384"/>
      <c r="C134" s="57"/>
      <c r="D134" s="57"/>
      <c r="E134" s="370"/>
      <c r="F134" s="57"/>
      <c r="G134" s="91"/>
      <c r="H134" s="91"/>
      <c r="I134" s="126"/>
    </row>
    <row r="135" spans="2:9" ht="13">
      <c r="B135" s="369" t="s">
        <v>398</v>
      </c>
      <c r="C135" s="57">
        <f>F37</f>
        <v>11982287</v>
      </c>
      <c r="D135" s="57"/>
      <c r="E135" s="192"/>
      <c r="F135" s="57"/>
      <c r="G135" s="91"/>
      <c r="H135" s="91"/>
      <c r="I135" s="126"/>
    </row>
    <row r="136" spans="2:9" ht="13">
      <c r="B136" s="369" t="s">
        <v>744</v>
      </c>
      <c r="C136" s="61">
        <f>SUM(E117:I118)+SUM(D120:I122)</f>
        <v>2223756.8178056357</v>
      </c>
      <c r="D136" s="57"/>
      <c r="E136" s="442"/>
      <c r="F136" s="57"/>
      <c r="G136" s="91"/>
      <c r="H136" s="91"/>
      <c r="I136" s="126"/>
    </row>
    <row r="137" spans="2:9">
      <c r="B137" s="369" t="s">
        <v>400</v>
      </c>
      <c r="C137" s="57"/>
      <c r="D137" s="57">
        <f>C135-C136</f>
        <v>9758530.1821943633</v>
      </c>
      <c r="E137" s="370"/>
      <c r="F137" s="57"/>
      <c r="I137" s="126"/>
    </row>
    <row r="138" spans="2:9">
      <c r="B138" s="384"/>
      <c r="C138" s="57"/>
      <c r="D138" s="57"/>
      <c r="E138" s="370"/>
      <c r="F138" s="57"/>
      <c r="I138" s="126"/>
    </row>
    <row r="139" spans="2:9">
      <c r="B139" s="369" t="s">
        <v>401</v>
      </c>
      <c r="C139" s="57"/>
      <c r="D139" s="57">
        <f>D130-D131-D137</f>
        <v>5955772.7005187348</v>
      </c>
      <c r="E139" s="370"/>
      <c r="F139" s="57"/>
      <c r="I139" s="126"/>
    </row>
    <row r="140" spans="2:9">
      <c r="B140" s="369" t="s">
        <v>449</v>
      </c>
      <c r="C140" s="57"/>
      <c r="D140" s="57"/>
      <c r="E140" s="443">
        <f>F28*D139</f>
        <v>1667616.356145246</v>
      </c>
      <c r="F140" s="57" t="s">
        <v>1263</v>
      </c>
      <c r="I140" s="126"/>
    </row>
    <row r="141" spans="2:9" ht="13.5" thickBot="1">
      <c r="B141" s="444" t="s">
        <v>405</v>
      </c>
      <c r="C141" s="60"/>
      <c r="D141" s="60"/>
      <c r="E141" s="445">
        <f>E133-E140</f>
        <v>5436542.9516476113</v>
      </c>
      <c r="F141" s="57"/>
      <c r="I141" s="126"/>
    </row>
    <row r="142" spans="2:9" ht="13.5" thickTop="1" thickBot="1">
      <c r="B142" s="134"/>
      <c r="C142" s="4"/>
      <c r="D142" s="4"/>
      <c r="E142" s="135"/>
      <c r="F142" s="57"/>
      <c r="I142" s="126"/>
    </row>
    <row r="143" spans="2:9" ht="13" thickBot="1">
      <c r="B143" s="124"/>
      <c r="I143" s="126"/>
    </row>
    <row r="144" spans="2:9" ht="13.5" thickBot="1">
      <c r="B144" s="1547" t="s">
        <v>745</v>
      </c>
      <c r="C144" s="1538"/>
      <c r="D144" s="1538"/>
      <c r="E144" s="1538"/>
      <c r="F144" s="1538"/>
      <c r="G144" s="1538"/>
      <c r="H144" s="1538"/>
      <c r="I144" s="1539"/>
    </row>
    <row r="145" spans="2:10" ht="13.5" thickBot="1">
      <c r="B145" s="157" t="s">
        <v>262</v>
      </c>
      <c r="C145" s="157">
        <v>0</v>
      </c>
      <c r="D145" s="157">
        <v>1</v>
      </c>
      <c r="E145" s="157">
        <v>2</v>
      </c>
      <c r="F145" s="157">
        <v>3</v>
      </c>
      <c r="G145" s="157">
        <v>4</v>
      </c>
      <c r="H145" s="157">
        <v>5</v>
      </c>
      <c r="I145" s="157">
        <v>6</v>
      </c>
    </row>
    <row r="146" spans="2:10" ht="13">
      <c r="B146" s="780" t="s">
        <v>408</v>
      </c>
      <c r="C146" s="1121">
        <f t="shared" ref="C146:D146" si="8">C111</f>
        <v>-2950070.8360550394</v>
      </c>
      <c r="D146" s="1121">
        <f t="shared" si="8"/>
        <v>-30799.861192990094</v>
      </c>
      <c r="E146" s="1121">
        <f>E111</f>
        <v>-380361.09380659903</v>
      </c>
      <c r="F146" s="1121">
        <f>F111</f>
        <v>461970.76347330259</v>
      </c>
      <c r="G146" s="1121">
        <f>G111</f>
        <v>557438.21392811136</v>
      </c>
      <c r="H146" s="1121">
        <f>H111</f>
        <v>658645.46963909501</v>
      </c>
      <c r="I146" s="1122">
        <f>I111+E133</f>
        <v>7870098.03562898</v>
      </c>
      <c r="J146" s="1"/>
    </row>
    <row r="147" spans="2:10" ht="13.5" thickBot="1">
      <c r="B147" s="1290" t="s">
        <v>409</v>
      </c>
      <c r="C147" s="1291">
        <f t="shared" ref="C147:H147" si="9">C126</f>
        <v>-2950070.8360550394</v>
      </c>
      <c r="D147" s="1291">
        <f t="shared" si="9"/>
        <v>19608.070102420948</v>
      </c>
      <c r="E147" s="1291">
        <f t="shared" si="9"/>
        <v>-147831.05095932609</v>
      </c>
      <c r="F147" s="1291">
        <f t="shared" si="9"/>
        <v>437498.20222567825</v>
      </c>
      <c r="G147" s="1291">
        <f t="shared" si="9"/>
        <v>490237.72052288661</v>
      </c>
      <c r="H147" s="1291">
        <f t="shared" si="9"/>
        <v>550677.46371974389</v>
      </c>
      <c r="I147" s="1292">
        <f>I126+E141</f>
        <v>6054463.1331768865</v>
      </c>
      <c r="J147" s="1"/>
    </row>
    <row r="148" spans="2:10" ht="13" thickBot="1">
      <c r="B148" s="124"/>
      <c r="I148" s="126"/>
    </row>
    <row r="149" spans="2:10" ht="13.5" thickBot="1">
      <c r="B149" s="168" t="s">
        <v>746</v>
      </c>
      <c r="C149" s="155">
        <f>IRR(C146:I146)</f>
        <v>0.21326884728769402</v>
      </c>
      <c r="I149" s="126"/>
    </row>
    <row r="150" spans="2:10" ht="13.5" thickBot="1">
      <c r="B150" s="1293" t="s">
        <v>747</v>
      </c>
      <c r="C150" s="446">
        <f>IRR(C147:I147)</f>
        <v>0.17733616162806642</v>
      </c>
      <c r="I150" s="126"/>
    </row>
    <row r="151" spans="2:10">
      <c r="B151" s="124"/>
      <c r="I151" s="126"/>
    </row>
    <row r="152" spans="2:10" ht="13">
      <c r="B152" s="227" t="s">
        <v>748</v>
      </c>
      <c r="C152" s="114"/>
      <c r="I152" s="126"/>
    </row>
    <row r="153" spans="2:10">
      <c r="B153" s="450" t="s">
        <v>1236</v>
      </c>
      <c r="C153" s="275"/>
      <c r="I153" s="126"/>
    </row>
    <row r="154" spans="2:10">
      <c r="B154" s="450" t="s">
        <v>749</v>
      </c>
      <c r="C154" s="275"/>
      <c r="I154" s="126"/>
    </row>
    <row r="155" spans="2:10" ht="13" thickBot="1">
      <c r="B155" s="134"/>
      <c r="C155" s="4"/>
      <c r="D155" s="4"/>
      <c r="E155" s="4"/>
      <c r="F155" s="4"/>
      <c r="G155" s="4"/>
      <c r="H155" s="4"/>
      <c r="I155" s="135"/>
    </row>
  </sheetData>
  <mergeCells count="19">
    <mergeCell ref="B100:I100"/>
    <mergeCell ref="B129:E129"/>
    <mergeCell ref="B144:I144"/>
    <mergeCell ref="B8:G8"/>
    <mergeCell ref="B70:G70"/>
    <mergeCell ref="B78:E78"/>
    <mergeCell ref="D81:E82"/>
    <mergeCell ref="B85:I85"/>
    <mergeCell ref="E67:F67"/>
    <mergeCell ref="B10:G10"/>
    <mergeCell ref="B36:F36"/>
    <mergeCell ref="B49:G49"/>
    <mergeCell ref="C51:D51"/>
    <mergeCell ref="B2:I2"/>
    <mergeCell ref="B3:I3"/>
    <mergeCell ref="B6:G6"/>
    <mergeCell ref="B7:G7"/>
    <mergeCell ref="B50:G50"/>
    <mergeCell ref="B4:I4"/>
  </mergeCells>
  <phoneticPr fontId="0" type="noConversion"/>
  <pageMargins left="0.75" right="0.75" top="1" bottom="1" header="0.5" footer="0.5"/>
  <pageSetup orientation="portrait" r:id="rId1"/>
  <headerFooter alignWithMargins="0"/>
  <drawing r:id="rId2"/>
  <legacyDrawing r:id="rId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5D1D-6ED6-4E1F-8C21-ABECF78C4802}">
  <sheetPr>
    <tabColor rgb="FFFFC000"/>
  </sheetPr>
  <dimension ref="B1:J158"/>
  <sheetViews>
    <sheetView workbookViewId="0"/>
  </sheetViews>
  <sheetFormatPr defaultRowHeight="12.5"/>
  <cols>
    <col min="2" max="2" width="23.81640625" customWidth="1"/>
    <col min="3" max="3" width="12.54296875" customWidth="1"/>
    <col min="4" max="4" width="13.81640625" customWidth="1"/>
    <col min="5" max="5" width="22.7265625" customWidth="1"/>
    <col min="6" max="6" width="14" customWidth="1"/>
    <col min="7" max="7" width="13.7265625" customWidth="1"/>
    <col min="8" max="8" width="15.54296875" customWidth="1"/>
    <col min="9" max="9" width="11.453125" customWidth="1"/>
  </cols>
  <sheetData>
    <row r="1" spans="2:9" ht="13" thickBot="1"/>
    <row r="2" spans="2:9" ht="18.5" thickBot="1">
      <c r="B2" s="1525" t="s">
        <v>1751</v>
      </c>
      <c r="C2" s="1557"/>
      <c r="D2" s="1557"/>
      <c r="E2" s="1557"/>
      <c r="F2" s="1557"/>
      <c r="G2" s="1557"/>
      <c r="H2" s="1657"/>
      <c r="I2" s="1658"/>
    </row>
    <row r="3" spans="2:9" ht="16" thickBot="1">
      <c r="B3" s="1528" t="s">
        <v>1472</v>
      </c>
      <c r="C3" s="1659"/>
      <c r="D3" s="1659"/>
      <c r="E3" s="1659"/>
      <c r="F3" s="1659"/>
      <c r="G3" s="1659"/>
      <c r="H3" s="1659"/>
      <c r="I3" s="1660"/>
    </row>
    <row r="4" spans="2:9">
      <c r="B4" s="1678" t="s">
        <v>1558</v>
      </c>
      <c r="C4" s="1679"/>
      <c r="D4" s="1679"/>
      <c r="E4" s="1679"/>
      <c r="F4" s="1679"/>
      <c r="G4" s="1679"/>
      <c r="H4" s="1679"/>
      <c r="I4" s="1680"/>
    </row>
    <row r="5" spans="2:9">
      <c r="B5" s="124"/>
      <c r="I5" s="126"/>
    </row>
    <row r="6" spans="2:9">
      <c r="B6" s="1670" t="s">
        <v>1480</v>
      </c>
      <c r="C6" s="1671"/>
      <c r="D6" s="1671"/>
      <c r="E6" s="1671"/>
      <c r="F6" s="1671"/>
      <c r="G6" s="1671"/>
      <c r="I6" s="126"/>
    </row>
    <row r="7" spans="2:9">
      <c r="B7" s="1672" t="s">
        <v>1085</v>
      </c>
      <c r="C7" s="1673"/>
      <c r="D7" s="1673"/>
      <c r="E7" s="1673"/>
      <c r="F7" s="1673"/>
      <c r="G7" s="1673"/>
      <c r="I7" s="126"/>
    </row>
    <row r="8" spans="2:9">
      <c r="B8" s="1672" t="s">
        <v>671</v>
      </c>
      <c r="C8" s="1673"/>
      <c r="D8" s="1673"/>
      <c r="E8" s="1673"/>
      <c r="F8" s="1673"/>
      <c r="G8" s="1673"/>
      <c r="I8" s="126"/>
    </row>
    <row r="9" spans="2:9" ht="13" thickBot="1">
      <c r="B9" s="124"/>
      <c r="I9" s="126"/>
    </row>
    <row r="10" spans="2:9" ht="13.5" thickBot="1">
      <c r="B10" s="1531" t="s">
        <v>207</v>
      </c>
      <c r="C10" s="1592"/>
      <c r="D10" s="1592"/>
      <c r="E10" s="1592"/>
      <c r="F10" s="1592"/>
      <c r="G10" s="1593"/>
      <c r="I10" s="126"/>
    </row>
    <row r="11" spans="2:9" ht="13" thickBot="1">
      <c r="B11" s="276" t="s">
        <v>672</v>
      </c>
      <c r="C11" s="425">
        <v>0.02</v>
      </c>
      <c r="D11" s="278" t="s">
        <v>258</v>
      </c>
      <c r="E11" s="39" t="s">
        <v>673</v>
      </c>
      <c r="F11" s="152">
        <v>5</v>
      </c>
      <c r="G11" s="146" t="s">
        <v>208</v>
      </c>
      <c r="I11" s="126"/>
    </row>
    <row r="12" spans="2:9" ht="13.5" thickBot="1">
      <c r="B12" s="171" t="s">
        <v>477</v>
      </c>
      <c r="C12" s="364">
        <v>0.03</v>
      </c>
      <c r="D12" s="146" t="s">
        <v>378</v>
      </c>
      <c r="E12" s="242" t="s">
        <v>674</v>
      </c>
      <c r="F12" s="39"/>
      <c r="G12" s="146"/>
      <c r="I12" s="126"/>
    </row>
    <row r="13" spans="2:9">
      <c r="B13" s="171" t="s">
        <v>675</v>
      </c>
      <c r="C13" s="362">
        <v>120000</v>
      </c>
      <c r="D13" s="146"/>
      <c r="E13" s="39" t="s">
        <v>676</v>
      </c>
      <c r="F13" s="364">
        <v>0.03</v>
      </c>
      <c r="G13" s="146" t="s">
        <v>677</v>
      </c>
      <c r="I13" s="126"/>
    </row>
    <row r="14" spans="2:9">
      <c r="B14" s="171" t="s">
        <v>678</v>
      </c>
      <c r="C14" s="362">
        <v>110000</v>
      </c>
      <c r="D14" s="146"/>
      <c r="E14" s="39" t="s">
        <v>679</v>
      </c>
      <c r="F14" s="152">
        <v>10</v>
      </c>
      <c r="G14" s="146" t="s">
        <v>208</v>
      </c>
      <c r="I14" s="126"/>
    </row>
    <row r="15" spans="2:9">
      <c r="B15" s="171" t="s">
        <v>680</v>
      </c>
      <c r="C15" s="362">
        <v>2500000</v>
      </c>
      <c r="D15" s="146"/>
      <c r="E15" s="39" t="s">
        <v>681</v>
      </c>
      <c r="F15" s="152">
        <v>25</v>
      </c>
      <c r="G15" s="146" t="s">
        <v>208</v>
      </c>
      <c r="I15" s="126"/>
    </row>
    <row r="16" spans="2:9">
      <c r="B16" s="171" t="s">
        <v>682</v>
      </c>
      <c r="C16" s="362">
        <v>850000</v>
      </c>
      <c r="D16" s="146"/>
      <c r="E16" s="39" t="s">
        <v>213</v>
      </c>
      <c r="F16" s="152">
        <v>10</v>
      </c>
      <c r="G16" s="146" t="s">
        <v>208</v>
      </c>
      <c r="I16" s="126"/>
    </row>
    <row r="17" spans="2:9">
      <c r="B17" s="171" t="s">
        <v>683</v>
      </c>
      <c r="C17" s="362">
        <v>9055500</v>
      </c>
      <c r="D17" s="146"/>
      <c r="E17" s="39" t="s">
        <v>212</v>
      </c>
      <c r="F17" s="424">
        <v>0.05</v>
      </c>
      <c r="G17" s="146"/>
      <c r="I17" s="126"/>
    </row>
    <row r="18" spans="2:9" ht="13" thickBot="1">
      <c r="B18" s="171" t="s">
        <v>684</v>
      </c>
      <c r="C18" s="362">
        <v>1391634</v>
      </c>
      <c r="D18" s="146"/>
      <c r="E18" s="39" t="s">
        <v>470</v>
      </c>
      <c r="F18" s="152">
        <v>12</v>
      </c>
      <c r="G18" s="309"/>
      <c r="I18" s="126"/>
    </row>
    <row r="19" spans="2:9" ht="13.5" thickBot="1">
      <c r="B19" s="171" t="s">
        <v>685</v>
      </c>
      <c r="C19" s="422">
        <v>45300</v>
      </c>
      <c r="D19" s="146"/>
      <c r="E19" s="242" t="s">
        <v>686</v>
      </c>
      <c r="F19" s="39"/>
      <c r="G19" s="146"/>
      <c r="I19" s="126"/>
    </row>
    <row r="20" spans="2:9" ht="13.5" thickBot="1">
      <c r="B20" s="171" t="s">
        <v>687</v>
      </c>
      <c r="C20" s="1524">
        <v>13</v>
      </c>
      <c r="D20" s="146" t="s">
        <v>688</v>
      </c>
      <c r="E20" s="39" t="s">
        <v>1264</v>
      </c>
      <c r="F20" s="1123">
        <v>10309000</v>
      </c>
      <c r="G20" s="1233" t="s">
        <v>1536</v>
      </c>
      <c r="H20" s="1289">
        <f>F38</f>
        <v>10729842</v>
      </c>
      <c r="I20" s="126"/>
    </row>
    <row r="21" spans="2:9">
      <c r="B21" s="171" t="s">
        <v>689</v>
      </c>
      <c r="C21" s="364">
        <v>0.02</v>
      </c>
      <c r="D21" s="146" t="s">
        <v>258</v>
      </c>
      <c r="E21" s="39" t="s">
        <v>690</v>
      </c>
      <c r="F21" s="152">
        <v>12</v>
      </c>
      <c r="G21" s="146" t="s">
        <v>691</v>
      </c>
      <c r="I21" s="126"/>
    </row>
    <row r="22" spans="2:9">
      <c r="B22" s="171" t="s">
        <v>692</v>
      </c>
      <c r="C22" s="364">
        <v>0.05</v>
      </c>
      <c r="D22" s="146" t="s">
        <v>693</v>
      </c>
      <c r="E22" s="39" t="s">
        <v>694</v>
      </c>
      <c r="F22" s="364">
        <v>0.75</v>
      </c>
      <c r="G22" s="146"/>
      <c r="I22" s="126"/>
    </row>
    <row r="23" spans="2:9">
      <c r="B23" s="171" t="s">
        <v>695</v>
      </c>
      <c r="C23" s="423">
        <v>200</v>
      </c>
      <c r="D23" s="146" t="s">
        <v>688</v>
      </c>
      <c r="E23" s="39" t="s">
        <v>696</v>
      </c>
      <c r="F23" s="364">
        <v>0.25</v>
      </c>
      <c r="G23" s="146"/>
      <c r="H23" s="447"/>
      <c r="I23" s="126"/>
    </row>
    <row r="24" spans="2:9">
      <c r="B24" s="171" t="s">
        <v>697</v>
      </c>
      <c r="C24" s="423">
        <v>200.272727272727</v>
      </c>
      <c r="D24" s="146" t="s">
        <v>688</v>
      </c>
      <c r="E24" s="39" t="s">
        <v>212</v>
      </c>
      <c r="F24" s="364">
        <v>0.06</v>
      </c>
      <c r="G24" s="146"/>
      <c r="I24" s="126"/>
    </row>
    <row r="25" spans="2:9" ht="13" thickBot="1">
      <c r="B25" s="171" t="s">
        <v>698</v>
      </c>
      <c r="C25" s="424">
        <v>3.16</v>
      </c>
      <c r="D25" s="146"/>
      <c r="E25" s="39" t="s">
        <v>676</v>
      </c>
      <c r="F25" s="364">
        <v>0.02</v>
      </c>
      <c r="G25" s="146"/>
      <c r="I25" s="126"/>
    </row>
    <row r="26" spans="2:9" ht="13.5" thickBot="1">
      <c r="B26" s="171" t="s">
        <v>699</v>
      </c>
      <c r="C26" s="364">
        <v>0.04</v>
      </c>
      <c r="D26" s="146" t="s">
        <v>258</v>
      </c>
      <c r="E26" s="242" t="s">
        <v>700</v>
      </c>
      <c r="F26" s="152"/>
      <c r="G26" s="146"/>
      <c r="I26" s="126"/>
    </row>
    <row r="27" spans="2:9">
      <c r="B27" s="171" t="s">
        <v>701</v>
      </c>
      <c r="C27" s="423">
        <v>8.3909099999999999</v>
      </c>
      <c r="D27" s="146" t="s">
        <v>702</v>
      </c>
      <c r="E27" s="39" t="s">
        <v>514</v>
      </c>
      <c r="F27" s="364">
        <v>0.28000000000000003</v>
      </c>
      <c r="G27" s="146"/>
      <c r="I27" s="126"/>
    </row>
    <row r="28" spans="2:9" ht="13" thickBot="1">
      <c r="B28" s="171" t="s">
        <v>703</v>
      </c>
      <c r="C28" s="364">
        <v>0.04</v>
      </c>
      <c r="D28" s="146" t="s">
        <v>258</v>
      </c>
      <c r="E28" s="39" t="s">
        <v>517</v>
      </c>
      <c r="F28" s="364">
        <v>0.28000000000000003</v>
      </c>
      <c r="G28" s="146"/>
      <c r="I28" s="126"/>
    </row>
    <row r="29" spans="2:9" ht="13.5" thickBot="1">
      <c r="B29" s="171" t="s">
        <v>591</v>
      </c>
      <c r="C29" s="423">
        <v>9.68</v>
      </c>
      <c r="D29" s="146" t="s">
        <v>688</v>
      </c>
      <c r="E29" s="242" t="s">
        <v>422</v>
      </c>
      <c r="F29" s="39"/>
      <c r="G29" s="146"/>
      <c r="I29" s="126"/>
    </row>
    <row r="30" spans="2:9">
      <c r="B30" s="171" t="s">
        <v>704</v>
      </c>
      <c r="C30" s="364">
        <v>2.5922400000000002E-2</v>
      </c>
      <c r="D30" s="146"/>
      <c r="E30" s="39" t="s">
        <v>705</v>
      </c>
      <c r="F30" s="152">
        <v>39</v>
      </c>
      <c r="G30" s="146" t="s">
        <v>706</v>
      </c>
      <c r="I30" s="126"/>
    </row>
    <row r="31" spans="2:9">
      <c r="B31" s="171" t="s">
        <v>707</v>
      </c>
      <c r="C31" s="364">
        <v>0.05</v>
      </c>
      <c r="D31" s="146" t="s">
        <v>258</v>
      </c>
      <c r="E31" s="39" t="s">
        <v>705</v>
      </c>
      <c r="F31" s="364">
        <v>0.9</v>
      </c>
      <c r="G31" s="146" t="s">
        <v>708</v>
      </c>
      <c r="I31" s="126"/>
    </row>
    <row r="32" spans="2:9">
      <c r="B32" s="171" t="s">
        <v>709</v>
      </c>
      <c r="C32" s="934">
        <v>0.3</v>
      </c>
      <c r="D32" s="146"/>
      <c r="E32" s="39" t="s">
        <v>710</v>
      </c>
      <c r="F32" s="152">
        <v>7</v>
      </c>
      <c r="G32" s="146" t="s">
        <v>711</v>
      </c>
      <c r="I32" s="126"/>
    </row>
    <row r="33" spans="2:9" ht="13" thickBot="1">
      <c r="B33" s="228" t="s">
        <v>712</v>
      </c>
      <c r="C33" s="367">
        <v>0.05</v>
      </c>
      <c r="D33" s="149"/>
      <c r="E33" s="63" t="s">
        <v>710</v>
      </c>
      <c r="F33" s="367">
        <v>0.1</v>
      </c>
      <c r="G33" s="149" t="s">
        <v>708</v>
      </c>
      <c r="I33" s="126"/>
    </row>
    <row r="34" spans="2:9" ht="13">
      <c r="B34" s="226"/>
      <c r="C34" s="2"/>
      <c r="D34" s="2"/>
      <c r="I34" s="126"/>
    </row>
    <row r="35" spans="2:9" ht="13.5" thickBot="1">
      <c r="B35" s="226"/>
      <c r="C35" s="2"/>
      <c r="D35" s="2"/>
      <c r="E35" s="2"/>
      <c r="F35" s="2"/>
      <c r="I35" s="126"/>
    </row>
    <row r="36" spans="2:9" ht="13.5" thickBot="1">
      <c r="B36" s="1531" t="s">
        <v>1492</v>
      </c>
      <c r="C36" s="1592"/>
      <c r="D36" s="1592"/>
      <c r="E36" s="1602"/>
      <c r="F36" s="1691"/>
      <c r="I36" s="126"/>
    </row>
    <row r="37" spans="2:9">
      <c r="B37" s="1127" t="s">
        <v>713</v>
      </c>
      <c r="C37" s="1128">
        <f>C15</f>
        <v>2500000</v>
      </c>
      <c r="E37" s="1106" t="s">
        <v>714</v>
      </c>
      <c r="F37" s="1169">
        <f>C47</f>
        <v>13797134</v>
      </c>
      <c r="I37" s="126"/>
    </row>
    <row r="38" spans="2:9">
      <c r="B38" s="1242" t="s">
        <v>1538</v>
      </c>
      <c r="C38" s="1236">
        <v>567292</v>
      </c>
      <c r="E38" s="1171" t="s">
        <v>1525</v>
      </c>
      <c r="F38" s="1170">
        <f>C46</f>
        <v>10729842</v>
      </c>
      <c r="I38" s="126"/>
    </row>
    <row r="39" spans="2:9">
      <c r="B39" s="1242" t="s">
        <v>1539</v>
      </c>
      <c r="C39" s="1243">
        <f>SUM(C37:C38)</f>
        <v>3067292</v>
      </c>
      <c r="E39" s="987" t="s">
        <v>716</v>
      </c>
      <c r="F39" s="959">
        <f>F37-F38</f>
        <v>3067292</v>
      </c>
      <c r="I39" s="126"/>
    </row>
    <row r="40" spans="2:9">
      <c r="B40" s="124"/>
      <c r="C40" s="24"/>
      <c r="E40" s="39"/>
      <c r="F40" s="163"/>
      <c r="I40" s="126"/>
    </row>
    <row r="41" spans="2:9">
      <c r="B41" s="1237" t="s">
        <v>715</v>
      </c>
      <c r="C41" s="1238">
        <f>C16</f>
        <v>850000</v>
      </c>
      <c r="E41" s="39"/>
      <c r="F41" s="163"/>
      <c r="I41" s="126"/>
    </row>
    <row r="42" spans="2:9">
      <c r="B42" s="1237" t="s">
        <v>683</v>
      </c>
      <c r="C42" s="1238">
        <f>C17</f>
        <v>9055500</v>
      </c>
      <c r="D42" s="24"/>
      <c r="E42" s="39"/>
      <c r="F42" s="163"/>
      <c r="I42" s="126"/>
    </row>
    <row r="43" spans="2:9">
      <c r="B43" s="1239" t="s">
        <v>1540</v>
      </c>
      <c r="C43" s="1240">
        <f>C18-C38-C45</f>
        <v>403499.52543719904</v>
      </c>
      <c r="D43" s="24"/>
      <c r="E43" s="39"/>
      <c r="F43" s="163"/>
      <c r="I43" s="126"/>
    </row>
    <row r="44" spans="2:9">
      <c r="B44" s="1239" t="s">
        <v>1651</v>
      </c>
      <c r="C44" s="1409">
        <f>SUM(C41:C43)</f>
        <v>10308999.525437199</v>
      </c>
      <c r="E44" s="39"/>
      <c r="F44" s="163"/>
      <c r="I44" s="126"/>
    </row>
    <row r="45" spans="2:9">
      <c r="B45" s="1239" t="s">
        <v>210</v>
      </c>
      <c r="C45" s="1410">
        <f>D66</f>
        <v>420842.47456280096</v>
      </c>
      <c r="E45" s="758" t="s">
        <v>1526</v>
      </c>
      <c r="F45" s="126"/>
      <c r="I45" s="126"/>
    </row>
    <row r="46" spans="2:9">
      <c r="B46" s="1239" t="s">
        <v>1541</v>
      </c>
      <c r="C46" s="1411">
        <f>SUM(C44:C45)</f>
        <v>10729842</v>
      </c>
      <c r="E46" t="s">
        <v>1471</v>
      </c>
      <c r="F46" s="381">
        <f>F25*F65</f>
        <v>214596.849491256</v>
      </c>
      <c r="I46" s="126"/>
    </row>
    <row r="47" spans="2:9" ht="13.5" thickBot="1">
      <c r="B47" s="1412" t="s">
        <v>714</v>
      </c>
      <c r="C47" s="1241">
        <f>C39+C46</f>
        <v>13797134</v>
      </c>
      <c r="D47" s="4"/>
      <c r="E47" s="63" t="s">
        <v>717</v>
      </c>
      <c r="F47" s="426">
        <f>F13*F38</f>
        <v>321895.26</v>
      </c>
      <c r="I47" s="126"/>
    </row>
    <row r="48" spans="2:9" ht="13" thickBot="1">
      <c r="B48" s="171"/>
      <c r="C48" s="24"/>
      <c r="E48" s="39"/>
      <c r="F48" s="24"/>
      <c r="I48" s="126"/>
    </row>
    <row r="49" spans="2:9" ht="13.5" thickBot="1">
      <c r="B49" s="1547" t="s">
        <v>1580</v>
      </c>
      <c r="C49" s="1548"/>
      <c r="D49" s="1548"/>
      <c r="E49" s="1548"/>
      <c r="F49" s="1548"/>
      <c r="G49" s="1549"/>
      <c r="I49" s="126"/>
    </row>
    <row r="50" spans="2:9" ht="13.5" thickBot="1">
      <c r="B50" s="1674" t="s">
        <v>1523</v>
      </c>
      <c r="C50" s="1675"/>
      <c r="D50" s="1675"/>
      <c r="E50" s="1676"/>
      <c r="F50" s="1676"/>
      <c r="G50" s="1677"/>
      <c r="I50" s="126"/>
    </row>
    <row r="51" spans="2:9" ht="13.5" thickBot="1">
      <c r="B51" s="1163"/>
      <c r="C51" s="1692" t="s">
        <v>787</v>
      </c>
      <c r="D51" s="1693"/>
      <c r="E51" s="1164"/>
      <c r="F51" s="1164"/>
      <c r="G51" s="1165"/>
      <c r="I51" s="126"/>
    </row>
    <row r="52" spans="2:9" ht="39.5" thickBot="1">
      <c r="B52" s="157" t="s">
        <v>718</v>
      </c>
      <c r="C52" s="1166" t="s">
        <v>1522</v>
      </c>
      <c r="D52" s="1167" t="s">
        <v>210</v>
      </c>
      <c r="E52" s="156" t="s">
        <v>719</v>
      </c>
      <c r="F52" s="156" t="s">
        <v>956</v>
      </c>
      <c r="G52" s="431" t="s">
        <v>1537</v>
      </c>
      <c r="I52" s="126"/>
    </row>
    <row r="53" spans="2:9" ht="13">
      <c r="B53" s="402">
        <v>0</v>
      </c>
      <c r="C53" s="29"/>
      <c r="D53" s="29"/>
      <c r="E53" s="1107"/>
      <c r="F53" s="29"/>
      <c r="G53" s="381">
        <f>F46</f>
        <v>214596.849491256</v>
      </c>
      <c r="I53" s="126"/>
    </row>
    <row r="54" spans="2:9">
      <c r="B54" s="402">
        <v>1</v>
      </c>
      <c r="C54" s="427">
        <f>($F$22/4)*$F$20</f>
        <v>1932937.5</v>
      </c>
      <c r="D54" s="83">
        <v>0</v>
      </c>
      <c r="E54" s="1108">
        <f>C54+D54</f>
        <v>1932937.5</v>
      </c>
      <c r="F54" s="83">
        <v>0</v>
      </c>
      <c r="G54" s="163">
        <f>-C54-D54+F54+D54</f>
        <v>-1932937.5</v>
      </c>
      <c r="I54" s="126"/>
    </row>
    <row r="55" spans="2:9">
      <c r="B55" s="402">
        <v>2</v>
      </c>
      <c r="C55" s="428">
        <f>($F$22/4)*$F$20</f>
        <v>1932937.5</v>
      </c>
      <c r="D55" s="429">
        <f t="shared" ref="D55:D65" si="0">E54*($F$24/$F$21)</f>
        <v>9664.6875</v>
      </c>
      <c r="E55" s="1109">
        <f>E54+C55+D55</f>
        <v>3875539.6875</v>
      </c>
      <c r="F55" s="83">
        <v>0</v>
      </c>
      <c r="G55" s="163">
        <f t="shared" ref="G55:G65" si="1">-C55-D55+F55+D55</f>
        <v>-1932937.5</v>
      </c>
      <c r="I55" s="126"/>
    </row>
    <row r="56" spans="2:9">
      <c r="B56" s="402">
        <v>3</v>
      </c>
      <c r="C56" s="428">
        <f>($F$22/4)*$F$20</f>
        <v>1932937.5</v>
      </c>
      <c r="D56" s="429">
        <f t="shared" si="0"/>
        <v>19377.698437499999</v>
      </c>
      <c r="E56" s="1109">
        <f>E55+C56+D56</f>
        <v>5827854.8859374998</v>
      </c>
      <c r="F56" s="83">
        <v>0</v>
      </c>
      <c r="G56" s="163">
        <f t="shared" si="1"/>
        <v>-1932937.5</v>
      </c>
      <c r="I56" s="126"/>
    </row>
    <row r="57" spans="2:9">
      <c r="B57" s="402">
        <v>4</v>
      </c>
      <c r="C57" s="428">
        <f>($F$22/4)*$F$20</f>
        <v>1932937.5</v>
      </c>
      <c r="D57" s="429">
        <f t="shared" si="0"/>
        <v>29139.274429687499</v>
      </c>
      <c r="E57" s="1109">
        <f t="shared" ref="E57:E65" si="2">E56+C57+D57</f>
        <v>7789931.6603671871</v>
      </c>
      <c r="F57" s="83">
        <v>0</v>
      </c>
      <c r="G57" s="163">
        <f t="shared" si="1"/>
        <v>-1932937.5</v>
      </c>
      <c r="I57" s="126"/>
    </row>
    <row r="58" spans="2:9">
      <c r="B58" s="402">
        <v>5</v>
      </c>
      <c r="C58" s="429">
        <f t="shared" ref="C58:C65" si="3">($F$23/8)*$F$20</f>
        <v>322156.25</v>
      </c>
      <c r="D58" s="429">
        <f t="shared" si="0"/>
        <v>38949.658301835938</v>
      </c>
      <c r="E58" s="1109">
        <f t="shared" si="2"/>
        <v>8151037.568669023</v>
      </c>
      <c r="F58" s="83">
        <v>0</v>
      </c>
      <c r="G58" s="163">
        <f t="shared" si="1"/>
        <v>-322156.25</v>
      </c>
      <c r="I58" s="126"/>
    </row>
    <row r="59" spans="2:9">
      <c r="B59" s="402">
        <v>6</v>
      </c>
      <c r="C59" s="429">
        <f t="shared" si="3"/>
        <v>322156.25</v>
      </c>
      <c r="D59" s="429">
        <f t="shared" si="0"/>
        <v>40755.187843345113</v>
      </c>
      <c r="E59" s="1109">
        <f t="shared" si="2"/>
        <v>8513949.0065123681</v>
      </c>
      <c r="F59" s="83">
        <v>0</v>
      </c>
      <c r="G59" s="163">
        <f t="shared" si="1"/>
        <v>-322156.25</v>
      </c>
      <c r="I59" s="126"/>
    </row>
    <row r="60" spans="2:9">
      <c r="B60" s="402">
        <v>7</v>
      </c>
      <c r="C60" s="429">
        <f t="shared" si="3"/>
        <v>322156.25</v>
      </c>
      <c r="D60" s="429">
        <f t="shared" si="0"/>
        <v>42569.745032561841</v>
      </c>
      <c r="E60" s="1109">
        <f t="shared" si="2"/>
        <v>8878675.00154493</v>
      </c>
      <c r="F60" s="83">
        <v>0</v>
      </c>
      <c r="G60" s="163">
        <f t="shared" si="1"/>
        <v>-322156.25</v>
      </c>
      <c r="I60" s="126"/>
    </row>
    <row r="61" spans="2:9">
      <c r="B61" s="402">
        <v>8</v>
      </c>
      <c r="C61" s="429">
        <f t="shared" si="3"/>
        <v>322156.25</v>
      </c>
      <c r="D61" s="429">
        <f t="shared" si="0"/>
        <v>44393.375007724651</v>
      </c>
      <c r="E61" s="1109">
        <f t="shared" si="2"/>
        <v>9245224.6265526544</v>
      </c>
      <c r="F61" s="83">
        <v>0</v>
      </c>
      <c r="G61" s="163">
        <f t="shared" si="1"/>
        <v>-322156.25</v>
      </c>
      <c r="I61" s="126"/>
    </row>
    <row r="62" spans="2:9">
      <c r="B62" s="402">
        <v>9</v>
      </c>
      <c r="C62" s="429">
        <f t="shared" si="3"/>
        <v>322156.25</v>
      </c>
      <c r="D62" s="429">
        <f t="shared" si="0"/>
        <v>46226.12313276327</v>
      </c>
      <c r="E62" s="1109">
        <f t="shared" si="2"/>
        <v>9613606.9996854179</v>
      </c>
      <c r="F62" s="83">
        <v>0</v>
      </c>
      <c r="G62" s="163">
        <f t="shared" si="1"/>
        <v>-322156.25</v>
      </c>
      <c r="I62" s="126"/>
    </row>
    <row r="63" spans="2:9">
      <c r="B63" s="402">
        <v>10</v>
      </c>
      <c r="C63" s="429">
        <f t="shared" si="3"/>
        <v>322156.25</v>
      </c>
      <c r="D63" s="429">
        <f t="shared" si="0"/>
        <v>48068.034998427087</v>
      </c>
      <c r="E63" s="1109">
        <f t="shared" si="2"/>
        <v>9983831.2846838441</v>
      </c>
      <c r="F63" s="83">
        <v>0</v>
      </c>
      <c r="G63" s="163">
        <f t="shared" si="1"/>
        <v>-322156.25</v>
      </c>
      <c r="I63" s="126"/>
    </row>
    <row r="64" spans="2:9">
      <c r="B64" s="402">
        <v>11</v>
      </c>
      <c r="C64" s="429">
        <f t="shared" si="3"/>
        <v>322156.25</v>
      </c>
      <c r="D64" s="429">
        <f t="shared" si="0"/>
        <v>49919.156423419219</v>
      </c>
      <c r="E64" s="1109">
        <f t="shared" si="2"/>
        <v>10355906.691107264</v>
      </c>
      <c r="F64" s="83">
        <v>0</v>
      </c>
      <c r="G64" s="163">
        <f t="shared" si="1"/>
        <v>-322156.25</v>
      </c>
      <c r="I64" s="126"/>
    </row>
    <row r="65" spans="2:9">
      <c r="B65" s="402">
        <v>12</v>
      </c>
      <c r="C65" s="429">
        <f t="shared" si="3"/>
        <v>322156.25</v>
      </c>
      <c r="D65" s="429">
        <f t="shared" si="0"/>
        <v>51779.533455536322</v>
      </c>
      <c r="E65" s="1109">
        <f t="shared" si="2"/>
        <v>10729842.4745628</v>
      </c>
      <c r="F65" s="779">
        <f>E65</f>
        <v>10729842.4745628</v>
      </c>
      <c r="G65" s="163">
        <f t="shared" si="1"/>
        <v>10407686.2245628</v>
      </c>
      <c r="I65" s="126"/>
    </row>
    <row r="66" spans="2:9" ht="13.5" thickBot="1">
      <c r="B66" s="430" t="s">
        <v>292</v>
      </c>
      <c r="C66" s="84">
        <f>SUM(C54:C65)</f>
        <v>10309000</v>
      </c>
      <c r="D66" s="84">
        <f>SUM(D54:D65)</f>
        <v>420842.47456280096</v>
      </c>
      <c r="E66" s="1234"/>
      <c r="F66" s="6"/>
      <c r="G66" s="436"/>
      <c r="H66" s="378"/>
      <c r="I66" s="126"/>
    </row>
    <row r="67" spans="2:9" ht="14" thickTop="1" thickBot="1">
      <c r="B67" s="134"/>
      <c r="C67" s="4"/>
      <c r="D67" s="4"/>
      <c r="E67" s="1636" t="s">
        <v>797</v>
      </c>
      <c r="F67" s="1636"/>
      <c r="G67" s="143">
        <f>IRR(G53:G65)*12</f>
        <v>9.2518640895785431E-2</v>
      </c>
      <c r="I67" s="126"/>
    </row>
    <row r="68" spans="2:9" ht="13">
      <c r="B68" s="124"/>
      <c r="E68" s="44"/>
      <c r="F68" s="44"/>
      <c r="G68" s="23"/>
      <c r="I68" s="126"/>
    </row>
    <row r="69" spans="2:9" ht="13.5" thickBot="1">
      <c r="B69" s="385"/>
      <c r="C69" s="21"/>
      <c r="D69" s="21"/>
      <c r="E69" s="85"/>
      <c r="F69" s="85"/>
      <c r="G69" s="86"/>
      <c r="I69" s="126"/>
    </row>
    <row r="70" spans="2:9" ht="13.5" thickBot="1">
      <c r="B70" s="1547" t="s">
        <v>1524</v>
      </c>
      <c r="C70" s="1538"/>
      <c r="D70" s="1538"/>
      <c r="E70" s="1538"/>
      <c r="F70" s="1538"/>
      <c r="G70" s="1539"/>
      <c r="I70" s="126"/>
    </row>
    <row r="71" spans="2:9" ht="13.5" thickBot="1">
      <c r="B71" s="157" t="s">
        <v>720</v>
      </c>
      <c r="C71" s="156"/>
      <c r="D71" s="156">
        <v>1</v>
      </c>
      <c r="E71" s="156">
        <v>2</v>
      </c>
      <c r="F71" s="156">
        <v>3</v>
      </c>
      <c r="G71" s="156">
        <v>4</v>
      </c>
      <c r="H71" s="156">
        <v>5</v>
      </c>
      <c r="I71" s="156">
        <v>6</v>
      </c>
    </row>
    <row r="72" spans="2:9">
      <c r="B72" s="1118" t="s">
        <v>796</v>
      </c>
      <c r="C72" s="122"/>
      <c r="D72" s="122"/>
      <c r="E72" s="470">
        <f>PMT($F$17/$F$18,$F$15*$F$18,-$F$38)*12</f>
        <v>752707.05361848685</v>
      </c>
      <c r="F72" s="470">
        <f>PMT($F$17/$F$18,$F$15*$F$18,-$F$38)*12</f>
        <v>752707.05361848685</v>
      </c>
      <c r="G72" s="470">
        <f>PMT($F$17/$F$18,$F$15*$F$18,-$F$38)*12</f>
        <v>752707.05361848685</v>
      </c>
      <c r="H72" s="470">
        <f>PMT($F$17/$F$18,$F$15*$F$18,-$F$38)*12</f>
        <v>752707.05361848685</v>
      </c>
      <c r="I72" s="535">
        <f>PMT($F$17/$F$18,$F$15*$F$18,-$F$38)*12</f>
        <v>752707.05361848685</v>
      </c>
    </row>
    <row r="73" spans="2:9">
      <c r="B73" s="171" t="s">
        <v>1260</v>
      </c>
      <c r="D73" s="34">
        <f t="shared" ref="D73:I73" si="4">FV($F$17/$F$18,(D71-1)*$F$18,$E$72/$F$18,-$F$38)</f>
        <v>10729842</v>
      </c>
      <c r="E73" s="34">
        <f t="shared" si="4"/>
        <v>10508602.652449345</v>
      </c>
      <c r="F73" s="34">
        <f t="shared" si="4"/>
        <v>10276044.279991882</v>
      </c>
      <c r="G73" s="34">
        <f t="shared" si="4"/>
        <v>10031587.779831208</v>
      </c>
      <c r="H73" s="34">
        <f t="shared" si="4"/>
        <v>9774624.4211727884</v>
      </c>
      <c r="I73" s="309">
        <f t="shared" si="4"/>
        <v>9504514.3293993399</v>
      </c>
    </row>
    <row r="74" spans="2:9">
      <c r="B74" s="171" t="s">
        <v>210</v>
      </c>
      <c r="E74" s="34">
        <f>(E72-(F38-E73))</f>
        <v>531467.70606783207</v>
      </c>
      <c r="F74" s="34">
        <f>(F72-(E73-F73))</f>
        <v>520148.68116102356</v>
      </c>
      <c r="G74" s="34">
        <f>(G72-(F73-G73))</f>
        <v>508250.55345781322</v>
      </c>
      <c r="H74" s="34">
        <f>(H72-(G73-H73))</f>
        <v>495743.69496006693</v>
      </c>
      <c r="I74" s="309">
        <f>(I72-(H73-I73))</f>
        <v>482596.96184503834</v>
      </c>
    </row>
    <row r="75" spans="2:9" ht="13" thickBot="1">
      <c r="B75" s="228" t="s">
        <v>387</v>
      </c>
      <c r="C75" s="4"/>
      <c r="D75" s="4"/>
      <c r="E75" s="64">
        <f>E72-E74</f>
        <v>221239.34755065478</v>
      </c>
      <c r="F75" s="64">
        <f>F72-F74</f>
        <v>232558.37245746329</v>
      </c>
      <c r="G75" s="64">
        <f>G72-G74</f>
        <v>244456.50016067363</v>
      </c>
      <c r="H75" s="64">
        <f>H72-H74</f>
        <v>256963.35865841992</v>
      </c>
      <c r="I75" s="379">
        <f>I72-I74</f>
        <v>270110.09177344851</v>
      </c>
    </row>
    <row r="76" spans="2:9">
      <c r="B76" s="171"/>
      <c r="C76" s="34"/>
      <c r="D76" s="34"/>
      <c r="E76" s="34"/>
      <c r="F76" s="34"/>
      <c r="G76" s="34"/>
      <c r="H76" s="87"/>
      <c r="I76" s="448"/>
    </row>
    <row r="77" spans="2:9" ht="13" thickBot="1">
      <c r="B77" s="171"/>
      <c r="C77" s="34"/>
      <c r="D77" s="34"/>
      <c r="E77" s="34"/>
      <c r="F77" s="87"/>
      <c r="G77" s="87"/>
      <c r="H77" s="87"/>
      <c r="I77" s="448"/>
    </row>
    <row r="78" spans="2:9" ht="13.5" thickBot="1">
      <c r="B78" s="1684" t="s">
        <v>1652</v>
      </c>
      <c r="C78" s="1685"/>
      <c r="D78" s="1685"/>
      <c r="E78" s="1686"/>
      <c r="F78" s="87"/>
      <c r="G78" s="87"/>
      <c r="H78" s="87"/>
      <c r="I78" s="448"/>
    </row>
    <row r="79" spans="2:9">
      <c r="B79" s="171" t="s">
        <v>721</v>
      </c>
      <c r="C79" s="34">
        <f>C41</f>
        <v>850000</v>
      </c>
      <c r="D79" s="1112" t="s">
        <v>1493</v>
      </c>
      <c r="E79" s="309"/>
      <c r="F79" s="34"/>
      <c r="G79" s="34"/>
      <c r="H79" s="87"/>
      <c r="I79" s="448"/>
    </row>
    <row r="80" spans="2:9">
      <c r="B80" s="171" t="s">
        <v>683</v>
      </c>
      <c r="C80" s="34">
        <f>C42</f>
        <v>9055500</v>
      </c>
      <c r="D80" s="34"/>
      <c r="E80" s="309"/>
      <c r="F80" s="34"/>
      <c r="G80" s="34"/>
      <c r="H80" s="87"/>
      <c r="I80" s="448"/>
    </row>
    <row r="81" spans="2:9">
      <c r="B81" s="171" t="s">
        <v>684</v>
      </c>
      <c r="C81" s="34">
        <f>C43</f>
        <v>403499.52543719904</v>
      </c>
      <c r="D81" s="1687"/>
      <c r="E81" s="1688"/>
      <c r="F81" s="34"/>
      <c r="G81" s="34"/>
      <c r="H81" s="87"/>
      <c r="I81" s="448"/>
    </row>
    <row r="82" spans="2:9" ht="13.5" thickBot="1">
      <c r="B82" s="134" t="s">
        <v>722</v>
      </c>
      <c r="C82" s="432">
        <f>SUM(C79:C81)</f>
        <v>10308999.525437199</v>
      </c>
      <c r="D82" s="1689"/>
      <c r="E82" s="1690"/>
      <c r="F82" s="44"/>
      <c r="G82" s="23"/>
      <c r="I82" s="126"/>
    </row>
    <row r="83" spans="2:9" ht="13">
      <c r="B83" s="124"/>
      <c r="C83" s="24"/>
      <c r="E83" s="44"/>
      <c r="F83" s="44"/>
      <c r="G83" s="23"/>
      <c r="I83" s="126"/>
    </row>
    <row r="84" spans="2:9" ht="13.5" thickBot="1">
      <c r="B84" s="449"/>
      <c r="I84" s="126"/>
    </row>
    <row r="85" spans="2:9" ht="13.5" thickBot="1">
      <c r="B85" s="1547" t="s">
        <v>1603</v>
      </c>
      <c r="C85" s="1538"/>
      <c r="D85" s="1538"/>
      <c r="E85" s="1538"/>
      <c r="F85" s="1538"/>
      <c r="G85" s="1538"/>
      <c r="H85" s="1538"/>
      <c r="I85" s="1539"/>
    </row>
    <row r="86" spans="2:9" ht="13.5" thickBot="1">
      <c r="B86" s="157" t="s">
        <v>262</v>
      </c>
      <c r="C86" s="157">
        <v>0</v>
      </c>
      <c r="D86" s="157">
        <v>1</v>
      </c>
      <c r="E86" s="157">
        <v>2</v>
      </c>
      <c r="F86" s="157">
        <v>3</v>
      </c>
      <c r="G86" s="157">
        <v>4</v>
      </c>
      <c r="H86" s="157">
        <v>5</v>
      </c>
      <c r="I86" s="157">
        <v>6</v>
      </c>
    </row>
    <row r="87" spans="2:9">
      <c r="B87" s="124" t="s">
        <v>723</v>
      </c>
      <c r="C87" s="24">
        <f>C37</f>
        <v>2500000</v>
      </c>
      <c r="E87" s="24"/>
      <c r="I87" s="126"/>
    </row>
    <row r="88" spans="2:9">
      <c r="B88" s="124" t="s">
        <v>724</v>
      </c>
      <c r="D88" s="24">
        <f>C41</f>
        <v>850000</v>
      </c>
      <c r="E88" s="24"/>
      <c r="I88" s="126"/>
    </row>
    <row r="89" spans="2:9">
      <c r="B89" s="124" t="s">
        <v>683</v>
      </c>
      <c r="D89" s="24">
        <f>C42</f>
        <v>9055500</v>
      </c>
      <c r="E89" s="24"/>
      <c r="I89" s="126"/>
    </row>
    <row r="90" spans="2:9">
      <c r="B90" s="124" t="s">
        <v>725</v>
      </c>
      <c r="D90" s="24">
        <f>(C43+C38)-(C92+C93)</f>
        <v>434299.41594594298</v>
      </c>
      <c r="E90" s="24"/>
      <c r="I90" s="126"/>
    </row>
    <row r="91" spans="2:9">
      <c r="B91" s="433" t="s">
        <v>726</v>
      </c>
      <c r="E91" s="24"/>
      <c r="I91" s="126"/>
    </row>
    <row r="92" spans="2:9">
      <c r="B92" s="124" t="s">
        <v>727</v>
      </c>
      <c r="C92" s="24">
        <f>F47</f>
        <v>321895.26</v>
      </c>
      <c r="E92" s="24"/>
      <c r="I92" s="126"/>
    </row>
    <row r="93" spans="2:9">
      <c r="B93" s="124" t="s">
        <v>728</v>
      </c>
      <c r="C93" s="24">
        <f>G53</f>
        <v>214596.849491256</v>
      </c>
      <c r="E93" s="24"/>
      <c r="I93" s="126"/>
    </row>
    <row r="94" spans="2:9" ht="13" thickBot="1">
      <c r="B94" s="124" t="s">
        <v>729</v>
      </c>
      <c r="C94" s="4"/>
      <c r="D94" s="31">
        <f>D66</f>
        <v>420842.47456280096</v>
      </c>
      <c r="E94" s="24"/>
      <c r="I94" s="126"/>
    </row>
    <row r="95" spans="2:9">
      <c r="B95" s="124" t="s">
        <v>730</v>
      </c>
      <c r="C95" s="24">
        <f>SUM(C87:C94)</f>
        <v>3036492.1094912556</v>
      </c>
      <c r="D95" s="24">
        <f>SUM(D87:D94)</f>
        <v>10760641.890508745</v>
      </c>
      <c r="E95" s="24"/>
      <c r="I95" s="126"/>
    </row>
    <row r="96" spans="2:9" ht="13">
      <c r="B96" s="374" t="s">
        <v>731</v>
      </c>
      <c r="C96">
        <v>0</v>
      </c>
      <c r="D96" s="24">
        <f>F65</f>
        <v>10729842.4745628</v>
      </c>
      <c r="E96" s="24"/>
      <c r="I96" s="126"/>
    </row>
    <row r="97" spans="2:10" ht="13.5" thickBot="1">
      <c r="B97" s="375" t="s">
        <v>732</v>
      </c>
      <c r="C97" s="434">
        <f>C95-C96</f>
        <v>3036492.1094912556</v>
      </c>
      <c r="D97" s="434">
        <f>D95-D96</f>
        <v>30799.415945945308</v>
      </c>
      <c r="E97" s="435"/>
      <c r="F97" s="4"/>
      <c r="G97" s="4"/>
      <c r="H97" s="4"/>
      <c r="I97" s="135"/>
    </row>
    <row r="98" spans="2:10" ht="13">
      <c r="B98" s="168"/>
      <c r="C98" s="88"/>
      <c r="D98" s="88"/>
      <c r="E98" s="88"/>
      <c r="I98" s="126"/>
    </row>
    <row r="99" spans="2:10" ht="13">
      <c r="B99" s="449"/>
      <c r="C99" s="89"/>
      <c r="D99" s="90"/>
      <c r="E99" s="90"/>
      <c r="F99" s="90"/>
      <c r="G99" s="90"/>
      <c r="H99" s="90"/>
      <c r="I99" s="126"/>
    </row>
    <row r="100" spans="2:10" ht="13.5" thickBot="1">
      <c r="B100" s="1681" t="s">
        <v>733</v>
      </c>
      <c r="C100" s="1682"/>
      <c r="D100" s="1682"/>
      <c r="E100" s="1682"/>
      <c r="F100" s="1682"/>
      <c r="G100" s="1682"/>
      <c r="H100" s="1682"/>
      <c r="I100" s="1683"/>
    </row>
    <row r="101" spans="2:10" ht="13.5" thickBot="1">
      <c r="B101" s="157" t="s">
        <v>262</v>
      </c>
      <c r="C101" s="157">
        <v>0</v>
      </c>
      <c r="D101" s="157">
        <v>1</v>
      </c>
      <c r="E101" s="157">
        <v>2</v>
      </c>
      <c r="F101" s="157">
        <v>3</v>
      </c>
      <c r="G101" s="157">
        <v>4</v>
      </c>
      <c r="H101" s="157">
        <v>5</v>
      </c>
      <c r="I101" s="157">
        <v>6</v>
      </c>
    </row>
    <row r="102" spans="2:10">
      <c r="B102" s="124" t="s">
        <v>307</v>
      </c>
      <c r="E102" s="91">
        <f>C14*C20</f>
        <v>1430000</v>
      </c>
      <c r="F102" s="91">
        <f>E102*(1+$C$21)</f>
        <v>1458600</v>
      </c>
      <c r="G102" s="91">
        <f>F102*(1+$C$21)</f>
        <v>1487772</v>
      </c>
      <c r="H102" s="91">
        <f>G102*(1+$C$21)</f>
        <v>1517527.44</v>
      </c>
      <c r="I102" s="436">
        <f>H102*(1+$C$21)</f>
        <v>1547877.9887999999</v>
      </c>
    </row>
    <row r="103" spans="2:10">
      <c r="B103" s="124" t="s">
        <v>285</v>
      </c>
      <c r="E103" s="91">
        <f>C14*(C24-C23)</f>
        <v>29999.99999996959</v>
      </c>
      <c r="F103" s="92">
        <f>IF(C25&gt;0, E103*(1+C25),E103*(1+C26))</f>
        <v>124799.9999998735</v>
      </c>
      <c r="G103" s="91">
        <f>F103*(1+$C$26)</f>
        <v>129791.99999986845</v>
      </c>
      <c r="H103" s="91">
        <f>G103*(1+$C$26)</f>
        <v>134983.67999986321</v>
      </c>
      <c r="I103" s="436">
        <f>H103*(1+$C$26)</f>
        <v>140383.02719985775</v>
      </c>
    </row>
    <row r="104" spans="2:10">
      <c r="B104" s="124" t="s">
        <v>734</v>
      </c>
      <c r="E104" s="93">
        <f>C14*C27</f>
        <v>923000.1</v>
      </c>
      <c r="F104" s="93">
        <f>E104*(1+$C$28)</f>
        <v>959920.10400000005</v>
      </c>
      <c r="G104" s="93">
        <f>F104*(1+$C$28)</f>
        <v>998316.90816000011</v>
      </c>
      <c r="H104" s="93">
        <f>G104*(1+$C$28)</f>
        <v>1038249.5844864001</v>
      </c>
      <c r="I104" s="437">
        <f>H104*(1+$C$28)</f>
        <v>1079779.5678658562</v>
      </c>
    </row>
    <row r="105" spans="2:10" ht="13">
      <c r="B105" s="168" t="s">
        <v>270</v>
      </c>
      <c r="E105" s="91">
        <f>SUM(E102:E104)</f>
        <v>2383000.0999999694</v>
      </c>
      <c r="F105" s="91">
        <f>SUM(F102:F104)</f>
        <v>2543320.1039998736</v>
      </c>
      <c r="G105" s="91">
        <f>SUM(G102:G104)</f>
        <v>2615880.9081598688</v>
      </c>
      <c r="H105" s="91">
        <f>SUM(H102:H104)</f>
        <v>2690760.7044862635</v>
      </c>
      <c r="I105" s="436">
        <f>SUM(I102:I104)</f>
        <v>2768040.5838657143</v>
      </c>
    </row>
    <row r="106" spans="2:10" ht="13">
      <c r="B106" s="374" t="s">
        <v>735</v>
      </c>
      <c r="E106" s="1235">
        <f>C32*SUM(E102:E104)</f>
        <v>714900.02999999083</v>
      </c>
      <c r="F106" s="94">
        <f>$C$33*SUM(F102:F104)</f>
        <v>127166.00519999368</v>
      </c>
      <c r="G106" s="94">
        <f>$C$33*SUM(G102:G104)</f>
        <v>130794.04540799344</v>
      </c>
      <c r="H106" s="94">
        <f>$C$33*SUM(H102:H104)</f>
        <v>134538.03522431318</v>
      </c>
      <c r="I106" s="438">
        <f>$C$33*SUM(I102:I104)</f>
        <v>138402.02919328571</v>
      </c>
    </row>
    <row r="107" spans="2:10" ht="13">
      <c r="B107" s="168" t="s">
        <v>271</v>
      </c>
      <c r="E107" s="91">
        <f>E105-E106</f>
        <v>1668100.0699999784</v>
      </c>
      <c r="F107" s="91">
        <f>F105-F106</f>
        <v>2416154.0987998801</v>
      </c>
      <c r="G107" s="91">
        <f>G105-G106</f>
        <v>2485086.8627518755</v>
      </c>
      <c r="H107" s="91">
        <f>H105-H106</f>
        <v>2556222.6692619501</v>
      </c>
      <c r="I107" s="436">
        <f>I105-I106</f>
        <v>2629638.5546724284</v>
      </c>
    </row>
    <row r="108" spans="2:10" ht="13" thickBot="1">
      <c r="B108" s="171" t="s">
        <v>278</v>
      </c>
      <c r="E108" s="95">
        <f>C14*C29</f>
        <v>1064800</v>
      </c>
      <c r="F108" s="95">
        <f>IF(C30&gt;0,E108*(1+C30),E108*(1+C31))</f>
        <v>1092402.1715200001</v>
      </c>
      <c r="G108" s="95">
        <f>F108*(1+$C$31)</f>
        <v>1147022.2800960001</v>
      </c>
      <c r="H108" s="95">
        <f>G108*(1+$C$31)</f>
        <v>1204373.3941008002</v>
      </c>
      <c r="I108" s="439">
        <f>H108*(1+$C$31)</f>
        <v>1264592.0638058402</v>
      </c>
    </row>
    <row r="109" spans="2:10" ht="13">
      <c r="B109" s="780" t="s">
        <v>279</v>
      </c>
      <c r="E109" s="1346">
        <f>E107-E108</f>
        <v>603300.06999997841</v>
      </c>
      <c r="F109" s="1346">
        <f>F107-F108</f>
        <v>1323751.92727988</v>
      </c>
      <c r="G109" s="1346">
        <f>G107-G108</f>
        <v>1338064.5826558755</v>
      </c>
      <c r="H109" s="1346">
        <f>H107-H108</f>
        <v>1351849.2751611499</v>
      </c>
      <c r="I109" s="1347">
        <f>I107-I108</f>
        <v>1365046.4908665882</v>
      </c>
      <c r="J109" s="87"/>
    </row>
    <row r="110" spans="2:10" ht="13">
      <c r="B110" s="374" t="s">
        <v>488</v>
      </c>
      <c r="E110" s="91">
        <f>E72</f>
        <v>752707.05361848685</v>
      </c>
      <c r="F110" s="91">
        <f>F72</f>
        <v>752707.05361848685</v>
      </c>
      <c r="G110" s="91">
        <f>G72</f>
        <v>752707.05361848685</v>
      </c>
      <c r="H110" s="91">
        <f>H72</f>
        <v>752707.05361848685</v>
      </c>
      <c r="I110" s="436">
        <f>I72</f>
        <v>752707.05361848685</v>
      </c>
    </row>
    <row r="111" spans="2:10" ht="13.5" thickBot="1">
      <c r="B111" s="168" t="s">
        <v>408</v>
      </c>
      <c r="C111" s="1119">
        <f>-C97</f>
        <v>-3036492.1094912556</v>
      </c>
      <c r="D111" s="1119">
        <f>-D97</f>
        <v>-30799.415945945308</v>
      </c>
      <c r="E111" s="1119">
        <f>E109-E110</f>
        <v>-149406.98361850844</v>
      </c>
      <c r="F111" s="1119">
        <f>F109-F110</f>
        <v>571044.87366139318</v>
      </c>
      <c r="G111" s="1119">
        <f>G109-G110</f>
        <v>585357.52903738862</v>
      </c>
      <c r="H111" s="1119">
        <f>H109-H110</f>
        <v>599142.22154266306</v>
      </c>
      <c r="I111" s="1120">
        <f>I109-I110</f>
        <v>612339.43724810134</v>
      </c>
    </row>
    <row r="112" spans="2:10" ht="13.5" thickTop="1">
      <c r="B112" s="124"/>
      <c r="E112" s="91"/>
      <c r="F112" s="91"/>
      <c r="G112" s="91"/>
      <c r="H112" s="91"/>
      <c r="I112" s="436"/>
      <c r="J112" s="28"/>
    </row>
    <row r="113" spans="2:10" ht="13.5" thickBot="1">
      <c r="B113" s="124"/>
      <c r="E113" s="91"/>
      <c r="F113" s="91"/>
      <c r="G113" s="91"/>
      <c r="H113" s="91"/>
      <c r="I113" s="436"/>
      <c r="J113" s="28"/>
    </row>
    <row r="114" spans="2:10" ht="13.5" thickBot="1">
      <c r="B114" s="1694" t="s">
        <v>1752</v>
      </c>
      <c r="C114" s="1695"/>
      <c r="D114" s="1695"/>
      <c r="E114" s="1695"/>
      <c r="F114" s="1695"/>
      <c r="G114" s="1695"/>
      <c r="H114" s="1695"/>
      <c r="I114" s="1696"/>
      <c r="J114" s="28"/>
    </row>
    <row r="115" spans="2:10" ht="13">
      <c r="B115" s="124"/>
      <c r="E115" s="91"/>
      <c r="F115" s="91"/>
      <c r="G115" s="91"/>
      <c r="H115" s="91"/>
      <c r="I115" s="436"/>
      <c r="J115" s="28"/>
    </row>
    <row r="116" spans="2:10">
      <c r="B116" s="124" t="s">
        <v>279</v>
      </c>
      <c r="E116" s="91">
        <f>E109</f>
        <v>603300.06999997841</v>
      </c>
      <c r="F116" s="91">
        <f>F109</f>
        <v>1323751.92727988</v>
      </c>
      <c r="G116" s="91">
        <f>G109</f>
        <v>1338064.5826558755</v>
      </c>
      <c r="H116" s="91">
        <f>H109</f>
        <v>1351849.2751611499</v>
      </c>
      <c r="I116" s="436">
        <f>I109</f>
        <v>1365046.4908665882</v>
      </c>
      <c r="J116" s="91"/>
    </row>
    <row r="117" spans="2:10">
      <c r="B117" s="124" t="s">
        <v>736</v>
      </c>
      <c r="E117" s="91"/>
      <c r="F117" s="91"/>
      <c r="G117" s="91"/>
      <c r="H117" s="91"/>
      <c r="I117" s="436"/>
      <c r="J117" s="91"/>
    </row>
    <row r="118" spans="2:10">
      <c r="B118" s="124" t="s">
        <v>737</v>
      </c>
      <c r="E118" s="91">
        <f>E74</f>
        <v>531467.70606783207</v>
      </c>
      <c r="F118" s="91">
        <f>F74</f>
        <v>520148.68116102356</v>
      </c>
      <c r="G118" s="91">
        <f>G74</f>
        <v>508250.55345781322</v>
      </c>
      <c r="H118" s="91">
        <f>H74</f>
        <v>495743.69496006693</v>
      </c>
      <c r="I118" s="436">
        <f>I74</f>
        <v>482596.96184503834</v>
      </c>
      <c r="J118" s="91"/>
    </row>
    <row r="119" spans="2:10">
      <c r="B119" s="124" t="s">
        <v>391</v>
      </c>
      <c r="E119" s="91"/>
      <c r="F119" s="91"/>
      <c r="G119" s="91"/>
      <c r="H119" s="91"/>
      <c r="I119" s="436"/>
      <c r="J119" s="91"/>
    </row>
    <row r="120" spans="2:10">
      <c r="B120" s="124" t="s">
        <v>738</v>
      </c>
      <c r="E120" s="91">
        <f>($F$31*$C$82)/$F$30</f>
        <v>237899.98904855078</v>
      </c>
      <c r="F120" s="91">
        <f>($F$31*$C$82)/$F$30</f>
        <v>237899.98904855078</v>
      </c>
      <c r="G120" s="91">
        <f>($F$31*$C$82)/$F$30</f>
        <v>237899.98904855078</v>
      </c>
      <c r="H120" s="91">
        <f>($F$31*$C$82)/$F$30</f>
        <v>237899.98904855078</v>
      </c>
      <c r="I120" s="436">
        <f>($F$31*$C$82)/$F$30</f>
        <v>237899.98904855078</v>
      </c>
      <c r="J120" s="91"/>
    </row>
    <row r="121" spans="2:10">
      <c r="B121" s="124" t="s">
        <v>739</v>
      </c>
      <c r="E121" s="91">
        <f>((C82*F33)/F32)*2</f>
        <v>294542.84358391998</v>
      </c>
      <c r="F121" s="91">
        <f>((($C$82*$F$33)-$E$121)/$F$32)*2</f>
        <v>210387.74541708568</v>
      </c>
      <c r="G121" s="91">
        <f>((($C$82*$F$33)-$E$121-$F$121)/$F$32)*2</f>
        <v>150276.96101220403</v>
      </c>
      <c r="H121" s="91">
        <f>((($C$82*$F$33)-$E$121-$F$121-$G$121)/$F$32)*2</f>
        <v>107340.6864372886</v>
      </c>
      <c r="I121" s="441">
        <f>((($C$82*$F$33)-$E$121-$F$121-$G$121-$H$121)/$F$32)*2</f>
        <v>76671.918883777573</v>
      </c>
      <c r="J121" s="91"/>
    </row>
    <row r="122" spans="2:10">
      <c r="B122" s="124" t="s">
        <v>740</v>
      </c>
      <c r="E122" s="91"/>
      <c r="F122" s="91"/>
      <c r="G122" s="91"/>
      <c r="H122" s="91"/>
      <c r="I122" s="436"/>
      <c r="J122" s="91"/>
    </row>
    <row r="123" spans="2:10">
      <c r="B123" s="171" t="s">
        <v>741</v>
      </c>
      <c r="D123" s="91">
        <f>C93</f>
        <v>214596.849491256</v>
      </c>
      <c r="E123" s="91"/>
      <c r="F123" s="91"/>
      <c r="G123" s="91"/>
      <c r="H123" s="92"/>
      <c r="I123" s="146"/>
      <c r="J123" s="39"/>
    </row>
    <row r="124" spans="2:10" ht="13">
      <c r="B124" s="171" t="s">
        <v>742</v>
      </c>
      <c r="D124" s="96"/>
      <c r="E124" s="92">
        <f>$C$92/$F$14</f>
        <v>32189.526000000002</v>
      </c>
      <c r="F124" s="92">
        <f>$C$92/$F$14</f>
        <v>32189.526000000002</v>
      </c>
      <c r="G124" s="92">
        <f>$C$92/$F$14</f>
        <v>32189.526000000002</v>
      </c>
      <c r="H124" s="92">
        <f>$C$92/$F$14</f>
        <v>32189.526000000002</v>
      </c>
      <c r="I124" s="440">
        <f>$C$92/$F$14</f>
        <v>32189.526000000002</v>
      </c>
    </row>
    <row r="125" spans="2:10">
      <c r="B125" s="171" t="s">
        <v>743</v>
      </c>
      <c r="D125" s="92"/>
      <c r="E125" s="92">
        <f>$C$19/5</f>
        <v>9060</v>
      </c>
      <c r="F125" s="92">
        <f>$C$19/5</f>
        <v>9060</v>
      </c>
      <c r="G125" s="92">
        <f>$C$19/5</f>
        <v>9060</v>
      </c>
      <c r="H125" s="92">
        <f>$C$19/5</f>
        <v>9060</v>
      </c>
      <c r="I125" s="92">
        <f>$C$19/5</f>
        <v>9060</v>
      </c>
    </row>
    <row r="126" spans="2:10" ht="13" thickBot="1">
      <c r="B126" s="124" t="s">
        <v>441</v>
      </c>
      <c r="D126" s="31">
        <f t="shared" ref="D126:I126" si="5">-SUM(D118:D124)+D116-D125</f>
        <v>-214596.849491256</v>
      </c>
      <c r="E126" s="31">
        <f t="shared" si="5"/>
        <v>-501859.99470032449</v>
      </c>
      <c r="F126" s="31">
        <f t="shared" si="5"/>
        <v>314065.98565322009</v>
      </c>
      <c r="G126" s="31">
        <f t="shared" si="5"/>
        <v>400387.55313730752</v>
      </c>
      <c r="H126" s="31">
        <f t="shared" si="5"/>
        <v>469615.37871524366</v>
      </c>
      <c r="I126" s="207">
        <f t="shared" si="5"/>
        <v>526628.09508922161</v>
      </c>
    </row>
    <row r="127" spans="2:10">
      <c r="B127" s="124" t="s">
        <v>500</v>
      </c>
      <c r="D127" s="24">
        <f t="shared" ref="D127:I127" si="6">D126*$F$27</f>
        <v>-60087.117857551682</v>
      </c>
      <c r="E127" s="24">
        <f t="shared" si="6"/>
        <v>-140520.79851609087</v>
      </c>
      <c r="F127" s="24">
        <f t="shared" si="6"/>
        <v>87938.47598290164</v>
      </c>
      <c r="G127" s="24">
        <f t="shared" si="6"/>
        <v>112108.51487844612</v>
      </c>
      <c r="H127" s="24">
        <f t="shared" si="6"/>
        <v>131492.30604026825</v>
      </c>
      <c r="I127" s="163">
        <f t="shared" si="6"/>
        <v>147455.86662498207</v>
      </c>
    </row>
    <row r="128" spans="2:10">
      <c r="B128" s="124"/>
      <c r="D128" s="24"/>
      <c r="E128" s="24"/>
      <c r="F128" s="24"/>
      <c r="G128" s="24"/>
      <c r="H128" s="24"/>
      <c r="I128" s="163"/>
    </row>
    <row r="129" spans="2:10" ht="13.5" thickBot="1">
      <c r="B129" s="1133" t="s">
        <v>409</v>
      </c>
      <c r="C129" s="1366">
        <f t="shared" ref="C129:I129" si="7">C111-C127</f>
        <v>-3036492.1094912556</v>
      </c>
      <c r="D129" s="1366">
        <f t="shared" si="7"/>
        <v>29287.701911606375</v>
      </c>
      <c r="E129" s="1366">
        <f t="shared" si="7"/>
        <v>-8886.1851024175703</v>
      </c>
      <c r="F129" s="1366">
        <f t="shared" si="7"/>
        <v>483106.39767849154</v>
      </c>
      <c r="G129" s="1366">
        <f t="shared" si="7"/>
        <v>473249.0141589425</v>
      </c>
      <c r="H129" s="1366">
        <f t="shared" si="7"/>
        <v>467649.91550239478</v>
      </c>
      <c r="I129" s="1367">
        <f t="shared" si="7"/>
        <v>464883.57062311925</v>
      </c>
      <c r="J129" s="1"/>
    </row>
    <row r="130" spans="2:10" ht="14" thickTop="1" thickBot="1">
      <c r="B130" s="375"/>
      <c r="C130" s="376"/>
      <c r="D130" s="376"/>
      <c r="E130" s="376"/>
      <c r="F130" s="376"/>
      <c r="G130" s="376"/>
      <c r="H130" s="377"/>
      <c r="I130" s="192"/>
      <c r="J130" s="1"/>
    </row>
    <row r="131" spans="2:10" ht="13" thickBot="1">
      <c r="B131" s="124"/>
      <c r="F131" s="21"/>
      <c r="G131" s="21"/>
      <c r="H131" s="93"/>
      <c r="I131" s="126"/>
    </row>
    <row r="132" spans="2:10" ht="13.5" thickBot="1">
      <c r="B132" s="1547" t="s">
        <v>1596</v>
      </c>
      <c r="C132" s="1538"/>
      <c r="D132" s="1538"/>
      <c r="E132" s="1539"/>
      <c r="H132" s="91"/>
      <c r="I132" s="126"/>
    </row>
    <row r="133" spans="2:10">
      <c r="B133" s="369" t="s">
        <v>1262</v>
      </c>
      <c r="C133" s="57"/>
      <c r="D133" s="57">
        <f>F37*(1+C11)^F11</f>
        <v>15233150.78857803</v>
      </c>
      <c r="E133" s="126"/>
      <c r="F133" s="57" t="s">
        <v>1261</v>
      </c>
      <c r="H133" s="828">
        <f>I111/D133</f>
        <v>4.0197818937579191E-2</v>
      </c>
      <c r="I133" s="126"/>
    </row>
    <row r="134" spans="2:10">
      <c r="B134" s="369" t="s">
        <v>396</v>
      </c>
      <c r="C134" s="57"/>
      <c r="D134" s="57">
        <f>C12*D133</f>
        <v>456994.52365734085</v>
      </c>
      <c r="E134" s="126"/>
      <c r="F134" s="57"/>
      <c r="H134" s="91"/>
      <c r="I134" s="126"/>
    </row>
    <row r="135" spans="2:10">
      <c r="B135" s="369" t="s">
        <v>383</v>
      </c>
      <c r="C135" s="57"/>
      <c r="D135" s="61">
        <f>I73</f>
        <v>9504514.3293993399</v>
      </c>
      <c r="E135" s="126"/>
      <c r="F135" s="57"/>
      <c r="H135" s="91"/>
      <c r="I135" s="126"/>
    </row>
    <row r="136" spans="2:10">
      <c r="B136" s="369" t="s">
        <v>439</v>
      </c>
      <c r="C136" s="57"/>
      <c r="E136" s="1168">
        <f>D133-D134-D135</f>
        <v>5271641.9355213493</v>
      </c>
      <c r="F136" s="57"/>
      <c r="H136" s="91"/>
      <c r="I136" s="126"/>
    </row>
    <row r="137" spans="2:10">
      <c r="B137" s="384"/>
      <c r="C137" s="57"/>
      <c r="D137" s="57"/>
      <c r="E137" s="370"/>
      <c r="F137" s="57"/>
      <c r="G137" s="91"/>
      <c r="H137" s="91"/>
      <c r="I137" s="126"/>
    </row>
    <row r="138" spans="2:10" ht="13">
      <c r="B138" s="369" t="s">
        <v>398</v>
      </c>
      <c r="C138" s="57">
        <f>F37</f>
        <v>13797134</v>
      </c>
      <c r="D138" s="57"/>
      <c r="E138" s="192"/>
      <c r="F138" s="57"/>
      <c r="G138" s="91"/>
      <c r="H138" s="91"/>
      <c r="I138" s="126"/>
    </row>
    <row r="139" spans="2:10" ht="13">
      <c r="B139" s="369" t="s">
        <v>744</v>
      </c>
      <c r="C139" s="61">
        <f>SUM(E120:I121)+SUM(D123:I125)</f>
        <v>2449564.580068286</v>
      </c>
      <c r="D139" s="57"/>
      <c r="E139" s="442"/>
      <c r="F139" s="57"/>
      <c r="G139" s="91"/>
      <c r="H139" s="91"/>
      <c r="I139" s="126"/>
    </row>
    <row r="140" spans="2:10">
      <c r="B140" s="369" t="s">
        <v>400</v>
      </c>
      <c r="C140" s="57"/>
      <c r="D140" s="57">
        <f>C138-C139</f>
        <v>11347569.419931713</v>
      </c>
      <c r="E140" s="370"/>
      <c r="F140" s="57"/>
      <c r="I140" s="126"/>
    </row>
    <row r="141" spans="2:10">
      <c r="B141" s="384"/>
      <c r="C141" s="57"/>
      <c r="D141" s="57"/>
      <c r="E141" s="370"/>
      <c r="F141" s="57"/>
      <c r="I141" s="126"/>
    </row>
    <row r="142" spans="2:10">
      <c r="B142" s="369" t="s">
        <v>401</v>
      </c>
      <c r="C142" s="57"/>
      <c r="D142" s="57">
        <f>D133-D134-D140</f>
        <v>3428586.8449889757</v>
      </c>
      <c r="E142" s="370"/>
      <c r="F142" s="57"/>
      <c r="I142" s="126"/>
    </row>
    <row r="143" spans="2:10">
      <c r="B143" s="369" t="s">
        <v>449</v>
      </c>
      <c r="C143" s="57"/>
      <c r="D143" s="57"/>
      <c r="E143" s="443">
        <f>F28*D142</f>
        <v>960004.31659691327</v>
      </c>
      <c r="F143" s="57" t="s">
        <v>1263</v>
      </c>
      <c r="I143" s="126"/>
    </row>
    <row r="144" spans="2:10" ht="13.5" thickBot="1">
      <c r="B144" s="444" t="s">
        <v>405</v>
      </c>
      <c r="C144" s="60"/>
      <c r="D144" s="60"/>
      <c r="E144" s="445">
        <f>E136-E143</f>
        <v>4311637.6189244362</v>
      </c>
      <c r="F144" s="57"/>
      <c r="I144" s="126"/>
    </row>
    <row r="145" spans="2:10" ht="13.5" thickTop="1" thickBot="1">
      <c r="B145" s="134"/>
      <c r="C145" s="4"/>
      <c r="D145" s="4"/>
      <c r="E145" s="135"/>
      <c r="F145" s="57"/>
      <c r="I145" s="126"/>
    </row>
    <row r="146" spans="2:10" ht="13" thickBot="1">
      <c r="B146" s="124"/>
      <c r="I146" s="126"/>
    </row>
    <row r="147" spans="2:10" ht="13.5" thickBot="1">
      <c r="B147" s="1547" t="s">
        <v>745</v>
      </c>
      <c r="C147" s="1538"/>
      <c r="D147" s="1538"/>
      <c r="E147" s="1538"/>
      <c r="F147" s="1538"/>
      <c r="G147" s="1538"/>
      <c r="H147" s="1538"/>
      <c r="I147" s="1539"/>
    </row>
    <row r="148" spans="2:10" ht="13.5" thickBot="1">
      <c r="B148" s="157" t="s">
        <v>262</v>
      </c>
      <c r="C148" s="157">
        <v>0</v>
      </c>
      <c r="D148" s="157">
        <v>1</v>
      </c>
      <c r="E148" s="157">
        <v>2</v>
      </c>
      <c r="F148" s="157">
        <v>3</v>
      </c>
      <c r="G148" s="157">
        <v>4</v>
      </c>
      <c r="H148" s="157">
        <v>5</v>
      </c>
      <c r="I148" s="157">
        <v>6</v>
      </c>
    </row>
    <row r="149" spans="2:10" ht="13">
      <c r="B149" s="780" t="s">
        <v>408</v>
      </c>
      <c r="C149" s="1121">
        <f t="shared" ref="C149:H149" si="8">C111</f>
        <v>-3036492.1094912556</v>
      </c>
      <c r="D149" s="1121">
        <f t="shared" si="8"/>
        <v>-30799.415945945308</v>
      </c>
      <c r="E149" s="1121">
        <f t="shared" si="8"/>
        <v>-149406.98361850844</v>
      </c>
      <c r="F149" s="1121">
        <f t="shared" si="8"/>
        <v>571044.87366139318</v>
      </c>
      <c r="G149" s="1121">
        <f t="shared" si="8"/>
        <v>585357.52903738862</v>
      </c>
      <c r="H149" s="1121">
        <f t="shared" si="8"/>
        <v>599142.22154266306</v>
      </c>
      <c r="I149" s="1122">
        <f>I111+E136</f>
        <v>5883981.3727694508</v>
      </c>
      <c r="J149" s="1"/>
    </row>
    <row r="150" spans="2:10" ht="13.5" thickBot="1">
      <c r="B150" s="1290" t="s">
        <v>409</v>
      </c>
      <c r="C150" s="1291">
        <f t="shared" ref="C150:H150" si="9">C129</f>
        <v>-3036492.1094912556</v>
      </c>
      <c r="D150" s="1291">
        <f t="shared" si="9"/>
        <v>29287.701911606375</v>
      </c>
      <c r="E150" s="1291">
        <f t="shared" si="9"/>
        <v>-8886.1851024175703</v>
      </c>
      <c r="F150" s="1291">
        <f t="shared" si="9"/>
        <v>483106.39767849154</v>
      </c>
      <c r="G150" s="1291">
        <f t="shared" si="9"/>
        <v>473249.0141589425</v>
      </c>
      <c r="H150" s="1291">
        <f t="shared" si="9"/>
        <v>467649.91550239478</v>
      </c>
      <c r="I150" s="1292">
        <f>I129+E144</f>
        <v>4776521.1895475555</v>
      </c>
      <c r="J150" s="1"/>
    </row>
    <row r="151" spans="2:10" ht="13" thickBot="1">
      <c r="B151" s="124"/>
      <c r="I151" s="126"/>
    </row>
    <row r="152" spans="2:10" ht="13.5" thickBot="1">
      <c r="B152" s="168" t="s">
        <v>746</v>
      </c>
      <c r="C152" s="155">
        <f>IRR(C149:I149)</f>
        <v>0.17440983566070511</v>
      </c>
      <c r="I152" s="126"/>
    </row>
    <row r="153" spans="2:10" ht="13.5" thickBot="1">
      <c r="B153" s="1293" t="s">
        <v>747</v>
      </c>
      <c r="C153" s="446">
        <f>IRR(C150:I150)</f>
        <v>0.14053297345586069</v>
      </c>
      <c r="I153" s="126"/>
    </row>
    <row r="154" spans="2:10">
      <c r="B154" s="124"/>
      <c r="I154" s="126"/>
    </row>
    <row r="155" spans="2:10" ht="13">
      <c r="B155" s="227" t="s">
        <v>748</v>
      </c>
      <c r="C155" s="114"/>
      <c r="I155" s="126"/>
    </row>
    <row r="156" spans="2:10">
      <c r="B156" s="450" t="s">
        <v>1236</v>
      </c>
      <c r="C156" s="275"/>
      <c r="I156" s="126"/>
    </row>
    <row r="157" spans="2:10">
      <c r="B157" s="450" t="s">
        <v>749</v>
      </c>
      <c r="C157" s="275"/>
      <c r="I157" s="126"/>
    </row>
    <row r="158" spans="2:10" ht="13" thickBot="1">
      <c r="B158" s="134"/>
      <c r="C158" s="4"/>
      <c r="D158" s="4"/>
      <c r="E158" s="4"/>
      <c r="F158" s="4"/>
      <c r="G158" s="4"/>
      <c r="H158" s="4"/>
      <c r="I158" s="135"/>
    </row>
  </sheetData>
  <mergeCells count="20">
    <mergeCell ref="B147:I147"/>
    <mergeCell ref="B114:I114"/>
    <mergeCell ref="B70:G70"/>
    <mergeCell ref="B78:E78"/>
    <mergeCell ref="D81:E82"/>
    <mergeCell ref="B85:I85"/>
    <mergeCell ref="B100:I100"/>
    <mergeCell ref="B132:E132"/>
    <mergeCell ref="E67:F67"/>
    <mergeCell ref="B2:I2"/>
    <mergeCell ref="B3:I3"/>
    <mergeCell ref="B4:I4"/>
    <mergeCell ref="B6:G6"/>
    <mergeCell ref="B7:G7"/>
    <mergeCell ref="B8:G8"/>
    <mergeCell ref="B10:G10"/>
    <mergeCell ref="B36:F36"/>
    <mergeCell ref="B49:G49"/>
    <mergeCell ref="B50:G50"/>
    <mergeCell ref="C51:D51"/>
  </mergeCells>
  <pageMargins left="0.75" right="0.75" top="1" bottom="1" header="0.5" footer="0.5"/>
  <pageSetup orientation="portrait" r:id="rId1"/>
  <headerFooter alignWithMargins="0"/>
  <drawing r:id="rId2"/>
  <legacyDrawing r:id="rId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1">
    <tabColor rgb="FFEBB901"/>
  </sheetPr>
  <dimension ref="B1:T199"/>
  <sheetViews>
    <sheetView workbookViewId="0">
      <selection activeCell="B2" sqref="B2:O2"/>
    </sheetView>
  </sheetViews>
  <sheetFormatPr defaultRowHeight="12.5"/>
  <cols>
    <col min="1" max="1" width="1.81640625" customWidth="1"/>
    <col min="2" max="2" width="18.81640625" customWidth="1"/>
    <col min="3" max="3" width="15.7265625" customWidth="1"/>
    <col min="4" max="4" width="11.26953125" customWidth="1"/>
    <col min="5" max="5" width="13.1796875" customWidth="1"/>
    <col min="6" max="6" width="11.1796875" customWidth="1"/>
    <col min="7" max="7" width="12.7265625" customWidth="1"/>
    <col min="8" max="8" width="12" customWidth="1"/>
    <col min="9" max="9" width="13.1796875" customWidth="1"/>
    <col min="10" max="10" width="11.54296875" customWidth="1"/>
    <col min="11" max="11" width="10.54296875" customWidth="1"/>
    <col min="12" max="12" width="12.54296875" customWidth="1"/>
    <col min="14" max="14" width="11.54296875" customWidth="1"/>
    <col min="15" max="15" width="11.453125" customWidth="1"/>
  </cols>
  <sheetData>
    <row r="1" spans="2:17" ht="13.5" thickBot="1">
      <c r="B1" s="1" t="s">
        <v>1717</v>
      </c>
      <c r="C1" s="1" t="s">
        <v>1753</v>
      </c>
    </row>
    <row r="2" spans="2:17" ht="18.5" thickBot="1">
      <c r="B2" s="1525" t="s">
        <v>1491</v>
      </c>
      <c r="C2" s="1657"/>
      <c r="D2" s="1657"/>
      <c r="E2" s="1657"/>
      <c r="F2" s="1657"/>
      <c r="G2" s="1657"/>
      <c r="H2" s="1657"/>
      <c r="I2" s="1657"/>
      <c r="J2" s="1657"/>
      <c r="K2" s="1657"/>
      <c r="L2" s="1657"/>
      <c r="M2" s="1657"/>
      <c r="N2" s="1657"/>
      <c r="O2" s="1658"/>
    </row>
    <row r="3" spans="2:17" ht="16" thickBot="1">
      <c r="B3" s="1528" t="s">
        <v>1479</v>
      </c>
      <c r="C3" s="1702"/>
      <c r="D3" s="1702"/>
      <c r="E3" s="1702"/>
      <c r="F3" s="1702"/>
      <c r="G3" s="1702"/>
      <c r="H3" s="1702"/>
      <c r="I3" s="1702"/>
      <c r="J3" s="1702"/>
      <c r="K3" s="1702"/>
      <c r="L3" s="1702"/>
      <c r="M3" s="1702"/>
      <c r="N3" s="1702"/>
      <c r="O3" s="1703"/>
    </row>
    <row r="4" spans="2:17" ht="15.5">
      <c r="B4" s="1614" t="s">
        <v>1598</v>
      </c>
      <c r="C4" s="1615"/>
      <c r="D4" s="1615"/>
      <c r="E4" s="1615"/>
      <c r="F4" s="1615"/>
      <c r="G4" s="1615"/>
      <c r="H4" s="1615"/>
      <c r="I4" s="1615"/>
      <c r="J4" s="1615"/>
      <c r="K4" s="1615"/>
      <c r="L4" s="1615"/>
      <c r="M4" s="1615"/>
      <c r="N4" s="1615"/>
      <c r="O4" s="1616"/>
      <c r="P4" s="22"/>
      <c r="Q4" s="22"/>
    </row>
    <row r="5" spans="2:17" ht="13" thickBot="1">
      <c r="B5" s="1599"/>
      <c r="C5" s="1600"/>
      <c r="D5" s="1600"/>
      <c r="E5" s="1600"/>
      <c r="F5" s="1600"/>
      <c r="G5" s="1600"/>
      <c r="H5" s="1600"/>
      <c r="I5" s="1600"/>
      <c r="J5" s="1600"/>
      <c r="K5" s="1600"/>
      <c r="L5" s="1600"/>
      <c r="O5" s="126"/>
    </row>
    <row r="6" spans="2:17" ht="13.5" thickBot="1">
      <c r="B6" s="1531" t="s">
        <v>1473</v>
      </c>
      <c r="C6" s="1592"/>
      <c r="D6" s="1592"/>
      <c r="E6" s="1593"/>
      <c r="F6" s="700" t="s">
        <v>1495</v>
      </c>
      <c r="G6" s="1125" t="s">
        <v>1495</v>
      </c>
      <c r="M6" s="1664" t="s">
        <v>1557</v>
      </c>
      <c r="N6" s="1700"/>
      <c r="O6" s="1701"/>
    </row>
    <row r="7" spans="2:17" ht="13.5" thickBot="1">
      <c r="B7" s="157" t="s">
        <v>750</v>
      </c>
      <c r="C7" s="157" t="s">
        <v>751</v>
      </c>
      <c r="D7" s="157" t="s">
        <v>752</v>
      </c>
      <c r="E7" s="157" t="s">
        <v>292</v>
      </c>
      <c r="F7" s="700" t="s">
        <v>1496</v>
      </c>
      <c r="G7" s="1125" t="s">
        <v>1494</v>
      </c>
      <c r="I7" s="1115" t="s">
        <v>1474</v>
      </c>
      <c r="J7" s="1116"/>
      <c r="K7" s="1117"/>
      <c r="M7" s="1664" t="s">
        <v>753</v>
      </c>
      <c r="N7" s="1700"/>
      <c r="O7" s="1701"/>
    </row>
    <row r="8" spans="2:17" ht="13">
      <c r="B8" s="213" t="s">
        <v>754</v>
      </c>
      <c r="C8" s="24">
        <v>19000</v>
      </c>
      <c r="D8">
        <v>54</v>
      </c>
      <c r="E8" s="163">
        <f>+D8*C8</f>
        <v>1026000</v>
      </c>
      <c r="F8" s="1124">
        <f>E8/$E$11</f>
        <v>0.15</v>
      </c>
      <c r="G8" s="1126">
        <f>F8/D8*$O$24</f>
        <v>11355.858982119016</v>
      </c>
      <c r="I8" s="1095" t="s">
        <v>1246</v>
      </c>
      <c r="J8" s="1096">
        <v>2400000</v>
      </c>
      <c r="K8" s="1097"/>
      <c r="M8" s="1395" t="s">
        <v>463</v>
      </c>
      <c r="N8" s="1396"/>
      <c r="O8" s="1397">
        <f>+J8</f>
        <v>2400000</v>
      </c>
    </row>
    <row r="9" spans="2:17" ht="13">
      <c r="B9" s="213" t="s">
        <v>755</v>
      </c>
      <c r="C9" s="24">
        <v>45600</v>
      </c>
      <c r="D9" s="39">
        <v>90</v>
      </c>
      <c r="E9" s="309">
        <f>+D9*C9</f>
        <v>4104000</v>
      </c>
      <c r="F9" s="1124">
        <f t="shared" ref="F9:F10" si="0">E9/$E$11</f>
        <v>0.6</v>
      </c>
      <c r="G9" s="1126">
        <f>F9/D9*$O$24</f>
        <v>27254.061557085635</v>
      </c>
      <c r="I9" s="1098" t="s">
        <v>756</v>
      </c>
      <c r="J9" s="362">
        <v>2640000</v>
      </c>
      <c r="K9" s="1099"/>
      <c r="M9" s="1325" t="s">
        <v>1240</v>
      </c>
      <c r="N9" s="1323"/>
      <c r="O9" s="1324">
        <v>3030</v>
      </c>
    </row>
    <row r="10" spans="2:17" ht="13">
      <c r="B10" s="213" t="s">
        <v>757</v>
      </c>
      <c r="C10" s="24">
        <v>47500</v>
      </c>
      <c r="D10" s="51">
        <v>36</v>
      </c>
      <c r="E10" s="398">
        <f>+D10*C10</f>
        <v>1710000</v>
      </c>
      <c r="F10" s="1124">
        <f t="shared" si="0"/>
        <v>0.25</v>
      </c>
      <c r="G10" s="1126">
        <f>F10/D10*$O$24</f>
        <v>28389.647455297538</v>
      </c>
      <c r="I10" s="1100" t="s">
        <v>181</v>
      </c>
      <c r="J10" s="1101">
        <v>0.05</v>
      </c>
      <c r="K10" s="75" t="s">
        <v>1248</v>
      </c>
      <c r="M10" s="1322" t="s">
        <v>724</v>
      </c>
      <c r="N10" s="1323"/>
      <c r="O10" s="1324">
        <f>+J9</f>
        <v>2640000</v>
      </c>
    </row>
    <row r="11" spans="2:17" ht="13.5" thickBot="1">
      <c r="B11" s="134"/>
      <c r="C11" s="399" t="s">
        <v>758</v>
      </c>
      <c r="D11" s="65">
        <f>+D8+D9+D10</f>
        <v>180</v>
      </c>
      <c r="E11" s="377">
        <f>+E8+E9+E10</f>
        <v>6840000</v>
      </c>
      <c r="F11" s="167">
        <f>SUM(F8:F10)</f>
        <v>1</v>
      </c>
      <c r="M11" s="1334" t="s">
        <v>729</v>
      </c>
      <c r="N11" s="1335"/>
      <c r="O11" s="1336">
        <f>+E17</f>
        <v>448109.23356284591</v>
      </c>
    </row>
    <row r="12" spans="2:17" ht="13" thickBot="1">
      <c r="B12" s="124"/>
      <c r="M12" s="1322" t="s">
        <v>759</v>
      </c>
      <c r="N12" s="1323"/>
      <c r="O12" s="1326">
        <f>+B20/100*E18</f>
        <v>122643.27700688537</v>
      </c>
    </row>
    <row r="13" spans="2:17" ht="13.5" thickBot="1">
      <c r="B13" s="1706" t="s">
        <v>1477</v>
      </c>
      <c r="C13" s="1707"/>
      <c r="D13" s="1707"/>
      <c r="E13" s="1707"/>
      <c r="F13" s="1707"/>
      <c r="G13" s="1708"/>
      <c r="I13" s="1709" t="s">
        <v>1481</v>
      </c>
      <c r="J13" s="1710"/>
      <c r="K13" s="1711"/>
      <c r="M13" s="1327" t="s">
        <v>760</v>
      </c>
      <c r="N13" s="1328"/>
      <c r="O13" s="1329">
        <f>SUM(O8:O12)</f>
        <v>5613782.5105697308</v>
      </c>
    </row>
    <row r="14" spans="2:17">
      <c r="B14" s="1104">
        <f>1/2.4</f>
        <v>0.41666666666666669</v>
      </c>
      <c r="C14" s="122" t="s">
        <v>761</v>
      </c>
      <c r="D14" s="122"/>
      <c r="E14" s="989">
        <f>+J8*B14</f>
        <v>1000000</v>
      </c>
      <c r="F14" s="122"/>
      <c r="G14" s="123"/>
      <c r="I14" s="97" t="s">
        <v>754</v>
      </c>
      <c r="J14" s="98" t="s">
        <v>755</v>
      </c>
      <c r="K14" s="99" t="s">
        <v>757</v>
      </c>
      <c r="M14" s="1330"/>
      <c r="N14" s="1331"/>
      <c r="O14" s="1332"/>
    </row>
    <row r="15" spans="2:17" ht="13">
      <c r="B15" s="421">
        <v>1</v>
      </c>
      <c r="C15" t="s">
        <v>762</v>
      </c>
      <c r="E15" s="1113">
        <f>+J9*B15</f>
        <v>2640000</v>
      </c>
      <c r="G15" s="126"/>
      <c r="I15" s="100">
        <f>D69*C8</f>
        <v>13840.638031316599</v>
      </c>
      <c r="J15" s="101">
        <f>D69*C9</f>
        <v>33217.531275159839</v>
      </c>
      <c r="K15" s="102">
        <f>D69*C10</f>
        <v>34601.595078291495</v>
      </c>
      <c r="M15" s="1322" t="s">
        <v>763</v>
      </c>
      <c r="N15" s="1323"/>
      <c r="O15" s="1332"/>
    </row>
    <row r="16" spans="2:17" ht="13" thickBot="1">
      <c r="B16" s="124"/>
      <c r="E16" s="24">
        <f>+E14+E15</f>
        <v>3640000</v>
      </c>
      <c r="F16" t="s">
        <v>764</v>
      </c>
      <c r="G16" s="126"/>
      <c r="I16" s="103"/>
      <c r="J16" s="104"/>
      <c r="K16" s="105"/>
      <c r="M16" s="1322" t="s">
        <v>765</v>
      </c>
      <c r="N16" s="1323"/>
      <c r="O16" s="1324">
        <f>+J10*E11</f>
        <v>342000</v>
      </c>
    </row>
    <row r="17" spans="2:20" ht="13" thickTop="1">
      <c r="B17" s="124"/>
      <c r="C17" t="s">
        <v>1542</v>
      </c>
      <c r="E17" s="1113">
        <f>C100</f>
        <v>448109.23356284591</v>
      </c>
      <c r="F17" t="s">
        <v>1543</v>
      </c>
      <c r="G17" s="126"/>
      <c r="M17" s="1322" t="s">
        <v>767</v>
      </c>
      <c r="N17" s="1323"/>
      <c r="O17" s="1324">
        <f>43750*2</f>
        <v>87500</v>
      </c>
    </row>
    <row r="18" spans="2:20" ht="13.5" thickBot="1">
      <c r="B18" s="124"/>
      <c r="E18" s="1513">
        <f>+E16+E17</f>
        <v>4088109.2335628457</v>
      </c>
      <c r="F18" s="1" t="s">
        <v>768</v>
      </c>
      <c r="G18" s="126"/>
      <c r="M18" s="1322" t="s">
        <v>769</v>
      </c>
      <c r="N18" s="1323"/>
      <c r="O18" s="1326">
        <v>310000</v>
      </c>
    </row>
    <row r="19" spans="2:20" ht="13.5" thickBot="1">
      <c r="B19" s="1244">
        <v>0.12</v>
      </c>
      <c r="C19" s="1245" t="s">
        <v>571</v>
      </c>
      <c r="G19" s="126"/>
      <c r="M19" s="1327" t="s">
        <v>770</v>
      </c>
      <c r="N19" s="1328"/>
      <c r="O19" s="1329">
        <f>SUM(O16:O18)</f>
        <v>739500</v>
      </c>
    </row>
    <row r="20" spans="2:20" ht="13" thickTop="1">
      <c r="B20" s="781">
        <v>3</v>
      </c>
      <c r="C20" s="790" t="s">
        <v>766</v>
      </c>
      <c r="G20" s="126"/>
      <c r="M20" s="1322"/>
      <c r="N20" s="1323"/>
      <c r="O20" s="1332"/>
    </row>
    <row r="21" spans="2:20" ht="13.5" thickBot="1">
      <c r="B21" s="1105">
        <v>0.2</v>
      </c>
      <c r="C21" s="1246" t="s">
        <v>1237</v>
      </c>
      <c r="D21" s="4"/>
      <c r="E21" s="4"/>
      <c r="F21" s="4"/>
      <c r="G21" s="135"/>
      <c r="M21" s="1398" t="s">
        <v>714</v>
      </c>
      <c r="N21" s="1399"/>
      <c r="O21" s="1400">
        <f>+O13+O19</f>
        <v>6353282.5105697308</v>
      </c>
    </row>
    <row r="22" spans="2:20" ht="13.5" thickBot="1">
      <c r="B22" s="1547" t="s">
        <v>1644</v>
      </c>
      <c r="C22" s="1548"/>
      <c r="D22" s="1393"/>
      <c r="E22" s="1548" t="s">
        <v>1645</v>
      </c>
      <c r="F22" s="1548"/>
      <c r="G22" s="1548"/>
      <c r="H22" s="1549"/>
    </row>
    <row r="23" spans="2:20" ht="13.5" thickBot="1">
      <c r="B23" s="1271"/>
      <c r="C23" s="1271" t="s">
        <v>772</v>
      </c>
      <c r="D23" s="1271"/>
      <c r="E23" s="1271"/>
      <c r="F23" s="1271"/>
      <c r="G23" s="1271"/>
      <c r="H23" s="1271" t="s">
        <v>773</v>
      </c>
      <c r="M23" s="1664" t="s">
        <v>1646</v>
      </c>
      <c r="N23" s="1700"/>
      <c r="O23" s="1701"/>
    </row>
    <row r="24" spans="2:20" ht="13.5" thickBot="1">
      <c r="B24" s="1272" t="s">
        <v>216</v>
      </c>
      <c r="C24" s="1272" t="s">
        <v>774</v>
      </c>
      <c r="D24" s="1272" t="s">
        <v>775</v>
      </c>
      <c r="E24" s="1272" t="s">
        <v>754</v>
      </c>
      <c r="F24" s="1272" t="s">
        <v>755</v>
      </c>
      <c r="G24" s="1272" t="s">
        <v>757</v>
      </c>
      <c r="H24" s="1272" t="s">
        <v>776</v>
      </c>
      <c r="M24" s="1333" t="s">
        <v>771</v>
      </c>
      <c r="N24" s="1323"/>
      <c r="O24" s="1324">
        <f>+E18</f>
        <v>4088109.2335628457</v>
      </c>
    </row>
    <row r="25" spans="2:20">
      <c r="B25" s="1263">
        <v>0</v>
      </c>
      <c r="C25" s="791">
        <f>E14</f>
        <v>1000000</v>
      </c>
      <c r="D25" s="1264">
        <v>0</v>
      </c>
      <c r="E25" s="782"/>
      <c r="F25" s="782"/>
      <c r="G25" s="782"/>
      <c r="H25" s="790"/>
      <c r="M25" s="1704" t="s">
        <v>1647</v>
      </c>
      <c r="N25" s="1705"/>
      <c r="O25" s="1401">
        <f>+O21-O24</f>
        <v>2265173.277006885</v>
      </c>
    </row>
    <row r="26" spans="2:20" ht="13.5" thickBot="1">
      <c r="B26" s="1263">
        <v>1</v>
      </c>
      <c r="C26" s="791">
        <v>600000</v>
      </c>
      <c r="D26" s="1265" t="s">
        <v>778</v>
      </c>
      <c r="E26" s="782">
        <v>0</v>
      </c>
      <c r="F26" s="782">
        <v>0</v>
      </c>
      <c r="G26" s="782">
        <v>0</v>
      </c>
      <c r="H26" s="790">
        <f>+E26+F26+G26</f>
        <v>0</v>
      </c>
      <c r="M26" s="1398" t="s">
        <v>1648</v>
      </c>
      <c r="N26" s="1402"/>
      <c r="O26" s="1400">
        <f>SUM(O24:O25)</f>
        <v>6353282.5105697308</v>
      </c>
    </row>
    <row r="27" spans="2:20" ht="13.5" thickBot="1">
      <c r="B27" s="1263">
        <v>2</v>
      </c>
      <c r="C27" s="791">
        <v>600000</v>
      </c>
      <c r="D27" s="1265" t="s">
        <v>779</v>
      </c>
      <c r="E27" s="782">
        <v>2</v>
      </c>
      <c r="F27" s="782">
        <v>2</v>
      </c>
      <c r="G27" s="782">
        <v>0</v>
      </c>
      <c r="H27" s="790">
        <f>+(E27+F27+G27)*3</f>
        <v>12</v>
      </c>
      <c r="M27" s="1404" t="s">
        <v>777</v>
      </c>
      <c r="N27" s="1405"/>
      <c r="O27" s="1403">
        <f>+O24/O21</f>
        <v>0.64346410328229597</v>
      </c>
    </row>
    <row r="28" spans="2:20">
      <c r="B28" s="1263">
        <v>3</v>
      </c>
      <c r="C28" s="791">
        <v>600000</v>
      </c>
      <c r="D28" s="1265" t="s">
        <v>780</v>
      </c>
      <c r="E28" s="782">
        <v>4</v>
      </c>
      <c r="F28" s="782">
        <v>3</v>
      </c>
      <c r="G28" s="782">
        <v>1</v>
      </c>
      <c r="H28" s="790">
        <f>+(E28+F28+G28)*6+H27</f>
        <v>60</v>
      </c>
      <c r="O28" s="126"/>
    </row>
    <row r="29" spans="2:20">
      <c r="B29" s="1263">
        <v>4</v>
      </c>
      <c r="C29" s="791">
        <v>300000</v>
      </c>
      <c r="D29" s="1265" t="s">
        <v>781</v>
      </c>
      <c r="E29" s="782">
        <v>3</v>
      </c>
      <c r="F29" s="782">
        <v>6</v>
      </c>
      <c r="G29" s="782">
        <v>3</v>
      </c>
      <c r="H29" s="790">
        <f>+(E29+F29+G29)*6+H28</f>
        <v>132</v>
      </c>
      <c r="O29" s="126"/>
    </row>
    <row r="30" spans="2:20">
      <c r="B30" s="1263">
        <v>5</v>
      </c>
      <c r="C30" s="791">
        <v>300000</v>
      </c>
      <c r="D30" s="1265" t="s">
        <v>782</v>
      </c>
      <c r="E30" s="782">
        <v>1</v>
      </c>
      <c r="F30" s="782">
        <v>5</v>
      </c>
      <c r="G30" s="782">
        <v>2</v>
      </c>
      <c r="H30" s="790">
        <f>+(E30+F30+G30)*6+H29</f>
        <v>180</v>
      </c>
      <c r="O30" s="126"/>
    </row>
    <row r="31" spans="2:20" ht="13">
      <c r="B31" s="1263">
        <v>6</v>
      </c>
      <c r="C31" s="791">
        <v>300000</v>
      </c>
      <c r="D31" s="782"/>
      <c r="E31" s="782"/>
      <c r="F31" s="782"/>
      <c r="G31" s="782"/>
      <c r="H31" s="790"/>
      <c r="J31" s="62"/>
      <c r="O31" s="126"/>
      <c r="Q31" s="62"/>
      <c r="R31" s="23"/>
    </row>
    <row r="32" spans="2:20" ht="13.5" thickBot="1">
      <c r="B32" s="1266" t="s">
        <v>292</v>
      </c>
      <c r="C32" s="1267">
        <f>SUM(C25:C31)</f>
        <v>3700000</v>
      </c>
      <c r="D32" s="1268"/>
      <c r="E32" s="1269">
        <f>SUM(E26:E30)</f>
        <v>10</v>
      </c>
      <c r="F32" s="1269">
        <f>SUM(F26:F30)</f>
        <v>16</v>
      </c>
      <c r="G32" s="1269">
        <f>SUM(G26:G30)</f>
        <v>6</v>
      </c>
      <c r="H32" s="1270">
        <f>+H30</f>
        <v>180</v>
      </c>
      <c r="O32" s="126"/>
      <c r="Q32" s="6"/>
      <c r="R32" s="6"/>
      <c r="S32" s="6"/>
      <c r="T32" s="6"/>
    </row>
    <row r="33" spans="2:20" ht="13" thickBot="1">
      <c r="B33" s="124"/>
      <c r="C33" s="24"/>
      <c r="D33" s="23"/>
      <c r="F33" s="6"/>
      <c r="O33" s="126"/>
      <c r="Q33" s="6"/>
      <c r="R33" s="6"/>
      <c r="S33" s="6"/>
      <c r="T33" s="6"/>
    </row>
    <row r="34" spans="2:20" ht="13.5" thickBot="1">
      <c r="B34" s="1547" t="s">
        <v>783</v>
      </c>
      <c r="C34" s="1538"/>
      <c r="D34" s="1538"/>
      <c r="E34" s="1538"/>
      <c r="F34" s="1538"/>
      <c r="G34" s="1538"/>
      <c r="H34" s="1538"/>
      <c r="I34" s="1538"/>
      <c r="J34" s="1538"/>
      <c r="K34" s="1538"/>
      <c r="L34" s="1539"/>
      <c r="O34" s="126"/>
      <c r="Q34" s="6"/>
      <c r="R34" s="6"/>
      <c r="S34" s="6"/>
      <c r="T34" s="6"/>
    </row>
    <row r="35" spans="2:20" ht="13">
      <c r="B35" s="396"/>
      <c r="C35" s="454" t="s">
        <v>1476</v>
      </c>
      <c r="D35" s="396"/>
      <c r="E35" s="396"/>
      <c r="F35" s="396"/>
      <c r="G35" s="1514" t="s">
        <v>773</v>
      </c>
      <c r="H35" s="1514" t="s">
        <v>784</v>
      </c>
      <c r="I35" s="1514" t="s">
        <v>773</v>
      </c>
      <c r="J35" s="396" t="s">
        <v>785</v>
      </c>
      <c r="K35" s="396" t="s">
        <v>786</v>
      </c>
      <c r="L35" s="396"/>
      <c r="O35" s="126"/>
    </row>
    <row r="36" spans="2:20" ht="13.5" thickBot="1">
      <c r="B36" s="397" t="s">
        <v>216</v>
      </c>
      <c r="C36" s="397" t="s">
        <v>1604</v>
      </c>
      <c r="D36" s="397" t="s">
        <v>754</v>
      </c>
      <c r="E36" s="397" t="s">
        <v>755</v>
      </c>
      <c r="F36" s="397" t="s">
        <v>757</v>
      </c>
      <c r="G36" s="1515" t="s">
        <v>776</v>
      </c>
      <c r="H36" s="1515" t="s">
        <v>640</v>
      </c>
      <c r="I36" s="1515" t="s">
        <v>640</v>
      </c>
      <c r="J36" s="397">
        <f>+B19</f>
        <v>0.12</v>
      </c>
      <c r="K36" s="397" t="s">
        <v>788</v>
      </c>
      <c r="L36" s="397" t="s">
        <v>789</v>
      </c>
      <c r="O36" s="126"/>
    </row>
    <row r="37" spans="2:20">
      <c r="B37" s="402">
        <v>0</v>
      </c>
      <c r="C37" s="1092">
        <v>1019200</v>
      </c>
      <c r="D37">
        <v>0</v>
      </c>
      <c r="E37">
        <v>0</v>
      </c>
      <c r="F37">
        <v>0</v>
      </c>
      <c r="G37">
        <f>+D37+E37+F37</f>
        <v>0</v>
      </c>
      <c r="H37" s="24">
        <f t="shared" ref="H37:H61" si="1">+(D37*$C$8)+(E37*$C$9)+(F37*$C$10)</f>
        <v>0</v>
      </c>
      <c r="I37" s="783">
        <f>+H37</f>
        <v>0</v>
      </c>
      <c r="J37" s="797">
        <v>1</v>
      </c>
      <c r="K37" s="798">
        <f t="shared" ref="K37:K61" si="2">J37*C37</f>
        <v>1019200</v>
      </c>
      <c r="L37" s="1092">
        <f>J37*H37</f>
        <v>0</v>
      </c>
      <c r="O37" s="126"/>
    </row>
    <row r="38" spans="2:20">
      <c r="B38" s="402">
        <v>1</v>
      </c>
      <c r="C38" s="1092">
        <v>655200</v>
      </c>
      <c r="D38">
        <v>0</v>
      </c>
      <c r="E38">
        <v>0</v>
      </c>
      <c r="F38">
        <v>0</v>
      </c>
      <c r="G38">
        <f>+G37+D38+E38+F38</f>
        <v>0</v>
      </c>
      <c r="H38" s="24">
        <f t="shared" si="1"/>
        <v>0</v>
      </c>
      <c r="I38" s="784">
        <f t="shared" ref="I38:I61" si="3">+H38+I37</f>
        <v>0</v>
      </c>
      <c r="J38" s="797">
        <f t="shared" ref="J38:J61" si="4">1/(1+($J$36/12))^B38</f>
        <v>0.99009900990099009</v>
      </c>
      <c r="K38" s="798">
        <f t="shared" si="2"/>
        <v>648712.87128712866</v>
      </c>
      <c r="L38" s="799">
        <f t="shared" ref="L38:L61" si="5">J38*H38</f>
        <v>0</v>
      </c>
      <c r="O38" s="126"/>
    </row>
    <row r="39" spans="2:20">
      <c r="B39" s="402">
        <v>2</v>
      </c>
      <c r="C39" s="1092">
        <v>655200</v>
      </c>
      <c r="D39">
        <v>0</v>
      </c>
      <c r="E39">
        <v>0</v>
      </c>
      <c r="F39">
        <v>0</v>
      </c>
      <c r="G39">
        <f t="shared" ref="G39:G61" si="6">+G38+D39+E39+F39</f>
        <v>0</v>
      </c>
      <c r="H39" s="24">
        <f t="shared" si="1"/>
        <v>0</v>
      </c>
      <c r="I39" s="784">
        <f t="shared" si="3"/>
        <v>0</v>
      </c>
      <c r="J39" s="797">
        <f t="shared" si="4"/>
        <v>0.98029604940692083</v>
      </c>
      <c r="K39" s="798">
        <f t="shared" si="2"/>
        <v>642289.9715714145</v>
      </c>
      <c r="L39" s="799">
        <f t="shared" si="5"/>
        <v>0</v>
      </c>
      <c r="O39" s="126"/>
    </row>
    <row r="40" spans="2:20">
      <c r="B40" s="402">
        <v>3</v>
      </c>
      <c r="C40" s="1092">
        <v>655200</v>
      </c>
      <c r="D40">
        <v>0</v>
      </c>
      <c r="E40">
        <v>0</v>
      </c>
      <c r="F40">
        <v>0</v>
      </c>
      <c r="G40">
        <f t="shared" si="6"/>
        <v>0</v>
      </c>
      <c r="H40" s="24">
        <f t="shared" si="1"/>
        <v>0</v>
      </c>
      <c r="I40" s="784">
        <f t="shared" si="3"/>
        <v>0</v>
      </c>
      <c r="J40" s="797">
        <f t="shared" si="4"/>
        <v>0.97059014792764453</v>
      </c>
      <c r="K40" s="798">
        <f t="shared" si="2"/>
        <v>635930.66492219269</v>
      </c>
      <c r="L40" s="799">
        <f t="shared" si="5"/>
        <v>0</v>
      </c>
      <c r="O40" s="126"/>
    </row>
    <row r="41" spans="2:20">
      <c r="B41" s="402">
        <v>4</v>
      </c>
      <c r="C41" s="1092">
        <v>218400</v>
      </c>
      <c r="D41">
        <v>2</v>
      </c>
      <c r="E41">
        <v>2</v>
      </c>
      <c r="F41">
        <v>0</v>
      </c>
      <c r="G41">
        <f t="shared" si="6"/>
        <v>4</v>
      </c>
      <c r="H41" s="24">
        <f t="shared" si="1"/>
        <v>129200</v>
      </c>
      <c r="I41" s="784">
        <f t="shared" si="3"/>
        <v>129200</v>
      </c>
      <c r="J41" s="797">
        <f t="shared" si="4"/>
        <v>0.96098034448281622</v>
      </c>
      <c r="K41" s="798">
        <f t="shared" si="2"/>
        <v>209878.10723504706</v>
      </c>
      <c r="L41" s="799">
        <f t="shared" si="5"/>
        <v>124158.66050717985</v>
      </c>
      <c r="O41" s="126"/>
    </row>
    <row r="42" spans="2:20">
      <c r="B42" s="402">
        <v>5</v>
      </c>
      <c r="C42" s="1092">
        <v>218400</v>
      </c>
      <c r="D42">
        <v>2</v>
      </c>
      <c r="E42">
        <v>2</v>
      </c>
      <c r="F42">
        <v>0</v>
      </c>
      <c r="G42">
        <f t="shared" si="6"/>
        <v>8</v>
      </c>
      <c r="H42" s="24">
        <f t="shared" si="1"/>
        <v>129200</v>
      </c>
      <c r="I42" s="784">
        <f t="shared" si="3"/>
        <v>258400</v>
      </c>
      <c r="J42" s="797">
        <f t="shared" si="4"/>
        <v>0.95146568760674888</v>
      </c>
      <c r="K42" s="798">
        <f t="shared" si="2"/>
        <v>207800.10617331395</v>
      </c>
      <c r="L42" s="799">
        <f t="shared" si="5"/>
        <v>122929.36683879196</v>
      </c>
      <c r="O42" s="126"/>
    </row>
    <row r="43" spans="2:20">
      <c r="B43" s="402">
        <v>6</v>
      </c>
      <c r="C43" s="1092">
        <v>218400</v>
      </c>
      <c r="D43">
        <v>2</v>
      </c>
      <c r="E43">
        <v>2</v>
      </c>
      <c r="F43">
        <v>0</v>
      </c>
      <c r="G43">
        <f t="shared" si="6"/>
        <v>12</v>
      </c>
      <c r="H43" s="24">
        <f t="shared" si="1"/>
        <v>129200</v>
      </c>
      <c r="I43" s="784">
        <f t="shared" si="3"/>
        <v>387600</v>
      </c>
      <c r="J43" s="797">
        <f t="shared" si="4"/>
        <v>0.94204523525420658</v>
      </c>
      <c r="K43" s="798">
        <f t="shared" si="2"/>
        <v>205742.67937951873</v>
      </c>
      <c r="L43" s="799">
        <f t="shared" si="5"/>
        <v>121712.2443948435</v>
      </c>
      <c r="O43" s="126"/>
    </row>
    <row r="44" spans="2:20">
      <c r="B44" s="402">
        <v>7</v>
      </c>
      <c r="C44" s="1092"/>
      <c r="D44">
        <v>4</v>
      </c>
      <c r="E44">
        <v>3</v>
      </c>
      <c r="F44">
        <v>1</v>
      </c>
      <c r="G44">
        <f t="shared" si="6"/>
        <v>20</v>
      </c>
      <c r="H44" s="24">
        <f t="shared" si="1"/>
        <v>260300</v>
      </c>
      <c r="I44" s="784">
        <f t="shared" si="3"/>
        <v>647900</v>
      </c>
      <c r="J44" s="797">
        <f t="shared" si="4"/>
        <v>0.93271805470713554</v>
      </c>
      <c r="K44" s="798">
        <f t="shared" si="2"/>
        <v>0</v>
      </c>
      <c r="L44" s="799">
        <f t="shared" si="5"/>
        <v>242786.50964026738</v>
      </c>
      <c r="O44" s="126"/>
    </row>
    <row r="45" spans="2:20">
      <c r="B45" s="402">
        <v>8</v>
      </c>
      <c r="C45" s="1092"/>
      <c r="D45">
        <v>4</v>
      </c>
      <c r="E45">
        <v>3</v>
      </c>
      <c r="F45">
        <v>1</v>
      </c>
      <c r="G45">
        <f t="shared" si="6"/>
        <v>28</v>
      </c>
      <c r="H45" s="24">
        <f t="shared" si="1"/>
        <v>260300</v>
      </c>
      <c r="I45" s="784">
        <f t="shared" si="3"/>
        <v>908200</v>
      </c>
      <c r="J45" s="797">
        <f t="shared" si="4"/>
        <v>0.92348322248231218</v>
      </c>
      <c r="K45" s="798">
        <f t="shared" si="2"/>
        <v>0</v>
      </c>
      <c r="L45" s="799">
        <f t="shared" si="5"/>
        <v>240382.68281214585</v>
      </c>
      <c r="O45" s="126"/>
    </row>
    <row r="46" spans="2:20">
      <c r="B46" s="402">
        <v>9</v>
      </c>
      <c r="C46" s="1092"/>
      <c r="D46">
        <v>4</v>
      </c>
      <c r="E46">
        <v>3</v>
      </c>
      <c r="F46">
        <v>1</v>
      </c>
      <c r="G46">
        <f t="shared" si="6"/>
        <v>36</v>
      </c>
      <c r="H46" s="24">
        <f t="shared" si="1"/>
        <v>260300</v>
      </c>
      <c r="I46" s="784">
        <f t="shared" si="3"/>
        <v>1168500</v>
      </c>
      <c r="J46" s="797">
        <f t="shared" si="4"/>
        <v>0.91433982423991289</v>
      </c>
      <c r="K46" s="798">
        <f t="shared" si="2"/>
        <v>0</v>
      </c>
      <c r="L46" s="799">
        <f t="shared" si="5"/>
        <v>238002.65624964933</v>
      </c>
      <c r="O46" s="126"/>
    </row>
    <row r="47" spans="2:20">
      <c r="B47" s="402">
        <v>10</v>
      </c>
      <c r="C47" s="1092"/>
      <c r="D47">
        <v>4</v>
      </c>
      <c r="E47">
        <v>3</v>
      </c>
      <c r="F47">
        <v>1</v>
      </c>
      <c r="G47">
        <f t="shared" si="6"/>
        <v>44</v>
      </c>
      <c r="H47" s="24">
        <f t="shared" si="1"/>
        <v>260300</v>
      </c>
      <c r="I47" s="784">
        <f t="shared" si="3"/>
        <v>1428800</v>
      </c>
      <c r="J47" s="797">
        <f t="shared" si="4"/>
        <v>0.90528695469298315</v>
      </c>
      <c r="K47" s="798">
        <f t="shared" si="2"/>
        <v>0</v>
      </c>
      <c r="L47" s="799">
        <f t="shared" si="5"/>
        <v>235646.19430658352</v>
      </c>
      <c r="O47" s="126"/>
    </row>
    <row r="48" spans="2:20">
      <c r="B48" s="402">
        <v>11</v>
      </c>
      <c r="C48" s="1092"/>
      <c r="D48">
        <v>4</v>
      </c>
      <c r="E48">
        <v>3</v>
      </c>
      <c r="F48">
        <v>1</v>
      </c>
      <c r="G48">
        <f t="shared" si="6"/>
        <v>52</v>
      </c>
      <c r="H48" s="24">
        <f t="shared" si="1"/>
        <v>260300</v>
      </c>
      <c r="I48" s="784">
        <f t="shared" si="3"/>
        <v>1689100</v>
      </c>
      <c r="J48" s="797">
        <f t="shared" si="4"/>
        <v>0.89632371751780526</v>
      </c>
      <c r="K48" s="798">
        <f t="shared" si="2"/>
        <v>0</v>
      </c>
      <c r="L48" s="799">
        <f t="shared" si="5"/>
        <v>233313.06366988472</v>
      </c>
      <c r="O48" s="126"/>
    </row>
    <row r="49" spans="2:15">
      <c r="B49" s="402">
        <v>12</v>
      </c>
      <c r="C49" s="1092"/>
      <c r="D49">
        <v>4</v>
      </c>
      <c r="E49">
        <v>3</v>
      </c>
      <c r="F49">
        <v>1</v>
      </c>
      <c r="G49">
        <f t="shared" si="6"/>
        <v>60</v>
      </c>
      <c r="H49" s="24">
        <f t="shared" si="1"/>
        <v>260300</v>
      </c>
      <c r="I49" s="784">
        <f t="shared" si="3"/>
        <v>1949400</v>
      </c>
      <c r="J49" s="797">
        <f t="shared" si="4"/>
        <v>0.88744922526515368</v>
      </c>
      <c r="K49" s="798">
        <f t="shared" si="2"/>
        <v>0</v>
      </c>
      <c r="L49" s="799">
        <f t="shared" si="5"/>
        <v>231003.0333365195</v>
      </c>
      <c r="O49" s="126"/>
    </row>
    <row r="50" spans="2:15">
      <c r="B50" s="402">
        <v>13</v>
      </c>
      <c r="C50" s="1092"/>
      <c r="D50">
        <v>3</v>
      </c>
      <c r="E50">
        <v>6</v>
      </c>
      <c r="F50">
        <v>3</v>
      </c>
      <c r="G50">
        <f t="shared" si="6"/>
        <v>72</v>
      </c>
      <c r="H50" s="24">
        <f t="shared" si="1"/>
        <v>473100</v>
      </c>
      <c r="I50" s="784">
        <f t="shared" si="3"/>
        <v>2422500</v>
      </c>
      <c r="J50" s="797">
        <f t="shared" si="4"/>
        <v>0.87866259927242929</v>
      </c>
      <c r="K50" s="798">
        <f t="shared" si="2"/>
        <v>0</v>
      </c>
      <c r="L50" s="799">
        <f t="shared" si="5"/>
        <v>415695.27571578632</v>
      </c>
      <c r="O50" s="126"/>
    </row>
    <row r="51" spans="2:15">
      <c r="B51" s="402">
        <v>14</v>
      </c>
      <c r="C51" s="1092"/>
      <c r="D51">
        <v>3</v>
      </c>
      <c r="E51">
        <v>6</v>
      </c>
      <c r="F51">
        <v>3</v>
      </c>
      <c r="G51">
        <f t="shared" si="6"/>
        <v>84</v>
      </c>
      <c r="H51" s="24">
        <f t="shared" si="1"/>
        <v>473100</v>
      </c>
      <c r="I51" s="784">
        <f t="shared" si="3"/>
        <v>2895600</v>
      </c>
      <c r="J51" s="797">
        <f t="shared" si="4"/>
        <v>0.86996296957666264</v>
      </c>
      <c r="K51" s="798">
        <f t="shared" si="2"/>
        <v>0</v>
      </c>
      <c r="L51" s="799">
        <f t="shared" si="5"/>
        <v>411579.48090671911</v>
      </c>
      <c r="O51" s="126"/>
    </row>
    <row r="52" spans="2:15">
      <c r="B52" s="402">
        <v>15</v>
      </c>
      <c r="C52" s="1092"/>
      <c r="D52">
        <v>3</v>
      </c>
      <c r="E52">
        <v>6</v>
      </c>
      <c r="F52">
        <v>3</v>
      </c>
      <c r="G52">
        <f t="shared" si="6"/>
        <v>96</v>
      </c>
      <c r="H52" s="24">
        <f t="shared" si="1"/>
        <v>473100</v>
      </c>
      <c r="I52" s="784">
        <f t="shared" si="3"/>
        <v>3368700</v>
      </c>
      <c r="J52" s="797">
        <f t="shared" si="4"/>
        <v>0.86134947482837909</v>
      </c>
      <c r="K52" s="798">
        <f t="shared" si="2"/>
        <v>0</v>
      </c>
      <c r="L52" s="799">
        <f t="shared" si="5"/>
        <v>407504.43654130615</v>
      </c>
      <c r="O52" s="126"/>
    </row>
    <row r="53" spans="2:15">
      <c r="B53" s="402">
        <v>16</v>
      </c>
      <c r="C53" s="1092"/>
      <c r="D53">
        <v>3</v>
      </c>
      <c r="E53">
        <v>6</v>
      </c>
      <c r="F53">
        <v>3</v>
      </c>
      <c r="G53">
        <f t="shared" si="6"/>
        <v>108</v>
      </c>
      <c r="H53" s="24">
        <f t="shared" si="1"/>
        <v>473100</v>
      </c>
      <c r="I53" s="784">
        <f t="shared" si="3"/>
        <v>3841800</v>
      </c>
      <c r="J53" s="797">
        <f t="shared" si="4"/>
        <v>0.8528212622063156</v>
      </c>
      <c r="K53" s="798">
        <f t="shared" si="2"/>
        <v>0</v>
      </c>
      <c r="L53" s="799">
        <f t="shared" si="5"/>
        <v>403469.73914980789</v>
      </c>
      <c r="O53" s="126"/>
    </row>
    <row r="54" spans="2:15">
      <c r="B54" s="402">
        <v>17</v>
      </c>
      <c r="C54" s="1092"/>
      <c r="D54">
        <v>3</v>
      </c>
      <c r="E54">
        <v>6</v>
      </c>
      <c r="F54">
        <v>3</v>
      </c>
      <c r="G54">
        <f t="shared" si="6"/>
        <v>120</v>
      </c>
      <c r="H54" s="24">
        <f t="shared" si="1"/>
        <v>473100</v>
      </c>
      <c r="I54" s="784">
        <f t="shared" si="3"/>
        <v>4314900</v>
      </c>
      <c r="J54" s="797">
        <f t="shared" si="4"/>
        <v>0.84437748733298568</v>
      </c>
      <c r="K54" s="798">
        <f t="shared" si="2"/>
        <v>0</v>
      </c>
      <c r="L54" s="799">
        <f t="shared" si="5"/>
        <v>399474.98925723555</v>
      </c>
      <c r="O54" s="126"/>
    </row>
    <row r="55" spans="2:15">
      <c r="B55" s="402">
        <v>18</v>
      </c>
      <c r="C55" s="1092"/>
      <c r="D55">
        <v>3</v>
      </c>
      <c r="E55">
        <v>6</v>
      </c>
      <c r="F55">
        <v>3</v>
      </c>
      <c r="G55">
        <f t="shared" si="6"/>
        <v>132</v>
      </c>
      <c r="H55" s="24">
        <f t="shared" si="1"/>
        <v>473100</v>
      </c>
      <c r="I55" s="784">
        <f t="shared" si="3"/>
        <v>4788000</v>
      </c>
      <c r="J55" s="797">
        <f t="shared" si="4"/>
        <v>0.83601731419107495</v>
      </c>
      <c r="K55" s="798">
        <f t="shared" si="2"/>
        <v>0</v>
      </c>
      <c r="L55" s="799">
        <f t="shared" si="5"/>
        <v>395519.79134379758</v>
      </c>
      <c r="O55" s="126"/>
    </row>
    <row r="56" spans="2:15">
      <c r="B56" s="402">
        <v>19</v>
      </c>
      <c r="C56" s="1092"/>
      <c r="D56">
        <v>1</v>
      </c>
      <c r="E56">
        <v>5</v>
      </c>
      <c r="F56">
        <v>2</v>
      </c>
      <c r="G56">
        <f t="shared" si="6"/>
        <v>140</v>
      </c>
      <c r="H56" s="24">
        <f t="shared" si="1"/>
        <v>342000</v>
      </c>
      <c r="I56" s="784">
        <f t="shared" si="3"/>
        <v>5130000</v>
      </c>
      <c r="J56" s="797">
        <f t="shared" si="4"/>
        <v>0.82773991504066846</v>
      </c>
      <c r="K56" s="798">
        <f t="shared" si="2"/>
        <v>0</v>
      </c>
      <c r="L56" s="799">
        <f t="shared" si="5"/>
        <v>283087.05094390863</v>
      </c>
      <c r="O56" s="126"/>
    </row>
    <row r="57" spans="2:15">
      <c r="B57" s="402">
        <v>20</v>
      </c>
      <c r="C57" s="1092"/>
      <c r="D57">
        <v>1</v>
      </c>
      <c r="E57">
        <v>5</v>
      </c>
      <c r="F57">
        <v>2</v>
      </c>
      <c r="G57">
        <f t="shared" si="6"/>
        <v>148</v>
      </c>
      <c r="H57" s="24">
        <f t="shared" si="1"/>
        <v>342000</v>
      </c>
      <c r="I57" s="784">
        <f t="shared" si="3"/>
        <v>5472000</v>
      </c>
      <c r="J57" s="797">
        <f t="shared" si="4"/>
        <v>0.81954447033729538</v>
      </c>
      <c r="K57" s="798">
        <f t="shared" si="2"/>
        <v>0</v>
      </c>
      <c r="L57" s="799">
        <f t="shared" si="5"/>
        <v>280284.20885535504</v>
      </c>
      <c r="O57" s="126"/>
    </row>
    <row r="58" spans="2:15">
      <c r="B58" s="402">
        <v>21</v>
      </c>
      <c r="C58" s="1092"/>
      <c r="D58">
        <v>1</v>
      </c>
      <c r="E58">
        <v>5</v>
      </c>
      <c r="F58">
        <v>2</v>
      </c>
      <c r="G58">
        <f t="shared" si="6"/>
        <v>156</v>
      </c>
      <c r="H58" s="24">
        <f t="shared" si="1"/>
        <v>342000</v>
      </c>
      <c r="I58" s="784">
        <f t="shared" si="3"/>
        <v>5814000</v>
      </c>
      <c r="J58" s="797">
        <f t="shared" si="4"/>
        <v>0.81143016865078765</v>
      </c>
      <c r="K58" s="798">
        <f t="shared" si="2"/>
        <v>0</v>
      </c>
      <c r="L58" s="799">
        <f t="shared" si="5"/>
        <v>277509.1176785694</v>
      </c>
      <c r="O58" s="126"/>
    </row>
    <row r="59" spans="2:15">
      <c r="B59" s="402">
        <v>22</v>
      </c>
      <c r="C59" s="1092"/>
      <c r="D59">
        <v>1</v>
      </c>
      <c r="E59">
        <v>5</v>
      </c>
      <c r="F59">
        <v>2</v>
      </c>
      <c r="G59">
        <f t="shared" si="6"/>
        <v>164</v>
      </c>
      <c r="H59" s="24">
        <f t="shared" si="1"/>
        <v>342000</v>
      </c>
      <c r="I59" s="784">
        <f t="shared" si="3"/>
        <v>6156000</v>
      </c>
      <c r="J59" s="797">
        <f t="shared" si="4"/>
        <v>0.80339620658493804</v>
      </c>
      <c r="K59" s="798">
        <f t="shared" si="2"/>
        <v>0</v>
      </c>
      <c r="L59" s="799">
        <f t="shared" si="5"/>
        <v>274761.50265204883</v>
      </c>
      <c r="O59" s="126"/>
    </row>
    <row r="60" spans="2:15">
      <c r="B60" s="402">
        <v>23</v>
      </c>
      <c r="C60" s="1092"/>
      <c r="D60">
        <v>1</v>
      </c>
      <c r="E60">
        <v>5</v>
      </c>
      <c r="F60">
        <v>2</v>
      </c>
      <c r="G60">
        <f t="shared" si="6"/>
        <v>172</v>
      </c>
      <c r="H60" s="24">
        <f t="shared" si="1"/>
        <v>342000</v>
      </c>
      <c r="I60" s="784">
        <f t="shared" si="3"/>
        <v>6498000</v>
      </c>
      <c r="J60" s="797">
        <f t="shared" si="4"/>
        <v>0.79544178869795856</v>
      </c>
      <c r="K60" s="798">
        <f t="shared" si="2"/>
        <v>0</v>
      </c>
      <c r="L60" s="799">
        <f t="shared" si="5"/>
        <v>272041.09173470183</v>
      </c>
      <c r="O60" s="126"/>
    </row>
    <row r="61" spans="2:15">
      <c r="B61" s="402">
        <v>24</v>
      </c>
      <c r="C61" s="1092"/>
      <c r="D61">
        <v>1</v>
      </c>
      <c r="E61">
        <v>5</v>
      </c>
      <c r="F61">
        <v>2</v>
      </c>
      <c r="G61">
        <f t="shared" si="6"/>
        <v>180</v>
      </c>
      <c r="H61" s="24">
        <f t="shared" si="1"/>
        <v>342000</v>
      </c>
      <c r="I61" s="789">
        <f t="shared" si="3"/>
        <v>6840000</v>
      </c>
      <c r="J61" s="797">
        <f t="shared" si="4"/>
        <v>0.78756612742372123</v>
      </c>
      <c r="K61" s="800">
        <f t="shared" si="2"/>
        <v>0</v>
      </c>
      <c r="L61" s="801">
        <f t="shared" si="5"/>
        <v>269347.61557891266</v>
      </c>
      <c r="O61" s="126"/>
    </row>
    <row r="62" spans="2:15" ht="13" thickBot="1">
      <c r="B62" s="140" t="s">
        <v>292</v>
      </c>
      <c r="C62" s="1092">
        <f>SUM(C37:C61)</f>
        <v>3640000</v>
      </c>
      <c r="D62" s="106">
        <f>SUM(D37:D61)</f>
        <v>54</v>
      </c>
      <c r="E62" s="106">
        <f>SUM(E37:E61)</f>
        <v>90</v>
      </c>
      <c r="F62" s="106">
        <f>SUM(F37:F61)</f>
        <v>36</v>
      </c>
      <c r="G62" s="107">
        <f>+G61</f>
        <v>180</v>
      </c>
      <c r="H62" s="1273">
        <f>SUM(H37:H61)</f>
        <v>6840000</v>
      </c>
      <c r="I62" s="24"/>
      <c r="J62" s="797"/>
      <c r="K62" s="802">
        <f>SUM(K37:K61)</f>
        <v>3569554.4005686156</v>
      </c>
      <c r="L62" s="803">
        <f>SUM(L37:L61)</f>
        <v>5880208.7121140156</v>
      </c>
      <c r="O62" s="126"/>
    </row>
    <row r="63" spans="2:15" ht="14" thickTop="1" thickBot="1">
      <c r="B63" s="400" t="s">
        <v>263</v>
      </c>
      <c r="C63" s="1348">
        <f>NPV($B$19/12,C38:C61)+C37</f>
        <v>3569554.4005686161</v>
      </c>
      <c r="D63" s="4"/>
      <c r="E63" s="4"/>
      <c r="F63" s="4"/>
      <c r="G63" s="4"/>
      <c r="H63" s="1348">
        <f>NPV($B$19/12,H38:H61)+H37</f>
        <v>5880208.7121140156</v>
      </c>
      <c r="I63" s="4"/>
      <c r="J63" s="4"/>
      <c r="K63" s="4"/>
      <c r="L63" s="135"/>
      <c r="O63" s="126"/>
    </row>
    <row r="64" spans="2:15" ht="13" thickBot="1">
      <c r="B64" s="124"/>
      <c r="C64" s="24"/>
      <c r="D64" s="24"/>
      <c r="E64" s="24"/>
      <c r="F64" s="24"/>
      <c r="G64" s="24"/>
      <c r="H64" s="24"/>
      <c r="I64" s="24"/>
      <c r="O64" s="126"/>
    </row>
    <row r="65" spans="2:19" ht="13">
      <c r="B65" s="124"/>
      <c r="C65" s="410" t="s">
        <v>790</v>
      </c>
      <c r="D65" s="411">
        <f>C63</f>
        <v>3569554.4005686161</v>
      </c>
      <c r="F65" s="24"/>
      <c r="G65" s="24"/>
      <c r="H65" s="24"/>
      <c r="I65" s="24"/>
      <c r="O65" s="126"/>
    </row>
    <row r="66" spans="2:19" ht="13">
      <c r="B66" s="124"/>
      <c r="C66" s="412" t="s">
        <v>791</v>
      </c>
      <c r="D66" s="413">
        <f>H63</f>
        <v>5880208.7121140156</v>
      </c>
      <c r="F66" s="24"/>
      <c r="G66" s="24"/>
      <c r="H66" s="24"/>
      <c r="I66" s="24"/>
      <c r="O66" s="126"/>
    </row>
    <row r="67" spans="2:19" ht="13">
      <c r="B67" s="124"/>
      <c r="C67" s="412" t="s">
        <v>792</v>
      </c>
      <c r="D67" s="414">
        <f>D65/D66</f>
        <v>0.60704552768932452</v>
      </c>
      <c r="F67" s="34" t="s">
        <v>1247</v>
      </c>
      <c r="G67" s="24"/>
      <c r="H67" s="24"/>
      <c r="I67" s="24"/>
      <c r="O67" s="126"/>
    </row>
    <row r="68" spans="2:19" ht="13">
      <c r="B68" s="124"/>
      <c r="C68" s="412" t="s">
        <v>793</v>
      </c>
      <c r="D68" s="415">
        <f>B21</f>
        <v>0.2</v>
      </c>
      <c r="F68" s="34" t="s">
        <v>1475</v>
      </c>
      <c r="G68" s="24"/>
      <c r="H68" s="24"/>
      <c r="I68" s="24"/>
      <c r="O68" s="126"/>
    </row>
    <row r="69" spans="2:19" ht="13.5" thickBot="1">
      <c r="B69" s="124"/>
      <c r="C69" s="416" t="s">
        <v>794</v>
      </c>
      <c r="D69" s="417">
        <f>D67*(1+B21)</f>
        <v>0.7284546332271894</v>
      </c>
      <c r="F69" s="24"/>
      <c r="G69" s="24"/>
      <c r="H69" s="24"/>
      <c r="I69" s="24"/>
      <c r="O69" s="126"/>
      <c r="S69" s="6"/>
    </row>
    <row r="70" spans="2:19">
      <c r="B70" s="124"/>
      <c r="D70" s="108"/>
      <c r="F70" s="24"/>
      <c r="G70" s="24"/>
      <c r="H70" s="24"/>
      <c r="I70" s="24"/>
      <c r="O70" s="126"/>
      <c r="S70" s="6"/>
    </row>
    <row r="71" spans="2:19" ht="13" thickBot="1">
      <c r="B71" s="124"/>
      <c r="C71" s="24"/>
      <c r="D71" s="24"/>
      <c r="E71" s="24"/>
      <c r="F71" s="24"/>
      <c r="G71" s="24"/>
      <c r="H71" s="24"/>
      <c r="I71" s="24"/>
      <c r="O71" s="126"/>
    </row>
    <row r="72" spans="2:19" ht="13.5" thickBot="1">
      <c r="B72" s="1547" t="s">
        <v>795</v>
      </c>
      <c r="C72" s="1538"/>
      <c r="D72" s="1538"/>
      <c r="E72" s="1538"/>
      <c r="F72" s="1538"/>
      <c r="G72" s="1538"/>
      <c r="H72" s="1538"/>
      <c r="I72" s="1539"/>
      <c r="O72" s="126"/>
    </row>
    <row r="73" spans="2:19" ht="13">
      <c r="B73" s="396"/>
      <c r="C73" s="396"/>
      <c r="D73" s="1518" t="s">
        <v>787</v>
      </c>
      <c r="E73" s="1516" t="s">
        <v>796</v>
      </c>
      <c r="F73" s="1516" t="s">
        <v>796</v>
      </c>
      <c r="G73" s="1516" t="s">
        <v>796</v>
      </c>
      <c r="H73" s="454" t="s">
        <v>381</v>
      </c>
      <c r="I73" s="454" t="s">
        <v>1478</v>
      </c>
      <c r="O73" s="126"/>
    </row>
    <row r="74" spans="2:19" ht="13.5" thickBot="1">
      <c r="B74" s="397" t="s">
        <v>216</v>
      </c>
      <c r="C74" s="397" t="s">
        <v>210</v>
      </c>
      <c r="D74" s="1519" t="s">
        <v>292</v>
      </c>
      <c r="E74" s="1517" t="s">
        <v>387</v>
      </c>
      <c r="F74" s="1517" t="s">
        <v>210</v>
      </c>
      <c r="G74" s="1517" t="s">
        <v>292</v>
      </c>
      <c r="H74" s="397" t="s">
        <v>215</v>
      </c>
      <c r="I74" s="397" t="s">
        <v>281</v>
      </c>
      <c r="O74" s="126"/>
    </row>
    <row r="75" spans="2:19">
      <c r="B75" s="124">
        <v>0</v>
      </c>
      <c r="C75" s="1243">
        <v>0</v>
      </c>
      <c r="D75" s="1243">
        <f t="shared" ref="D75:D99" si="7">+C37+C75</f>
        <v>1019200</v>
      </c>
      <c r="E75" s="1414"/>
      <c r="F75" s="1414"/>
      <c r="G75" s="1414"/>
      <c r="H75" s="1102">
        <f>+D75</f>
        <v>1019200</v>
      </c>
      <c r="I75" s="163">
        <f>+O12-C37</f>
        <v>-896556.72299311461</v>
      </c>
      <c r="O75" s="126"/>
    </row>
    <row r="76" spans="2:19">
      <c r="B76" s="124">
        <v>1</v>
      </c>
      <c r="C76" s="1243">
        <f t="shared" ref="C76:C99" si="8">+H75*($B$19/12)</f>
        <v>10192</v>
      </c>
      <c r="D76" s="1243">
        <f t="shared" si="7"/>
        <v>665392</v>
      </c>
      <c r="E76" s="1414">
        <f>IF(((D38*$I$15)+(E38*$J$15))&gt;H75,H75+F76,(D38*$I$15)+(E38*$J$15))</f>
        <v>0</v>
      </c>
      <c r="F76" s="1414">
        <f t="shared" ref="F76:F99" si="9">+H75*($B$19/12)</f>
        <v>10192</v>
      </c>
      <c r="G76" s="1414">
        <f>+E76+F76</f>
        <v>10192</v>
      </c>
      <c r="H76" s="1102">
        <f>+H75+D76-E76</f>
        <v>1684592</v>
      </c>
      <c r="I76" s="163">
        <f t="shared" ref="I76:I99" si="10">-C38+E76</f>
        <v>-655200</v>
      </c>
      <c r="O76" s="126"/>
    </row>
    <row r="77" spans="2:19">
      <c r="B77" s="124">
        <v>2</v>
      </c>
      <c r="C77" s="1243">
        <f t="shared" si="8"/>
        <v>16845.920000000002</v>
      </c>
      <c r="D77" s="1243">
        <f t="shared" si="7"/>
        <v>672045.92</v>
      </c>
      <c r="E77" s="1414">
        <f>IF(((D39*$I$15)+(E39*$J$15))&gt;H76,H76+F77,(D39*$I$15)+(E39*$J$15))</f>
        <v>0</v>
      </c>
      <c r="F77" s="1414">
        <f t="shared" si="9"/>
        <v>16845.920000000002</v>
      </c>
      <c r="G77" s="1414">
        <f t="shared" ref="G77:G99" si="11">+E77+F77</f>
        <v>16845.920000000002</v>
      </c>
      <c r="H77" s="1102">
        <f t="shared" ref="H77:H99" si="12">+H76+D77-E77</f>
        <v>2356637.92</v>
      </c>
      <c r="I77" s="163">
        <f t="shared" si="10"/>
        <v>-655200</v>
      </c>
      <c r="O77" s="126"/>
    </row>
    <row r="78" spans="2:19">
      <c r="B78" s="124">
        <v>3</v>
      </c>
      <c r="C78" s="1243">
        <f t="shared" si="8"/>
        <v>23566.379199999999</v>
      </c>
      <c r="D78" s="1243">
        <f t="shared" si="7"/>
        <v>678766.37919999997</v>
      </c>
      <c r="E78" s="1414">
        <f>IF(((D40*$I$15)+(E40*$J$15))&gt;H77,H77+F78,(D40*$I$15)+(E40*$J$15))</f>
        <v>0</v>
      </c>
      <c r="F78" s="1414">
        <f t="shared" si="9"/>
        <v>23566.379199999999</v>
      </c>
      <c r="G78" s="1414">
        <f t="shared" si="11"/>
        <v>23566.379199999999</v>
      </c>
      <c r="H78" s="1102">
        <f t="shared" si="12"/>
        <v>3035404.2991999998</v>
      </c>
      <c r="I78" s="163">
        <f t="shared" si="10"/>
        <v>-655200</v>
      </c>
      <c r="O78" s="126"/>
    </row>
    <row r="79" spans="2:19">
      <c r="B79" s="124">
        <v>4</v>
      </c>
      <c r="C79" s="1243">
        <f t="shared" si="8"/>
        <v>30354.042991999999</v>
      </c>
      <c r="D79" s="1243">
        <f t="shared" si="7"/>
        <v>248754.042992</v>
      </c>
      <c r="E79" s="1414">
        <f t="shared" ref="E79:E99" si="13">IF(((D41*$I$15)+(E41*$J$15)+(F41*$K$15))&gt;H78,H78+F79,(D41*$I$15)+(E41*$J$15)+(F41*$K$15))</f>
        <v>94116.338612952881</v>
      </c>
      <c r="F79" s="1414">
        <f t="shared" si="9"/>
        <v>30354.042991999999</v>
      </c>
      <c r="G79" s="1414">
        <f t="shared" si="11"/>
        <v>124470.38160495288</v>
      </c>
      <c r="H79" s="1102">
        <f t="shared" si="12"/>
        <v>3190042.003579047</v>
      </c>
      <c r="I79" s="163">
        <f t="shared" si="10"/>
        <v>-124283.66138704712</v>
      </c>
      <c r="O79" s="126"/>
    </row>
    <row r="80" spans="2:19">
      <c r="B80" s="124">
        <v>5</v>
      </c>
      <c r="C80" s="1243">
        <f t="shared" si="8"/>
        <v>31900.42003579047</v>
      </c>
      <c r="D80" s="1243">
        <f t="shared" si="7"/>
        <v>250300.42003579048</v>
      </c>
      <c r="E80" s="1414">
        <f t="shared" si="13"/>
        <v>94116.338612952881</v>
      </c>
      <c r="F80" s="1414">
        <f t="shared" si="9"/>
        <v>31900.42003579047</v>
      </c>
      <c r="G80" s="1414">
        <f t="shared" si="11"/>
        <v>126016.75864874336</v>
      </c>
      <c r="H80" s="1102">
        <f t="shared" si="12"/>
        <v>3346226.085001885</v>
      </c>
      <c r="I80" s="163">
        <f t="shared" si="10"/>
        <v>-124283.66138704712</v>
      </c>
      <c r="O80" s="126"/>
    </row>
    <row r="81" spans="2:15">
      <c r="B81" s="124">
        <v>6</v>
      </c>
      <c r="C81" s="1243">
        <f t="shared" si="8"/>
        <v>33462.260850018851</v>
      </c>
      <c r="D81" s="1243">
        <f t="shared" si="7"/>
        <v>251862.26085001885</v>
      </c>
      <c r="E81" s="1414">
        <f t="shared" si="13"/>
        <v>94116.338612952881</v>
      </c>
      <c r="F81" s="1414">
        <f t="shared" si="9"/>
        <v>33462.260850018851</v>
      </c>
      <c r="G81" s="1414">
        <f t="shared" si="11"/>
        <v>127578.59946297173</v>
      </c>
      <c r="H81" s="1102">
        <f t="shared" si="12"/>
        <v>3503972.007238951</v>
      </c>
      <c r="I81" s="163">
        <f t="shared" si="10"/>
        <v>-124283.66138704712</v>
      </c>
      <c r="O81" s="126"/>
    </row>
    <row r="82" spans="2:15">
      <c r="B82" s="124">
        <v>7</v>
      </c>
      <c r="C82" s="1243">
        <f t="shared" si="8"/>
        <v>35039.720072389515</v>
      </c>
      <c r="D82" s="1243">
        <f t="shared" si="7"/>
        <v>35039.720072389515</v>
      </c>
      <c r="E82" s="1414">
        <f t="shared" si="13"/>
        <v>189616.7410290374</v>
      </c>
      <c r="F82" s="1414">
        <f t="shared" si="9"/>
        <v>35039.720072389515</v>
      </c>
      <c r="G82" s="1414">
        <f t="shared" si="11"/>
        <v>224656.46110142692</v>
      </c>
      <c r="H82" s="1102">
        <f t="shared" si="12"/>
        <v>3349394.986282303</v>
      </c>
      <c r="I82" s="163">
        <f t="shared" si="10"/>
        <v>189616.7410290374</v>
      </c>
      <c r="O82" s="126"/>
    </row>
    <row r="83" spans="2:15">
      <c r="B83" s="124">
        <v>8</v>
      </c>
      <c r="C83" s="1243">
        <f t="shared" si="8"/>
        <v>33493.949862823029</v>
      </c>
      <c r="D83" s="1243">
        <f t="shared" si="7"/>
        <v>33493.949862823029</v>
      </c>
      <c r="E83" s="1414">
        <f t="shared" si="13"/>
        <v>189616.7410290374</v>
      </c>
      <c r="F83" s="1414">
        <f t="shared" si="9"/>
        <v>33493.949862823029</v>
      </c>
      <c r="G83" s="1414">
        <f t="shared" si="11"/>
        <v>223110.69089186043</v>
      </c>
      <c r="H83" s="1102">
        <f t="shared" si="12"/>
        <v>3193272.1951160887</v>
      </c>
      <c r="I83" s="163">
        <f t="shared" si="10"/>
        <v>189616.7410290374</v>
      </c>
      <c r="O83" s="126"/>
    </row>
    <row r="84" spans="2:15">
      <c r="B84" s="124">
        <v>9</v>
      </c>
      <c r="C84" s="1243">
        <f t="shared" si="8"/>
        <v>31932.721951160889</v>
      </c>
      <c r="D84" s="1243">
        <f t="shared" si="7"/>
        <v>31932.721951160889</v>
      </c>
      <c r="E84" s="1414">
        <f t="shared" si="13"/>
        <v>189616.7410290374</v>
      </c>
      <c r="F84" s="1414">
        <f t="shared" si="9"/>
        <v>31932.721951160889</v>
      </c>
      <c r="G84" s="1414">
        <f t="shared" si="11"/>
        <v>221549.4629801983</v>
      </c>
      <c r="H84" s="1102">
        <f t="shared" si="12"/>
        <v>3035588.1760382121</v>
      </c>
      <c r="I84" s="163">
        <f t="shared" si="10"/>
        <v>189616.7410290374</v>
      </c>
      <c r="O84" s="126"/>
    </row>
    <row r="85" spans="2:15">
      <c r="B85" s="124">
        <v>10</v>
      </c>
      <c r="C85" s="1243">
        <f t="shared" si="8"/>
        <v>30355.881760382123</v>
      </c>
      <c r="D85" s="1243">
        <f t="shared" si="7"/>
        <v>30355.881760382123</v>
      </c>
      <c r="E85" s="1414">
        <f t="shared" si="13"/>
        <v>189616.7410290374</v>
      </c>
      <c r="F85" s="1414">
        <f t="shared" si="9"/>
        <v>30355.881760382123</v>
      </c>
      <c r="G85" s="1414">
        <f t="shared" si="11"/>
        <v>219972.62278941952</v>
      </c>
      <c r="H85" s="1102">
        <f t="shared" si="12"/>
        <v>2876327.3167695571</v>
      </c>
      <c r="I85" s="163">
        <f t="shared" si="10"/>
        <v>189616.7410290374</v>
      </c>
      <c r="O85" s="126"/>
    </row>
    <row r="86" spans="2:15">
      <c r="B86" s="124">
        <v>11</v>
      </c>
      <c r="C86" s="1243">
        <f t="shared" si="8"/>
        <v>28763.27316769557</v>
      </c>
      <c r="D86" s="1243">
        <f t="shared" si="7"/>
        <v>28763.27316769557</v>
      </c>
      <c r="E86" s="1414">
        <f t="shared" si="13"/>
        <v>189616.7410290374</v>
      </c>
      <c r="F86" s="1414">
        <f t="shared" si="9"/>
        <v>28763.27316769557</v>
      </c>
      <c r="G86" s="1414">
        <f t="shared" si="11"/>
        <v>218380.01419673295</v>
      </c>
      <c r="H86" s="1102">
        <f t="shared" si="12"/>
        <v>2715473.8489082148</v>
      </c>
      <c r="I86" s="163">
        <f t="shared" si="10"/>
        <v>189616.7410290374</v>
      </c>
      <c r="O86" s="126"/>
    </row>
    <row r="87" spans="2:15">
      <c r="B87" s="124">
        <v>12</v>
      </c>
      <c r="C87" s="1243">
        <f t="shared" si="8"/>
        <v>27154.738489082149</v>
      </c>
      <c r="D87" s="1243">
        <f t="shared" si="7"/>
        <v>27154.738489082149</v>
      </c>
      <c r="E87" s="1414">
        <f t="shared" si="13"/>
        <v>189616.7410290374</v>
      </c>
      <c r="F87" s="1414">
        <f t="shared" si="9"/>
        <v>27154.738489082149</v>
      </c>
      <c r="G87" s="1414">
        <f t="shared" si="11"/>
        <v>216771.47951811954</v>
      </c>
      <c r="H87" s="1102">
        <f t="shared" si="12"/>
        <v>2553011.8463682598</v>
      </c>
      <c r="I87" s="163">
        <f t="shared" si="10"/>
        <v>189616.7410290374</v>
      </c>
      <c r="O87" s="126"/>
    </row>
    <row r="88" spans="2:15">
      <c r="B88" s="124">
        <v>13</v>
      </c>
      <c r="C88" s="1243">
        <f t="shared" si="8"/>
        <v>25530.118463682596</v>
      </c>
      <c r="D88" s="1243">
        <f t="shared" si="7"/>
        <v>25530.118463682596</v>
      </c>
      <c r="E88" s="1414">
        <f t="shared" si="13"/>
        <v>344631.8869797833</v>
      </c>
      <c r="F88" s="1414">
        <f t="shared" si="9"/>
        <v>25530.118463682596</v>
      </c>
      <c r="G88" s="1414">
        <f t="shared" si="11"/>
        <v>370162.0054434659</v>
      </c>
      <c r="H88" s="1102">
        <f t="shared" si="12"/>
        <v>2233910.0778521588</v>
      </c>
      <c r="I88" s="163">
        <f t="shared" si="10"/>
        <v>344631.8869797833</v>
      </c>
      <c r="O88" s="126"/>
    </row>
    <row r="89" spans="2:15">
      <c r="B89" s="124">
        <v>14</v>
      </c>
      <c r="C89" s="1243">
        <f t="shared" si="8"/>
        <v>22339.100778521588</v>
      </c>
      <c r="D89" s="1243">
        <f t="shared" si="7"/>
        <v>22339.100778521588</v>
      </c>
      <c r="E89" s="1414">
        <f t="shared" si="13"/>
        <v>344631.8869797833</v>
      </c>
      <c r="F89" s="1414">
        <f t="shared" si="9"/>
        <v>22339.100778521588</v>
      </c>
      <c r="G89" s="1414">
        <f t="shared" si="11"/>
        <v>366970.98775830487</v>
      </c>
      <c r="H89" s="1102">
        <f t="shared" si="12"/>
        <v>1911617.2916508969</v>
      </c>
      <c r="I89" s="163">
        <f t="shared" si="10"/>
        <v>344631.8869797833</v>
      </c>
      <c r="O89" s="126"/>
    </row>
    <row r="90" spans="2:15">
      <c r="B90" s="124">
        <v>15</v>
      </c>
      <c r="C90" s="1243">
        <f t="shared" si="8"/>
        <v>19116.172916508971</v>
      </c>
      <c r="D90" s="1243">
        <f t="shared" si="7"/>
        <v>19116.172916508971</v>
      </c>
      <c r="E90" s="1414">
        <f t="shared" si="13"/>
        <v>344631.8869797833</v>
      </c>
      <c r="F90" s="1414">
        <f t="shared" si="9"/>
        <v>19116.172916508971</v>
      </c>
      <c r="G90" s="1414">
        <f t="shared" si="11"/>
        <v>363748.05989629228</v>
      </c>
      <c r="H90" s="1102">
        <f t="shared" si="12"/>
        <v>1586101.5775876227</v>
      </c>
      <c r="I90" s="163">
        <f t="shared" si="10"/>
        <v>344631.8869797833</v>
      </c>
      <c r="O90" s="126"/>
    </row>
    <row r="91" spans="2:15">
      <c r="B91" s="124">
        <v>16</v>
      </c>
      <c r="C91" s="1243">
        <f t="shared" si="8"/>
        <v>15861.015775876227</v>
      </c>
      <c r="D91" s="1243">
        <f t="shared" si="7"/>
        <v>15861.015775876227</v>
      </c>
      <c r="E91" s="1414">
        <f t="shared" si="13"/>
        <v>344631.8869797833</v>
      </c>
      <c r="F91" s="1414">
        <f t="shared" si="9"/>
        <v>15861.015775876227</v>
      </c>
      <c r="G91" s="1414">
        <f t="shared" si="11"/>
        <v>360492.90275565954</v>
      </c>
      <c r="H91" s="1102">
        <f t="shared" si="12"/>
        <v>1257330.7063837154</v>
      </c>
      <c r="I91" s="163">
        <f t="shared" si="10"/>
        <v>344631.8869797833</v>
      </c>
      <c r="O91" s="126"/>
    </row>
    <row r="92" spans="2:15">
      <c r="B92" s="124">
        <v>17</v>
      </c>
      <c r="C92" s="1243">
        <f t="shared" si="8"/>
        <v>12573.307063837154</v>
      </c>
      <c r="D92" s="1243">
        <f t="shared" si="7"/>
        <v>12573.307063837154</v>
      </c>
      <c r="E92" s="1414">
        <f t="shared" si="13"/>
        <v>344631.8869797833</v>
      </c>
      <c r="F92" s="1414">
        <f t="shared" si="9"/>
        <v>12573.307063837154</v>
      </c>
      <c r="G92" s="1414">
        <f t="shared" si="11"/>
        <v>357205.19404362043</v>
      </c>
      <c r="H92" s="1102">
        <f t="shared" si="12"/>
        <v>925272.12646776915</v>
      </c>
      <c r="I92" s="163">
        <f t="shared" si="10"/>
        <v>344631.8869797833</v>
      </c>
      <c r="O92" s="126"/>
    </row>
    <row r="93" spans="2:15">
      <c r="B93" s="124">
        <v>18</v>
      </c>
      <c r="C93" s="1243">
        <f t="shared" si="8"/>
        <v>9252.7212646776916</v>
      </c>
      <c r="D93" s="1243">
        <f t="shared" si="7"/>
        <v>9252.7212646776916</v>
      </c>
      <c r="E93" s="1414">
        <f t="shared" si="13"/>
        <v>344631.8869797833</v>
      </c>
      <c r="F93" s="1414">
        <f t="shared" si="9"/>
        <v>9252.7212646776916</v>
      </c>
      <c r="G93" s="1414">
        <f t="shared" si="11"/>
        <v>353884.60824446101</v>
      </c>
      <c r="H93" s="1102">
        <f t="shared" si="12"/>
        <v>589892.96075266355</v>
      </c>
      <c r="I93" s="163">
        <f t="shared" si="10"/>
        <v>344631.8869797833</v>
      </c>
      <c r="O93" s="126"/>
    </row>
    <row r="94" spans="2:15">
      <c r="B94" s="124">
        <v>19</v>
      </c>
      <c r="C94" s="1243">
        <f t="shared" si="8"/>
        <v>5898.9296075266357</v>
      </c>
      <c r="D94" s="1243">
        <f t="shared" si="7"/>
        <v>5898.9296075266357</v>
      </c>
      <c r="E94" s="1414">
        <f t="shared" si="13"/>
        <v>249131.48456369882</v>
      </c>
      <c r="F94" s="1414">
        <f t="shared" si="9"/>
        <v>5898.9296075266357</v>
      </c>
      <c r="G94" s="1414">
        <f t="shared" si="11"/>
        <v>255030.41417122545</v>
      </c>
      <c r="H94" s="1102">
        <f t="shared" si="12"/>
        <v>346660.40579649137</v>
      </c>
      <c r="I94" s="163">
        <f t="shared" si="10"/>
        <v>249131.48456369882</v>
      </c>
      <c r="O94" s="126"/>
    </row>
    <row r="95" spans="2:15">
      <c r="B95" s="124">
        <v>20</v>
      </c>
      <c r="C95" s="1243">
        <f t="shared" si="8"/>
        <v>3466.6040579649139</v>
      </c>
      <c r="D95" s="1243">
        <f t="shared" si="7"/>
        <v>3466.6040579649139</v>
      </c>
      <c r="E95" s="1414">
        <f t="shared" si="13"/>
        <v>249131.48456369882</v>
      </c>
      <c r="F95" s="1414">
        <f t="shared" si="9"/>
        <v>3466.6040579649139</v>
      </c>
      <c r="G95" s="1414">
        <f t="shared" si="11"/>
        <v>252598.08862166374</v>
      </c>
      <c r="H95" s="1102">
        <f t="shared" si="12"/>
        <v>100995.52529075748</v>
      </c>
      <c r="I95" s="163">
        <f t="shared" si="10"/>
        <v>249131.48456369882</v>
      </c>
      <c r="O95" s="126"/>
    </row>
    <row r="96" spans="2:15">
      <c r="B96" s="124">
        <v>21</v>
      </c>
      <c r="C96" s="1243">
        <f t="shared" si="8"/>
        <v>1009.9552529075747</v>
      </c>
      <c r="D96" s="1243">
        <f t="shared" si="7"/>
        <v>1009.9552529075747</v>
      </c>
      <c r="E96" s="1414">
        <f t="shared" si="13"/>
        <v>102005.48054366505</v>
      </c>
      <c r="F96" s="1414">
        <f t="shared" si="9"/>
        <v>1009.9552529075747</v>
      </c>
      <c r="G96" s="1414">
        <f t="shared" si="11"/>
        <v>103015.43579657262</v>
      </c>
      <c r="H96" s="1102">
        <f t="shared" si="12"/>
        <v>0</v>
      </c>
      <c r="I96" s="163">
        <f t="shared" si="10"/>
        <v>102005.48054366505</v>
      </c>
      <c r="O96" s="126"/>
    </row>
    <row r="97" spans="2:19">
      <c r="B97" s="124">
        <v>22</v>
      </c>
      <c r="C97" s="1243">
        <f t="shared" si="8"/>
        <v>0</v>
      </c>
      <c r="D97" s="1243">
        <f t="shared" si="7"/>
        <v>0</v>
      </c>
      <c r="E97" s="1414">
        <f t="shared" si="13"/>
        <v>0</v>
      </c>
      <c r="F97" s="1414">
        <f t="shared" si="9"/>
        <v>0</v>
      </c>
      <c r="G97" s="1414">
        <f t="shared" si="11"/>
        <v>0</v>
      </c>
      <c r="H97" s="1102">
        <f t="shared" si="12"/>
        <v>0</v>
      </c>
      <c r="I97" s="163">
        <f t="shared" si="10"/>
        <v>0</v>
      </c>
      <c r="O97" s="126"/>
    </row>
    <row r="98" spans="2:19">
      <c r="B98" s="124">
        <v>23</v>
      </c>
      <c r="C98" s="1243">
        <f t="shared" si="8"/>
        <v>0</v>
      </c>
      <c r="D98" s="1243">
        <f t="shared" si="7"/>
        <v>0</v>
      </c>
      <c r="E98" s="1414">
        <f t="shared" si="13"/>
        <v>0</v>
      </c>
      <c r="F98" s="1414">
        <f t="shared" si="9"/>
        <v>0</v>
      </c>
      <c r="G98" s="1414">
        <f t="shared" si="11"/>
        <v>0</v>
      </c>
      <c r="H98" s="1102">
        <f t="shared" si="12"/>
        <v>0</v>
      </c>
      <c r="I98" s="163">
        <f t="shared" si="10"/>
        <v>0</v>
      </c>
      <c r="O98" s="126"/>
    </row>
    <row r="99" spans="2:19">
      <c r="B99" s="124">
        <v>24</v>
      </c>
      <c r="C99" s="1243">
        <f t="shared" si="8"/>
        <v>0</v>
      </c>
      <c r="D99" s="1243">
        <f t="shared" si="7"/>
        <v>0</v>
      </c>
      <c r="E99" s="1414">
        <f t="shared" si="13"/>
        <v>0</v>
      </c>
      <c r="F99" s="1414">
        <f t="shared" si="9"/>
        <v>0</v>
      </c>
      <c r="G99" s="1414">
        <f t="shared" si="11"/>
        <v>0</v>
      </c>
      <c r="H99" s="1102">
        <f t="shared" si="12"/>
        <v>0</v>
      </c>
      <c r="I99" s="163">
        <f t="shared" si="10"/>
        <v>0</v>
      </c>
      <c r="O99" s="126"/>
    </row>
    <row r="100" spans="2:19" ht="13" thickBot="1">
      <c r="B100" s="124"/>
      <c r="C100" s="1413">
        <f>SUM(C75:C99)</f>
        <v>448109.23356284591</v>
      </c>
      <c r="D100" s="1413">
        <f>SUM(D75:D99)</f>
        <v>4088109.2335628453</v>
      </c>
      <c r="E100" s="1415">
        <f>SUM(E75:E99)</f>
        <v>4088109.2335628467</v>
      </c>
      <c r="F100" s="36">
        <f>SUM(F75:F99)</f>
        <v>448109.23356284591</v>
      </c>
      <c r="G100" s="36">
        <f>SUM(G75:G99)</f>
        <v>4536218.4671256915</v>
      </c>
      <c r="H100" s="24"/>
      <c r="I100" s="126"/>
      <c r="O100" s="126"/>
    </row>
    <row r="101" spans="2:19" ht="13.5" thickTop="1" thickBot="1">
      <c r="B101" s="124"/>
      <c r="C101" s="24"/>
      <c r="D101" s="24"/>
      <c r="E101" s="24"/>
      <c r="F101" s="24"/>
      <c r="G101" s="24"/>
      <c r="H101" s="24"/>
      <c r="I101" s="163"/>
      <c r="O101" s="126"/>
    </row>
    <row r="102" spans="2:19" ht="13.5" thickBot="1">
      <c r="B102" s="375" t="s">
        <v>797</v>
      </c>
      <c r="C102" s="418">
        <f>IRR(I75:I99)*12</f>
        <v>0.15693399659491192</v>
      </c>
      <c r="D102" s="31"/>
      <c r="E102" s="31"/>
      <c r="F102" s="31"/>
      <c r="G102" s="31"/>
      <c r="H102" s="31"/>
      <c r="I102" s="207"/>
      <c r="O102" s="126"/>
    </row>
    <row r="103" spans="2:19">
      <c r="B103" s="124"/>
      <c r="C103" s="24"/>
      <c r="D103" s="24"/>
      <c r="E103" s="24"/>
      <c r="F103" s="24"/>
      <c r="G103" s="24"/>
      <c r="H103" s="24"/>
      <c r="I103" s="24"/>
      <c r="O103" s="126"/>
    </row>
    <row r="104" spans="2:19" ht="13" thickBot="1">
      <c r="B104" s="124"/>
      <c r="C104" s="24"/>
      <c r="D104" s="24"/>
      <c r="E104" s="24"/>
      <c r="F104" s="24"/>
      <c r="G104" s="24"/>
      <c r="H104" s="24"/>
      <c r="I104" s="24"/>
      <c r="O104" s="126"/>
    </row>
    <row r="105" spans="2:19" ht="13.5" thickBot="1">
      <c r="B105" s="1547" t="s">
        <v>798</v>
      </c>
      <c r="C105" s="1538"/>
      <c r="D105" s="1538"/>
      <c r="E105" s="1538"/>
      <c r="F105" s="1538"/>
      <c r="G105" s="1538"/>
      <c r="H105" s="1538"/>
      <c r="I105" s="1538"/>
      <c r="J105" s="1538"/>
      <c r="K105" s="1539"/>
      <c r="O105" s="126"/>
    </row>
    <row r="106" spans="2:19" ht="13.5" thickBot="1">
      <c r="B106" s="124"/>
      <c r="C106" s="1103" t="s">
        <v>805</v>
      </c>
      <c r="D106" s="1697" t="s">
        <v>1597</v>
      </c>
      <c r="E106" s="1698"/>
      <c r="F106" s="1698"/>
      <c r="G106" s="1698"/>
      <c r="H106" s="1698"/>
      <c r="I106" s="1698"/>
      <c r="J106" s="1698"/>
      <c r="K106" s="1699"/>
      <c r="O106" s="126"/>
    </row>
    <row r="107" spans="2:19" ht="13">
      <c r="B107" s="404" t="s">
        <v>799</v>
      </c>
      <c r="C107" s="786">
        <v>0</v>
      </c>
      <c r="D107" s="786">
        <v>1</v>
      </c>
      <c r="E107" s="787">
        <v>2</v>
      </c>
      <c r="F107" s="787">
        <v>3</v>
      </c>
      <c r="G107" s="787">
        <v>4</v>
      </c>
      <c r="H107" s="787">
        <v>5</v>
      </c>
      <c r="I107" s="787">
        <v>6</v>
      </c>
      <c r="J107" s="787">
        <v>7</v>
      </c>
      <c r="K107" s="788">
        <v>8</v>
      </c>
      <c r="O107" s="126"/>
    </row>
    <row r="108" spans="2:19">
      <c r="B108" s="406" t="s">
        <v>800</v>
      </c>
      <c r="C108" s="24"/>
      <c r="D108" s="24"/>
      <c r="K108" s="126"/>
      <c r="O108" s="126"/>
    </row>
    <row r="109" spans="2:19">
      <c r="B109" s="388" t="s">
        <v>640</v>
      </c>
      <c r="C109" s="24">
        <f>+H37</f>
        <v>0</v>
      </c>
      <c r="D109" s="24">
        <f>SUM(H38:H40)</f>
        <v>0</v>
      </c>
      <c r="E109" s="24">
        <f>SUM(H41:H43)</f>
        <v>387600</v>
      </c>
      <c r="F109" s="24">
        <f>SUM(H44:H46)</f>
        <v>780900</v>
      </c>
      <c r="G109" s="24">
        <f>SUM(H47:H49)</f>
        <v>780900</v>
      </c>
      <c r="H109" s="24">
        <f>SUM(H50:H52)</f>
        <v>1419300</v>
      </c>
      <c r="I109" s="24">
        <f>SUM(H53:H55)</f>
        <v>1419300</v>
      </c>
      <c r="J109" s="24">
        <f>SUM(H56:H58)</f>
        <v>1026000</v>
      </c>
      <c r="K109" s="163">
        <f>SUM(H59:H61)</f>
        <v>1026000</v>
      </c>
      <c r="O109" s="126"/>
    </row>
    <row r="110" spans="2:19">
      <c r="B110" s="388" t="s">
        <v>1581</v>
      </c>
      <c r="C110" s="24">
        <f>+C37</f>
        <v>1019200</v>
      </c>
      <c r="D110" s="24">
        <f>SUM(C38:C40)</f>
        <v>1965600</v>
      </c>
      <c r="E110" s="24">
        <f>SUM(C41:C43)</f>
        <v>655200</v>
      </c>
      <c r="F110" s="24">
        <f>SUM(C44:C46)</f>
        <v>0</v>
      </c>
      <c r="G110" s="24">
        <f>SUM(C47:C49)</f>
        <v>0</v>
      </c>
      <c r="H110" s="24"/>
      <c r="I110" s="24"/>
      <c r="J110" s="24"/>
      <c r="K110" s="163"/>
      <c r="O110" s="126"/>
    </row>
    <row r="111" spans="2:19">
      <c r="B111" s="388" t="s">
        <v>801</v>
      </c>
      <c r="C111" s="24">
        <f>C75</f>
        <v>0</v>
      </c>
      <c r="D111" s="24">
        <f>SUM(C76:C78)</f>
        <v>50604.299200000001</v>
      </c>
      <c r="E111" s="24">
        <f>SUM(C79:C81)</f>
        <v>95716.723877809316</v>
      </c>
      <c r="F111" s="24">
        <f>SUM(C82:C84)</f>
        <v>100466.39188637343</v>
      </c>
      <c r="G111" s="24">
        <f>SUM(C85:C87)</f>
        <v>86273.893417159852</v>
      </c>
      <c r="H111" s="24">
        <f>SUM(C88:C90)</f>
        <v>66985.392158713163</v>
      </c>
      <c r="I111" s="24">
        <f>SUM(C91:C93)</f>
        <v>37687.044104391069</v>
      </c>
      <c r="J111" s="24">
        <f>SUM(C94:C96)</f>
        <v>10375.488918399125</v>
      </c>
      <c r="K111" s="163">
        <f>SUM(C97:C99)</f>
        <v>0</v>
      </c>
      <c r="O111" s="126"/>
    </row>
    <row r="112" spans="2:19" ht="13" thickBot="1">
      <c r="B112" s="407" t="s">
        <v>802</v>
      </c>
      <c r="C112" s="36">
        <f>+C109+C110+C111</f>
        <v>1019200</v>
      </c>
      <c r="D112" s="36">
        <f t="shared" ref="D112:K112" si="14">+D109+D110+D111</f>
        <v>2016204.2992</v>
      </c>
      <c r="E112" s="36">
        <f t="shared" si="14"/>
        <v>1138516.7238778092</v>
      </c>
      <c r="F112" s="36">
        <f t="shared" si="14"/>
        <v>881366.3918863734</v>
      </c>
      <c r="G112" s="36">
        <f t="shared" si="14"/>
        <v>867173.89341715979</v>
      </c>
      <c r="H112" s="36">
        <f t="shared" si="14"/>
        <v>1486285.3921587132</v>
      </c>
      <c r="I112" s="36">
        <f t="shared" si="14"/>
        <v>1456987.044104391</v>
      </c>
      <c r="J112" s="36">
        <f t="shared" si="14"/>
        <v>1036375.4889183991</v>
      </c>
      <c r="K112" s="403">
        <f t="shared" si="14"/>
        <v>1026000</v>
      </c>
      <c r="O112" s="126"/>
      <c r="S112" s="6"/>
    </row>
    <row r="113" spans="2:15" ht="13.5" thickTop="1">
      <c r="B113" s="388"/>
      <c r="C113" s="24"/>
      <c r="D113" s="24"/>
      <c r="K113" s="126"/>
      <c r="L113" s="794" t="s">
        <v>1244</v>
      </c>
      <c r="M113" s="785"/>
      <c r="N113" s="785"/>
      <c r="O113" s="795"/>
    </row>
    <row r="114" spans="2:15">
      <c r="B114" s="406" t="s">
        <v>803</v>
      </c>
      <c r="C114" s="24"/>
      <c r="D114" s="24"/>
      <c r="K114" s="126"/>
      <c r="L114" s="1406" t="s">
        <v>758</v>
      </c>
      <c r="M114" s="782"/>
      <c r="N114" s="782"/>
      <c r="O114" s="790"/>
    </row>
    <row r="115" spans="2:15">
      <c r="B115" s="388" t="s">
        <v>804</v>
      </c>
      <c r="C115" s="24">
        <f>+J8</f>
        <v>2400000</v>
      </c>
      <c r="D115" s="24"/>
      <c r="K115" s="126"/>
      <c r="L115" s="791">
        <f>SUM(C115:K115)</f>
        <v>2400000</v>
      </c>
      <c r="M115" s="782"/>
      <c r="N115" s="782"/>
      <c r="O115" s="790"/>
    </row>
    <row r="116" spans="2:15">
      <c r="B116" s="387" t="s">
        <v>1239</v>
      </c>
      <c r="C116" s="24">
        <v>100000</v>
      </c>
      <c r="D116" s="24"/>
      <c r="K116" s="126"/>
      <c r="L116" s="791">
        <f t="shared" ref="L116:L123" si="15">SUM(C116:K116)</f>
        <v>100000</v>
      </c>
      <c r="M116" s="782"/>
      <c r="N116" s="782"/>
      <c r="O116" s="790"/>
    </row>
    <row r="117" spans="2:15">
      <c r="B117" s="388" t="s">
        <v>676</v>
      </c>
      <c r="C117" s="24">
        <f>+O12</f>
        <v>122643.27700688537</v>
      </c>
      <c r="D117" s="24"/>
      <c r="K117" s="126"/>
      <c r="L117" s="791">
        <f t="shared" si="15"/>
        <v>122643.27700688537</v>
      </c>
      <c r="M117" s="782"/>
      <c r="N117" s="782"/>
      <c r="O117" s="790"/>
    </row>
    <row r="118" spans="2:15">
      <c r="B118" s="388" t="s">
        <v>806</v>
      </c>
      <c r="C118" s="24"/>
      <c r="D118" s="24">
        <f>SUM(E76:E78)</f>
        <v>0</v>
      </c>
      <c r="E118" s="24">
        <f>SUM(E79:E81)</f>
        <v>282349.01583885867</v>
      </c>
      <c r="F118" s="24">
        <f>SUM(E82:E84)</f>
        <v>568850.22308711219</v>
      </c>
      <c r="G118" s="24">
        <f>SUM(E85:E87)</f>
        <v>568850.22308711219</v>
      </c>
      <c r="H118" s="24">
        <f>SUM(E88:E90)</f>
        <v>1033895.6609393499</v>
      </c>
      <c r="I118" s="24">
        <f>SUM(E91:E93)</f>
        <v>1033895.6609393499</v>
      </c>
      <c r="J118" s="24">
        <f>SUM(E94:E96)</f>
        <v>600268.44967106264</v>
      </c>
      <c r="K118" s="163">
        <f>SUM(E97:E99)</f>
        <v>0</v>
      </c>
      <c r="L118" s="793" t="s">
        <v>1243</v>
      </c>
      <c r="M118" s="782"/>
      <c r="N118" s="1093" t="s">
        <v>1245</v>
      </c>
      <c r="O118" s="790"/>
    </row>
    <row r="119" spans="2:15">
      <c r="B119" s="388" t="s">
        <v>807</v>
      </c>
      <c r="C119" s="24">
        <f>C111</f>
        <v>0</v>
      </c>
      <c r="D119" s="24">
        <f t="shared" ref="D119:K119" si="16">D111</f>
        <v>50604.299200000001</v>
      </c>
      <c r="E119" s="24">
        <f t="shared" si="16"/>
        <v>95716.723877809316</v>
      </c>
      <c r="F119" s="24">
        <f t="shared" si="16"/>
        <v>100466.39188637343</v>
      </c>
      <c r="G119" s="24">
        <f t="shared" si="16"/>
        <v>86273.893417159852</v>
      </c>
      <c r="H119" s="24">
        <f t="shared" si="16"/>
        <v>66985.392158713163</v>
      </c>
      <c r="I119" s="24">
        <f t="shared" si="16"/>
        <v>37687.044104391069</v>
      </c>
      <c r="J119" s="24">
        <f t="shared" si="16"/>
        <v>10375.488918399125</v>
      </c>
      <c r="K119" s="163">
        <f t="shared" si="16"/>
        <v>0</v>
      </c>
      <c r="L119" s="791">
        <f t="shared" si="15"/>
        <v>448109.23356284597</v>
      </c>
      <c r="M119" s="782"/>
      <c r="N119" s="791">
        <f>SUM(L115:L123)</f>
        <v>6350252.5105697317</v>
      </c>
      <c r="O119" s="790"/>
    </row>
    <row r="120" spans="2:15">
      <c r="B120" s="388" t="s">
        <v>756</v>
      </c>
      <c r="C120" s="24">
        <v>19200</v>
      </c>
      <c r="D120" s="24">
        <f>SUM(C38:C40)</f>
        <v>1965600</v>
      </c>
      <c r="E120" s="24">
        <f>SUM(C41:C43)</f>
        <v>655200</v>
      </c>
      <c r="K120" s="126"/>
      <c r="L120" s="791">
        <f t="shared" si="15"/>
        <v>2640000</v>
      </c>
      <c r="M120" s="782"/>
      <c r="N120" s="1094">
        <f>O21-N119</f>
        <v>3029.9999999990687</v>
      </c>
      <c r="O120" s="792" t="s">
        <v>1241</v>
      </c>
    </row>
    <row r="121" spans="2:15">
      <c r="B121" s="388" t="s">
        <v>808</v>
      </c>
      <c r="C121" s="231"/>
      <c r="D121" s="231">
        <v>26250</v>
      </c>
      <c r="E121" s="231">
        <v>26250</v>
      </c>
      <c r="F121" s="231">
        <v>26250</v>
      </c>
      <c r="G121" s="231">
        <v>26250</v>
      </c>
      <c r="H121" s="231">
        <v>26250</v>
      </c>
      <c r="I121" s="231">
        <v>26250</v>
      </c>
      <c r="J121" s="231">
        <v>26250</v>
      </c>
      <c r="K121" s="256">
        <v>26250</v>
      </c>
      <c r="L121" s="791">
        <f t="shared" si="15"/>
        <v>210000</v>
      </c>
      <c r="M121" s="782"/>
      <c r="N121" s="789">
        <f>N119+N120</f>
        <v>6353282.5105697308</v>
      </c>
      <c r="O121" s="790"/>
    </row>
    <row r="122" spans="2:15">
      <c r="B122" s="388" t="s">
        <v>809</v>
      </c>
      <c r="C122" s="231"/>
      <c r="D122" s="231"/>
      <c r="E122" s="231"/>
      <c r="F122" s="231"/>
      <c r="G122" s="231">
        <v>43750</v>
      </c>
      <c r="H122" s="231"/>
      <c r="I122" s="231"/>
      <c r="J122" s="231"/>
      <c r="K122" s="256">
        <v>43750</v>
      </c>
      <c r="L122" s="791">
        <f t="shared" si="15"/>
        <v>87500</v>
      </c>
      <c r="M122" s="782"/>
      <c r="N122" s="782"/>
      <c r="O122" s="790"/>
    </row>
    <row r="123" spans="2:15">
      <c r="B123" s="388" t="s">
        <v>810</v>
      </c>
      <c r="C123" s="24"/>
      <c r="D123" s="24">
        <f t="shared" ref="D123:K123" si="17">D109*$J$10</f>
        <v>0</v>
      </c>
      <c r="E123" s="24">
        <f t="shared" si="17"/>
        <v>19380</v>
      </c>
      <c r="F123" s="24">
        <f t="shared" si="17"/>
        <v>39045</v>
      </c>
      <c r="G123" s="24">
        <f t="shared" si="17"/>
        <v>39045</v>
      </c>
      <c r="H123" s="24">
        <f t="shared" si="17"/>
        <v>70965</v>
      </c>
      <c r="I123" s="24">
        <f t="shared" si="17"/>
        <v>70965</v>
      </c>
      <c r="J123" s="24">
        <f t="shared" si="17"/>
        <v>51300</v>
      </c>
      <c r="K123" s="163">
        <f t="shared" si="17"/>
        <v>51300</v>
      </c>
      <c r="L123" s="791">
        <f t="shared" si="15"/>
        <v>342000</v>
      </c>
      <c r="M123" s="782"/>
      <c r="N123" s="782"/>
      <c r="O123" s="790"/>
    </row>
    <row r="124" spans="2:15" ht="13" thickBot="1">
      <c r="B124" s="388" t="s">
        <v>811</v>
      </c>
      <c r="C124" s="36">
        <f>SUM(C115:C123)</f>
        <v>2641843.2770068855</v>
      </c>
      <c r="D124" s="36">
        <f t="shared" ref="D124:K124" si="18">SUM(D115:D123)</f>
        <v>2042454.2992</v>
      </c>
      <c r="E124" s="36">
        <f t="shared" si="18"/>
        <v>1078895.7397166679</v>
      </c>
      <c r="F124" s="36">
        <f t="shared" si="18"/>
        <v>734611.61497348559</v>
      </c>
      <c r="G124" s="36">
        <f t="shared" si="18"/>
        <v>764169.11650427198</v>
      </c>
      <c r="H124" s="36">
        <f t="shared" si="18"/>
        <v>1198096.053098063</v>
      </c>
      <c r="I124" s="36">
        <f t="shared" si="18"/>
        <v>1168797.705043741</v>
      </c>
      <c r="J124" s="36">
        <f t="shared" si="18"/>
        <v>688193.93858946173</v>
      </c>
      <c r="K124" s="403">
        <f t="shared" si="18"/>
        <v>121300</v>
      </c>
      <c r="L124" s="791"/>
      <c r="M124" s="782"/>
      <c r="N124" s="782"/>
      <c r="O124" s="790"/>
    </row>
    <row r="125" spans="2:15" ht="13" thickTop="1">
      <c r="B125" s="388"/>
      <c r="C125" s="24"/>
      <c r="D125" s="24"/>
      <c r="K125" s="126"/>
      <c r="O125" s="126"/>
    </row>
    <row r="126" spans="2:15" ht="13">
      <c r="B126" s="408" t="s">
        <v>812</v>
      </c>
      <c r="C126" s="368">
        <f>+C112-C124</f>
        <v>-1622643.2770068855</v>
      </c>
      <c r="D126" s="368">
        <f t="shared" ref="D126:K126" si="19">+D112-D124</f>
        <v>-26250</v>
      </c>
      <c r="E126" s="368">
        <f t="shared" si="19"/>
        <v>59620.984161141329</v>
      </c>
      <c r="F126" s="368">
        <f t="shared" si="19"/>
        <v>146754.77691288781</v>
      </c>
      <c r="G126" s="368">
        <f t="shared" si="19"/>
        <v>103004.77691288781</v>
      </c>
      <c r="H126" s="368">
        <f t="shared" si="19"/>
        <v>288189.33906065021</v>
      </c>
      <c r="I126" s="368">
        <f t="shared" si="19"/>
        <v>288189.33906064997</v>
      </c>
      <c r="J126" s="368">
        <f t="shared" si="19"/>
        <v>348181.55032893736</v>
      </c>
      <c r="K126" s="409">
        <f t="shared" si="19"/>
        <v>904700</v>
      </c>
      <c r="O126" s="126"/>
    </row>
    <row r="127" spans="2:15" ht="13">
      <c r="B127" s="408" t="s">
        <v>1238</v>
      </c>
      <c r="C127" s="368">
        <f>SUM($C$126:C$126)</f>
        <v>-1622643.2770068855</v>
      </c>
      <c r="D127" s="368">
        <f>SUM($C$126:D$126)</f>
        <v>-1648893.2770068855</v>
      </c>
      <c r="E127" s="368">
        <f>SUM($C$126:E$126)</f>
        <v>-1589272.2928457442</v>
      </c>
      <c r="F127" s="368">
        <f>SUM($C$126:F$126)</f>
        <v>-1442517.5159328564</v>
      </c>
      <c r="G127" s="368">
        <f>SUM($C$126:G$126)</f>
        <v>-1339512.7390199685</v>
      </c>
      <c r="H127" s="368">
        <f>SUM($C$126:H$126)</f>
        <v>-1051323.3999593183</v>
      </c>
      <c r="I127" s="368">
        <f>SUM($C$126:I$126)</f>
        <v>-763134.06089866837</v>
      </c>
      <c r="J127" s="368">
        <f>SUM($C$126:J$126)</f>
        <v>-414952.51056973101</v>
      </c>
      <c r="K127" s="368">
        <f>SUM($C$126:K$126)</f>
        <v>489747.48943026899</v>
      </c>
      <c r="O127" s="126"/>
    </row>
    <row r="128" spans="2:15" ht="13" thickBot="1">
      <c r="B128" s="388"/>
      <c r="C128" s="24"/>
      <c r="D128" s="24"/>
      <c r="K128" s="126"/>
      <c r="O128" s="126"/>
    </row>
    <row r="129" spans="2:15" ht="13.5" thickBot="1">
      <c r="B129" s="168" t="s">
        <v>813</v>
      </c>
      <c r="D129" s="419">
        <f>NPV(E129/4,D126:K126)+C126</f>
        <v>41557.632892753929</v>
      </c>
      <c r="E129" s="420">
        <v>0.15</v>
      </c>
      <c r="F129" t="s">
        <v>611</v>
      </c>
      <c r="K129" s="126"/>
      <c r="O129" s="126"/>
    </row>
    <row r="130" spans="2:15" ht="13.5" thickBot="1">
      <c r="B130" s="168" t="s">
        <v>293</v>
      </c>
      <c r="C130" s="41"/>
      <c r="D130" s="155">
        <f>IRR(C126:K126)*4</f>
        <v>0.16637637695765761</v>
      </c>
      <c r="K130" s="126"/>
      <c r="O130" s="126"/>
    </row>
    <row r="131" spans="2:15" ht="13" thickBot="1">
      <c r="B131" s="134"/>
      <c r="C131" s="31"/>
      <c r="D131" s="31"/>
      <c r="E131" s="31"/>
      <c r="F131" s="4"/>
      <c r="G131" s="4"/>
      <c r="H131" s="4"/>
      <c r="I131" s="4"/>
      <c r="J131" s="4"/>
      <c r="K131" s="135"/>
      <c r="O131" s="126"/>
    </row>
    <row r="132" spans="2:15" ht="13" thickBot="1">
      <c r="B132" s="134"/>
      <c r="C132" s="31"/>
      <c r="D132" s="31"/>
      <c r="E132" s="31"/>
      <c r="F132" s="4"/>
      <c r="G132" s="4"/>
      <c r="H132" s="4"/>
      <c r="I132" s="4"/>
      <c r="J132" s="4"/>
      <c r="K132" s="4"/>
      <c r="L132" s="4"/>
      <c r="M132" s="4"/>
      <c r="N132" s="4"/>
      <c r="O132" s="135"/>
    </row>
    <row r="133" spans="2:15">
      <c r="C133" s="24"/>
      <c r="D133" s="24"/>
      <c r="E133" s="24"/>
    </row>
    <row r="134" spans="2:15">
      <c r="C134" s="24"/>
      <c r="D134" s="24"/>
      <c r="E134" s="24"/>
    </row>
    <row r="135" spans="2:15" ht="13">
      <c r="B135" s="76" t="s">
        <v>1241</v>
      </c>
      <c r="C135" s="34" t="s">
        <v>1242</v>
      </c>
      <c r="D135" s="24"/>
      <c r="E135" s="24"/>
    </row>
    <row r="136" spans="2:15">
      <c r="C136" s="24"/>
      <c r="D136" s="24"/>
      <c r="E136" s="24"/>
    </row>
    <row r="137" spans="2:15">
      <c r="C137" s="24"/>
      <c r="D137" s="24"/>
      <c r="E137" s="24"/>
    </row>
    <row r="138" spans="2:15">
      <c r="C138" s="24"/>
      <c r="D138" s="24"/>
      <c r="E138" s="24"/>
    </row>
    <row r="139" spans="2:15">
      <c r="C139" s="24"/>
      <c r="D139" s="24"/>
      <c r="E139" s="24"/>
    </row>
    <row r="140" spans="2:15">
      <c r="C140" s="24"/>
      <c r="D140" s="24"/>
      <c r="E140" s="24"/>
    </row>
    <row r="141" spans="2:15">
      <c r="C141" s="24"/>
      <c r="D141" s="24"/>
      <c r="E141" s="24"/>
    </row>
    <row r="142" spans="2:15">
      <c r="C142" s="24"/>
      <c r="D142" s="24"/>
      <c r="E142" s="24"/>
    </row>
    <row r="143" spans="2:15">
      <c r="C143" s="24"/>
      <c r="D143" s="24"/>
      <c r="E143" s="24"/>
    </row>
    <row r="144" spans="2:15">
      <c r="C144" s="24"/>
      <c r="D144" s="24"/>
      <c r="E144" s="24"/>
    </row>
    <row r="145" spans="3:5">
      <c r="C145" s="24"/>
      <c r="D145" s="24"/>
      <c r="E145" s="24"/>
    </row>
    <row r="146" spans="3:5">
      <c r="C146" s="24"/>
      <c r="D146" s="24"/>
      <c r="E146" s="24"/>
    </row>
    <row r="147" spans="3:5">
      <c r="C147" s="24"/>
      <c r="D147" s="24"/>
      <c r="E147" s="24"/>
    </row>
    <row r="148" spans="3:5">
      <c r="C148" s="24"/>
      <c r="D148" s="24"/>
      <c r="E148" s="24"/>
    </row>
    <row r="149" spans="3:5">
      <c r="C149" s="24"/>
      <c r="D149" s="24"/>
      <c r="E149" s="24"/>
    </row>
    <row r="150" spans="3:5">
      <c r="C150" s="24"/>
      <c r="D150" s="24"/>
      <c r="E150" s="24"/>
    </row>
    <row r="151" spans="3:5">
      <c r="C151" s="24"/>
      <c r="D151" s="24"/>
      <c r="E151" s="24"/>
    </row>
    <row r="152" spans="3:5">
      <c r="C152" s="24"/>
      <c r="D152" s="24"/>
      <c r="E152" s="24"/>
    </row>
    <row r="153" spans="3:5">
      <c r="C153" s="24"/>
      <c r="D153" s="24"/>
      <c r="E153" s="24"/>
    </row>
    <row r="154" spans="3:5">
      <c r="C154" s="24"/>
      <c r="D154" s="24"/>
      <c r="E154" s="24"/>
    </row>
    <row r="155" spans="3:5">
      <c r="C155" s="24"/>
      <c r="D155" s="24"/>
      <c r="E155" s="24"/>
    </row>
    <row r="156" spans="3:5">
      <c r="C156" s="24"/>
      <c r="D156" s="24"/>
      <c r="E156" s="24"/>
    </row>
    <row r="157" spans="3:5">
      <c r="C157" s="24"/>
      <c r="D157" s="24"/>
      <c r="E157" s="24"/>
    </row>
    <row r="158" spans="3:5">
      <c r="C158" s="24"/>
      <c r="D158" s="24"/>
      <c r="E158" s="24"/>
    </row>
    <row r="159" spans="3:5">
      <c r="C159" s="24"/>
      <c r="D159" s="24"/>
      <c r="E159" s="24"/>
    </row>
    <row r="160" spans="3:5">
      <c r="C160" s="24"/>
      <c r="D160" s="24"/>
      <c r="E160" s="24"/>
    </row>
    <row r="161" spans="3:5">
      <c r="C161" s="24"/>
      <c r="D161" s="24"/>
      <c r="E161" s="24"/>
    </row>
    <row r="162" spans="3:5">
      <c r="C162" s="24"/>
      <c r="D162" s="24"/>
      <c r="E162" s="24"/>
    </row>
    <row r="163" spans="3:5">
      <c r="C163" s="24"/>
      <c r="D163" s="24"/>
      <c r="E163" s="24"/>
    </row>
    <row r="164" spans="3:5">
      <c r="C164" s="24"/>
      <c r="D164" s="24"/>
      <c r="E164" s="24"/>
    </row>
    <row r="165" spans="3:5">
      <c r="C165" s="24"/>
      <c r="D165" s="24"/>
      <c r="E165" s="24"/>
    </row>
    <row r="166" spans="3:5">
      <c r="C166" s="24"/>
      <c r="D166" s="24"/>
      <c r="E166" s="24"/>
    </row>
    <row r="167" spans="3:5">
      <c r="C167" s="24"/>
      <c r="D167" s="24"/>
      <c r="E167" s="24"/>
    </row>
    <row r="168" spans="3:5">
      <c r="C168" s="24"/>
      <c r="D168" s="24"/>
      <c r="E168" s="24"/>
    </row>
    <row r="169" spans="3:5">
      <c r="C169" s="24"/>
      <c r="D169" s="24"/>
      <c r="E169" s="24"/>
    </row>
    <row r="170" spans="3:5">
      <c r="C170" s="24"/>
      <c r="D170" s="24"/>
      <c r="E170" s="24"/>
    </row>
    <row r="171" spans="3:5">
      <c r="C171" s="24"/>
      <c r="D171" s="24"/>
      <c r="E171" s="24"/>
    </row>
    <row r="172" spans="3:5">
      <c r="C172" s="24"/>
      <c r="D172" s="24"/>
      <c r="E172" s="24"/>
    </row>
    <row r="173" spans="3:5">
      <c r="C173" s="24"/>
      <c r="D173" s="24"/>
      <c r="E173" s="24"/>
    </row>
    <row r="174" spans="3:5">
      <c r="C174" s="24"/>
      <c r="D174" s="24"/>
      <c r="E174" s="24"/>
    </row>
    <row r="175" spans="3:5">
      <c r="C175" s="24"/>
      <c r="D175" s="24"/>
      <c r="E175" s="24"/>
    </row>
    <row r="176" spans="3:5">
      <c r="C176" s="24"/>
      <c r="D176" s="24"/>
      <c r="E176" s="24"/>
    </row>
    <row r="177" spans="3:5">
      <c r="C177" s="24"/>
      <c r="D177" s="24"/>
      <c r="E177" s="24"/>
    </row>
    <row r="178" spans="3:5">
      <c r="C178" s="24"/>
      <c r="D178" s="24"/>
      <c r="E178" s="24"/>
    </row>
    <row r="179" spans="3:5">
      <c r="C179" s="24"/>
      <c r="D179" s="24"/>
      <c r="E179" s="24"/>
    </row>
    <row r="180" spans="3:5">
      <c r="C180" s="24"/>
      <c r="D180" s="24"/>
      <c r="E180" s="24"/>
    </row>
    <row r="181" spans="3:5">
      <c r="C181" s="24"/>
      <c r="D181" s="24"/>
      <c r="E181" s="24"/>
    </row>
    <row r="182" spans="3:5">
      <c r="C182" s="24"/>
      <c r="D182" s="24"/>
      <c r="E182" s="24"/>
    </row>
    <row r="183" spans="3:5">
      <c r="C183" s="24"/>
      <c r="D183" s="24"/>
      <c r="E183" s="24"/>
    </row>
    <row r="184" spans="3:5">
      <c r="C184" s="24"/>
      <c r="D184" s="24"/>
      <c r="E184" s="24"/>
    </row>
    <row r="185" spans="3:5">
      <c r="C185" s="24"/>
      <c r="D185" s="24"/>
      <c r="E185" s="24"/>
    </row>
    <row r="186" spans="3:5">
      <c r="C186" s="24"/>
      <c r="D186" s="24"/>
      <c r="E186" s="24"/>
    </row>
    <row r="187" spans="3:5">
      <c r="C187" s="24"/>
      <c r="D187" s="24"/>
      <c r="E187" s="24"/>
    </row>
    <row r="188" spans="3:5">
      <c r="C188" s="24"/>
      <c r="D188" s="24"/>
      <c r="E188" s="24"/>
    </row>
    <row r="189" spans="3:5">
      <c r="C189" s="24"/>
      <c r="D189" s="24"/>
      <c r="E189" s="24"/>
    </row>
    <row r="190" spans="3:5">
      <c r="C190" s="24"/>
      <c r="D190" s="24"/>
      <c r="E190" s="24"/>
    </row>
    <row r="191" spans="3:5">
      <c r="C191" s="24"/>
      <c r="D191" s="24"/>
      <c r="E191" s="24"/>
    </row>
    <row r="192" spans="3:5">
      <c r="C192" s="24"/>
      <c r="D192" s="24"/>
      <c r="E192" s="24"/>
    </row>
    <row r="193" spans="3:5">
      <c r="C193" s="24"/>
      <c r="D193" s="24"/>
      <c r="E193" s="24"/>
    </row>
    <row r="194" spans="3:5">
      <c r="C194" s="24"/>
      <c r="D194" s="24"/>
      <c r="E194" s="24"/>
    </row>
    <row r="195" spans="3:5">
      <c r="C195" s="24"/>
      <c r="D195" s="24"/>
      <c r="E195" s="24"/>
    </row>
    <row r="196" spans="3:5">
      <c r="C196" s="24"/>
      <c r="D196" s="24"/>
      <c r="E196" s="24"/>
    </row>
    <row r="197" spans="3:5">
      <c r="C197" s="24"/>
      <c r="D197" s="24"/>
      <c r="E197" s="24"/>
    </row>
    <row r="198" spans="3:5">
      <c r="C198" s="24"/>
      <c r="D198" s="24"/>
      <c r="E198" s="24"/>
    </row>
    <row r="199" spans="3:5">
      <c r="C199" s="24"/>
      <c r="D199" s="24"/>
      <c r="E199" s="24"/>
    </row>
  </sheetData>
  <mergeCells count="17">
    <mergeCell ref="B2:O2"/>
    <mergeCell ref="B3:O3"/>
    <mergeCell ref="B5:L5"/>
    <mergeCell ref="M25:N25"/>
    <mergeCell ref="B13:G13"/>
    <mergeCell ref="B6:E6"/>
    <mergeCell ref="M6:O6"/>
    <mergeCell ref="I13:K13"/>
    <mergeCell ref="B4:O4"/>
    <mergeCell ref="B22:C22"/>
    <mergeCell ref="E22:H22"/>
    <mergeCell ref="M23:O23"/>
    <mergeCell ref="D106:K106"/>
    <mergeCell ref="B34:L34"/>
    <mergeCell ref="B72:I72"/>
    <mergeCell ref="B105:K105"/>
    <mergeCell ref="M7:O7"/>
  </mergeCells>
  <phoneticPr fontId="0" type="noConversion"/>
  <pageMargins left="0.75" right="0.75" top="1" bottom="1" header="0.5" footer="0.5"/>
  <pageSetup orientation="portrait" r:id="rId1"/>
  <headerFooter alignWithMargins="0"/>
  <ignoredErrors>
    <ignoredError sqref="D110:E120" formulaRange="1"/>
    <ignoredError sqref="E17" formula="1"/>
  </ignoredErrors>
  <drawing r:id="rId2"/>
  <legacyDrawing r:id="rId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EBB901"/>
  </sheetPr>
  <dimension ref="A1:U76"/>
  <sheetViews>
    <sheetView zoomScale="110" zoomScaleNormal="110" workbookViewId="0"/>
  </sheetViews>
  <sheetFormatPr defaultColWidth="9.1796875" defaultRowHeight="12.5"/>
  <cols>
    <col min="1" max="1" width="7.81640625" style="991" customWidth="1"/>
    <col min="2" max="2" width="15" style="991" customWidth="1"/>
    <col min="3" max="3" width="14.7265625" style="991" customWidth="1"/>
    <col min="4" max="4" width="16.54296875" style="991" customWidth="1"/>
    <col min="5" max="5" width="13.81640625" style="991" customWidth="1"/>
    <col min="6" max="6" width="14.81640625" style="991" customWidth="1"/>
    <col min="7" max="8" width="16.7265625" style="991" customWidth="1"/>
    <col min="9" max="9" width="14.54296875" style="991" customWidth="1"/>
    <col min="10" max="10" width="16.453125" style="991" bestFit="1" customWidth="1"/>
    <col min="11" max="13" width="16.453125" style="991" customWidth="1"/>
    <col min="14" max="14" width="6" style="991" customWidth="1"/>
    <col min="15" max="15" width="15.54296875" style="991" customWidth="1"/>
    <col min="16" max="16" width="17.1796875" style="991" customWidth="1"/>
    <col min="17" max="17" width="16.7265625" style="991" customWidth="1"/>
    <col min="18" max="18" width="11.7265625" style="991" bestFit="1" customWidth="1"/>
    <col min="19" max="19" width="14.26953125" style="991" customWidth="1"/>
    <col min="20" max="20" width="11.7265625" style="991" bestFit="1" customWidth="1"/>
    <col min="21" max="16384" width="9.1796875" style="991"/>
  </cols>
  <sheetData>
    <row r="1" spans="2:21" ht="13.5" thickBot="1">
      <c r="B1" s="1040" t="s">
        <v>1755</v>
      </c>
    </row>
    <row r="2" spans="2:21" ht="18.5" thickBot="1">
      <c r="B2" s="1712" t="s">
        <v>1754</v>
      </c>
      <c r="C2" s="1713"/>
      <c r="D2" s="1713"/>
      <c r="E2" s="1713"/>
      <c r="F2" s="1713"/>
      <c r="G2" s="1713"/>
      <c r="H2" s="1713"/>
      <c r="I2" s="1713"/>
      <c r="J2" s="1714"/>
    </row>
    <row r="3" spans="2:21" ht="13" thickBot="1"/>
    <row r="4" spans="2:21" ht="13.5" thickBot="1">
      <c r="B4" s="1715" t="s">
        <v>662</v>
      </c>
      <c r="C4" s="1716"/>
      <c r="D4" s="1717"/>
    </row>
    <row r="5" spans="2:21" ht="13" thickBot="1">
      <c r="B5" s="1280" t="s">
        <v>1519</v>
      </c>
      <c r="C5" s="1281"/>
      <c r="D5" s="1282">
        <v>50000000</v>
      </c>
    </row>
    <row r="6" spans="2:21" ht="13" thickBot="1">
      <c r="B6" s="1276"/>
      <c r="D6" s="1026"/>
    </row>
    <row r="7" spans="2:21">
      <c r="B7" s="1277" t="s">
        <v>1429</v>
      </c>
      <c r="C7" s="1278"/>
      <c r="D7" s="1279">
        <v>45000000</v>
      </c>
      <c r="E7" s="1261">
        <f>D7/$D$5</f>
        <v>0.9</v>
      </c>
    </row>
    <row r="8" spans="2:21" ht="13" thickBot="1">
      <c r="B8" s="1048" t="s">
        <v>1428</v>
      </c>
      <c r="C8" s="1047"/>
      <c r="D8" s="1260">
        <v>5000000</v>
      </c>
      <c r="E8" s="1262">
        <f>D8/$D$5</f>
        <v>0.1</v>
      </c>
    </row>
    <row r="9" spans="2:21" ht="14.25" customHeight="1" thickBot="1">
      <c r="R9" s="1046"/>
      <c r="S9" s="1046"/>
      <c r="T9" s="1046"/>
    </row>
    <row r="10" spans="2:21" ht="12.75" customHeight="1" thickBot="1">
      <c r="B10" s="943" t="s">
        <v>1489</v>
      </c>
      <c r="C10" s="1011"/>
      <c r="D10" s="1011"/>
      <c r="E10" s="1011"/>
      <c r="F10" s="1011"/>
      <c r="G10" s="1011"/>
      <c r="H10" s="1010"/>
      <c r="R10" s="1046"/>
      <c r="S10" s="1046"/>
      <c r="T10" s="1046"/>
    </row>
    <row r="11" spans="2:21" ht="12.75" customHeight="1">
      <c r="B11" s="1353" t="s">
        <v>1564</v>
      </c>
      <c r="C11" s="1354"/>
      <c r="D11" s="1355">
        <v>0.05</v>
      </c>
      <c r="E11" s="1286" t="s">
        <v>1602</v>
      </c>
      <c r="F11" s="1009"/>
      <c r="G11" s="1009"/>
      <c r="H11" s="1018"/>
      <c r="R11" s="1046"/>
      <c r="S11" s="1046"/>
      <c r="T11" s="1046"/>
    </row>
    <row r="12" spans="2:21" ht="12.75" customHeight="1">
      <c r="B12" s="1356" t="s">
        <v>1565</v>
      </c>
      <c r="C12" s="1357"/>
      <c r="D12" s="1358">
        <v>0.12</v>
      </c>
      <c r="E12" s="1285" t="s">
        <v>1643</v>
      </c>
      <c r="H12" s="1013"/>
      <c r="R12" s="1046"/>
      <c r="S12" s="1046"/>
      <c r="T12" s="1046"/>
    </row>
    <row r="13" spans="2:21" ht="12.75" customHeight="1">
      <c r="B13" s="1356" t="s">
        <v>1566</v>
      </c>
      <c r="C13" s="1357"/>
      <c r="D13" s="1358">
        <v>0.5</v>
      </c>
      <c r="H13" s="1013"/>
      <c r="R13" s="1046"/>
      <c r="S13" s="1046"/>
      <c r="T13" s="1046"/>
    </row>
    <row r="14" spans="2:21" ht="12.75" customHeight="1" thickBot="1">
      <c r="B14" s="1359" t="s">
        <v>1567</v>
      </c>
      <c r="C14" s="1360"/>
      <c r="D14" s="1361">
        <v>0.5</v>
      </c>
      <c r="E14" s="993"/>
      <c r="F14" s="993"/>
      <c r="G14" s="993"/>
      <c r="H14" s="992"/>
      <c r="R14" s="1046"/>
      <c r="S14" s="1046"/>
      <c r="T14" s="1046"/>
    </row>
    <row r="15" spans="2:21" ht="12.75" customHeight="1" thickBot="1"/>
    <row r="16" spans="2:21" ht="13.5" thickBot="1">
      <c r="B16" s="1012" t="s">
        <v>1458</v>
      </c>
      <c r="C16" s="1011"/>
      <c r="D16" s="1011"/>
      <c r="E16" s="1010"/>
      <c r="F16" s="1045"/>
      <c r="G16" s="1045"/>
      <c r="H16" s="1044"/>
      <c r="I16" s="1031"/>
      <c r="J16" s="1031"/>
      <c r="K16" s="1031"/>
      <c r="L16" s="1031"/>
      <c r="M16" s="1031"/>
      <c r="N16" s="1031"/>
      <c r="O16" s="1031"/>
      <c r="P16" s="1031"/>
      <c r="Q16" s="1031"/>
      <c r="R16" s="1031"/>
      <c r="S16" s="1031"/>
      <c r="T16" s="1031"/>
      <c r="U16" s="1031"/>
    </row>
    <row r="17" spans="1:21">
      <c r="B17" s="1002"/>
      <c r="C17" s="1043"/>
      <c r="G17" s="1026"/>
      <c r="H17" s="1013"/>
      <c r="I17" s="1026"/>
      <c r="J17" s="1026"/>
      <c r="K17" s="1026"/>
      <c r="L17" s="1026"/>
      <c r="M17" s="1026"/>
      <c r="N17" s="1026"/>
      <c r="P17" s="1026"/>
      <c r="S17" s="1026"/>
      <c r="T17" s="1026"/>
      <c r="U17" s="1026"/>
    </row>
    <row r="18" spans="1:21" ht="13">
      <c r="B18" s="1049" t="s">
        <v>262</v>
      </c>
      <c r="C18" s="1006">
        <v>0</v>
      </c>
      <c r="D18" s="1005">
        <v>1</v>
      </c>
      <c r="E18" s="1006">
        <v>2</v>
      </c>
      <c r="F18" s="1006">
        <v>3</v>
      </c>
      <c r="G18" s="1005">
        <v>4</v>
      </c>
      <c r="H18" s="1004">
        <v>5</v>
      </c>
      <c r="I18" s="1026"/>
      <c r="J18" s="1026"/>
      <c r="K18" s="1026"/>
      <c r="L18" s="1026"/>
      <c r="M18" s="1026"/>
      <c r="N18" s="1026"/>
      <c r="P18" s="1026"/>
      <c r="Q18" s="1026"/>
      <c r="S18" s="1026"/>
      <c r="T18" s="1026"/>
      <c r="U18" s="1026"/>
    </row>
    <row r="19" spans="1:21">
      <c r="B19" s="1002" t="s">
        <v>1427</v>
      </c>
      <c r="C19" s="1017">
        <f>-(D7+D8)</f>
        <v>-50000000</v>
      </c>
      <c r="D19" s="1026"/>
      <c r="G19" s="1026"/>
      <c r="H19" s="1029"/>
      <c r="I19" s="1026"/>
      <c r="J19" s="1026"/>
      <c r="K19" s="1026"/>
      <c r="L19" s="1026"/>
      <c r="M19" s="1026"/>
      <c r="N19" s="1026"/>
      <c r="P19" s="1026"/>
      <c r="Q19" s="1026"/>
      <c r="S19" s="1026"/>
      <c r="T19" s="1026"/>
      <c r="U19" s="1026"/>
    </row>
    <row r="20" spans="1:21">
      <c r="B20" s="1002" t="s">
        <v>1426</v>
      </c>
      <c r="D20" s="1017">
        <v>1000000</v>
      </c>
      <c r="E20" s="1017">
        <v>2000000</v>
      </c>
      <c r="F20" s="1017">
        <v>5000000</v>
      </c>
      <c r="G20" s="1017">
        <v>6000000</v>
      </c>
      <c r="H20" s="1025">
        <v>6500000</v>
      </c>
      <c r="I20" s="1026"/>
      <c r="J20" s="1026"/>
      <c r="K20" s="1026"/>
      <c r="L20" s="1026"/>
      <c r="M20" s="1026"/>
      <c r="N20" s="1026"/>
      <c r="P20" s="1026"/>
      <c r="Q20" s="1026"/>
      <c r="S20" s="1026"/>
      <c r="T20" s="1026"/>
      <c r="U20" s="1026"/>
    </row>
    <row r="21" spans="1:21">
      <c r="B21" s="1002" t="s">
        <v>1425</v>
      </c>
      <c r="C21" s="1016"/>
      <c r="D21" s="1042"/>
      <c r="E21" s="1016"/>
      <c r="F21" s="1016"/>
      <c r="G21" s="1042"/>
      <c r="H21" s="1015">
        <v>75000000</v>
      </c>
      <c r="I21" s="1026"/>
      <c r="J21" s="1026"/>
      <c r="K21" s="1026"/>
      <c r="L21" s="1026"/>
      <c r="M21" s="1026"/>
      <c r="N21" s="1026"/>
      <c r="P21" s="1026"/>
      <c r="Q21" s="1026"/>
      <c r="S21" s="1026"/>
      <c r="T21" s="1026"/>
      <c r="U21" s="1026"/>
    </row>
    <row r="22" spans="1:21">
      <c r="B22" s="1002" t="s">
        <v>292</v>
      </c>
      <c r="C22" s="1017">
        <f t="shared" ref="C22:H22" si="0">SUM(C19:C21)</f>
        <v>-50000000</v>
      </c>
      <c r="D22" s="1017">
        <f t="shared" si="0"/>
        <v>1000000</v>
      </c>
      <c r="E22" s="1017">
        <f t="shared" si="0"/>
        <v>2000000</v>
      </c>
      <c r="F22" s="1017">
        <f t="shared" si="0"/>
        <v>5000000</v>
      </c>
      <c r="G22" s="1017">
        <f t="shared" si="0"/>
        <v>6000000</v>
      </c>
      <c r="H22" s="1025">
        <f t="shared" si="0"/>
        <v>81500000</v>
      </c>
      <c r="I22" s="1026"/>
      <c r="J22" s="1026"/>
      <c r="K22" s="1026"/>
      <c r="L22" s="1026"/>
      <c r="M22" s="1026"/>
      <c r="N22" s="1026"/>
      <c r="O22" s="1026"/>
      <c r="P22" s="1026"/>
      <c r="Q22" s="1026"/>
      <c r="R22" s="1026"/>
      <c r="S22" s="1026"/>
      <c r="T22" s="1026"/>
      <c r="U22" s="1026"/>
    </row>
    <row r="23" spans="1:21" ht="13">
      <c r="B23" s="1007" t="s">
        <v>1424</v>
      </c>
      <c r="C23" s="1039">
        <f>IRR(C22:H22)</f>
        <v>0.14810898563766695</v>
      </c>
      <c r="D23" s="1040"/>
      <c r="E23" s="1040"/>
      <c r="F23" s="1040"/>
      <c r="G23" s="1035"/>
      <c r="H23" s="1041"/>
      <c r="I23" s="1040"/>
      <c r="J23" s="1040"/>
      <c r="K23" s="1040"/>
      <c r="L23" s="1040"/>
      <c r="M23" s="1040"/>
      <c r="N23" s="1040"/>
      <c r="O23" s="1039"/>
      <c r="P23" s="1035"/>
      <c r="Q23" s="1039"/>
      <c r="S23" s="1035"/>
      <c r="T23" s="1035"/>
    </row>
    <row r="24" spans="1:21" ht="13" thickBot="1">
      <c r="B24" s="1002"/>
      <c r="H24" s="1013"/>
    </row>
    <row r="25" spans="1:21" ht="13.5" thickBot="1">
      <c r="B25" s="1012" t="s">
        <v>1560</v>
      </c>
      <c r="C25" s="1011"/>
      <c r="D25" s="1011"/>
      <c r="E25" s="1010"/>
      <c r="H25" s="1013"/>
    </row>
    <row r="26" spans="1:21" ht="13">
      <c r="B26" s="1007"/>
      <c r="H26" s="1013"/>
    </row>
    <row r="27" spans="1:21" ht="12" customHeight="1">
      <c r="B27" s="1002" t="s">
        <v>1420</v>
      </c>
      <c r="D27" s="1000">
        <f>D20</f>
        <v>1000000</v>
      </c>
      <c r="E27" s="1000">
        <f>E20</f>
        <v>2000000</v>
      </c>
      <c r="F27" s="1000">
        <f>F20</f>
        <v>5000000</v>
      </c>
      <c r="G27" s="1000">
        <f>G20</f>
        <v>6000000</v>
      </c>
      <c r="H27" s="999">
        <f>H20</f>
        <v>6500000</v>
      </c>
    </row>
    <row r="28" spans="1:21">
      <c r="B28" s="1002"/>
      <c r="H28" s="1013"/>
      <c r="J28" s="1036"/>
      <c r="K28" s="1036"/>
      <c r="L28" s="1036"/>
      <c r="M28" s="1036"/>
      <c r="N28" s="1036"/>
      <c r="R28" s="1026"/>
    </row>
    <row r="29" spans="1:21">
      <c r="A29" s="991" t="s">
        <v>1419</v>
      </c>
      <c r="B29" s="1154" t="s">
        <v>1423</v>
      </c>
      <c r="C29" s="1155"/>
      <c r="D29" s="1156">
        <f>-IF($D$11*$D$7&gt;D27,D27,$D$11*$D$7)</f>
        <v>-1000000</v>
      </c>
      <c r="E29" s="1156">
        <f t="shared" ref="E29:H29" si="1">-IF($D$11*$D$7&gt;E27,E27,$D$11*$D$7)</f>
        <v>-2000000</v>
      </c>
      <c r="F29" s="1156">
        <f t="shared" si="1"/>
        <v>-2250000</v>
      </c>
      <c r="G29" s="1156">
        <f t="shared" si="1"/>
        <v>-2250000</v>
      </c>
      <c r="H29" s="1157">
        <f t="shared" si="1"/>
        <v>-2250000</v>
      </c>
      <c r="J29" s="1036"/>
      <c r="K29" s="1036"/>
      <c r="L29" s="1036"/>
      <c r="M29" s="1036"/>
      <c r="N29" s="1036"/>
      <c r="O29" s="1026"/>
      <c r="R29" s="1026"/>
    </row>
    <row r="30" spans="1:21" ht="13">
      <c r="B30" s="1021" t="s">
        <v>308</v>
      </c>
      <c r="C30" s="1026"/>
      <c r="D30" s="1017">
        <f>D27+D29</f>
        <v>0</v>
      </c>
      <c r="E30" s="1017">
        <f>E27+E29</f>
        <v>0</v>
      </c>
      <c r="F30" s="1017">
        <f>F27+F29</f>
        <v>2750000</v>
      </c>
      <c r="G30" s="1017">
        <f>G27+G29</f>
        <v>3750000</v>
      </c>
      <c r="H30" s="1025">
        <f>H27+H29</f>
        <v>4250000</v>
      </c>
      <c r="J30" s="1036"/>
      <c r="K30" s="1036"/>
      <c r="L30" s="1036"/>
      <c r="M30" s="1036"/>
      <c r="N30" s="1036"/>
      <c r="O30" s="1026"/>
      <c r="R30" s="1026"/>
    </row>
    <row r="31" spans="1:21">
      <c r="B31" s="1030"/>
      <c r="C31" s="1026"/>
      <c r="D31" s="1026"/>
      <c r="F31" s="1026"/>
      <c r="G31" s="1026"/>
      <c r="H31" s="1029"/>
      <c r="J31" s="1036"/>
      <c r="K31" s="1036"/>
      <c r="L31" s="1036"/>
      <c r="M31" s="1036"/>
      <c r="N31" s="1036"/>
      <c r="O31" s="1026"/>
      <c r="R31" s="1026"/>
    </row>
    <row r="32" spans="1:21">
      <c r="A32" s="991" t="s">
        <v>1418</v>
      </c>
      <c r="B32" s="1038" t="s">
        <v>1422</v>
      </c>
      <c r="C32" s="1037"/>
      <c r="D32" s="1033">
        <f>-IF($D$11*$D$8&gt;D30,D30,$D$11*$D$8)</f>
        <v>0</v>
      </c>
      <c r="E32" s="1033">
        <f t="shared" ref="E32:H32" si="2">-IF($D$11*$D$8&gt;E30,E30,$D$11*$D$8)</f>
        <v>0</v>
      </c>
      <c r="F32" s="1033">
        <f t="shared" si="2"/>
        <v>-250000</v>
      </c>
      <c r="G32" s="1033">
        <f t="shared" si="2"/>
        <v>-250000</v>
      </c>
      <c r="H32" s="1022">
        <f t="shared" si="2"/>
        <v>-250000</v>
      </c>
      <c r="J32" s="1036"/>
      <c r="K32" s="1036"/>
      <c r="L32" s="1036"/>
      <c r="M32" s="1036"/>
      <c r="N32" s="1036"/>
      <c r="O32" s="1026"/>
      <c r="R32" s="1026"/>
    </row>
    <row r="33" spans="1:18" ht="13">
      <c r="B33" s="1021" t="s">
        <v>308</v>
      </c>
      <c r="C33" s="1026"/>
      <c r="D33" s="1017">
        <f>D30+D32</f>
        <v>0</v>
      </c>
      <c r="E33" s="1017">
        <f>E30+E32</f>
        <v>0</v>
      </c>
      <c r="F33" s="1017">
        <f>F30+F32</f>
        <v>2500000</v>
      </c>
      <c r="G33" s="1017">
        <f>G30+G32</f>
        <v>3500000</v>
      </c>
      <c r="H33" s="1025">
        <f>H30+H32</f>
        <v>4000000</v>
      </c>
      <c r="J33" s="1036"/>
      <c r="K33" s="1036"/>
      <c r="L33" s="1036"/>
      <c r="M33" s="1036"/>
      <c r="N33" s="1036"/>
      <c r="O33" s="1026"/>
      <c r="P33" s="1026"/>
      <c r="Q33" s="1026"/>
      <c r="R33" s="1026"/>
    </row>
    <row r="34" spans="1:18">
      <c r="B34" s="1002"/>
      <c r="H34" s="1013"/>
    </row>
    <row r="35" spans="1:18" ht="13">
      <c r="A35" s="991" t="s">
        <v>1416</v>
      </c>
      <c r="B35" s="1152" t="s">
        <v>1411</v>
      </c>
      <c r="C35" s="1153"/>
      <c r="D35" s="1158">
        <f>-IF(D33&gt;0,$D$13*D33,0)</f>
        <v>0</v>
      </c>
      <c r="E35" s="1158">
        <f t="shared" ref="E35:H35" si="3">-IF(E33&gt;0,$D$13*E33,0)</f>
        <v>0</v>
      </c>
      <c r="F35" s="1158">
        <f t="shared" si="3"/>
        <v>-1250000</v>
      </c>
      <c r="G35" s="1158">
        <f t="shared" si="3"/>
        <v>-1750000</v>
      </c>
      <c r="H35" s="1159">
        <f t="shared" si="3"/>
        <v>-2000000</v>
      </c>
      <c r="R35" s="1035"/>
    </row>
    <row r="36" spans="1:18">
      <c r="B36" s="998" t="s">
        <v>1410</v>
      </c>
      <c r="C36" s="1034"/>
      <c r="D36" s="1033">
        <f>-IF(D33&gt;0,$D$14*D33,0)</f>
        <v>0</v>
      </c>
      <c r="E36" s="1033">
        <f t="shared" ref="E36:H36" si="4">-IF(E33&gt;0,$D$14*E33,0)</f>
        <v>0</v>
      </c>
      <c r="F36" s="1033">
        <f t="shared" si="4"/>
        <v>-1250000</v>
      </c>
      <c r="G36" s="1033">
        <f t="shared" si="4"/>
        <v>-1750000</v>
      </c>
      <c r="H36" s="1022">
        <f t="shared" si="4"/>
        <v>-2000000</v>
      </c>
    </row>
    <row r="37" spans="1:18" ht="13.5" thickBot="1">
      <c r="B37" s="1021" t="s">
        <v>308</v>
      </c>
      <c r="D37" s="1020">
        <f>D33+D35+D36</f>
        <v>0</v>
      </c>
      <c r="E37" s="1020">
        <f>E33+E35+E36</f>
        <v>0</v>
      </c>
      <c r="F37" s="1020">
        <f>F33+F35+F36</f>
        <v>0</v>
      </c>
      <c r="G37" s="1020">
        <f>G33+G35+G36</f>
        <v>0</v>
      </c>
      <c r="H37" s="1019">
        <f>H33+H35+H36</f>
        <v>0</v>
      </c>
    </row>
    <row r="38" spans="1:18" ht="14" thickTop="1" thickBot="1">
      <c r="B38" s="1032"/>
      <c r="C38" s="1031"/>
      <c r="D38" s="1031"/>
      <c r="H38" s="1013"/>
    </row>
    <row r="39" spans="1:18" ht="13.5" thickBot="1">
      <c r="B39" s="1012" t="s">
        <v>1421</v>
      </c>
      <c r="C39" s="1011"/>
      <c r="D39" s="1011"/>
      <c r="E39" s="1010"/>
      <c r="H39" s="1013"/>
    </row>
    <row r="40" spans="1:18" ht="13">
      <c r="B40" s="1007"/>
      <c r="H40" s="1013"/>
    </row>
    <row r="41" spans="1:18">
      <c r="B41" s="1002" t="s">
        <v>1420</v>
      </c>
      <c r="D41" s="1000"/>
      <c r="E41" s="1000"/>
      <c r="F41" s="1000"/>
      <c r="G41" s="1000"/>
      <c r="H41" s="999">
        <f>H21</f>
        <v>75000000</v>
      </c>
    </row>
    <row r="42" spans="1:18">
      <c r="B42" s="1002"/>
      <c r="H42" s="1013"/>
    </row>
    <row r="43" spans="1:18">
      <c r="A43" s="991" t="s">
        <v>1419</v>
      </c>
      <c r="B43" s="1028" t="s">
        <v>1408</v>
      </c>
      <c r="C43" s="1026"/>
      <c r="D43" s="1027"/>
      <c r="E43" s="1027"/>
      <c r="F43" s="1027"/>
      <c r="G43" s="1027"/>
      <c r="H43" s="1157">
        <f>-IF(H41&gt;D7,D7,H41)</f>
        <v>-45000000</v>
      </c>
    </row>
    <row r="44" spans="1:18" ht="13">
      <c r="B44" s="1021" t="s">
        <v>308</v>
      </c>
      <c r="C44" s="1026"/>
      <c r="D44" s="1017">
        <f>D41-D43</f>
        <v>0</v>
      </c>
      <c r="E44" s="1017">
        <f>E41-E43</f>
        <v>0</v>
      </c>
      <c r="F44" s="1017">
        <f>F41-F43</f>
        <v>0</v>
      </c>
      <c r="G44" s="1017">
        <f>G41-G43</f>
        <v>0</v>
      </c>
      <c r="H44" s="1025">
        <f>SUM(H41:H43)</f>
        <v>30000000</v>
      </c>
    </row>
    <row r="45" spans="1:18">
      <c r="B45" s="1030"/>
      <c r="C45" s="1026"/>
      <c r="D45" s="1026"/>
      <c r="F45" s="1026"/>
      <c r="G45" s="1026"/>
      <c r="H45" s="1029"/>
    </row>
    <row r="46" spans="1:18">
      <c r="A46" s="991" t="s">
        <v>1418</v>
      </c>
      <c r="B46" s="1028" t="s">
        <v>1417</v>
      </c>
      <c r="C46" s="1026"/>
      <c r="D46" s="1027"/>
      <c r="E46" s="1027"/>
      <c r="F46" s="1027"/>
      <c r="G46" s="1027"/>
      <c r="H46" s="1022">
        <f>-IF(H44&gt;D8,D8,H44)</f>
        <v>-5000000</v>
      </c>
    </row>
    <row r="47" spans="1:18" ht="13">
      <c r="B47" s="1021" t="s">
        <v>308</v>
      </c>
      <c r="C47" s="1026"/>
      <c r="D47" s="1017">
        <f>D44-D46</f>
        <v>0</v>
      </c>
      <c r="E47" s="1017">
        <f>E44-E46</f>
        <v>0</v>
      </c>
      <c r="F47" s="1017">
        <f>F44-F46</f>
        <v>0</v>
      </c>
      <c r="G47" s="1017">
        <f>G44-G46</f>
        <v>0</v>
      </c>
      <c r="H47" s="1025">
        <f>SUM(H44:H46)</f>
        <v>25000000</v>
      </c>
    </row>
    <row r="48" spans="1:18">
      <c r="B48" s="1002"/>
      <c r="H48" s="1013"/>
    </row>
    <row r="49" spans="1:8" ht="13">
      <c r="A49" s="991" t="s">
        <v>1416</v>
      </c>
      <c r="B49" s="1002" t="s">
        <v>1415</v>
      </c>
      <c r="C49" s="1024" t="s">
        <v>1414</v>
      </c>
      <c r="D49" s="1017">
        <f>IF(D47&gt;0,0.5*D47,0)</f>
        <v>0</v>
      </c>
      <c r="E49" s="1017">
        <f>IF(E47&gt;0,0.5*E47,0)</f>
        <v>0</v>
      </c>
      <c r="F49" s="1017">
        <f>IF(F47&gt;0,0.5*F47,0)</f>
        <v>0</v>
      </c>
      <c r="G49" s="1017">
        <f>IF(G47&gt;0,0.5*G47,0)</f>
        <v>0</v>
      </c>
      <c r="H49" s="1159">
        <f>-MIN(H61,H47)</f>
        <v>-16801668</v>
      </c>
    </row>
    <row r="50" spans="1:8">
      <c r="B50" s="1002" t="s">
        <v>1413</v>
      </c>
      <c r="D50" s="1023"/>
      <c r="E50" s="1023"/>
      <c r="F50" s="1023"/>
      <c r="G50" s="1023"/>
      <c r="H50" s="1015"/>
    </row>
    <row r="51" spans="1:8" ht="13">
      <c r="B51" s="1021" t="s">
        <v>308</v>
      </c>
      <c r="D51" s="1000">
        <f>D47-D49-D50</f>
        <v>0</v>
      </c>
      <c r="E51" s="1000">
        <f>E47-E49-E50</f>
        <v>0</v>
      </c>
      <c r="F51" s="1000">
        <f>F47-F49-F50</f>
        <v>0</v>
      </c>
      <c r="G51" s="1000">
        <f>G47-G49-G50</f>
        <v>0</v>
      </c>
      <c r="H51" s="999">
        <f>SUM(H47:H50)</f>
        <v>8198332</v>
      </c>
    </row>
    <row r="52" spans="1:8">
      <c r="B52" s="1002"/>
      <c r="H52" s="1013"/>
    </row>
    <row r="53" spans="1:8">
      <c r="A53" s="991" t="s">
        <v>1412</v>
      </c>
      <c r="B53" s="1002" t="s">
        <v>1411</v>
      </c>
      <c r="H53" s="1159">
        <f>-IF(H51&gt;0,$D$13*H51,0)</f>
        <v>-4099166</v>
      </c>
    </row>
    <row r="54" spans="1:8">
      <c r="B54" s="1002" t="s">
        <v>1410</v>
      </c>
      <c r="D54" s="1016"/>
      <c r="E54" s="1016"/>
      <c r="F54" s="1016"/>
      <c r="G54" s="1016"/>
      <c r="H54" s="1022">
        <f>-IF(H51&gt;0,$D$14*H51,0)</f>
        <v>-4099166</v>
      </c>
    </row>
    <row r="55" spans="1:8" ht="13.5" thickBot="1">
      <c r="B55" s="1021" t="s">
        <v>308</v>
      </c>
      <c r="D55" s="1020">
        <f>D51+D53+D54</f>
        <v>0</v>
      </c>
      <c r="E55" s="1020">
        <f>E51+E53+E54</f>
        <v>0</v>
      </c>
      <c r="F55" s="1020">
        <f>F51+F53+F54</f>
        <v>0</v>
      </c>
      <c r="G55" s="1020">
        <f>G51+G53+G54</f>
        <v>0</v>
      </c>
      <c r="H55" s="1019">
        <f>H51+H53+H54</f>
        <v>0</v>
      </c>
    </row>
    <row r="56" spans="1:8" ht="13.5" thickTop="1" thickBot="1">
      <c r="B56" s="994"/>
      <c r="C56" s="993"/>
      <c r="D56" s="993"/>
      <c r="E56" s="993"/>
      <c r="F56" s="993"/>
      <c r="G56" s="993"/>
      <c r="H56" s="992"/>
    </row>
    <row r="57" spans="1:8" ht="13" thickBot="1"/>
    <row r="58" spans="1:8" ht="13.5" thickBot="1">
      <c r="B58" s="1012" t="s">
        <v>1568</v>
      </c>
      <c r="C58" s="1011"/>
      <c r="D58" s="1011"/>
      <c r="E58" s="1010"/>
      <c r="F58" s="1009"/>
      <c r="G58" s="1009"/>
      <c r="H58" s="1018"/>
    </row>
    <row r="59" spans="1:8">
      <c r="B59" s="1002" t="s">
        <v>1409</v>
      </c>
      <c r="C59" s="1017">
        <f>-D7</f>
        <v>-45000000</v>
      </c>
      <c r="D59" s="1000">
        <f>-(D29+D35)</f>
        <v>1000000</v>
      </c>
      <c r="E59" s="1000">
        <f>-(E29+E35)</f>
        <v>2000000</v>
      </c>
      <c r="F59" s="1000">
        <f>-(F29+F35)</f>
        <v>3500000</v>
      </c>
      <c r="G59" s="1000">
        <f>-(G29+G35)</f>
        <v>4000000</v>
      </c>
      <c r="H59" s="999">
        <f>-(H29+H35)</f>
        <v>4250000</v>
      </c>
    </row>
    <row r="60" spans="1:8">
      <c r="B60" s="1002" t="s">
        <v>1408</v>
      </c>
      <c r="C60" s="1017"/>
      <c r="D60" s="1000"/>
      <c r="E60" s="1000"/>
      <c r="F60" s="1000"/>
      <c r="G60" s="1000"/>
      <c r="H60" s="999">
        <f>-H43</f>
        <v>45000000</v>
      </c>
    </row>
    <row r="61" spans="1:8">
      <c r="B61" s="1002" t="s">
        <v>1407</v>
      </c>
      <c r="C61" s="1016"/>
      <c r="D61" s="1016"/>
      <c r="E61" s="1016"/>
      <c r="F61" s="1016"/>
      <c r="G61" s="1016"/>
      <c r="H61" s="1050">
        <v>16801668</v>
      </c>
    </row>
    <row r="62" spans="1:8">
      <c r="B62" s="1002" t="s">
        <v>292</v>
      </c>
      <c r="C62" s="1000">
        <f t="shared" ref="C62:H62" si="5">SUM(C59:C61)</f>
        <v>-45000000</v>
      </c>
      <c r="D62" s="1000">
        <f t="shared" si="5"/>
        <v>1000000</v>
      </c>
      <c r="E62" s="1000">
        <f t="shared" si="5"/>
        <v>2000000</v>
      </c>
      <c r="F62" s="1000">
        <f t="shared" si="5"/>
        <v>3500000</v>
      </c>
      <c r="G62" s="1000">
        <f t="shared" si="5"/>
        <v>4000000</v>
      </c>
      <c r="H62" s="999">
        <f t="shared" si="5"/>
        <v>66051668</v>
      </c>
    </row>
    <row r="63" spans="1:8">
      <c r="B63" s="1002" t="s">
        <v>1406</v>
      </c>
      <c r="C63" s="1014">
        <f>IRR(C62:H62)</f>
        <v>0.12000020548486168</v>
      </c>
      <c r="H63" s="1013"/>
    </row>
    <row r="64" spans="1:8" ht="13" thickBot="1">
      <c r="B64" s="994"/>
      <c r="C64" s="993"/>
      <c r="D64" s="993"/>
      <c r="E64" s="993"/>
      <c r="F64" s="993"/>
      <c r="G64" s="993"/>
      <c r="H64" s="992"/>
    </row>
    <row r="65" spans="2:8" ht="13" thickBot="1">
      <c r="H65" s="1000"/>
    </row>
    <row r="66" spans="2:8" ht="13.5" thickBot="1">
      <c r="B66" s="1012" t="s">
        <v>1405</v>
      </c>
      <c r="C66" s="1011"/>
      <c r="D66" s="1011"/>
      <c r="E66" s="1010"/>
      <c r="F66" s="1009"/>
      <c r="G66" s="1009"/>
      <c r="H66" s="1008"/>
    </row>
    <row r="67" spans="2:8" ht="13">
      <c r="B67" s="1007"/>
      <c r="H67" s="999"/>
    </row>
    <row r="68" spans="2:8" ht="13">
      <c r="B68" s="1007"/>
      <c r="C68" s="1006">
        <v>0</v>
      </c>
      <c r="D68" s="1005">
        <v>1</v>
      </c>
      <c r="E68" s="1006">
        <v>2</v>
      </c>
      <c r="F68" s="1006">
        <v>3</v>
      </c>
      <c r="G68" s="1005">
        <v>4</v>
      </c>
      <c r="H68" s="1004">
        <v>5</v>
      </c>
    </row>
    <row r="69" spans="2:8">
      <c r="B69" s="1152" t="s">
        <v>1352</v>
      </c>
      <c r="C69" s="1158">
        <f>-D7</f>
        <v>-45000000</v>
      </c>
      <c r="D69" s="1160">
        <f>-(D29+D35)</f>
        <v>1000000</v>
      </c>
      <c r="E69" s="1160">
        <f>-(E29+E35)</f>
        <v>2000000</v>
      </c>
      <c r="F69" s="1160">
        <f>-(F29+F35)</f>
        <v>3500000</v>
      </c>
      <c r="G69" s="1160">
        <f>-(G29+G35)</f>
        <v>4000000</v>
      </c>
      <c r="H69" s="1161">
        <f>-(H29+H35+H43+H49+H53)</f>
        <v>70150834</v>
      </c>
    </row>
    <row r="70" spans="2:8">
      <c r="B70" s="1002" t="s">
        <v>903</v>
      </c>
      <c r="C70" s="1003">
        <f>IRR(C69:H69)</f>
        <v>0.13217756754717502</v>
      </c>
      <c r="D70" s="1000"/>
      <c r="E70" s="1000"/>
      <c r="F70" s="1000"/>
      <c r="G70" s="1000"/>
      <c r="H70" s="999"/>
    </row>
    <row r="71" spans="2:8">
      <c r="B71" s="1002"/>
      <c r="C71" s="1001"/>
      <c r="D71" s="1000"/>
      <c r="E71" s="1000"/>
      <c r="F71" s="1000"/>
      <c r="G71" s="1000"/>
      <c r="H71" s="999"/>
    </row>
    <row r="72" spans="2:8">
      <c r="B72" s="998" t="s">
        <v>1353</v>
      </c>
      <c r="C72" s="997">
        <f>-D8</f>
        <v>-5000000</v>
      </c>
      <c r="D72" s="996">
        <f>-(D32+D36)</f>
        <v>0</v>
      </c>
      <c r="E72" s="996">
        <f>-(E32+E36)</f>
        <v>0</v>
      </c>
      <c r="F72" s="996">
        <f>-(F32+F36)</f>
        <v>1500000</v>
      </c>
      <c r="G72" s="996">
        <f>-(G32+G36)</f>
        <v>2000000</v>
      </c>
      <c r="H72" s="995">
        <f>-(H32+H36+H46+H54)</f>
        <v>11349166</v>
      </c>
    </row>
    <row r="73" spans="2:8" ht="13" thickBot="1">
      <c r="B73" s="994"/>
      <c r="C73" s="1162">
        <f>IRR(C72:H72)</f>
        <v>0.26642121737994517</v>
      </c>
      <c r="D73" s="993"/>
      <c r="E73" s="993"/>
      <c r="F73" s="993"/>
      <c r="G73" s="993"/>
      <c r="H73" s="992"/>
    </row>
    <row r="76" spans="2:8" ht="13">
      <c r="B76" s="1" t="s">
        <v>1615</v>
      </c>
    </row>
  </sheetData>
  <mergeCells count="2">
    <mergeCell ref="B2:J2"/>
    <mergeCell ref="B4:D4"/>
  </mergeCells>
  <pageMargins left="0.75" right="0.75" top="1" bottom="1" header="0.5" footer="0.5"/>
  <pageSetup orientation="portrait" r:id="rId1"/>
  <headerFooter alignWithMargins="0"/>
  <drawing r:id="rId2"/>
  <legacy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Q41"/>
  <sheetViews>
    <sheetView workbookViewId="0">
      <selection activeCell="G6" sqref="G6"/>
    </sheetView>
  </sheetViews>
  <sheetFormatPr defaultRowHeight="12.5"/>
  <cols>
    <col min="1" max="1" width="7.81640625" customWidth="1"/>
    <col min="2" max="2" width="15" customWidth="1"/>
    <col min="3" max="3" width="12.453125" customWidth="1"/>
    <col min="4" max="4" width="19.453125" customWidth="1"/>
    <col min="5" max="5" width="9.1796875" hidden="1" customWidth="1"/>
    <col min="6" max="6" width="19.453125" customWidth="1"/>
    <col min="7" max="8" width="16.7265625" customWidth="1"/>
    <col min="9" max="9" width="12.7265625" customWidth="1"/>
    <col min="10" max="10" width="16.453125" bestFit="1" customWidth="1"/>
    <col min="11" max="11" width="15.54296875" customWidth="1"/>
    <col min="12" max="12" width="17.1796875" customWidth="1"/>
    <col min="13" max="13" width="16.7265625" customWidth="1"/>
    <col min="14" max="14" width="11.7265625" bestFit="1" customWidth="1"/>
    <col min="15" max="15" width="14.26953125" customWidth="1"/>
    <col min="16" max="16" width="11.7265625" bestFit="1" customWidth="1"/>
  </cols>
  <sheetData>
    <row r="1" spans="2:17" ht="13" thickBot="1"/>
    <row r="2" spans="2:17" ht="18.5" thickBot="1">
      <c r="B2" s="1525" t="s">
        <v>1010</v>
      </c>
      <c r="C2" s="1536"/>
      <c r="D2" s="1536"/>
      <c r="E2" s="1536"/>
      <c r="F2" s="1536"/>
      <c r="G2" s="1536"/>
      <c r="H2" s="1536"/>
      <c r="I2" s="1536"/>
      <c r="J2" s="1536"/>
      <c r="K2" s="1536"/>
      <c r="L2" s="1536"/>
      <c r="M2" s="1536"/>
      <c r="N2" s="1536"/>
      <c r="O2" s="1536"/>
      <c r="P2" s="1536"/>
      <c r="Q2" s="1534"/>
    </row>
    <row r="3" spans="2:17" ht="13" thickBot="1">
      <c r="B3" s="124"/>
      <c r="Q3" s="126"/>
    </row>
    <row r="4" spans="2:17" ht="13.5" thickBot="1">
      <c r="B4" s="1531" t="s">
        <v>662</v>
      </c>
      <c r="C4" s="1532"/>
      <c r="D4" s="1533"/>
      <c r="Q4" s="126"/>
    </row>
    <row r="5" spans="2:17">
      <c r="B5" s="124" t="s">
        <v>1038</v>
      </c>
      <c r="D5" s="244">
        <v>-45000000</v>
      </c>
      <c r="Q5" s="126"/>
    </row>
    <row r="6" spans="2:17" ht="13" thickBot="1">
      <c r="B6" s="134" t="s">
        <v>1039</v>
      </c>
      <c r="C6" s="4"/>
      <c r="D6" s="389">
        <v>-5000000</v>
      </c>
      <c r="Q6" s="126"/>
    </row>
    <row r="7" spans="2:17" ht="26.25" customHeight="1">
      <c r="B7" s="829" t="s">
        <v>1579</v>
      </c>
      <c r="N7" s="393"/>
      <c r="O7" s="393"/>
      <c r="P7" s="393"/>
      <c r="Q7" s="126"/>
    </row>
    <row r="8" spans="2:17" ht="13" thickBot="1">
      <c r="B8" s="124"/>
      <c r="Q8" s="126"/>
    </row>
    <row r="9" spans="2:17" ht="65.5" thickBot="1">
      <c r="B9" s="390" t="s">
        <v>262</v>
      </c>
      <c r="C9" s="390" t="s">
        <v>662</v>
      </c>
      <c r="D9" s="390" t="s">
        <v>1040</v>
      </c>
      <c r="E9" s="390" t="s">
        <v>1041</v>
      </c>
      <c r="F9" s="390"/>
      <c r="G9" s="390" t="s">
        <v>1042</v>
      </c>
      <c r="H9" s="390" t="s">
        <v>1043</v>
      </c>
      <c r="I9" s="390" t="s">
        <v>1044</v>
      </c>
      <c r="J9" s="390" t="s">
        <v>1045</v>
      </c>
      <c r="K9" s="390" t="s">
        <v>1046</v>
      </c>
      <c r="L9" s="390" t="s">
        <v>1047</v>
      </c>
      <c r="M9" s="390" t="s">
        <v>1048</v>
      </c>
      <c r="N9" s="390" t="s">
        <v>1049</v>
      </c>
      <c r="O9" s="390" t="s">
        <v>1050</v>
      </c>
      <c r="P9" s="390" t="s">
        <v>1039</v>
      </c>
      <c r="Q9" s="390" t="s">
        <v>1051</v>
      </c>
    </row>
    <row r="10" spans="2:17">
      <c r="B10" s="124">
        <v>0</v>
      </c>
      <c r="C10" s="391">
        <v>-50000000</v>
      </c>
      <c r="G10" s="40">
        <f>C10</f>
        <v>-50000000</v>
      </c>
      <c r="I10" s="40"/>
      <c r="J10" s="40"/>
      <c r="L10" s="40">
        <f>D5+K10</f>
        <v>-45000000</v>
      </c>
      <c r="O10" s="40">
        <f>L10</f>
        <v>-45000000</v>
      </c>
      <c r="P10" s="40">
        <f>G10-L10</f>
        <v>-5000000</v>
      </c>
      <c r="Q10" s="244">
        <f t="shared" ref="Q10:Q15" si="0">P10+O10-G10</f>
        <v>0</v>
      </c>
    </row>
    <row r="11" spans="2:17">
      <c r="B11" s="124">
        <f>1+B10</f>
        <v>1</v>
      </c>
      <c r="D11" s="40">
        <v>1000000</v>
      </c>
      <c r="G11" s="40">
        <f>D11</f>
        <v>1000000</v>
      </c>
      <c r="H11" s="40">
        <f>IF(-0.05*$D$5&gt;D11,D11,-0.05*$D$5)</f>
        <v>1000000</v>
      </c>
      <c r="I11" s="40">
        <f>IF(-0.05*$D$6&gt;(D11-H11),D11-H11,-0.05*$D$6)</f>
        <v>0</v>
      </c>
      <c r="J11" s="40">
        <f>D11-H11-I11</f>
        <v>0</v>
      </c>
      <c r="L11" s="40">
        <f>H11+K11+0.5*J11</f>
        <v>1000000</v>
      </c>
      <c r="M11" s="40"/>
      <c r="O11" s="40">
        <f>L11</f>
        <v>1000000</v>
      </c>
      <c r="P11" s="40">
        <f>G11-O11</f>
        <v>0</v>
      </c>
      <c r="Q11" s="244">
        <f t="shared" si="0"/>
        <v>0</v>
      </c>
    </row>
    <row r="12" spans="2:17">
      <c r="B12" s="124">
        <f>1+B11</f>
        <v>2</v>
      </c>
      <c r="D12" s="40">
        <v>2000000</v>
      </c>
      <c r="G12" s="40">
        <f>D12</f>
        <v>2000000</v>
      </c>
      <c r="H12" s="40">
        <f>IF(-0.05*$D$5&gt;D12,D12,-0.05*$D$5)</f>
        <v>2000000</v>
      </c>
      <c r="I12" s="40">
        <f>IF(-0.05*$D$6&gt;(D12-H12),D12-H12,-0.05*$D$6)</f>
        <v>0</v>
      </c>
      <c r="J12" s="40">
        <f>D12-H12-I12</f>
        <v>0</v>
      </c>
      <c r="L12" s="40">
        <f>H12+K12+0.5*J12</f>
        <v>2000000</v>
      </c>
      <c r="M12" s="40"/>
      <c r="O12" s="40">
        <f>L12</f>
        <v>2000000</v>
      </c>
      <c r="P12" s="40">
        <f>G12-O12</f>
        <v>0</v>
      </c>
      <c r="Q12" s="244">
        <f t="shared" si="0"/>
        <v>0</v>
      </c>
    </row>
    <row r="13" spans="2:17">
      <c r="B13" s="124">
        <f>1+B12</f>
        <v>3</v>
      </c>
      <c r="D13" s="40">
        <v>5000000</v>
      </c>
      <c r="G13" s="40">
        <f>D13</f>
        <v>5000000</v>
      </c>
      <c r="H13" s="40">
        <f>IF(-0.05*$D$5&gt;D13,D13,-0.05*$D$5)</f>
        <v>2250000</v>
      </c>
      <c r="I13" s="40">
        <f>IF(-0.05*$D$6&gt;(D13-H13),D13-H13,-0.05*$D$6)</f>
        <v>250000</v>
      </c>
      <c r="J13" s="40">
        <f>D13-H13-I13</f>
        <v>2500000</v>
      </c>
      <c r="L13" s="40">
        <f>H13+K13+0.5*J13</f>
        <v>3500000</v>
      </c>
      <c r="M13" s="40"/>
      <c r="O13" s="40">
        <f>L13</f>
        <v>3500000</v>
      </c>
      <c r="P13" s="40">
        <f>G13-O13</f>
        <v>1500000</v>
      </c>
      <c r="Q13" s="244">
        <f t="shared" si="0"/>
        <v>0</v>
      </c>
    </row>
    <row r="14" spans="2:17">
      <c r="B14" s="124">
        <f>1+B13</f>
        <v>4</v>
      </c>
      <c r="D14" s="40">
        <v>6000000</v>
      </c>
      <c r="G14" s="40">
        <f>D14</f>
        <v>6000000</v>
      </c>
      <c r="H14" s="40">
        <f>IF(-0.05*$D$5&gt;D14,D14,-0.05*$D$5)</f>
        <v>2250000</v>
      </c>
      <c r="I14" s="40">
        <f>IF(-0.05*$D$6&gt;(D14-H14),D14-H14,-0.05*$D$6)</f>
        <v>250000</v>
      </c>
      <c r="J14" s="40">
        <f>D14-H14-I14</f>
        <v>3500000</v>
      </c>
      <c r="L14" s="40">
        <f>H14+K14+0.5*J14</f>
        <v>4000000</v>
      </c>
      <c r="M14" s="40"/>
      <c r="O14" s="40">
        <f>L14</f>
        <v>4000000</v>
      </c>
      <c r="P14" s="40">
        <f>G14-O14</f>
        <v>2000000</v>
      </c>
      <c r="Q14" s="244">
        <f t="shared" si="0"/>
        <v>0</v>
      </c>
    </row>
    <row r="15" spans="2:17">
      <c r="B15" s="124">
        <f>1+B14</f>
        <v>5</v>
      </c>
      <c r="D15" s="40">
        <v>6500000</v>
      </c>
      <c r="E15" s="40">
        <v>75000000</v>
      </c>
      <c r="G15" s="40">
        <f>D15+E15</f>
        <v>81500000</v>
      </c>
      <c r="H15" s="40">
        <f>IF(-0.05*$D$5&gt;D15,D15,-0.05*$D$5)</f>
        <v>2250000</v>
      </c>
      <c r="I15" s="40">
        <f>IF(-0.05*$D$6&gt;(D15-H15),D15-H15,-0.05*$D$6)</f>
        <v>250000</v>
      </c>
      <c r="J15" s="40">
        <f>D15-H15-I15</f>
        <v>4000000</v>
      </c>
      <c r="K15" s="755">
        <f>45000000+16801668</f>
        <v>61801668</v>
      </c>
      <c r="L15" s="40">
        <f>H15+K15+0.5*J15</f>
        <v>66051668</v>
      </c>
      <c r="M15" s="40">
        <f>-D6</f>
        <v>5000000</v>
      </c>
      <c r="N15" s="40">
        <f>E15-K15-M15</f>
        <v>8198332</v>
      </c>
      <c r="O15" s="40">
        <f>L15+(0*N15)</f>
        <v>66051668</v>
      </c>
      <c r="P15" s="830">
        <f>G15-O15</f>
        <v>15448332</v>
      </c>
      <c r="Q15" s="244">
        <f t="shared" si="0"/>
        <v>0</v>
      </c>
    </row>
    <row r="16" spans="2:17" ht="13" thickBot="1">
      <c r="B16" s="124"/>
      <c r="P16" s="40"/>
      <c r="Q16" s="126"/>
    </row>
    <row r="17" spans="2:17" ht="13.5" thickBot="1">
      <c r="B17" s="375" t="s">
        <v>903</v>
      </c>
      <c r="C17" s="65"/>
      <c r="D17" s="65"/>
      <c r="E17" s="65"/>
      <c r="F17" s="65"/>
      <c r="G17" s="155">
        <f>IRR(G10:G15)</f>
        <v>0.14810898563766695</v>
      </c>
      <c r="H17" s="65"/>
      <c r="I17" s="65"/>
      <c r="J17" s="65"/>
      <c r="K17" s="392"/>
      <c r="L17" s="155">
        <f>IRR(L10:L15)</f>
        <v>0.12000020548486168</v>
      </c>
      <c r="M17" s="392"/>
      <c r="N17" s="4"/>
      <c r="O17" s="155">
        <f>IRR(O10:O15)</f>
        <v>0.12000020548486168</v>
      </c>
      <c r="P17" s="155">
        <f>IRR(P10:P15)</f>
        <v>0.32935954255614885</v>
      </c>
      <c r="Q17" s="135"/>
    </row>
    <row r="18" spans="2:17">
      <c r="B18" s="124"/>
      <c r="Q18" s="126"/>
    </row>
    <row r="19" spans="2:17">
      <c r="B19" s="124"/>
      <c r="Q19" s="126"/>
    </row>
    <row r="20" spans="2:17" ht="16.5" customHeight="1" thickBot="1">
      <c r="B20" s="124"/>
      <c r="Q20" s="126"/>
    </row>
    <row r="21" spans="2:17" ht="57.75" customHeight="1" thickBot="1">
      <c r="B21" s="390" t="s">
        <v>262</v>
      </c>
      <c r="C21" s="390" t="s">
        <v>1040</v>
      </c>
      <c r="D21" s="390" t="s">
        <v>1043</v>
      </c>
      <c r="E21" s="390" t="s">
        <v>1052</v>
      </c>
      <c r="F21" s="390" t="s">
        <v>1044</v>
      </c>
      <c r="G21" s="390" t="s">
        <v>1045</v>
      </c>
      <c r="H21" s="390"/>
      <c r="I21" s="390"/>
      <c r="J21" s="390" t="s">
        <v>262</v>
      </c>
      <c r="K21" s="390" t="s">
        <v>1053</v>
      </c>
      <c r="L21" s="390" t="s">
        <v>1054</v>
      </c>
      <c r="M21" s="390" t="s">
        <v>1055</v>
      </c>
      <c r="N21" s="390" t="s">
        <v>49</v>
      </c>
      <c r="Q21" s="126"/>
    </row>
    <row r="22" spans="2:17">
      <c r="B22" s="140"/>
      <c r="J22" s="6">
        <v>0</v>
      </c>
      <c r="N22" s="244">
        <f>D5</f>
        <v>-45000000</v>
      </c>
      <c r="Q22" s="126"/>
    </row>
    <row r="23" spans="2:17">
      <c r="B23" s="140">
        <v>1</v>
      </c>
      <c r="C23" s="40">
        <f>D11</f>
        <v>1000000</v>
      </c>
      <c r="D23" s="40">
        <f>H11</f>
        <v>1000000</v>
      </c>
      <c r="F23" s="40">
        <f t="shared" ref="F23:G27" si="1">I11</f>
        <v>0</v>
      </c>
      <c r="G23" s="40">
        <f t="shared" si="1"/>
        <v>0</v>
      </c>
      <c r="H23" s="40"/>
      <c r="J23" s="6">
        <v>1</v>
      </c>
      <c r="K23" s="40">
        <f>H11+0.5*J11</f>
        <v>1000000</v>
      </c>
      <c r="N23" s="244">
        <f>K23+M23</f>
        <v>1000000</v>
      </c>
      <c r="Q23" s="126"/>
    </row>
    <row r="24" spans="2:17">
      <c r="B24" s="140">
        <f>1+B23</f>
        <v>2</v>
      </c>
      <c r="C24" s="40">
        <f>D12</f>
        <v>2000000</v>
      </c>
      <c r="D24" s="40">
        <f>H12</f>
        <v>2000000</v>
      </c>
      <c r="F24" s="40">
        <f t="shared" si="1"/>
        <v>0</v>
      </c>
      <c r="G24" s="40">
        <f t="shared" si="1"/>
        <v>0</v>
      </c>
      <c r="H24" s="40"/>
      <c r="J24" s="6">
        <f>1+J23</f>
        <v>2</v>
      </c>
      <c r="K24" s="40">
        <f>H12+0.5*J12</f>
        <v>2000000</v>
      </c>
      <c r="N24" s="244">
        <f>K24+M24</f>
        <v>2000000</v>
      </c>
      <c r="Q24" s="126"/>
    </row>
    <row r="25" spans="2:17">
      <c r="B25" s="140">
        <f>1+B24</f>
        <v>3</v>
      </c>
      <c r="C25" s="40">
        <f>D13</f>
        <v>5000000</v>
      </c>
      <c r="D25" s="40">
        <f>H13</f>
        <v>2250000</v>
      </c>
      <c r="F25" s="40">
        <f t="shared" si="1"/>
        <v>250000</v>
      </c>
      <c r="G25" s="40">
        <f t="shared" si="1"/>
        <v>2500000</v>
      </c>
      <c r="H25" s="40"/>
      <c r="J25" s="6">
        <f>1+J24</f>
        <v>3</v>
      </c>
      <c r="K25" s="40">
        <f>H13+0.5*J13</f>
        <v>3500000</v>
      </c>
      <c r="N25" s="244">
        <f>K25+M25</f>
        <v>3500000</v>
      </c>
      <c r="Q25" s="126"/>
    </row>
    <row r="26" spans="2:17">
      <c r="B26" s="140">
        <f>1+B25</f>
        <v>4</v>
      </c>
      <c r="C26" s="40">
        <f>D14</f>
        <v>6000000</v>
      </c>
      <c r="D26" s="40">
        <f>H14</f>
        <v>2250000</v>
      </c>
      <c r="F26" s="40">
        <f t="shared" si="1"/>
        <v>250000</v>
      </c>
      <c r="G26" s="40">
        <f t="shared" si="1"/>
        <v>3500000</v>
      </c>
      <c r="H26" s="40"/>
      <c r="J26" s="6">
        <f>1+J25</f>
        <v>4</v>
      </c>
      <c r="K26" s="40">
        <f>H14+0.5*J14</f>
        <v>4000000</v>
      </c>
      <c r="N26" s="244">
        <f>K26+M26</f>
        <v>4000000</v>
      </c>
      <c r="Q26" s="126"/>
    </row>
    <row r="27" spans="2:17">
      <c r="B27" s="140">
        <f>1+B26</f>
        <v>5</v>
      </c>
      <c r="C27" s="40">
        <f>D15</f>
        <v>6500000</v>
      </c>
      <c r="D27" s="40">
        <f>H15</f>
        <v>2250000</v>
      </c>
      <c r="F27" s="40">
        <f t="shared" si="1"/>
        <v>250000</v>
      </c>
      <c r="G27" s="40">
        <f t="shared" si="1"/>
        <v>4000000</v>
      </c>
      <c r="H27" s="40"/>
      <c r="J27" s="6">
        <f>1+J26</f>
        <v>5</v>
      </c>
      <c r="K27" s="40">
        <f>H15+0.5*J15</f>
        <v>4250000</v>
      </c>
      <c r="L27" s="40">
        <f>-D5</f>
        <v>45000000</v>
      </c>
      <c r="M27" s="40">
        <f>K15-L27</f>
        <v>16801668</v>
      </c>
      <c r="N27" s="244">
        <f>K27+M27+L27</f>
        <v>66051668</v>
      </c>
      <c r="Q27" s="126"/>
    </row>
    <row r="28" spans="2:17" ht="13" thickBot="1">
      <c r="B28" s="124"/>
      <c r="N28" s="126"/>
      <c r="Q28" s="126"/>
    </row>
    <row r="29" spans="2:17" ht="13.5" thickBot="1">
      <c r="B29" s="134"/>
      <c r="C29" s="4"/>
      <c r="D29" s="4"/>
      <c r="E29" s="4"/>
      <c r="F29" s="4"/>
      <c r="G29" s="4"/>
      <c r="H29" s="4"/>
      <c r="I29" s="4"/>
      <c r="J29" s="4"/>
      <c r="K29" s="4"/>
      <c r="L29" s="4"/>
      <c r="M29" s="4"/>
      <c r="N29" s="155">
        <f>IRR(N22:N27)</f>
        <v>0.12000020548486168</v>
      </c>
      <c r="Q29" s="126"/>
    </row>
    <row r="30" spans="2:17">
      <c r="B30" s="124"/>
      <c r="Q30" s="126"/>
    </row>
    <row r="31" spans="2:17" ht="13" thickBot="1">
      <c r="B31" s="124"/>
      <c r="Q31" s="126"/>
    </row>
    <row r="32" spans="2:17" ht="26.5" thickBot="1">
      <c r="B32" s="390" t="s">
        <v>262</v>
      </c>
      <c r="C32" s="390" t="s">
        <v>1038</v>
      </c>
      <c r="D32" s="390" t="s">
        <v>1039</v>
      </c>
      <c r="Q32" s="126"/>
    </row>
    <row r="33" spans="2:17">
      <c r="B33" s="140">
        <v>0</v>
      </c>
      <c r="C33" s="40">
        <f t="shared" ref="C33:D38" si="2">O10</f>
        <v>-45000000</v>
      </c>
      <c r="D33" s="244">
        <f t="shared" si="2"/>
        <v>-5000000</v>
      </c>
      <c r="Q33" s="126"/>
    </row>
    <row r="34" spans="2:17">
      <c r="B34" s="140">
        <v>1</v>
      </c>
      <c r="C34" s="40">
        <f t="shared" si="2"/>
        <v>1000000</v>
      </c>
      <c r="D34" s="244">
        <f t="shared" si="2"/>
        <v>0</v>
      </c>
      <c r="Q34" s="126"/>
    </row>
    <row r="35" spans="2:17">
      <c r="B35" s="140">
        <f>1+B34</f>
        <v>2</v>
      </c>
      <c r="C35" s="40">
        <f t="shared" si="2"/>
        <v>2000000</v>
      </c>
      <c r="D35" s="244">
        <f t="shared" si="2"/>
        <v>0</v>
      </c>
      <c r="Q35" s="126"/>
    </row>
    <row r="36" spans="2:17">
      <c r="B36" s="140">
        <f>1+B35</f>
        <v>3</v>
      </c>
      <c r="C36" s="40">
        <f t="shared" si="2"/>
        <v>3500000</v>
      </c>
      <c r="D36" s="244">
        <f t="shared" si="2"/>
        <v>1500000</v>
      </c>
      <c r="Q36" s="126"/>
    </row>
    <row r="37" spans="2:17">
      <c r="B37" s="140">
        <f>1+B36</f>
        <v>4</v>
      </c>
      <c r="C37" s="40">
        <f t="shared" si="2"/>
        <v>4000000</v>
      </c>
      <c r="D37" s="244">
        <f t="shared" si="2"/>
        <v>2000000</v>
      </c>
      <c r="Q37" s="126"/>
    </row>
    <row r="38" spans="2:17">
      <c r="B38" s="140">
        <f>1+B37</f>
        <v>5</v>
      </c>
      <c r="C38" s="40">
        <f t="shared" si="2"/>
        <v>66051668</v>
      </c>
      <c r="D38" s="244">
        <f t="shared" si="2"/>
        <v>15448332</v>
      </c>
      <c r="Q38" s="126"/>
    </row>
    <row r="39" spans="2:17" ht="13" thickBot="1">
      <c r="B39" s="124"/>
      <c r="D39" s="126"/>
      <c r="Q39" s="126"/>
    </row>
    <row r="40" spans="2:17" ht="13.5" thickBot="1">
      <c r="B40" s="144" t="s">
        <v>903</v>
      </c>
      <c r="C40" s="155">
        <f>IRR(C33:C38)</f>
        <v>0.12000020548486168</v>
      </c>
      <c r="D40" s="155">
        <f>IRR(D33:D38)</f>
        <v>0.32935954255614885</v>
      </c>
      <c r="Q40" s="126"/>
    </row>
    <row r="41" spans="2:17" ht="13" thickBot="1">
      <c r="B41" s="134"/>
      <c r="C41" s="4"/>
      <c r="D41" s="4"/>
      <c r="E41" s="4"/>
      <c r="F41" s="4"/>
      <c r="G41" s="4"/>
      <c r="H41" s="4"/>
      <c r="I41" s="4"/>
      <c r="J41" s="4"/>
      <c r="K41" s="4"/>
      <c r="L41" s="4"/>
      <c r="M41" s="4"/>
      <c r="N41" s="4"/>
      <c r="O41" s="4"/>
      <c r="P41" s="4"/>
      <c r="Q41" s="135"/>
    </row>
  </sheetData>
  <mergeCells count="2">
    <mergeCell ref="B2:Q2"/>
    <mergeCell ref="B4:D4"/>
  </mergeCells>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B1:I152"/>
  <sheetViews>
    <sheetView workbookViewId="0">
      <selection activeCell="G12" sqref="G12"/>
    </sheetView>
  </sheetViews>
  <sheetFormatPr defaultRowHeight="12.5"/>
  <cols>
    <col min="2" max="2" width="12.7265625" customWidth="1"/>
    <col min="3" max="3" width="14.81640625" customWidth="1"/>
    <col min="6" max="6" width="11.1796875" customWidth="1"/>
    <col min="7" max="7" width="12.7265625" customWidth="1"/>
  </cols>
  <sheetData>
    <row r="1" spans="2:9" ht="13" thickBot="1"/>
    <row r="2" spans="2:9" ht="18.5" thickBot="1">
      <c r="B2" s="173" t="s">
        <v>1090</v>
      </c>
      <c r="C2" s="174"/>
      <c r="D2" s="174"/>
      <c r="E2" s="174"/>
      <c r="F2" s="174"/>
      <c r="G2" s="174"/>
      <c r="H2" s="174"/>
      <c r="I2" s="175"/>
    </row>
    <row r="3" spans="2:9" ht="16" thickBot="1">
      <c r="B3" s="176" t="s">
        <v>217</v>
      </c>
      <c r="C3" s="177"/>
      <c r="D3" s="177"/>
      <c r="E3" s="177"/>
      <c r="F3" s="177"/>
      <c r="G3" s="177"/>
      <c r="H3" s="177"/>
      <c r="I3" s="178"/>
    </row>
    <row r="4" spans="2:9">
      <c r="B4" s="124"/>
      <c r="C4" s="209"/>
      <c r="D4" s="209"/>
      <c r="E4" s="209"/>
      <c r="F4" s="209"/>
      <c r="G4" s="209"/>
      <c r="H4" s="209"/>
      <c r="I4" s="219"/>
    </row>
    <row r="5" spans="2:9" ht="13">
      <c r="B5" s="220" t="s">
        <v>1077</v>
      </c>
      <c r="C5" s="221"/>
      <c r="D5" s="221"/>
      <c r="E5" s="221"/>
      <c r="F5" s="221"/>
      <c r="G5" s="221"/>
      <c r="H5" s="221"/>
      <c r="I5" s="222"/>
    </row>
    <row r="6" spans="2:9" ht="13" thickBot="1">
      <c r="B6" s="223"/>
      <c r="C6" s="212"/>
      <c r="D6" s="212"/>
      <c r="E6" s="212"/>
      <c r="F6" s="212"/>
      <c r="G6" s="212"/>
      <c r="H6" s="212"/>
      <c r="I6" s="224"/>
    </row>
    <row r="7" spans="2:9" ht="13.5" thickBot="1">
      <c r="B7" s="1531" t="s">
        <v>827</v>
      </c>
      <c r="C7" s="1532"/>
      <c r="D7" s="1533"/>
      <c r="I7" s="126"/>
    </row>
    <row r="8" spans="2:9">
      <c r="B8" s="171" t="s">
        <v>211</v>
      </c>
      <c r="C8" s="150">
        <v>60000</v>
      </c>
      <c r="D8" s="50"/>
      <c r="I8" s="126"/>
    </row>
    <row r="9" spans="2:9">
      <c r="B9" s="171" t="s">
        <v>212</v>
      </c>
      <c r="C9" s="151">
        <v>0.12</v>
      </c>
      <c r="D9" s="50"/>
      <c r="I9" s="126"/>
    </row>
    <row r="10" spans="2:9">
      <c r="B10" s="171" t="s">
        <v>213</v>
      </c>
      <c r="C10" s="152">
        <v>30</v>
      </c>
      <c r="D10" s="50" t="s">
        <v>208</v>
      </c>
      <c r="I10" s="126"/>
    </row>
    <row r="11" spans="2:9">
      <c r="B11" s="171" t="s">
        <v>218</v>
      </c>
      <c r="C11" s="151">
        <v>7.4999999999999997E-2</v>
      </c>
      <c r="D11" s="50"/>
      <c r="I11" s="126"/>
    </row>
    <row r="12" spans="2:9">
      <c r="B12" s="171" t="s">
        <v>219</v>
      </c>
      <c r="C12" s="152">
        <v>5</v>
      </c>
      <c r="D12" s="50"/>
      <c r="I12" s="126"/>
    </row>
    <row r="13" spans="2:9">
      <c r="B13" s="225" t="s">
        <v>214</v>
      </c>
      <c r="C13" s="179">
        <v>0</v>
      </c>
      <c r="D13" s="75"/>
      <c r="I13" s="126"/>
    </row>
    <row r="14" spans="2:9" ht="13.5" thickBot="1">
      <c r="B14" s="226"/>
      <c r="C14" s="2"/>
      <c r="D14" s="2"/>
      <c r="I14" s="126"/>
    </row>
    <row r="15" spans="2:9" ht="13.5" thickBot="1">
      <c r="B15" s="185" t="s">
        <v>220</v>
      </c>
      <c r="C15" s="3"/>
      <c r="D15" s="180">
        <f>IRR(C40:C124,C9/12)*12</f>
        <v>0.12000000000000011</v>
      </c>
      <c r="I15" s="126"/>
    </row>
    <row r="16" spans="2:9" ht="13" thickBot="1">
      <c r="B16" s="124"/>
      <c r="I16" s="126"/>
    </row>
    <row r="17" spans="2:9" ht="13.5" thickBot="1">
      <c r="B17" s="1531" t="s">
        <v>221</v>
      </c>
      <c r="C17" s="1532"/>
      <c r="D17" s="1532"/>
      <c r="E17" s="1532"/>
      <c r="F17" s="1532"/>
      <c r="G17" s="1532"/>
      <c r="H17" s="1534"/>
      <c r="I17" s="126"/>
    </row>
    <row r="18" spans="2:9" ht="13">
      <c r="B18" s="181"/>
      <c r="H18" s="126"/>
      <c r="I18" s="126"/>
    </row>
    <row r="19" spans="2:9" ht="13.5" thickBot="1">
      <c r="B19" s="182"/>
      <c r="C19" s="9"/>
      <c r="D19" s="9"/>
      <c r="E19" s="9"/>
      <c r="F19" s="9"/>
      <c r="G19" s="9"/>
      <c r="H19" s="126"/>
      <c r="I19" s="126"/>
    </row>
    <row r="20" spans="2:9" ht="13.5" thickBot="1">
      <c r="B20" s="124"/>
      <c r="C20" s="463" t="s">
        <v>222</v>
      </c>
      <c r="D20" s="463" t="s">
        <v>223</v>
      </c>
      <c r="E20" s="463" t="s">
        <v>224</v>
      </c>
      <c r="F20" s="463" t="s">
        <v>225</v>
      </c>
      <c r="G20" s="463" t="s">
        <v>226</v>
      </c>
      <c r="H20" s="126"/>
      <c r="I20" s="126"/>
    </row>
    <row r="21" spans="2:9" ht="13">
      <c r="B21" s="124"/>
      <c r="C21" s="197" t="s">
        <v>209</v>
      </c>
      <c r="D21" s="197"/>
      <c r="E21" s="197"/>
      <c r="F21" s="197"/>
      <c r="G21" s="197"/>
      <c r="H21" s="126"/>
      <c r="I21" s="126"/>
    </row>
    <row r="22" spans="2:9" ht="13.5" thickBot="1">
      <c r="B22" s="124"/>
      <c r="C22" s="198" t="s">
        <v>227</v>
      </c>
      <c r="D22" s="198" t="s">
        <v>209</v>
      </c>
      <c r="E22" s="198" t="s">
        <v>228</v>
      </c>
      <c r="F22" s="198" t="s">
        <v>229</v>
      </c>
      <c r="G22" s="200" t="s">
        <v>247</v>
      </c>
      <c r="H22" s="126"/>
      <c r="I22" s="126"/>
    </row>
    <row r="23" spans="2:9">
      <c r="B23" s="124"/>
      <c r="C23" s="6">
        <v>1</v>
      </c>
      <c r="D23" s="184">
        <v>1</v>
      </c>
      <c r="E23" s="184">
        <f>PV($C$9/12,12,1)*-1</f>
        <v>11.255077473484633</v>
      </c>
      <c r="F23" s="184">
        <v>1</v>
      </c>
      <c r="G23" s="184">
        <f t="shared" ref="G23:G28" si="0">(D23*E23*F23)</f>
        <v>11.255077473484633</v>
      </c>
      <c r="H23" s="126"/>
      <c r="I23" s="126"/>
    </row>
    <row r="24" spans="2:9">
      <c r="B24" s="124"/>
      <c r="C24" s="6">
        <v>2</v>
      </c>
      <c r="D24" s="184">
        <f>(1+$C$11)^(C24-1)</f>
        <v>1.075</v>
      </c>
      <c r="E24" s="184">
        <f>PV($C$9/12,12,1)*-1</f>
        <v>11.255077473484633</v>
      </c>
      <c r="F24" s="184">
        <f>(1/(1+($C$9/12))^(C23*12))</f>
        <v>0.88744922526515368</v>
      </c>
      <c r="G24" s="184">
        <f t="shared" si="0"/>
        <v>10.737433017953961</v>
      </c>
      <c r="H24" s="126"/>
      <c r="I24" s="126"/>
    </row>
    <row r="25" spans="2:9">
      <c r="B25" s="124"/>
      <c r="C25" s="6">
        <v>3</v>
      </c>
      <c r="D25" s="184">
        <f>(1+$C$11)^(C25-1)</f>
        <v>1.1556249999999999</v>
      </c>
      <c r="E25" s="184">
        <f>PV($C$9/12,12,1)*-1</f>
        <v>11.255077473484633</v>
      </c>
      <c r="F25" s="184">
        <f>(1/(1+($C$9/12))^(C24*12))</f>
        <v>0.78756612742372123</v>
      </c>
      <c r="G25" s="184">
        <f t="shared" si="0"/>
        <v>10.243596109103699</v>
      </c>
      <c r="H25" s="126"/>
      <c r="I25" s="126"/>
    </row>
    <row r="26" spans="2:9">
      <c r="B26" s="124"/>
      <c r="C26" s="6">
        <v>4</v>
      </c>
      <c r="D26" s="184">
        <f>(1+$C$11)^(C26-1)</f>
        <v>1.2422968749999999</v>
      </c>
      <c r="E26" s="184">
        <f>PV($C$9/12,12,1)*-1</f>
        <v>11.255077473484633</v>
      </c>
      <c r="F26" s="184">
        <f>(1/(1+($C$9/12))^(C25*12))</f>
        <v>0.69892494962725871</v>
      </c>
      <c r="G26" s="184">
        <f t="shared" si="0"/>
        <v>9.7724717882747125</v>
      </c>
      <c r="H26" s="126"/>
      <c r="I26" s="126"/>
    </row>
    <row r="27" spans="2:9">
      <c r="B27" s="124"/>
      <c r="C27" s="6">
        <v>5</v>
      </c>
      <c r="D27" s="184">
        <f>(1+$C$11)^(C27-1)</f>
        <v>1.3354691406249999</v>
      </c>
      <c r="E27" s="184">
        <f>PV($C$9/12,12,1)*-1</f>
        <v>11.255077473484633</v>
      </c>
      <c r="F27" s="184">
        <f>(1/(1+($C$9/12))^(C26*12))</f>
        <v>0.6202604050651972</v>
      </c>
      <c r="G27" s="184">
        <f t="shared" si="0"/>
        <v>9.3230154562372114</v>
      </c>
      <c r="H27" s="126"/>
      <c r="I27" s="126"/>
    </row>
    <row r="28" spans="2:9" ht="13" thickBot="1">
      <c r="B28" s="124"/>
      <c r="C28" s="183" t="s">
        <v>230</v>
      </c>
      <c r="D28" s="184">
        <f>(1+$C$11)^(6-1)</f>
        <v>1.4356293261718749</v>
      </c>
      <c r="E28" s="184">
        <f>PV($C$9/12,(25*12),-1)</f>
        <v>94.946551254838141</v>
      </c>
      <c r="F28" s="184">
        <f>(1/(1+($C$9/12))^(C27*12))</f>
        <v>0.55044961593775965</v>
      </c>
      <c r="G28" s="7">
        <f t="shared" si="0"/>
        <v>75.030715643433439</v>
      </c>
      <c r="H28" s="126"/>
      <c r="I28" s="126"/>
    </row>
    <row r="29" spans="2:9" ht="13" thickTop="1">
      <c r="B29" s="124"/>
      <c r="F29" t="s">
        <v>246</v>
      </c>
      <c r="G29" s="184">
        <f>SUM(G23:G28)</f>
        <v>126.36230948848765</v>
      </c>
      <c r="H29" s="126"/>
      <c r="I29" s="126"/>
    </row>
    <row r="30" spans="2:9" ht="13.5" thickBot="1">
      <c r="B30" s="185" t="s">
        <v>231</v>
      </c>
      <c r="H30" s="126"/>
      <c r="I30" s="126"/>
    </row>
    <row r="31" spans="2:9" ht="13.5" thickBot="1">
      <c r="B31" s="168"/>
      <c r="C31" s="199">
        <f>+C8/G29</f>
        <v>474.8251297628139</v>
      </c>
      <c r="D31" s="186" t="s">
        <v>232</v>
      </c>
      <c r="E31" s="8">
        <f>+C8</f>
        <v>60000</v>
      </c>
      <c r="F31" s="184">
        <f>+G29</f>
        <v>126.36230948848765</v>
      </c>
      <c r="H31" s="126"/>
      <c r="I31" s="126"/>
    </row>
    <row r="32" spans="2:9">
      <c r="B32" s="124"/>
      <c r="E32" t="s">
        <v>233</v>
      </c>
      <c r="F32" t="s">
        <v>234</v>
      </c>
      <c r="H32" s="126"/>
      <c r="I32" s="126"/>
    </row>
    <row r="33" spans="2:9">
      <c r="B33" s="124"/>
      <c r="H33" s="126"/>
      <c r="I33" s="126"/>
    </row>
    <row r="34" spans="2:9" ht="13">
      <c r="B34" s="182"/>
      <c r="C34" s="9"/>
      <c r="D34" s="9"/>
      <c r="E34" s="9"/>
      <c r="F34" s="9"/>
      <c r="G34" s="9"/>
      <c r="H34" s="126"/>
      <c r="I34" s="126"/>
    </row>
    <row r="35" spans="2:9">
      <c r="B35" s="124"/>
      <c r="H35" s="126"/>
      <c r="I35" s="126"/>
    </row>
    <row r="36" spans="2:9" ht="13" thickBot="1">
      <c r="B36" s="134"/>
      <c r="C36" s="4"/>
      <c r="D36" s="4"/>
      <c r="E36" s="4"/>
      <c r="F36" s="4"/>
      <c r="G36" s="4"/>
      <c r="H36" s="135"/>
      <c r="I36" s="126"/>
    </row>
    <row r="37" spans="2:9" ht="13.5" thickBot="1">
      <c r="B37" s="1531" t="s">
        <v>235</v>
      </c>
      <c r="C37" s="1532"/>
      <c r="D37" s="1532"/>
      <c r="E37" s="1532"/>
      <c r="F37" s="1532"/>
      <c r="G37" s="1532"/>
      <c r="H37" s="1534"/>
      <c r="I37" s="126"/>
    </row>
    <row r="38" spans="2:9" ht="13.5" thickBot="1">
      <c r="B38" s="181"/>
      <c r="H38" s="126"/>
      <c r="I38" s="126"/>
    </row>
    <row r="39" spans="2:9" ht="13.5" thickBot="1">
      <c r="B39" s="196" t="s">
        <v>216</v>
      </c>
      <c r="C39" s="196" t="s">
        <v>209</v>
      </c>
      <c r="D39" s="196" t="s">
        <v>210</v>
      </c>
      <c r="E39" s="196" t="s">
        <v>236</v>
      </c>
      <c r="F39" s="196" t="s">
        <v>215</v>
      </c>
      <c r="G39" s="196" t="s">
        <v>237</v>
      </c>
      <c r="H39" s="126"/>
      <c r="I39" s="126"/>
    </row>
    <row r="40" spans="2:9" ht="13">
      <c r="B40" s="187">
        <v>0</v>
      </c>
      <c r="C40" s="188">
        <f>-C8*(1-C13/100)</f>
        <v>-60000</v>
      </c>
      <c r="D40" s="39" t="s">
        <v>238</v>
      </c>
      <c r="E40" s="189"/>
      <c r="F40" s="190">
        <f>+C8</f>
        <v>60000</v>
      </c>
      <c r="H40" s="126"/>
      <c r="I40" s="126"/>
    </row>
    <row r="41" spans="2:9">
      <c r="B41" s="140">
        <v>1</v>
      </c>
      <c r="C41" s="11">
        <f>+$C$31</f>
        <v>474.8251297628139</v>
      </c>
      <c r="D41" s="11">
        <f t="shared" ref="D41:D104" si="1">+$C$9/12*F40</f>
        <v>600</v>
      </c>
      <c r="E41" s="11">
        <f>+C41-D41</f>
        <v>-125.1748702371861</v>
      </c>
      <c r="F41" s="8">
        <f>+C8-E41</f>
        <v>60125.174870237184</v>
      </c>
      <c r="G41" s="12">
        <f>PMT(C9/12,C10*12,-C8)</f>
        <v>617.16755815530257</v>
      </c>
      <c r="H41" s="126"/>
      <c r="I41" s="126"/>
    </row>
    <row r="42" spans="2:9">
      <c r="B42" s="140">
        <f>+B41+1</f>
        <v>2</v>
      </c>
      <c r="C42" s="11">
        <f t="shared" ref="C42:C52" si="2">+$C$31</f>
        <v>474.8251297628139</v>
      </c>
      <c r="D42" s="11">
        <f t="shared" si="1"/>
        <v>601.25174870237186</v>
      </c>
      <c r="E42" s="11">
        <f>+C42-D42</f>
        <v>-126.42661893955795</v>
      </c>
      <c r="F42" s="8">
        <f>+F41-E42</f>
        <v>60251.601489176741</v>
      </c>
      <c r="G42" s="12">
        <f>+G41</f>
        <v>617.16755815530257</v>
      </c>
      <c r="H42" s="126"/>
      <c r="I42" s="126"/>
    </row>
    <row r="43" spans="2:9">
      <c r="B43" s="140">
        <f t="shared" ref="B43:B74" si="3">+B42+1</f>
        <v>3</v>
      </c>
      <c r="C43" s="11">
        <f t="shared" si="2"/>
        <v>474.8251297628139</v>
      </c>
      <c r="D43" s="11">
        <f t="shared" si="1"/>
        <v>602.51601489176744</v>
      </c>
      <c r="E43" s="11">
        <f t="shared" ref="E43:E106" si="4">+C43-D43</f>
        <v>-127.69088512895354</v>
      </c>
      <c r="F43" s="8">
        <f t="shared" ref="F43:F106" si="5">+F42-E43</f>
        <v>60379.292374305696</v>
      </c>
      <c r="G43" s="12">
        <f t="shared" ref="G43:G106" si="6">+G42</f>
        <v>617.16755815530257</v>
      </c>
      <c r="H43" s="126"/>
      <c r="I43" s="126"/>
    </row>
    <row r="44" spans="2:9">
      <c r="B44" s="140">
        <f t="shared" si="3"/>
        <v>4</v>
      </c>
      <c r="C44" s="11">
        <f t="shared" si="2"/>
        <v>474.8251297628139</v>
      </c>
      <c r="D44" s="11">
        <f t="shared" si="1"/>
        <v>603.79292374305703</v>
      </c>
      <c r="E44" s="11">
        <f t="shared" si="4"/>
        <v>-128.96779398024313</v>
      </c>
      <c r="F44" s="8">
        <f t="shared" si="5"/>
        <v>60508.260168285939</v>
      </c>
      <c r="G44" s="12">
        <f t="shared" si="6"/>
        <v>617.16755815530257</v>
      </c>
      <c r="H44" s="126"/>
      <c r="I44" s="126"/>
    </row>
    <row r="45" spans="2:9">
      <c r="B45" s="140">
        <f t="shared" si="3"/>
        <v>5</v>
      </c>
      <c r="C45" s="11">
        <f t="shared" si="2"/>
        <v>474.8251297628139</v>
      </c>
      <c r="D45" s="11">
        <f t="shared" si="1"/>
        <v>605.08260168285938</v>
      </c>
      <c r="E45" s="11">
        <f t="shared" si="4"/>
        <v>-130.25747192004548</v>
      </c>
      <c r="F45" s="8">
        <f t="shared" si="5"/>
        <v>60638.517640205981</v>
      </c>
      <c r="G45" s="12">
        <f t="shared" si="6"/>
        <v>617.16755815530257</v>
      </c>
      <c r="H45" s="126"/>
      <c r="I45" s="126"/>
    </row>
    <row r="46" spans="2:9">
      <c r="B46" s="140">
        <f t="shared" si="3"/>
        <v>6</v>
      </c>
      <c r="C46" s="11">
        <f t="shared" si="2"/>
        <v>474.8251297628139</v>
      </c>
      <c r="D46" s="11">
        <f t="shared" si="1"/>
        <v>606.38517640205987</v>
      </c>
      <c r="E46" s="11">
        <f t="shared" si="4"/>
        <v>-131.56004663924597</v>
      </c>
      <c r="F46" s="8">
        <f t="shared" si="5"/>
        <v>60770.077686845223</v>
      </c>
      <c r="G46" s="12">
        <f t="shared" si="6"/>
        <v>617.16755815530257</v>
      </c>
      <c r="H46" s="126"/>
      <c r="I46" s="126"/>
    </row>
    <row r="47" spans="2:9">
      <c r="B47" s="140">
        <f t="shared" si="3"/>
        <v>7</v>
      </c>
      <c r="C47" s="11">
        <f t="shared" si="2"/>
        <v>474.8251297628139</v>
      </c>
      <c r="D47" s="11">
        <f t="shared" si="1"/>
        <v>607.70077686845229</v>
      </c>
      <c r="E47" s="11">
        <f t="shared" si="4"/>
        <v>-132.87564710563839</v>
      </c>
      <c r="F47" s="8">
        <f t="shared" si="5"/>
        <v>60902.953333950863</v>
      </c>
      <c r="G47" s="12">
        <f t="shared" si="6"/>
        <v>617.16755815530257</v>
      </c>
      <c r="H47" s="126"/>
      <c r="I47" s="126"/>
    </row>
    <row r="48" spans="2:9">
      <c r="B48" s="140">
        <f t="shared" si="3"/>
        <v>8</v>
      </c>
      <c r="C48" s="11">
        <f t="shared" si="2"/>
        <v>474.8251297628139</v>
      </c>
      <c r="D48" s="11">
        <f t="shared" si="1"/>
        <v>609.0295333395087</v>
      </c>
      <c r="E48" s="11">
        <f t="shared" si="4"/>
        <v>-134.2044035766948</v>
      </c>
      <c r="F48" s="8">
        <f t="shared" si="5"/>
        <v>61037.157737527559</v>
      </c>
      <c r="G48" s="12">
        <f t="shared" si="6"/>
        <v>617.16755815530257</v>
      </c>
      <c r="H48" s="126"/>
      <c r="I48" s="126"/>
    </row>
    <row r="49" spans="2:9">
      <c r="B49" s="140">
        <f t="shared" si="3"/>
        <v>9</v>
      </c>
      <c r="C49" s="11">
        <f t="shared" si="2"/>
        <v>474.8251297628139</v>
      </c>
      <c r="D49" s="11">
        <f t="shared" si="1"/>
        <v>610.37157737527559</v>
      </c>
      <c r="E49" s="11">
        <f t="shared" si="4"/>
        <v>-135.54644761246169</v>
      </c>
      <c r="F49" s="8">
        <f t="shared" si="5"/>
        <v>61172.704185140021</v>
      </c>
      <c r="G49" s="12">
        <f t="shared" si="6"/>
        <v>617.16755815530257</v>
      </c>
      <c r="H49" s="126"/>
      <c r="I49" s="126"/>
    </row>
    <row r="50" spans="2:9">
      <c r="B50" s="140">
        <f t="shared" si="3"/>
        <v>10</v>
      </c>
      <c r="C50" s="11">
        <f t="shared" si="2"/>
        <v>474.8251297628139</v>
      </c>
      <c r="D50" s="11">
        <f t="shared" si="1"/>
        <v>611.72704185140026</v>
      </c>
      <c r="E50" s="11">
        <f t="shared" si="4"/>
        <v>-136.90191208858636</v>
      </c>
      <c r="F50" s="8">
        <f t="shared" si="5"/>
        <v>61309.606097228607</v>
      </c>
      <c r="G50" s="12">
        <f t="shared" si="6"/>
        <v>617.16755815530257</v>
      </c>
      <c r="H50" s="126"/>
      <c r="I50" s="126"/>
    </row>
    <row r="51" spans="2:9" ht="13" thickBot="1">
      <c r="B51" s="140">
        <f t="shared" si="3"/>
        <v>11</v>
      </c>
      <c r="C51" s="11">
        <f t="shared" si="2"/>
        <v>474.8251297628139</v>
      </c>
      <c r="D51" s="11">
        <f t="shared" si="1"/>
        <v>613.09606097228607</v>
      </c>
      <c r="E51" s="11">
        <f t="shared" si="4"/>
        <v>-138.27093120947217</v>
      </c>
      <c r="F51" s="8">
        <f t="shared" si="5"/>
        <v>61447.877028438081</v>
      </c>
      <c r="G51" s="12">
        <f t="shared" si="6"/>
        <v>617.16755815530257</v>
      </c>
      <c r="H51" s="126"/>
      <c r="I51" s="126"/>
    </row>
    <row r="52" spans="2:9" ht="13.5" thickBot="1">
      <c r="B52" s="191">
        <f t="shared" si="3"/>
        <v>12</v>
      </c>
      <c r="C52" s="11">
        <f t="shared" si="2"/>
        <v>474.8251297628139</v>
      </c>
      <c r="D52" s="13">
        <f t="shared" si="1"/>
        <v>614.47877028438086</v>
      </c>
      <c r="E52" s="13">
        <f t="shared" si="4"/>
        <v>-139.65364052156696</v>
      </c>
      <c r="F52" s="14">
        <f t="shared" si="5"/>
        <v>61587.530668959647</v>
      </c>
      <c r="G52" s="15">
        <f t="shared" si="6"/>
        <v>617.16755815530257</v>
      </c>
      <c r="H52" s="196" t="s">
        <v>239</v>
      </c>
      <c r="I52" s="126"/>
    </row>
    <row r="53" spans="2:9" ht="13">
      <c r="B53" s="140">
        <f t="shared" si="3"/>
        <v>13</v>
      </c>
      <c r="C53" s="11">
        <f t="shared" ref="C53:C64" si="7">+$C$52*(1+$C$11)</f>
        <v>510.43701449502493</v>
      </c>
      <c r="D53" s="11">
        <f t="shared" si="1"/>
        <v>615.87530668959653</v>
      </c>
      <c r="E53" s="11">
        <f t="shared" si="4"/>
        <v>-105.4382921945716</v>
      </c>
      <c r="F53" s="8">
        <f t="shared" si="5"/>
        <v>61692.96896115422</v>
      </c>
      <c r="G53" s="12">
        <f t="shared" si="6"/>
        <v>617.16755815530257</v>
      </c>
      <c r="H53" s="192"/>
      <c r="I53" s="126"/>
    </row>
    <row r="54" spans="2:9" ht="13">
      <c r="B54" s="140">
        <f t="shared" si="3"/>
        <v>14</v>
      </c>
      <c r="C54" s="11">
        <f t="shared" si="7"/>
        <v>510.43701449502493</v>
      </c>
      <c r="D54" s="11">
        <f t="shared" si="1"/>
        <v>616.92968961154224</v>
      </c>
      <c r="E54" s="11">
        <f t="shared" si="4"/>
        <v>-106.49267511651732</v>
      </c>
      <c r="F54" s="8">
        <f t="shared" si="5"/>
        <v>61799.461636270738</v>
      </c>
      <c r="G54" s="12">
        <f t="shared" si="6"/>
        <v>617.16755815530257</v>
      </c>
      <c r="H54" s="192"/>
      <c r="I54" s="126"/>
    </row>
    <row r="55" spans="2:9" ht="13">
      <c r="B55" s="140">
        <f t="shared" si="3"/>
        <v>15</v>
      </c>
      <c r="C55" s="11">
        <f t="shared" si="7"/>
        <v>510.43701449502493</v>
      </c>
      <c r="D55" s="11">
        <f t="shared" si="1"/>
        <v>617.99461636270735</v>
      </c>
      <c r="E55" s="11">
        <f t="shared" si="4"/>
        <v>-107.55760186768242</v>
      </c>
      <c r="F55" s="8">
        <f t="shared" si="5"/>
        <v>61907.019238138419</v>
      </c>
      <c r="G55" s="12">
        <f t="shared" si="6"/>
        <v>617.16755815530257</v>
      </c>
      <c r="H55" s="192"/>
      <c r="I55" s="126"/>
    </row>
    <row r="56" spans="2:9" ht="13">
      <c r="B56" s="140">
        <f t="shared" si="3"/>
        <v>16</v>
      </c>
      <c r="C56" s="11">
        <f t="shared" si="7"/>
        <v>510.43701449502493</v>
      </c>
      <c r="D56" s="11">
        <f t="shared" si="1"/>
        <v>619.07019238138423</v>
      </c>
      <c r="E56" s="11">
        <f t="shared" si="4"/>
        <v>-108.63317788635931</v>
      </c>
      <c r="F56" s="8">
        <f t="shared" si="5"/>
        <v>62015.652416024779</v>
      </c>
      <c r="G56" s="12">
        <f t="shared" si="6"/>
        <v>617.16755815530257</v>
      </c>
      <c r="H56" s="192"/>
      <c r="I56" s="126"/>
    </row>
    <row r="57" spans="2:9" ht="13">
      <c r="B57" s="140">
        <f t="shared" si="3"/>
        <v>17</v>
      </c>
      <c r="C57" s="11">
        <f t="shared" si="7"/>
        <v>510.43701449502493</v>
      </c>
      <c r="D57" s="11">
        <f t="shared" si="1"/>
        <v>620.15652416024784</v>
      </c>
      <c r="E57" s="11">
        <f t="shared" si="4"/>
        <v>-109.71950966522292</v>
      </c>
      <c r="F57" s="8">
        <f t="shared" si="5"/>
        <v>62125.37192569</v>
      </c>
      <c r="G57" s="12">
        <f t="shared" si="6"/>
        <v>617.16755815530257</v>
      </c>
      <c r="H57" s="192"/>
      <c r="I57" s="126"/>
    </row>
    <row r="58" spans="2:9" ht="13">
      <c r="B58" s="140">
        <f t="shared" si="3"/>
        <v>18</v>
      </c>
      <c r="C58" s="11">
        <f t="shared" si="7"/>
        <v>510.43701449502493</v>
      </c>
      <c r="D58" s="11">
        <f t="shared" si="1"/>
        <v>621.25371925690001</v>
      </c>
      <c r="E58" s="11">
        <f t="shared" si="4"/>
        <v>-110.81670476187509</v>
      </c>
      <c r="F58" s="8">
        <f t="shared" si="5"/>
        <v>62236.188630451878</v>
      </c>
      <c r="G58" s="12">
        <f t="shared" si="6"/>
        <v>617.16755815530257</v>
      </c>
      <c r="H58" s="192"/>
      <c r="I58" s="126"/>
    </row>
    <row r="59" spans="2:9" ht="13">
      <c r="B59" s="140">
        <f t="shared" si="3"/>
        <v>19</v>
      </c>
      <c r="C59" s="11">
        <f t="shared" si="7"/>
        <v>510.43701449502493</v>
      </c>
      <c r="D59" s="11">
        <f t="shared" si="1"/>
        <v>622.36188630451875</v>
      </c>
      <c r="E59" s="11">
        <f t="shared" si="4"/>
        <v>-111.92487180949382</v>
      </c>
      <c r="F59" s="8">
        <f t="shared" si="5"/>
        <v>62348.113502261374</v>
      </c>
      <c r="G59" s="12">
        <f t="shared" si="6"/>
        <v>617.16755815530257</v>
      </c>
      <c r="H59" s="192"/>
      <c r="I59" s="126"/>
    </row>
    <row r="60" spans="2:9" ht="13">
      <c r="B60" s="140">
        <f t="shared" si="3"/>
        <v>20</v>
      </c>
      <c r="C60" s="11">
        <f t="shared" si="7"/>
        <v>510.43701449502493</v>
      </c>
      <c r="D60" s="11">
        <f t="shared" si="1"/>
        <v>623.48113502261378</v>
      </c>
      <c r="E60" s="11">
        <f t="shared" si="4"/>
        <v>-113.04412052758886</v>
      </c>
      <c r="F60" s="8">
        <f t="shared" si="5"/>
        <v>62461.15762278896</v>
      </c>
      <c r="G60" s="12">
        <f t="shared" si="6"/>
        <v>617.16755815530257</v>
      </c>
      <c r="H60" s="192"/>
      <c r="I60" s="126"/>
    </row>
    <row r="61" spans="2:9" ht="13">
      <c r="B61" s="140">
        <f t="shared" si="3"/>
        <v>21</v>
      </c>
      <c r="C61" s="11">
        <f t="shared" si="7"/>
        <v>510.43701449502493</v>
      </c>
      <c r="D61" s="11">
        <f t="shared" si="1"/>
        <v>624.6115762278896</v>
      </c>
      <c r="E61" s="11">
        <f t="shared" si="4"/>
        <v>-114.17456173286467</v>
      </c>
      <c r="F61" s="8">
        <f t="shared" si="5"/>
        <v>62575.332184521823</v>
      </c>
      <c r="G61" s="12">
        <f t="shared" si="6"/>
        <v>617.16755815530257</v>
      </c>
      <c r="H61" s="192"/>
      <c r="I61" s="126"/>
    </row>
    <row r="62" spans="2:9" ht="13">
      <c r="B62" s="140">
        <f t="shared" si="3"/>
        <v>22</v>
      </c>
      <c r="C62" s="11">
        <f t="shared" si="7"/>
        <v>510.43701449502493</v>
      </c>
      <c r="D62" s="11">
        <f t="shared" si="1"/>
        <v>625.75332184521824</v>
      </c>
      <c r="E62" s="11">
        <f t="shared" si="4"/>
        <v>-115.31630735019331</v>
      </c>
      <c r="F62" s="8">
        <f t="shared" si="5"/>
        <v>62690.648491872016</v>
      </c>
      <c r="G62" s="12">
        <f t="shared" si="6"/>
        <v>617.16755815530257</v>
      </c>
      <c r="H62" s="192"/>
      <c r="I62" s="126"/>
    </row>
    <row r="63" spans="2:9" ht="13.5" thickBot="1">
      <c r="B63" s="140">
        <f t="shared" si="3"/>
        <v>23</v>
      </c>
      <c r="C63" s="11">
        <f t="shared" si="7"/>
        <v>510.43701449502493</v>
      </c>
      <c r="D63" s="11">
        <f t="shared" si="1"/>
        <v>626.90648491872014</v>
      </c>
      <c r="E63" s="11">
        <f t="shared" si="4"/>
        <v>-116.46947042369521</v>
      </c>
      <c r="F63" s="8">
        <f t="shared" si="5"/>
        <v>62807.117962295713</v>
      </c>
      <c r="G63" s="12">
        <f t="shared" si="6"/>
        <v>617.16755815530257</v>
      </c>
      <c r="H63" s="192"/>
      <c r="I63" s="126"/>
    </row>
    <row r="64" spans="2:9" ht="13.5" thickBot="1">
      <c r="B64" s="193">
        <f t="shared" si="3"/>
        <v>24</v>
      </c>
      <c r="C64" s="11">
        <f t="shared" si="7"/>
        <v>510.43701449502493</v>
      </c>
      <c r="D64" s="16">
        <f t="shared" si="1"/>
        <v>628.07117962295717</v>
      </c>
      <c r="E64" s="16">
        <f t="shared" si="4"/>
        <v>-117.63416512793225</v>
      </c>
      <c r="F64" s="17">
        <f t="shared" si="5"/>
        <v>62924.752127423642</v>
      </c>
      <c r="G64" s="18">
        <f t="shared" si="6"/>
        <v>617.16755815530257</v>
      </c>
      <c r="H64" s="196" t="s">
        <v>240</v>
      </c>
      <c r="I64" s="126"/>
    </row>
    <row r="65" spans="2:9" ht="13">
      <c r="B65" s="140">
        <f t="shared" si="3"/>
        <v>25</v>
      </c>
      <c r="C65" s="11">
        <f t="shared" ref="C65:C76" si="8">+$C$64*(1+$C$11)</f>
        <v>548.71979058215175</v>
      </c>
      <c r="D65" s="11">
        <f t="shared" si="1"/>
        <v>629.24752127423642</v>
      </c>
      <c r="E65" s="11">
        <f t="shared" si="4"/>
        <v>-80.527730692084674</v>
      </c>
      <c r="F65" s="8">
        <f t="shared" si="5"/>
        <v>63005.279858115726</v>
      </c>
      <c r="G65" s="12">
        <f t="shared" si="6"/>
        <v>617.16755815530257</v>
      </c>
      <c r="H65" s="192"/>
      <c r="I65" s="126"/>
    </row>
    <row r="66" spans="2:9" ht="13">
      <c r="B66" s="140">
        <f t="shared" si="3"/>
        <v>26</v>
      </c>
      <c r="C66" s="11">
        <f t="shared" si="8"/>
        <v>548.71979058215175</v>
      </c>
      <c r="D66" s="11">
        <f t="shared" si="1"/>
        <v>630.05279858115728</v>
      </c>
      <c r="E66" s="11">
        <f t="shared" si="4"/>
        <v>-81.333007999005531</v>
      </c>
      <c r="F66" s="8">
        <f t="shared" si="5"/>
        <v>63086.61286611473</v>
      </c>
      <c r="G66" s="12">
        <f t="shared" si="6"/>
        <v>617.16755815530257</v>
      </c>
      <c r="H66" s="192"/>
      <c r="I66" s="126"/>
    </row>
    <row r="67" spans="2:9" ht="13">
      <c r="B67" s="140">
        <f t="shared" si="3"/>
        <v>27</v>
      </c>
      <c r="C67" s="11">
        <f t="shared" si="8"/>
        <v>548.71979058215175</v>
      </c>
      <c r="D67" s="11">
        <f t="shared" si="1"/>
        <v>630.86612866114729</v>
      </c>
      <c r="E67" s="11">
        <f t="shared" si="4"/>
        <v>-82.146338078995541</v>
      </c>
      <c r="F67" s="8">
        <f t="shared" si="5"/>
        <v>63168.759204193724</v>
      </c>
      <c r="G67" s="12">
        <f t="shared" si="6"/>
        <v>617.16755815530257</v>
      </c>
      <c r="H67" s="192"/>
      <c r="I67" s="126"/>
    </row>
    <row r="68" spans="2:9" ht="13">
      <c r="B68" s="140">
        <f t="shared" si="3"/>
        <v>28</v>
      </c>
      <c r="C68" s="11">
        <f t="shared" si="8"/>
        <v>548.71979058215175</v>
      </c>
      <c r="D68" s="11">
        <f t="shared" si="1"/>
        <v>631.68759204193725</v>
      </c>
      <c r="E68" s="11">
        <f t="shared" si="4"/>
        <v>-82.967801459785505</v>
      </c>
      <c r="F68" s="8">
        <f t="shared" si="5"/>
        <v>63251.727005653513</v>
      </c>
      <c r="G68" s="12">
        <f t="shared" si="6"/>
        <v>617.16755815530257</v>
      </c>
      <c r="H68" s="192"/>
      <c r="I68" s="126"/>
    </row>
    <row r="69" spans="2:9" ht="13">
      <c r="B69" s="140">
        <f t="shared" si="3"/>
        <v>29</v>
      </c>
      <c r="C69" s="11">
        <f t="shared" si="8"/>
        <v>548.71979058215175</v>
      </c>
      <c r="D69" s="11">
        <f t="shared" si="1"/>
        <v>632.51727005653515</v>
      </c>
      <c r="E69" s="11">
        <f t="shared" si="4"/>
        <v>-83.797479474383408</v>
      </c>
      <c r="F69" s="8">
        <f t="shared" si="5"/>
        <v>63335.524485127899</v>
      </c>
      <c r="G69" s="12">
        <f t="shared" si="6"/>
        <v>617.16755815530257</v>
      </c>
      <c r="H69" s="192"/>
      <c r="I69" s="126"/>
    </row>
    <row r="70" spans="2:9" ht="13">
      <c r="B70" s="140">
        <f t="shared" si="3"/>
        <v>30</v>
      </c>
      <c r="C70" s="11">
        <f t="shared" si="8"/>
        <v>548.71979058215175</v>
      </c>
      <c r="D70" s="11">
        <f t="shared" si="1"/>
        <v>633.35524485127905</v>
      </c>
      <c r="E70" s="11">
        <f t="shared" si="4"/>
        <v>-84.635454269127308</v>
      </c>
      <c r="F70" s="8">
        <f t="shared" si="5"/>
        <v>63420.159939397025</v>
      </c>
      <c r="G70" s="12">
        <f t="shared" si="6"/>
        <v>617.16755815530257</v>
      </c>
      <c r="H70" s="192"/>
      <c r="I70" s="126"/>
    </row>
    <row r="71" spans="2:9" ht="13">
      <c r="B71" s="140">
        <f t="shared" si="3"/>
        <v>31</v>
      </c>
      <c r="C71" s="11">
        <f t="shared" si="8"/>
        <v>548.71979058215175</v>
      </c>
      <c r="D71" s="11">
        <f t="shared" si="1"/>
        <v>634.20159939397024</v>
      </c>
      <c r="E71" s="11">
        <f t="shared" si="4"/>
        <v>-85.481808811818496</v>
      </c>
      <c r="F71" s="8">
        <f t="shared" si="5"/>
        <v>63505.641748208844</v>
      </c>
      <c r="G71" s="12">
        <f t="shared" si="6"/>
        <v>617.16755815530257</v>
      </c>
      <c r="H71" s="192"/>
      <c r="I71" s="126"/>
    </row>
    <row r="72" spans="2:9" ht="13">
      <c r="B72" s="140">
        <f t="shared" si="3"/>
        <v>32</v>
      </c>
      <c r="C72" s="11">
        <f t="shared" si="8"/>
        <v>548.71979058215175</v>
      </c>
      <c r="D72" s="11">
        <f t="shared" si="1"/>
        <v>635.05641748208848</v>
      </c>
      <c r="E72" s="11">
        <f t="shared" si="4"/>
        <v>-86.336626899936732</v>
      </c>
      <c r="F72" s="8">
        <f t="shared" si="5"/>
        <v>63591.978375108782</v>
      </c>
      <c r="G72" s="12">
        <f t="shared" si="6"/>
        <v>617.16755815530257</v>
      </c>
      <c r="H72" s="192"/>
      <c r="I72" s="126"/>
    </row>
    <row r="73" spans="2:9" ht="13">
      <c r="B73" s="140">
        <f t="shared" si="3"/>
        <v>33</v>
      </c>
      <c r="C73" s="11">
        <f t="shared" si="8"/>
        <v>548.71979058215175</v>
      </c>
      <c r="D73" s="11">
        <f t="shared" si="1"/>
        <v>635.91978375108783</v>
      </c>
      <c r="E73" s="11">
        <f t="shared" si="4"/>
        <v>-87.199993168936089</v>
      </c>
      <c r="F73" s="8">
        <f t="shared" si="5"/>
        <v>63679.178368277717</v>
      </c>
      <c r="G73" s="12">
        <f t="shared" si="6"/>
        <v>617.16755815530257</v>
      </c>
      <c r="H73" s="192"/>
      <c r="I73" s="126"/>
    </row>
    <row r="74" spans="2:9" ht="13">
      <c r="B74" s="140">
        <f t="shared" si="3"/>
        <v>34</v>
      </c>
      <c r="C74" s="11">
        <f t="shared" si="8"/>
        <v>548.71979058215175</v>
      </c>
      <c r="D74" s="11">
        <f t="shared" si="1"/>
        <v>636.79178368277724</v>
      </c>
      <c r="E74" s="11">
        <f t="shared" si="4"/>
        <v>-88.071993100625491</v>
      </c>
      <c r="F74" s="8">
        <f t="shared" si="5"/>
        <v>63767.250361378341</v>
      </c>
      <c r="G74" s="12">
        <f t="shared" si="6"/>
        <v>617.16755815530257</v>
      </c>
      <c r="H74" s="192"/>
      <c r="I74" s="126"/>
    </row>
    <row r="75" spans="2:9" ht="13.5" thickBot="1">
      <c r="B75" s="140">
        <f>+B74+1</f>
        <v>35</v>
      </c>
      <c r="C75" s="11">
        <f t="shared" si="8"/>
        <v>548.71979058215175</v>
      </c>
      <c r="D75" s="11">
        <f t="shared" si="1"/>
        <v>637.67250361378342</v>
      </c>
      <c r="E75" s="11">
        <f t="shared" si="4"/>
        <v>-88.952713031631674</v>
      </c>
      <c r="F75" s="8">
        <f t="shared" si="5"/>
        <v>63856.203074409976</v>
      </c>
      <c r="G75" s="12">
        <f t="shared" si="6"/>
        <v>617.16755815530257</v>
      </c>
      <c r="H75" s="192"/>
      <c r="I75" s="126"/>
    </row>
    <row r="76" spans="2:9" ht="13.5" thickBot="1">
      <c r="B76" s="193">
        <f>+B75+1</f>
        <v>36</v>
      </c>
      <c r="C76" s="11">
        <f t="shared" si="8"/>
        <v>548.71979058215175</v>
      </c>
      <c r="D76" s="16">
        <f t="shared" si="1"/>
        <v>638.56203074409973</v>
      </c>
      <c r="E76" s="16">
        <f t="shared" si="4"/>
        <v>-89.842240161947984</v>
      </c>
      <c r="F76" s="17">
        <f t="shared" si="5"/>
        <v>63946.045314571922</v>
      </c>
      <c r="G76" s="18">
        <f t="shared" si="6"/>
        <v>617.16755815530257</v>
      </c>
      <c r="H76" s="196" t="s">
        <v>241</v>
      </c>
      <c r="I76" s="126"/>
    </row>
    <row r="77" spans="2:9" ht="13">
      <c r="B77" s="140">
        <v>37</v>
      </c>
      <c r="C77" s="11">
        <f t="shared" ref="C77:C88" si="9">+$C$76*(1+$C$11)</f>
        <v>589.87377487581307</v>
      </c>
      <c r="D77" s="11">
        <f t="shared" si="1"/>
        <v>639.46045314571927</v>
      </c>
      <c r="E77" s="11">
        <f t="shared" si="4"/>
        <v>-49.586678269906201</v>
      </c>
      <c r="F77" s="8">
        <f t="shared" si="5"/>
        <v>63995.631992841831</v>
      </c>
      <c r="G77" s="12">
        <f t="shared" si="6"/>
        <v>617.16755815530257</v>
      </c>
      <c r="H77" s="194"/>
      <c r="I77" s="126"/>
    </row>
    <row r="78" spans="2:9" ht="13">
      <c r="B78" s="140">
        <f>+B77+1</f>
        <v>38</v>
      </c>
      <c r="C78" s="11">
        <f t="shared" si="9"/>
        <v>589.87377487581307</v>
      </c>
      <c r="D78" s="11">
        <f t="shared" si="1"/>
        <v>639.95631992841834</v>
      </c>
      <c r="E78" s="11">
        <f t="shared" si="4"/>
        <v>-50.082545052605269</v>
      </c>
      <c r="F78" s="8">
        <f t="shared" si="5"/>
        <v>64045.714537894433</v>
      </c>
      <c r="G78" s="12">
        <f t="shared" si="6"/>
        <v>617.16755815530257</v>
      </c>
      <c r="H78" s="192"/>
      <c r="I78" s="126"/>
    </row>
    <row r="79" spans="2:9" ht="13">
      <c r="B79" s="140">
        <f t="shared" ref="B79:B124" si="10">+B78+1</f>
        <v>39</v>
      </c>
      <c r="C79" s="11">
        <f t="shared" si="9"/>
        <v>589.87377487581307</v>
      </c>
      <c r="D79" s="11">
        <f t="shared" si="1"/>
        <v>640.45714537894435</v>
      </c>
      <c r="E79" s="11">
        <f t="shared" si="4"/>
        <v>-50.583370503131277</v>
      </c>
      <c r="F79" s="8">
        <f t="shared" si="5"/>
        <v>64096.297908397566</v>
      </c>
      <c r="G79" s="12">
        <f t="shared" si="6"/>
        <v>617.16755815530257</v>
      </c>
      <c r="H79" s="192"/>
      <c r="I79" s="126"/>
    </row>
    <row r="80" spans="2:9" ht="13">
      <c r="B80" s="140">
        <f t="shared" si="10"/>
        <v>40</v>
      </c>
      <c r="C80" s="11">
        <f t="shared" si="9"/>
        <v>589.87377487581307</v>
      </c>
      <c r="D80" s="11">
        <f t="shared" si="1"/>
        <v>640.96297908397571</v>
      </c>
      <c r="E80" s="11">
        <f t="shared" si="4"/>
        <v>-51.089204208162641</v>
      </c>
      <c r="F80" s="8">
        <f t="shared" si="5"/>
        <v>64147.387112605727</v>
      </c>
      <c r="G80" s="12">
        <f t="shared" si="6"/>
        <v>617.16755815530257</v>
      </c>
      <c r="H80" s="192"/>
      <c r="I80" s="126"/>
    </row>
    <row r="81" spans="2:9" ht="13">
      <c r="B81" s="140">
        <f t="shared" si="10"/>
        <v>41</v>
      </c>
      <c r="C81" s="11">
        <f t="shared" si="9"/>
        <v>589.87377487581307</v>
      </c>
      <c r="D81" s="11">
        <f t="shared" si="1"/>
        <v>641.47387112605725</v>
      </c>
      <c r="E81" s="11">
        <f t="shared" si="4"/>
        <v>-51.600096250244178</v>
      </c>
      <c r="F81" s="8">
        <f t="shared" si="5"/>
        <v>64198.987208855971</v>
      </c>
      <c r="G81" s="12">
        <f t="shared" si="6"/>
        <v>617.16755815530257</v>
      </c>
      <c r="H81" s="192"/>
      <c r="I81" s="126"/>
    </row>
    <row r="82" spans="2:9" ht="13">
      <c r="B82" s="140">
        <f t="shared" si="10"/>
        <v>42</v>
      </c>
      <c r="C82" s="11">
        <f t="shared" si="9"/>
        <v>589.87377487581307</v>
      </c>
      <c r="D82" s="11">
        <f t="shared" si="1"/>
        <v>641.98987208855976</v>
      </c>
      <c r="E82" s="11">
        <f t="shared" si="4"/>
        <v>-52.116097212746695</v>
      </c>
      <c r="F82" s="8">
        <f t="shared" si="5"/>
        <v>64251.103306068719</v>
      </c>
      <c r="G82" s="12">
        <f t="shared" si="6"/>
        <v>617.16755815530257</v>
      </c>
      <c r="H82" s="192"/>
      <c r="I82" s="126"/>
    </row>
    <row r="83" spans="2:9" ht="13">
      <c r="B83" s="140">
        <f t="shared" si="10"/>
        <v>43</v>
      </c>
      <c r="C83" s="11">
        <f t="shared" si="9"/>
        <v>589.87377487581307</v>
      </c>
      <c r="D83" s="11">
        <f t="shared" si="1"/>
        <v>642.51103306068717</v>
      </c>
      <c r="E83" s="11">
        <f t="shared" si="4"/>
        <v>-52.637258184874099</v>
      </c>
      <c r="F83" s="8">
        <f t="shared" si="5"/>
        <v>64303.740564253596</v>
      </c>
      <c r="G83" s="12">
        <f t="shared" si="6"/>
        <v>617.16755815530257</v>
      </c>
      <c r="H83" s="192"/>
      <c r="I83" s="126"/>
    </row>
    <row r="84" spans="2:9" ht="13">
      <c r="B84" s="140">
        <f t="shared" si="10"/>
        <v>44</v>
      </c>
      <c r="C84" s="11">
        <f t="shared" si="9"/>
        <v>589.87377487581307</v>
      </c>
      <c r="D84" s="11">
        <f t="shared" si="1"/>
        <v>643.03740564253599</v>
      </c>
      <c r="E84" s="11">
        <f t="shared" si="4"/>
        <v>-53.163630766722918</v>
      </c>
      <c r="F84" s="8">
        <f t="shared" si="5"/>
        <v>64356.904195020317</v>
      </c>
      <c r="G84" s="12">
        <f t="shared" si="6"/>
        <v>617.16755815530257</v>
      </c>
      <c r="H84" s="192"/>
      <c r="I84" s="126"/>
    </row>
    <row r="85" spans="2:9" ht="13">
      <c r="B85" s="140">
        <f t="shared" si="10"/>
        <v>45</v>
      </c>
      <c r="C85" s="11">
        <f t="shared" si="9"/>
        <v>589.87377487581307</v>
      </c>
      <c r="D85" s="11">
        <f t="shared" si="1"/>
        <v>643.5690419502032</v>
      </c>
      <c r="E85" s="11">
        <f t="shared" si="4"/>
        <v>-53.695267074390131</v>
      </c>
      <c r="F85" s="8">
        <f t="shared" si="5"/>
        <v>64410.599462094709</v>
      </c>
      <c r="G85" s="12">
        <f t="shared" si="6"/>
        <v>617.16755815530257</v>
      </c>
      <c r="H85" s="192"/>
      <c r="I85" s="126"/>
    </row>
    <row r="86" spans="2:9" ht="13">
      <c r="B86" s="140">
        <f t="shared" si="10"/>
        <v>46</v>
      </c>
      <c r="C86" s="11">
        <f t="shared" si="9"/>
        <v>589.87377487581307</v>
      </c>
      <c r="D86" s="11">
        <f t="shared" si="1"/>
        <v>644.10599462094706</v>
      </c>
      <c r="E86" s="11">
        <f t="shared" si="4"/>
        <v>-54.232219745133989</v>
      </c>
      <c r="F86" s="8">
        <f t="shared" si="5"/>
        <v>64464.831681839845</v>
      </c>
      <c r="G86" s="12">
        <f t="shared" si="6"/>
        <v>617.16755815530257</v>
      </c>
      <c r="H86" s="192"/>
      <c r="I86" s="126"/>
    </row>
    <row r="87" spans="2:9" ht="13.5" thickBot="1">
      <c r="B87" s="140">
        <f t="shared" si="10"/>
        <v>47</v>
      </c>
      <c r="C87" s="11">
        <f t="shared" si="9"/>
        <v>589.87377487581307</v>
      </c>
      <c r="D87" s="11">
        <f t="shared" si="1"/>
        <v>644.64831681839848</v>
      </c>
      <c r="E87" s="11">
        <f t="shared" si="4"/>
        <v>-54.774541942585415</v>
      </c>
      <c r="F87" s="8">
        <f t="shared" si="5"/>
        <v>64519.60622378243</v>
      </c>
      <c r="G87" s="12">
        <f t="shared" si="6"/>
        <v>617.16755815530257</v>
      </c>
      <c r="H87" s="192"/>
      <c r="I87" s="126"/>
    </row>
    <row r="88" spans="2:9" ht="13.5" thickBot="1">
      <c r="B88" s="193">
        <f t="shared" si="10"/>
        <v>48</v>
      </c>
      <c r="C88" s="11">
        <f t="shared" si="9"/>
        <v>589.87377487581307</v>
      </c>
      <c r="D88" s="16">
        <f t="shared" si="1"/>
        <v>645.19606223782432</v>
      </c>
      <c r="E88" s="16">
        <f t="shared" si="4"/>
        <v>-55.322287362011252</v>
      </c>
      <c r="F88" s="17">
        <f t="shared" si="5"/>
        <v>64574.928511144441</v>
      </c>
      <c r="G88" s="18">
        <f t="shared" si="6"/>
        <v>617.16755815530257</v>
      </c>
      <c r="H88" s="196" t="s">
        <v>242</v>
      </c>
      <c r="I88" s="126"/>
    </row>
    <row r="89" spans="2:9" ht="13">
      <c r="B89" s="140">
        <f t="shared" si="10"/>
        <v>49</v>
      </c>
      <c r="C89" s="11">
        <f>+C88*(1+$C$11)</f>
        <v>634.114307991499</v>
      </c>
      <c r="D89" s="11">
        <f t="shared" si="1"/>
        <v>645.74928511144446</v>
      </c>
      <c r="E89" s="11">
        <f t="shared" si="4"/>
        <v>-11.634977119945461</v>
      </c>
      <c r="F89" s="8">
        <f t="shared" si="5"/>
        <v>64586.563488264386</v>
      </c>
      <c r="G89" s="12">
        <f t="shared" si="6"/>
        <v>617.16755815530257</v>
      </c>
      <c r="H89" s="192"/>
      <c r="I89" s="126"/>
    </row>
    <row r="90" spans="2:9" ht="13">
      <c r="B90" s="140">
        <f t="shared" si="10"/>
        <v>50</v>
      </c>
      <c r="C90" s="11">
        <f t="shared" ref="C90:C100" si="11">+C89</f>
        <v>634.114307991499</v>
      </c>
      <c r="D90" s="11">
        <f t="shared" si="1"/>
        <v>645.86563488264392</v>
      </c>
      <c r="E90" s="11">
        <f t="shared" si="4"/>
        <v>-11.751326891144913</v>
      </c>
      <c r="F90" s="8">
        <f t="shared" si="5"/>
        <v>64598.314815155529</v>
      </c>
      <c r="G90" s="12">
        <f t="shared" si="6"/>
        <v>617.16755815530257</v>
      </c>
      <c r="H90" s="192"/>
      <c r="I90" s="126"/>
    </row>
    <row r="91" spans="2:9" ht="13">
      <c r="B91" s="140">
        <f t="shared" si="10"/>
        <v>51</v>
      </c>
      <c r="C91" s="11">
        <f t="shared" si="11"/>
        <v>634.114307991499</v>
      </c>
      <c r="D91" s="11">
        <f t="shared" si="1"/>
        <v>645.98314815155527</v>
      </c>
      <c r="E91" s="11">
        <f t="shared" si="4"/>
        <v>-11.868840160056266</v>
      </c>
      <c r="F91" s="8">
        <f t="shared" si="5"/>
        <v>64610.183655315588</v>
      </c>
      <c r="G91" s="12">
        <f t="shared" si="6"/>
        <v>617.16755815530257</v>
      </c>
      <c r="H91" s="192"/>
      <c r="I91" s="126"/>
    </row>
    <row r="92" spans="2:9" ht="13">
      <c r="B92" s="140">
        <f t="shared" si="10"/>
        <v>52</v>
      </c>
      <c r="C92" s="11">
        <f t="shared" si="11"/>
        <v>634.114307991499</v>
      </c>
      <c r="D92" s="11">
        <f t="shared" si="1"/>
        <v>646.10183655315586</v>
      </c>
      <c r="E92" s="11">
        <f t="shared" si="4"/>
        <v>-11.987528561656859</v>
      </c>
      <c r="F92" s="8">
        <f t="shared" si="5"/>
        <v>64622.171183877246</v>
      </c>
      <c r="G92" s="12">
        <f t="shared" si="6"/>
        <v>617.16755815530257</v>
      </c>
      <c r="H92" s="192"/>
      <c r="I92" s="126"/>
    </row>
    <row r="93" spans="2:9" ht="13">
      <c r="B93" s="140">
        <f t="shared" si="10"/>
        <v>53</v>
      </c>
      <c r="C93" s="11">
        <f t="shared" si="11"/>
        <v>634.114307991499</v>
      </c>
      <c r="D93" s="11">
        <f t="shared" si="1"/>
        <v>646.22171183877242</v>
      </c>
      <c r="E93" s="11">
        <f t="shared" si="4"/>
        <v>-12.107403847273417</v>
      </c>
      <c r="F93" s="8">
        <f t="shared" si="5"/>
        <v>64634.278587724519</v>
      </c>
      <c r="G93" s="12">
        <f t="shared" si="6"/>
        <v>617.16755815530257</v>
      </c>
      <c r="H93" s="192"/>
      <c r="I93" s="126"/>
    </row>
    <row r="94" spans="2:9" ht="13">
      <c r="B94" s="140">
        <f t="shared" si="10"/>
        <v>54</v>
      </c>
      <c r="C94" s="11">
        <f t="shared" si="11"/>
        <v>634.114307991499</v>
      </c>
      <c r="D94" s="11">
        <f t="shared" si="1"/>
        <v>646.34278587724521</v>
      </c>
      <c r="E94" s="11">
        <f t="shared" si="4"/>
        <v>-12.228477885746202</v>
      </c>
      <c r="F94" s="8">
        <f t="shared" si="5"/>
        <v>64646.507065610262</v>
      </c>
      <c r="G94" s="12">
        <f t="shared" si="6"/>
        <v>617.16755815530257</v>
      </c>
      <c r="H94" s="192"/>
      <c r="I94" s="126"/>
    </row>
    <row r="95" spans="2:9" ht="13">
      <c r="B95" s="140">
        <f t="shared" si="10"/>
        <v>55</v>
      </c>
      <c r="C95" s="11">
        <f t="shared" si="11"/>
        <v>634.114307991499</v>
      </c>
      <c r="D95" s="11">
        <f t="shared" si="1"/>
        <v>646.46507065610263</v>
      </c>
      <c r="E95" s="11">
        <f t="shared" si="4"/>
        <v>-12.350762664603621</v>
      </c>
      <c r="F95" s="8">
        <f t="shared" si="5"/>
        <v>64658.857828274864</v>
      </c>
      <c r="G95" s="12">
        <f t="shared" si="6"/>
        <v>617.16755815530257</v>
      </c>
      <c r="H95" s="192"/>
      <c r="I95" s="126"/>
    </row>
    <row r="96" spans="2:9" ht="13">
      <c r="B96" s="140">
        <f t="shared" si="10"/>
        <v>56</v>
      </c>
      <c r="C96" s="11">
        <f t="shared" si="11"/>
        <v>634.114307991499</v>
      </c>
      <c r="D96" s="11">
        <f t="shared" si="1"/>
        <v>646.5885782827487</v>
      </c>
      <c r="E96" s="11">
        <f t="shared" si="4"/>
        <v>-12.474270291249695</v>
      </c>
      <c r="F96" s="8">
        <f t="shared" si="5"/>
        <v>64671.332098566112</v>
      </c>
      <c r="G96" s="12">
        <f t="shared" si="6"/>
        <v>617.16755815530257</v>
      </c>
      <c r="H96" s="192"/>
      <c r="I96" s="126"/>
    </row>
    <row r="97" spans="2:9" ht="13">
      <c r="B97" s="140">
        <f t="shared" si="10"/>
        <v>57</v>
      </c>
      <c r="C97" s="11">
        <f t="shared" si="11"/>
        <v>634.114307991499</v>
      </c>
      <c r="D97" s="11">
        <f t="shared" si="1"/>
        <v>646.71332098566108</v>
      </c>
      <c r="E97" s="11">
        <f t="shared" si="4"/>
        <v>-12.599012994162081</v>
      </c>
      <c r="F97" s="8">
        <f t="shared" si="5"/>
        <v>64683.931111560276</v>
      </c>
      <c r="G97" s="12">
        <f t="shared" si="6"/>
        <v>617.16755815530257</v>
      </c>
      <c r="H97" s="192"/>
      <c r="I97" s="126"/>
    </row>
    <row r="98" spans="2:9" ht="13">
      <c r="B98" s="140">
        <f t="shared" si="10"/>
        <v>58</v>
      </c>
      <c r="C98" s="11">
        <f t="shared" si="11"/>
        <v>634.114307991499</v>
      </c>
      <c r="D98" s="11">
        <f t="shared" si="1"/>
        <v>646.83931111560275</v>
      </c>
      <c r="E98" s="11">
        <f t="shared" si="4"/>
        <v>-12.72500312410375</v>
      </c>
      <c r="F98" s="8">
        <f t="shared" si="5"/>
        <v>64696.656114684381</v>
      </c>
      <c r="G98" s="12">
        <f t="shared" si="6"/>
        <v>617.16755815530257</v>
      </c>
      <c r="H98" s="192"/>
      <c r="I98" s="126"/>
    </row>
    <row r="99" spans="2:9" ht="13.5" thickBot="1">
      <c r="B99" s="140">
        <f t="shared" si="10"/>
        <v>59</v>
      </c>
      <c r="C99" s="11">
        <f t="shared" si="11"/>
        <v>634.114307991499</v>
      </c>
      <c r="D99" s="11">
        <f t="shared" si="1"/>
        <v>646.96656114684379</v>
      </c>
      <c r="E99" s="11">
        <f t="shared" si="4"/>
        <v>-12.852253155344783</v>
      </c>
      <c r="F99" s="8">
        <f t="shared" si="5"/>
        <v>64709.508367839728</v>
      </c>
      <c r="G99" s="12">
        <f t="shared" si="6"/>
        <v>617.16755815530257</v>
      </c>
      <c r="H99" s="192"/>
      <c r="I99" s="126"/>
    </row>
    <row r="100" spans="2:9" ht="13.5" thickBot="1">
      <c r="B100" s="193">
        <f t="shared" si="10"/>
        <v>60</v>
      </c>
      <c r="C100" s="16">
        <f t="shared" si="11"/>
        <v>634.114307991499</v>
      </c>
      <c r="D100" s="16">
        <f t="shared" si="1"/>
        <v>647.09508367839726</v>
      </c>
      <c r="E100" s="16">
        <f t="shared" si="4"/>
        <v>-12.980775686898255</v>
      </c>
      <c r="F100" s="17">
        <f t="shared" si="5"/>
        <v>64722.489143526625</v>
      </c>
      <c r="G100" s="18">
        <f t="shared" si="6"/>
        <v>617.16755815530257</v>
      </c>
      <c r="H100" s="196" t="s">
        <v>243</v>
      </c>
      <c r="I100" s="126"/>
    </row>
    <row r="101" spans="2:9" ht="13">
      <c r="B101" s="140">
        <f t="shared" si="10"/>
        <v>61</v>
      </c>
      <c r="C101" s="11">
        <f>+C100*(1+$C$11)</f>
        <v>681.67288109086144</v>
      </c>
      <c r="D101" s="11">
        <f t="shared" si="1"/>
        <v>647.22489143526627</v>
      </c>
      <c r="E101" s="11">
        <f t="shared" si="4"/>
        <v>34.447989655595165</v>
      </c>
      <c r="F101" s="8">
        <f t="shared" si="5"/>
        <v>64688.041153871032</v>
      </c>
      <c r="G101" s="12">
        <f t="shared" si="6"/>
        <v>617.16755815530257</v>
      </c>
      <c r="H101" s="192"/>
      <c r="I101" s="126"/>
    </row>
    <row r="102" spans="2:9" ht="13">
      <c r="B102" s="140">
        <f t="shared" si="10"/>
        <v>62</v>
      </c>
      <c r="C102" s="11">
        <f>+C101</f>
        <v>681.67288109086144</v>
      </c>
      <c r="D102" s="11">
        <f t="shared" si="1"/>
        <v>646.88041153871029</v>
      </c>
      <c r="E102" s="11">
        <f t="shared" si="4"/>
        <v>34.792469552151147</v>
      </c>
      <c r="F102" s="8">
        <f t="shared" si="5"/>
        <v>64653.248684318882</v>
      </c>
      <c r="G102" s="12">
        <f t="shared" si="6"/>
        <v>617.16755815530257</v>
      </c>
      <c r="H102" s="192"/>
      <c r="I102" s="126"/>
    </row>
    <row r="103" spans="2:9" ht="13">
      <c r="B103" s="140">
        <f t="shared" si="10"/>
        <v>63</v>
      </c>
      <c r="C103" s="11">
        <f t="shared" ref="C103:C118" si="12">+C102</f>
        <v>681.67288109086144</v>
      </c>
      <c r="D103" s="11">
        <f t="shared" si="1"/>
        <v>646.53248684318885</v>
      </c>
      <c r="E103" s="11">
        <f t="shared" si="4"/>
        <v>35.140394247672589</v>
      </c>
      <c r="F103" s="8">
        <f t="shared" si="5"/>
        <v>64618.108290071206</v>
      </c>
      <c r="G103" s="12">
        <f t="shared" si="6"/>
        <v>617.16755815530257</v>
      </c>
      <c r="H103" s="192"/>
      <c r="I103" s="126"/>
    </row>
    <row r="104" spans="2:9" ht="13">
      <c r="B104" s="140">
        <f t="shared" si="10"/>
        <v>64</v>
      </c>
      <c r="C104" s="11">
        <f t="shared" si="12"/>
        <v>681.67288109086144</v>
      </c>
      <c r="D104" s="11">
        <f t="shared" si="1"/>
        <v>646.18108290071211</v>
      </c>
      <c r="E104" s="11">
        <f t="shared" si="4"/>
        <v>35.491798190149325</v>
      </c>
      <c r="F104" s="8">
        <f t="shared" si="5"/>
        <v>64582.616491881054</v>
      </c>
      <c r="G104" s="12">
        <f t="shared" si="6"/>
        <v>617.16755815530257</v>
      </c>
      <c r="H104" s="192"/>
      <c r="I104" s="126"/>
    </row>
    <row r="105" spans="2:9" ht="13">
      <c r="B105" s="140">
        <f t="shared" si="10"/>
        <v>65</v>
      </c>
      <c r="C105" s="11">
        <f t="shared" si="12"/>
        <v>681.67288109086144</v>
      </c>
      <c r="D105" s="11">
        <f t="shared" ref="D105:D124" si="13">+$C$9/12*F104</f>
        <v>645.8261649188106</v>
      </c>
      <c r="E105" s="11">
        <f t="shared" si="4"/>
        <v>35.846716172050833</v>
      </c>
      <c r="F105" s="8">
        <f t="shared" si="5"/>
        <v>64546.769775709006</v>
      </c>
      <c r="G105" s="12">
        <f t="shared" si="6"/>
        <v>617.16755815530257</v>
      </c>
      <c r="H105" s="192"/>
      <c r="I105" s="126"/>
    </row>
    <row r="106" spans="2:9" ht="13">
      <c r="B106" s="140">
        <f t="shared" si="10"/>
        <v>66</v>
      </c>
      <c r="C106" s="11">
        <f t="shared" si="12"/>
        <v>681.67288109086144</v>
      </c>
      <c r="D106" s="11">
        <f t="shared" si="13"/>
        <v>645.46769775709004</v>
      </c>
      <c r="E106" s="11">
        <f t="shared" si="4"/>
        <v>36.205183333771402</v>
      </c>
      <c r="F106" s="8">
        <f t="shared" si="5"/>
        <v>64510.564592375238</v>
      </c>
      <c r="G106" s="12">
        <f t="shared" si="6"/>
        <v>617.16755815530257</v>
      </c>
      <c r="H106" s="192"/>
      <c r="I106" s="126"/>
    </row>
    <row r="107" spans="2:9" ht="13">
      <c r="B107" s="140">
        <f t="shared" si="10"/>
        <v>67</v>
      </c>
      <c r="C107" s="11">
        <f t="shared" si="12"/>
        <v>681.67288109086144</v>
      </c>
      <c r="D107" s="11">
        <f t="shared" si="13"/>
        <v>645.10564592375238</v>
      </c>
      <c r="E107" s="11">
        <f t="shared" ref="E107:E122" si="14">+C107-D107</f>
        <v>36.567235167109061</v>
      </c>
      <c r="F107" s="8">
        <f t="shared" ref="F107:F122" si="15">+F106-E107</f>
        <v>64473.997357208129</v>
      </c>
      <c r="G107" s="12">
        <f t="shared" ref="G107:G122" si="16">+G106</f>
        <v>617.16755815530257</v>
      </c>
      <c r="H107" s="192"/>
      <c r="I107" s="126"/>
    </row>
    <row r="108" spans="2:9" ht="13">
      <c r="B108" s="140">
        <f t="shared" si="10"/>
        <v>68</v>
      </c>
      <c r="C108" s="11">
        <f t="shared" si="12"/>
        <v>681.67288109086144</v>
      </c>
      <c r="D108" s="11">
        <f t="shared" si="13"/>
        <v>644.73997357208134</v>
      </c>
      <c r="E108" s="11">
        <f t="shared" si="14"/>
        <v>36.932907518780098</v>
      </c>
      <c r="F108" s="8">
        <f t="shared" si="15"/>
        <v>64437.064449689351</v>
      </c>
      <c r="G108" s="12">
        <f t="shared" si="16"/>
        <v>617.16755815530257</v>
      </c>
      <c r="H108" s="192"/>
      <c r="I108" s="126"/>
    </row>
    <row r="109" spans="2:9" ht="13">
      <c r="B109" s="140">
        <f t="shared" si="10"/>
        <v>69</v>
      </c>
      <c r="C109" s="11">
        <f t="shared" si="12"/>
        <v>681.67288109086144</v>
      </c>
      <c r="D109" s="11">
        <f t="shared" si="13"/>
        <v>644.37064449689353</v>
      </c>
      <c r="E109" s="11">
        <f t="shared" si="14"/>
        <v>37.302236593967905</v>
      </c>
      <c r="F109" s="8">
        <f t="shared" si="15"/>
        <v>64399.762213095382</v>
      </c>
      <c r="G109" s="12">
        <f t="shared" si="16"/>
        <v>617.16755815530257</v>
      </c>
      <c r="H109" s="192"/>
      <c r="I109" s="126"/>
    </row>
    <row r="110" spans="2:9" ht="13">
      <c r="B110" s="140">
        <f t="shared" si="10"/>
        <v>70</v>
      </c>
      <c r="C110" s="11">
        <f t="shared" si="12"/>
        <v>681.67288109086144</v>
      </c>
      <c r="D110" s="11">
        <f t="shared" si="13"/>
        <v>643.9976221309538</v>
      </c>
      <c r="E110" s="11">
        <f t="shared" si="14"/>
        <v>37.675258959907637</v>
      </c>
      <c r="F110" s="8">
        <f t="shared" si="15"/>
        <v>64362.086954135477</v>
      </c>
      <c r="G110" s="12">
        <f t="shared" si="16"/>
        <v>617.16755815530257</v>
      </c>
      <c r="H110" s="192"/>
      <c r="I110" s="126"/>
    </row>
    <row r="111" spans="2:9" ht="13.5" thickBot="1">
      <c r="B111" s="140">
        <f t="shared" si="10"/>
        <v>71</v>
      </c>
      <c r="C111" s="11">
        <f t="shared" si="12"/>
        <v>681.67288109086144</v>
      </c>
      <c r="D111" s="11">
        <f t="shared" si="13"/>
        <v>643.62086954135475</v>
      </c>
      <c r="E111" s="11">
        <f t="shared" si="14"/>
        <v>38.052011549506688</v>
      </c>
      <c r="F111" s="8">
        <f t="shared" si="15"/>
        <v>64324.034942585968</v>
      </c>
      <c r="G111" s="12">
        <f t="shared" si="16"/>
        <v>617.16755815530257</v>
      </c>
      <c r="H111" s="192"/>
      <c r="I111" s="126"/>
    </row>
    <row r="112" spans="2:9" ht="13.5" thickBot="1">
      <c r="B112" s="193">
        <f t="shared" si="10"/>
        <v>72</v>
      </c>
      <c r="C112" s="16">
        <f t="shared" si="12"/>
        <v>681.67288109086144</v>
      </c>
      <c r="D112" s="16">
        <f t="shared" si="13"/>
        <v>643.24034942585968</v>
      </c>
      <c r="E112" s="16">
        <f t="shared" si="14"/>
        <v>38.432531665001761</v>
      </c>
      <c r="F112" s="17">
        <f t="shared" si="15"/>
        <v>64285.602410920968</v>
      </c>
      <c r="G112" s="18">
        <f t="shared" si="16"/>
        <v>617.16755815530257</v>
      </c>
      <c r="H112" s="196" t="s">
        <v>244</v>
      </c>
      <c r="I112" s="126"/>
    </row>
    <row r="113" spans="2:9" ht="13">
      <c r="B113" s="140">
        <f t="shared" si="10"/>
        <v>73</v>
      </c>
      <c r="C113" s="11">
        <f t="shared" si="12"/>
        <v>681.67288109086144</v>
      </c>
      <c r="D113" s="11">
        <f t="shared" si="13"/>
        <v>642.85602410920967</v>
      </c>
      <c r="E113" s="11">
        <f t="shared" si="14"/>
        <v>38.816856981651767</v>
      </c>
      <c r="F113" s="8">
        <f t="shared" si="15"/>
        <v>64246.785553939313</v>
      </c>
      <c r="G113" s="12">
        <f t="shared" si="16"/>
        <v>617.16755815530257</v>
      </c>
      <c r="H113" s="192"/>
      <c r="I113" s="126"/>
    </row>
    <row r="114" spans="2:9" ht="13">
      <c r="B114" s="140">
        <f t="shared" si="10"/>
        <v>74</v>
      </c>
      <c r="C114" s="11">
        <f t="shared" si="12"/>
        <v>681.67288109086144</v>
      </c>
      <c r="D114" s="11">
        <f t="shared" si="13"/>
        <v>642.4678555393931</v>
      </c>
      <c r="E114" s="11">
        <f t="shared" si="14"/>
        <v>39.205025551468339</v>
      </c>
      <c r="F114" s="8">
        <f t="shared" si="15"/>
        <v>64207.580528387844</v>
      </c>
      <c r="G114" s="12">
        <f t="shared" si="16"/>
        <v>617.16755815530257</v>
      </c>
      <c r="H114" s="192"/>
      <c r="I114" s="126"/>
    </row>
    <row r="115" spans="2:9" ht="13">
      <c r="B115" s="140">
        <f t="shared" si="10"/>
        <v>75</v>
      </c>
      <c r="C115" s="11">
        <f t="shared" si="12"/>
        <v>681.67288109086144</v>
      </c>
      <c r="D115" s="11">
        <f t="shared" si="13"/>
        <v>642.07580528387848</v>
      </c>
      <c r="E115" s="11">
        <f t="shared" si="14"/>
        <v>39.597075806982957</v>
      </c>
      <c r="F115" s="8">
        <f t="shared" si="15"/>
        <v>64167.983452580862</v>
      </c>
      <c r="G115" s="12">
        <f t="shared" si="16"/>
        <v>617.16755815530257</v>
      </c>
      <c r="H115" s="192"/>
      <c r="I115" s="126"/>
    </row>
    <row r="116" spans="2:9" ht="13">
      <c r="B116" s="140">
        <f t="shared" si="10"/>
        <v>76</v>
      </c>
      <c r="C116" s="11">
        <f t="shared" si="12"/>
        <v>681.67288109086144</v>
      </c>
      <c r="D116" s="11">
        <f t="shared" si="13"/>
        <v>641.67983452580859</v>
      </c>
      <c r="E116" s="11">
        <f t="shared" si="14"/>
        <v>39.99304656505285</v>
      </c>
      <c r="F116" s="8">
        <f t="shared" si="15"/>
        <v>64127.990406015808</v>
      </c>
      <c r="G116" s="12">
        <f t="shared" si="16"/>
        <v>617.16755815530257</v>
      </c>
      <c r="H116" s="192"/>
      <c r="I116" s="126"/>
    </row>
    <row r="117" spans="2:9" ht="13">
      <c r="B117" s="140">
        <f t="shared" si="10"/>
        <v>77</v>
      </c>
      <c r="C117" s="11">
        <f t="shared" si="12"/>
        <v>681.67288109086144</v>
      </c>
      <c r="D117" s="11">
        <f t="shared" si="13"/>
        <v>641.27990406015806</v>
      </c>
      <c r="E117" s="11">
        <f t="shared" si="14"/>
        <v>40.392977030703378</v>
      </c>
      <c r="F117" s="8">
        <f t="shared" si="15"/>
        <v>64087.597428985107</v>
      </c>
      <c r="G117" s="12">
        <f t="shared" si="16"/>
        <v>617.16755815530257</v>
      </c>
      <c r="H117" s="192"/>
      <c r="I117" s="126"/>
    </row>
    <row r="118" spans="2:9" ht="13">
      <c r="B118" s="140">
        <f t="shared" si="10"/>
        <v>78</v>
      </c>
      <c r="C118" s="11">
        <f t="shared" si="12"/>
        <v>681.67288109086144</v>
      </c>
      <c r="D118" s="11">
        <f t="shared" si="13"/>
        <v>640.87597428985111</v>
      </c>
      <c r="E118" s="11">
        <f t="shared" si="14"/>
        <v>40.796906801010323</v>
      </c>
      <c r="F118" s="8">
        <f t="shared" si="15"/>
        <v>64046.800522184094</v>
      </c>
      <c r="G118" s="12">
        <f t="shared" si="16"/>
        <v>617.16755815530257</v>
      </c>
      <c r="H118" s="192"/>
      <c r="I118" s="126"/>
    </row>
    <row r="119" spans="2:9" ht="13">
      <c r="B119" s="140">
        <f t="shared" si="10"/>
        <v>79</v>
      </c>
      <c r="C119" s="11">
        <f>+C118</f>
        <v>681.67288109086144</v>
      </c>
      <c r="D119" s="11">
        <f t="shared" si="13"/>
        <v>640.46800522184094</v>
      </c>
      <c r="E119" s="11">
        <f t="shared" si="14"/>
        <v>41.204875869020498</v>
      </c>
      <c r="F119" s="8">
        <f t="shared" si="15"/>
        <v>64005.595646315072</v>
      </c>
      <c r="G119" s="12">
        <f t="shared" si="16"/>
        <v>617.16755815530257</v>
      </c>
      <c r="H119" s="192"/>
      <c r="I119" s="126"/>
    </row>
    <row r="120" spans="2:9" ht="13">
      <c r="B120" s="140">
        <f t="shared" si="10"/>
        <v>80</v>
      </c>
      <c r="C120" s="11">
        <f>+C119</f>
        <v>681.67288109086144</v>
      </c>
      <c r="D120" s="11">
        <f t="shared" si="13"/>
        <v>640.05595646315078</v>
      </c>
      <c r="E120" s="11">
        <f t="shared" si="14"/>
        <v>41.616924627710659</v>
      </c>
      <c r="F120" s="8">
        <f t="shared" si="15"/>
        <v>63963.978721687359</v>
      </c>
      <c r="G120" s="12">
        <f t="shared" si="16"/>
        <v>617.16755815530257</v>
      </c>
      <c r="H120" s="192"/>
      <c r="I120" s="126"/>
    </row>
    <row r="121" spans="2:9" ht="13">
      <c r="B121" s="140">
        <f t="shared" si="10"/>
        <v>81</v>
      </c>
      <c r="C121" s="11">
        <f>+C120</f>
        <v>681.67288109086144</v>
      </c>
      <c r="D121" s="11">
        <f t="shared" si="13"/>
        <v>639.63978721687363</v>
      </c>
      <c r="E121" s="11">
        <f t="shared" si="14"/>
        <v>42.033093873987809</v>
      </c>
      <c r="F121" s="8">
        <f t="shared" si="15"/>
        <v>63921.945627813373</v>
      </c>
      <c r="G121" s="12">
        <f t="shared" si="16"/>
        <v>617.16755815530257</v>
      </c>
      <c r="H121" s="192"/>
      <c r="I121" s="126"/>
    </row>
    <row r="122" spans="2:9" ht="13">
      <c r="B122" s="140">
        <f t="shared" si="10"/>
        <v>82</v>
      </c>
      <c r="C122" s="11">
        <f>+C121</f>
        <v>681.67288109086144</v>
      </c>
      <c r="D122" s="11">
        <f t="shared" si="13"/>
        <v>639.21945627813375</v>
      </c>
      <c r="E122" s="11">
        <f t="shared" si="14"/>
        <v>42.45342481272769</v>
      </c>
      <c r="F122" s="8">
        <f t="shared" si="15"/>
        <v>63879.492203000642</v>
      </c>
      <c r="G122" s="12">
        <f t="shared" si="16"/>
        <v>617.16755815530257</v>
      </c>
      <c r="H122" s="192"/>
      <c r="I122" s="126"/>
    </row>
    <row r="123" spans="2:9" ht="13.5" thickBot="1">
      <c r="B123" s="140">
        <f t="shared" si="10"/>
        <v>83</v>
      </c>
      <c r="C123" s="11">
        <f>+C122</f>
        <v>681.67288109086144</v>
      </c>
      <c r="D123" s="11">
        <f t="shared" si="13"/>
        <v>638.79492203000643</v>
      </c>
      <c r="E123" s="11">
        <f>+C123-D123</f>
        <v>42.877959060855005</v>
      </c>
      <c r="F123" s="8">
        <f>+F122-E123</f>
        <v>63836.614243939788</v>
      </c>
      <c r="G123" s="12">
        <f>+G122</f>
        <v>617.16755815530257</v>
      </c>
      <c r="H123" s="192"/>
      <c r="I123" s="126"/>
    </row>
    <row r="124" spans="2:9" ht="13.5" thickBot="1">
      <c r="B124" s="193">
        <f t="shared" si="10"/>
        <v>84</v>
      </c>
      <c r="C124" s="16">
        <f>+C123+F124</f>
        <v>64474.980386379182</v>
      </c>
      <c r="D124" s="16">
        <f t="shared" si="13"/>
        <v>638.36614243939789</v>
      </c>
      <c r="E124" s="16">
        <f>+C123-D124</f>
        <v>43.306738651463547</v>
      </c>
      <c r="F124" s="17">
        <f>+F123-E124</f>
        <v>63793.307505288321</v>
      </c>
      <c r="G124" s="18">
        <f>+G123</f>
        <v>617.16755815530257</v>
      </c>
      <c r="H124" s="196" t="s">
        <v>245</v>
      </c>
      <c r="I124" s="126"/>
    </row>
    <row r="125" spans="2:9" ht="13.5" thickBot="1">
      <c r="B125" s="144"/>
      <c r="C125" s="4"/>
      <c r="D125" s="4"/>
      <c r="E125" s="4"/>
      <c r="F125" s="4"/>
      <c r="G125" s="4"/>
      <c r="H125" s="195"/>
      <c r="I125" s="126"/>
    </row>
    <row r="126" spans="2:9" ht="13.5" thickBot="1">
      <c r="B126" s="144"/>
      <c r="C126" s="4"/>
      <c r="D126" s="4"/>
      <c r="E126" s="4"/>
      <c r="F126" s="4"/>
      <c r="G126" s="4"/>
      <c r="H126" s="65"/>
      <c r="I126" s="135"/>
    </row>
    <row r="127" spans="2:9" ht="13">
      <c r="B127" s="6"/>
      <c r="H127" s="1"/>
    </row>
    <row r="128" spans="2:9" ht="13">
      <c r="B128" s="6"/>
      <c r="H128" s="1"/>
    </row>
    <row r="129" spans="2:8" ht="13">
      <c r="B129" s="6"/>
      <c r="H129" s="1"/>
    </row>
    <row r="130" spans="2:8" ht="13">
      <c r="B130" s="6"/>
      <c r="H130" s="1"/>
    </row>
    <row r="131" spans="2:8" ht="13">
      <c r="B131" s="6"/>
      <c r="H131" s="1"/>
    </row>
    <row r="132" spans="2:8" ht="13">
      <c r="B132" s="6"/>
      <c r="H132" s="1"/>
    </row>
    <row r="133" spans="2:8" ht="13">
      <c r="B133" s="6"/>
      <c r="H133" s="1"/>
    </row>
    <row r="134" spans="2:8" ht="13">
      <c r="B134" s="6"/>
      <c r="H134" s="1"/>
    </row>
    <row r="135" spans="2:8" ht="13">
      <c r="B135" s="6"/>
      <c r="H135" s="1"/>
    </row>
    <row r="136" spans="2:8" ht="13">
      <c r="B136" s="6"/>
      <c r="H136" s="1"/>
    </row>
    <row r="137" spans="2:8" ht="13">
      <c r="B137" s="6"/>
      <c r="H137" s="1"/>
    </row>
    <row r="138" spans="2:8" ht="13">
      <c r="B138" s="6"/>
      <c r="H138" s="1"/>
    </row>
    <row r="139" spans="2:8" ht="13">
      <c r="B139" s="6"/>
      <c r="H139" s="1"/>
    </row>
    <row r="140" spans="2:8" ht="13">
      <c r="B140" s="6"/>
      <c r="H140" s="1"/>
    </row>
    <row r="141" spans="2:8" ht="13">
      <c r="B141" s="6"/>
      <c r="H141" s="1"/>
    </row>
    <row r="142" spans="2:8" ht="13">
      <c r="B142" s="6"/>
      <c r="H142" s="1"/>
    </row>
    <row r="143" spans="2:8" ht="13">
      <c r="B143" s="6"/>
      <c r="H143" s="1"/>
    </row>
    <row r="144" spans="2:8" ht="13">
      <c r="B144" s="6"/>
      <c r="H144" s="1"/>
    </row>
    <row r="145" spans="2:8" ht="13">
      <c r="B145" s="6"/>
      <c r="H145" s="1"/>
    </row>
    <row r="146" spans="2:8" ht="13">
      <c r="B146" s="6"/>
      <c r="H146" s="1"/>
    </row>
    <row r="147" spans="2:8" ht="13">
      <c r="B147" s="6"/>
      <c r="H147" s="1"/>
    </row>
    <row r="148" spans="2:8" ht="13">
      <c r="B148" s="6"/>
      <c r="H148" s="1"/>
    </row>
    <row r="149" spans="2:8" ht="13">
      <c r="B149" s="6"/>
      <c r="H149" s="1"/>
    </row>
    <row r="150" spans="2:8" ht="13">
      <c r="B150" s="6"/>
      <c r="H150" s="1"/>
    </row>
    <row r="151" spans="2:8" ht="13">
      <c r="B151" s="6"/>
      <c r="H151" s="1"/>
    </row>
    <row r="152" spans="2:8" ht="13">
      <c r="B152" s="6"/>
      <c r="H152" s="1"/>
    </row>
  </sheetData>
  <mergeCells count="3">
    <mergeCell ref="B7:D7"/>
    <mergeCell ref="B17:H17"/>
    <mergeCell ref="B37:H37"/>
  </mergeCells>
  <phoneticPr fontId="4" type="noConversion"/>
  <pageMargins left="0.75" right="0.75" top="1" bottom="1" header="0.5" footer="0.5"/>
  <headerFooter alignWithMargins="0"/>
  <ignoredErrors>
    <ignoredError sqref="C20:G20" numberStoredAsText="1"/>
  </ignoredErrors>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15">
    <tabColor theme="9" tint="0.59999389629810485"/>
  </sheetPr>
  <dimension ref="A1:R197"/>
  <sheetViews>
    <sheetView zoomScaleNormal="100" workbookViewId="0">
      <selection activeCell="B3" sqref="B3:I3"/>
    </sheetView>
  </sheetViews>
  <sheetFormatPr defaultRowHeight="12.5"/>
  <cols>
    <col min="2" max="2" width="25.1796875" customWidth="1"/>
    <col min="3" max="3" width="11.81640625" bestFit="1" customWidth="1"/>
    <col min="4" max="4" width="11.26953125" bestFit="1" customWidth="1"/>
    <col min="5" max="5" width="21.7265625" customWidth="1"/>
    <col min="6" max="7" width="9.7265625" bestFit="1" customWidth="1"/>
    <col min="8" max="8" width="13.81640625" customWidth="1"/>
    <col min="9" max="9" width="9.7265625" bestFit="1" customWidth="1"/>
    <col min="11" max="11" width="21.453125" customWidth="1"/>
    <col min="13" max="13" width="12" customWidth="1"/>
    <col min="14" max="14" width="13.7265625" customWidth="1"/>
  </cols>
  <sheetData>
    <row r="1" spans="2:9" ht="13" thickBot="1"/>
    <row r="2" spans="2:9" ht="18.5" thickBot="1">
      <c r="B2" s="1525" t="s">
        <v>1756</v>
      </c>
      <c r="C2" s="1557"/>
      <c r="D2" s="1557"/>
      <c r="E2" s="1557"/>
      <c r="F2" s="1557"/>
      <c r="G2" s="1557"/>
      <c r="H2" s="1557"/>
      <c r="I2" s="1558"/>
    </row>
    <row r="3" spans="2:9" ht="16" thickBot="1">
      <c r="B3" s="1528" t="s">
        <v>1635</v>
      </c>
      <c r="C3" s="1540"/>
      <c r="D3" s="1540"/>
      <c r="E3" s="1540"/>
      <c r="F3" s="1540"/>
      <c r="G3" s="1540"/>
      <c r="H3" s="1540"/>
      <c r="I3" s="1541"/>
    </row>
    <row r="4" spans="2:9">
      <c r="B4" s="1736" t="s">
        <v>1430</v>
      </c>
      <c r="C4" s="1737"/>
      <c r="D4" s="1737"/>
      <c r="E4" s="1737"/>
      <c r="F4" s="1737"/>
      <c r="G4" s="1737"/>
      <c r="H4" s="1737"/>
      <c r="I4" s="1738"/>
    </row>
    <row r="5" spans="2:9" ht="13" thickBot="1">
      <c r="B5" s="1736" t="s">
        <v>1399</v>
      </c>
      <c r="C5" s="1569"/>
      <c r="D5" s="1569"/>
      <c r="E5" s="1569"/>
      <c r="F5" s="1569"/>
      <c r="G5" s="1569"/>
      <c r="H5" s="1569"/>
      <c r="I5" s="1570"/>
    </row>
    <row r="6" spans="2:9" ht="13.5" thickBot="1">
      <c r="B6" s="1531" t="s">
        <v>207</v>
      </c>
      <c r="C6" s="1592"/>
      <c r="D6" s="1592"/>
      <c r="E6" s="1592"/>
      <c r="F6" s="1592"/>
      <c r="G6" s="1592"/>
      <c r="H6" s="1593"/>
      <c r="I6" s="192"/>
    </row>
    <row r="7" spans="2:9" ht="13.5" thickBot="1">
      <c r="B7" s="276" t="s">
        <v>463</v>
      </c>
      <c r="C7" s="1069">
        <v>525000</v>
      </c>
      <c r="D7" s="1070"/>
      <c r="E7" s="366" t="s">
        <v>1402</v>
      </c>
      <c r="F7" s="277"/>
      <c r="G7" s="277"/>
      <c r="H7" s="278"/>
      <c r="I7" s="192"/>
    </row>
    <row r="8" spans="2:9" ht="13">
      <c r="B8" s="171" t="s">
        <v>465</v>
      </c>
      <c r="C8" s="363">
        <v>3475000</v>
      </c>
      <c r="D8" s="50"/>
      <c r="E8" s="39" t="s">
        <v>466</v>
      </c>
      <c r="F8" s="39"/>
      <c r="G8" s="934">
        <v>0.05</v>
      </c>
      <c r="H8" s="146"/>
      <c r="I8" s="192"/>
    </row>
    <row r="9" spans="2:9" ht="13">
      <c r="B9" s="171" t="s">
        <v>467</v>
      </c>
      <c r="C9" s="362">
        <f>C7+C8+C16+C17+C20</f>
        <v>4180000</v>
      </c>
      <c r="D9" s="1051" t="s">
        <v>1432</v>
      </c>
      <c r="E9" s="39" t="s">
        <v>1463</v>
      </c>
      <c r="F9" s="39"/>
      <c r="G9" s="934">
        <v>0.1</v>
      </c>
      <c r="H9" s="146"/>
      <c r="I9" s="359"/>
    </row>
    <row r="10" spans="2:9" ht="13">
      <c r="B10" s="171" t="s">
        <v>211</v>
      </c>
      <c r="C10" s="362">
        <v>3000000</v>
      </c>
      <c r="D10" s="50"/>
      <c r="E10" s="39" t="s">
        <v>468</v>
      </c>
      <c r="F10" s="39"/>
      <c r="G10" s="934">
        <f>1-G8</f>
        <v>0.95</v>
      </c>
      <c r="H10" s="146"/>
      <c r="I10" s="359"/>
    </row>
    <row r="11" spans="2:9" ht="13.5" thickBot="1">
      <c r="B11" s="171" t="s">
        <v>212</v>
      </c>
      <c r="C11" s="364">
        <v>0.12</v>
      </c>
      <c r="D11" s="50" t="s">
        <v>258</v>
      </c>
      <c r="E11" s="987" t="s">
        <v>1464</v>
      </c>
      <c r="F11" s="39"/>
      <c r="G11" s="934">
        <f>1-G9</f>
        <v>0.9</v>
      </c>
      <c r="H11" s="146"/>
      <c r="I11" s="359"/>
    </row>
    <row r="12" spans="2:9" ht="13.5" thickBot="1">
      <c r="B12" s="171"/>
      <c r="C12" s="364"/>
      <c r="D12" s="50"/>
      <c r="E12" s="366" t="s">
        <v>464</v>
      </c>
      <c r="F12" s="39"/>
      <c r="G12" s="988"/>
      <c r="H12" s="146"/>
      <c r="I12" s="359"/>
    </row>
    <row r="13" spans="2:9" ht="13">
      <c r="B13" s="171" t="s">
        <v>213</v>
      </c>
      <c r="C13" s="152">
        <v>25</v>
      </c>
      <c r="D13" s="50"/>
      <c r="E13" s="39" t="s">
        <v>469</v>
      </c>
      <c r="F13" s="39"/>
      <c r="G13" s="362">
        <v>750000</v>
      </c>
      <c r="H13" s="146"/>
      <c r="I13" s="359"/>
    </row>
    <row r="14" spans="2:9" ht="13">
      <c r="B14" s="171" t="s">
        <v>470</v>
      </c>
      <c r="C14" s="152">
        <v>12</v>
      </c>
      <c r="D14" s="50"/>
      <c r="E14" s="39" t="s">
        <v>471</v>
      </c>
      <c r="F14" s="39"/>
      <c r="G14" s="364">
        <v>0.05</v>
      </c>
      <c r="H14" s="146" t="s">
        <v>472</v>
      </c>
      <c r="I14" s="359"/>
    </row>
    <row r="15" spans="2:9" ht="13">
      <c r="B15" s="171" t="s">
        <v>376</v>
      </c>
      <c r="C15" s="152">
        <v>5</v>
      </c>
      <c r="D15" s="50" t="s">
        <v>208</v>
      </c>
      <c r="E15" s="39" t="s">
        <v>473</v>
      </c>
      <c r="F15" s="39"/>
      <c r="G15" s="364">
        <v>0.35</v>
      </c>
      <c r="H15" s="146" t="s">
        <v>474</v>
      </c>
      <c r="I15" s="359"/>
    </row>
    <row r="16" spans="2:9" ht="13">
      <c r="B16" s="171" t="s">
        <v>475</v>
      </c>
      <c r="C16" s="362">
        <v>100000</v>
      </c>
      <c r="D16" s="1051" t="s">
        <v>1431</v>
      </c>
      <c r="E16" s="39" t="s">
        <v>476</v>
      </c>
      <c r="F16" s="39"/>
      <c r="G16" s="364">
        <v>0.03</v>
      </c>
      <c r="H16" s="146"/>
      <c r="I16" s="359"/>
    </row>
    <row r="17" spans="2:9" ht="13">
      <c r="B17" s="171" t="s">
        <v>214</v>
      </c>
      <c r="C17" s="362">
        <v>60000</v>
      </c>
      <c r="D17" s="1051" t="s">
        <v>1431</v>
      </c>
      <c r="E17" s="39" t="s">
        <v>374</v>
      </c>
      <c r="F17" s="39"/>
      <c r="G17" s="362">
        <v>5000000</v>
      </c>
      <c r="H17" s="146"/>
      <c r="I17" s="359"/>
    </row>
    <row r="18" spans="2:9" ht="13.5" thickBot="1">
      <c r="B18" s="171" t="s">
        <v>1400</v>
      </c>
      <c r="C18" s="362">
        <v>25</v>
      </c>
      <c r="D18" s="50"/>
      <c r="E18" s="39" t="s">
        <v>477</v>
      </c>
      <c r="F18" s="39"/>
      <c r="G18" s="364">
        <v>0.05</v>
      </c>
      <c r="H18" s="146"/>
      <c r="I18" s="192"/>
    </row>
    <row r="19" spans="2:9" ht="13.5" thickBot="1">
      <c r="B19" s="171" t="s">
        <v>1265</v>
      </c>
      <c r="C19" s="362">
        <f>C17/C18</f>
        <v>2400</v>
      </c>
      <c r="D19" s="39" t="s">
        <v>258</v>
      </c>
      <c r="E19" s="366" t="s">
        <v>363</v>
      </c>
      <c r="F19" s="39"/>
      <c r="G19" s="39"/>
      <c r="H19" s="146"/>
      <c r="I19" s="359"/>
    </row>
    <row r="20" spans="2:9" ht="13">
      <c r="B20" s="171" t="s">
        <v>478</v>
      </c>
      <c r="C20" s="362">
        <v>20000</v>
      </c>
      <c r="D20" s="50"/>
      <c r="E20" s="39" t="s">
        <v>422</v>
      </c>
      <c r="F20" s="39"/>
      <c r="G20" s="152">
        <v>31.5</v>
      </c>
      <c r="H20" s="146" t="s">
        <v>479</v>
      </c>
      <c r="I20" s="359"/>
    </row>
    <row r="21" spans="2:9" ht="13">
      <c r="B21" s="171" t="s">
        <v>1401</v>
      </c>
      <c r="C21" s="362">
        <v>5</v>
      </c>
      <c r="D21" s="50"/>
      <c r="E21" s="39" t="s">
        <v>466</v>
      </c>
      <c r="F21" s="39"/>
      <c r="G21" s="364">
        <v>0.28000000000000003</v>
      </c>
      <c r="H21" s="146"/>
      <c r="I21" s="359"/>
    </row>
    <row r="22" spans="2:9" ht="13.5" thickBot="1">
      <c r="B22" s="228" t="s">
        <v>1266</v>
      </c>
      <c r="C22" s="365">
        <f>C20/C21</f>
        <v>4000</v>
      </c>
      <c r="D22" s="360" t="s">
        <v>258</v>
      </c>
      <c r="E22" s="361" t="s">
        <v>468</v>
      </c>
      <c r="F22" s="63"/>
      <c r="G22" s="367">
        <v>0.28000000000000003</v>
      </c>
      <c r="H22" s="149"/>
      <c r="I22" s="359"/>
    </row>
    <row r="23" spans="2:9" ht="13.5" thickBot="1">
      <c r="B23" s="226"/>
      <c r="C23" s="38"/>
      <c r="D23" s="2"/>
      <c r="E23" s="2"/>
      <c r="F23" s="2"/>
      <c r="G23" s="27"/>
      <c r="H23" s="2"/>
      <c r="I23" s="359"/>
    </row>
    <row r="24" spans="2:9" ht="13.5" thickBot="1">
      <c r="B24" s="1228"/>
      <c r="C24" s="1232"/>
      <c r="D24" s="2"/>
      <c r="E24" s="1228" t="s">
        <v>1354</v>
      </c>
      <c r="F24" s="1229"/>
      <c r="G24" s="1230"/>
      <c r="H24" s="1229"/>
      <c r="I24" s="1231"/>
    </row>
    <row r="25" spans="2:9" ht="13.5" thickBot="1">
      <c r="B25" s="1531" t="s">
        <v>480</v>
      </c>
      <c r="C25" s="1543"/>
      <c r="D25" s="386"/>
      <c r="E25" s="1531" t="s">
        <v>481</v>
      </c>
      <c r="F25" s="1543"/>
      <c r="G25" s="386"/>
      <c r="H25" s="1531" t="s">
        <v>482</v>
      </c>
      <c r="I25" s="1543"/>
    </row>
    <row r="26" spans="2:9">
      <c r="B26" s="552" t="s">
        <v>291</v>
      </c>
      <c r="C26" s="1071">
        <f>C9-C10</f>
        <v>1180000</v>
      </c>
      <c r="D26" s="34"/>
      <c r="E26" s="633" t="s">
        <v>291</v>
      </c>
      <c r="F26" s="1072">
        <f>$G$8*C26</f>
        <v>59000</v>
      </c>
      <c r="G26" s="34"/>
      <c r="H26" s="1074" t="s">
        <v>291</v>
      </c>
      <c r="I26" s="1075">
        <f>$G$10*C26</f>
        <v>1121000</v>
      </c>
    </row>
    <row r="27" spans="2:9" ht="13" thickBot="1">
      <c r="B27" s="371"/>
      <c r="C27" s="373"/>
      <c r="D27" s="34"/>
      <c r="E27" s="832"/>
      <c r="F27" s="1073">
        <f>F26/C26</f>
        <v>0.05</v>
      </c>
      <c r="G27" s="34"/>
      <c r="H27" s="831"/>
      <c r="I27" s="979">
        <v>0.95</v>
      </c>
    </row>
    <row r="28" spans="2:9">
      <c r="B28" s="369" t="s">
        <v>1269</v>
      </c>
      <c r="C28" s="370">
        <f>-PMT(C11/12,C13*12,C10)</f>
        <v>31596.724265928839</v>
      </c>
      <c r="D28" s="34"/>
      <c r="E28" s="387"/>
      <c r="F28" s="309"/>
      <c r="G28" s="34"/>
      <c r="H28" s="388"/>
      <c r="I28" s="163"/>
    </row>
    <row r="29" spans="2:9" ht="13" thickBot="1">
      <c r="B29" s="371" t="s">
        <v>382</v>
      </c>
      <c r="C29" s="373">
        <f>PMT(C11/C14,C13*C14,-C10)*C14</f>
        <v>379160.69119114603</v>
      </c>
      <c r="D29" s="64"/>
      <c r="E29" s="832"/>
      <c r="F29" s="379"/>
      <c r="G29" s="64"/>
      <c r="H29" s="831"/>
      <c r="I29" s="207"/>
    </row>
    <row r="30" spans="2:9" ht="13" thickBot="1">
      <c r="B30" s="384"/>
      <c r="C30" s="39"/>
      <c r="D30" s="39"/>
      <c r="E30" s="39"/>
      <c r="F30" s="39"/>
      <c r="G30" s="39"/>
      <c r="I30" s="126"/>
    </row>
    <row r="31" spans="2:9" ht="13.5" thickBot="1">
      <c r="B31" s="1617" t="s">
        <v>385</v>
      </c>
      <c r="C31" s="1538"/>
      <c r="D31" s="1538"/>
      <c r="E31" s="1538"/>
      <c r="F31" s="1538"/>
      <c r="G31" s="1539"/>
      <c r="I31" s="126"/>
    </row>
    <row r="32" spans="2:9" ht="13.5" thickBot="1">
      <c r="B32" s="243" t="s">
        <v>386</v>
      </c>
      <c r="C32" s="243">
        <v>2</v>
      </c>
      <c r="D32" s="243">
        <f>(1+C32)</f>
        <v>3</v>
      </c>
      <c r="E32" s="243">
        <f>(1+D32)</f>
        <v>4</v>
      </c>
      <c r="F32" s="243">
        <f>(1+E32)</f>
        <v>5</v>
      </c>
      <c r="G32" s="243">
        <f>(1+F32)</f>
        <v>6</v>
      </c>
      <c r="I32" s="126"/>
    </row>
    <row r="33" spans="2:14">
      <c r="B33" s="369" t="s">
        <v>209</v>
      </c>
      <c r="C33" s="57">
        <f>$C$29</f>
        <v>379160.69119114603</v>
      </c>
      <c r="D33" s="57">
        <f>$C$29</f>
        <v>379160.69119114603</v>
      </c>
      <c r="E33" s="57">
        <f>$C$29</f>
        <v>379160.69119114603</v>
      </c>
      <c r="F33" s="57">
        <f>$C$29</f>
        <v>379160.69119114603</v>
      </c>
      <c r="G33" s="370">
        <f>$C$29</f>
        <v>379160.69119114603</v>
      </c>
      <c r="I33" s="126"/>
    </row>
    <row r="34" spans="2:14">
      <c r="B34" s="369" t="s">
        <v>383</v>
      </c>
      <c r="C34" s="57">
        <f>IF($C$13&gt;C32-$C32+1,(($C$29/$C$14)/PMT($C$11/($C$14),($C$13-(C32-$C32+1))*$C$14,-1)))</f>
        <v>2979749.5396861127</v>
      </c>
      <c r="D34" s="57">
        <f>IF($C$13&gt;D32-$C32+1,(($C$29/$C$14)/PMT($C$11/($C$14),($C$13-(D32-$C32+1))*$C$14,-1)))</f>
        <v>2956930.8141327295</v>
      </c>
      <c r="E34" s="57">
        <f>IF($C$13&gt;E32-$C32+1,(($C$29/$C$14)/PMT($C$11/($C$14),($C$13-(E32-$C32+1))*$C$14,-1)))</f>
        <v>2931218.1030234667</v>
      </c>
      <c r="F34" s="57">
        <f>IF($C$13&gt;F32-$C32+1,(($C$29/$C$14)/PMT($C$11/($C$14),($C$13-(F32-$C32+1))*$C$14,-1)))</f>
        <v>2902244.3765529972</v>
      </c>
      <c r="G34" s="370">
        <f>IF($C$13&gt;G32-$C32+1,(($C$29/$C$14)/PMT($C$11/($C$14),($C$13-(G32-$C32+1))*$C$14,-1)))</f>
        <v>2869596.0563498745</v>
      </c>
      <c r="I34" s="126"/>
    </row>
    <row r="35" spans="2:14">
      <c r="B35" s="369" t="s">
        <v>210</v>
      </c>
      <c r="C35" s="57">
        <f>($C$29-(C10-C34))</f>
        <v>358910.2308772587</v>
      </c>
      <c r="D35" s="57">
        <f>($C$29-(C34-D34))</f>
        <v>356341.96563776291</v>
      </c>
      <c r="E35" s="57">
        <f>($C$29-(D34-E34))</f>
        <v>353447.98008188314</v>
      </c>
      <c r="F35" s="57">
        <f>($C$29-(E34-F34))</f>
        <v>350186.96472067654</v>
      </c>
      <c r="G35" s="370">
        <f>($C$29-(F34-G34))</f>
        <v>346512.37098802335</v>
      </c>
      <c r="I35" s="126"/>
    </row>
    <row r="36" spans="2:14" ht="13" thickBot="1">
      <c r="B36" s="371" t="s">
        <v>387</v>
      </c>
      <c r="C36" s="372">
        <f>C33-C35</f>
        <v>20250.460313887335</v>
      </c>
      <c r="D36" s="372">
        <f>D33-D35</f>
        <v>22818.725553383119</v>
      </c>
      <c r="E36" s="372">
        <f>E33-E35</f>
        <v>25712.711109262891</v>
      </c>
      <c r="F36" s="372">
        <f>F33-F35</f>
        <v>28973.726470469497</v>
      </c>
      <c r="G36" s="373">
        <f>G33-G35</f>
        <v>32648.320203122683</v>
      </c>
      <c r="I36" s="126"/>
      <c r="K36" s="39"/>
      <c r="N36" s="833"/>
    </row>
    <row r="37" spans="2:14">
      <c r="B37" s="171"/>
      <c r="C37" s="24"/>
      <c r="E37" s="39"/>
      <c r="F37" s="24"/>
      <c r="I37" s="126"/>
    </row>
    <row r="38" spans="2:14" ht="13" thickBot="1">
      <c r="B38" s="225"/>
      <c r="C38" s="30"/>
      <c r="D38" s="21"/>
      <c r="E38" s="51"/>
      <c r="F38" s="30"/>
      <c r="G38" s="21"/>
      <c r="I38" s="126"/>
    </row>
    <row r="39" spans="2:14" ht="13.5" thickBot="1">
      <c r="B39" s="1617" t="s">
        <v>1270</v>
      </c>
      <c r="C39" s="1538"/>
      <c r="D39" s="1538"/>
      <c r="E39" s="1538"/>
      <c r="F39" s="1538"/>
      <c r="G39" s="1539"/>
      <c r="I39" s="126"/>
    </row>
    <row r="40" spans="2:14" ht="13.5" thickBot="1">
      <c r="B40" s="243" t="s">
        <v>386</v>
      </c>
      <c r="C40" s="243">
        <v>2</v>
      </c>
      <c r="D40" s="243">
        <f>(1+C40)</f>
        <v>3</v>
      </c>
      <c r="E40" s="243">
        <f>(1+D40)</f>
        <v>4</v>
      </c>
      <c r="F40" s="243">
        <f>(1+E40)</f>
        <v>5</v>
      </c>
      <c r="G40" s="243">
        <f>(1+F40)</f>
        <v>6</v>
      </c>
      <c r="I40" s="126"/>
    </row>
    <row r="41" spans="2:14">
      <c r="B41" s="171" t="s">
        <v>1267</v>
      </c>
      <c r="C41" s="24">
        <f>$C$19</f>
        <v>2400</v>
      </c>
      <c r="D41" s="24">
        <f>$C$19</f>
        <v>2400</v>
      </c>
      <c r="E41" s="24">
        <f>$C$19</f>
        <v>2400</v>
      </c>
      <c r="F41" s="24">
        <f>$C$19</f>
        <v>2400</v>
      </c>
      <c r="G41" s="163">
        <f>$C$19</f>
        <v>2400</v>
      </c>
      <c r="I41" s="126"/>
    </row>
    <row r="42" spans="2:14" ht="13" thickBot="1">
      <c r="B42" s="228" t="s">
        <v>1268</v>
      </c>
      <c r="C42" s="31">
        <f>C17-C41</f>
        <v>57600</v>
      </c>
      <c r="D42" s="31">
        <f>C42-D41</f>
        <v>55200</v>
      </c>
      <c r="E42" s="31">
        <f>D42-E41</f>
        <v>52800</v>
      </c>
      <c r="F42" s="31">
        <f>E42-F41</f>
        <v>50400</v>
      </c>
      <c r="G42" s="207">
        <f>F42-G41</f>
        <v>48000</v>
      </c>
      <c r="I42" s="126"/>
    </row>
    <row r="43" spans="2:14">
      <c r="B43" s="124"/>
      <c r="I43" s="126"/>
    </row>
    <row r="44" spans="2:14" ht="13" thickBot="1">
      <c r="B44" s="385"/>
      <c r="C44" s="21"/>
      <c r="D44" s="21"/>
      <c r="E44" s="21"/>
      <c r="F44" s="21"/>
      <c r="G44" s="21"/>
      <c r="I44" s="126"/>
    </row>
    <row r="45" spans="2:14" ht="13.5" thickBot="1">
      <c r="B45" s="1617" t="s">
        <v>1361</v>
      </c>
      <c r="C45" s="1538"/>
      <c r="D45" s="1538"/>
      <c r="E45" s="1538"/>
      <c r="F45" s="1538"/>
      <c r="G45" s="1539"/>
      <c r="I45" s="126"/>
    </row>
    <row r="46" spans="2:14" ht="13.5" thickBot="1">
      <c r="B46" s="243" t="s">
        <v>262</v>
      </c>
      <c r="C46" s="243">
        <v>2</v>
      </c>
      <c r="D46" s="243">
        <v>3</v>
      </c>
      <c r="E46" s="243">
        <v>4</v>
      </c>
      <c r="F46" s="243">
        <v>5</v>
      </c>
      <c r="G46" s="243">
        <v>6</v>
      </c>
      <c r="I46" s="126"/>
    </row>
    <row r="47" spans="2:14">
      <c r="B47" s="230" t="s">
        <v>483</v>
      </c>
      <c r="C47" s="989">
        <f>G13</f>
        <v>750000</v>
      </c>
      <c r="D47" s="989">
        <f>C47*(1+$G$16)</f>
        <v>772500</v>
      </c>
      <c r="E47" s="989">
        <f>D47*(1+$G$16)</f>
        <v>795675</v>
      </c>
      <c r="F47" s="989">
        <f>E47*(1+$G$16)</f>
        <v>819545.25</v>
      </c>
      <c r="G47" s="990">
        <f>F47*(1+$G$16)</f>
        <v>844131.60750000004</v>
      </c>
      <c r="I47" s="126"/>
    </row>
    <row r="48" spans="2:14" ht="13">
      <c r="B48" s="374" t="s">
        <v>484</v>
      </c>
      <c r="C48" s="30">
        <f>$G$14*C47</f>
        <v>37500</v>
      </c>
      <c r="D48" s="30">
        <f>$G$14*D47</f>
        <v>38625</v>
      </c>
      <c r="E48" s="30">
        <f>$G$14*E47</f>
        <v>39783.75</v>
      </c>
      <c r="F48" s="30">
        <f>$G$14*F47</f>
        <v>40977.262500000004</v>
      </c>
      <c r="G48" s="959">
        <f>$G$14*G47</f>
        <v>42206.580375000005</v>
      </c>
      <c r="I48" s="126"/>
    </row>
    <row r="49" spans="2:11">
      <c r="B49" s="124" t="s">
        <v>485</v>
      </c>
      <c r="C49" s="24">
        <f>C47-C48</f>
        <v>712500</v>
      </c>
      <c r="D49" s="24">
        <f>D47-D48</f>
        <v>733875</v>
      </c>
      <c r="E49" s="24">
        <f>E47-E48</f>
        <v>755891.25</v>
      </c>
      <c r="F49" s="24">
        <f>F47-F48</f>
        <v>778567.98750000005</v>
      </c>
      <c r="G49" s="163">
        <f>G47-G48</f>
        <v>801925.02712500002</v>
      </c>
      <c r="I49" s="126"/>
    </row>
    <row r="50" spans="2:11" ht="13">
      <c r="B50" s="374" t="s">
        <v>486</v>
      </c>
      <c r="C50" s="30">
        <f>$G$15*C49</f>
        <v>249374.99999999997</v>
      </c>
      <c r="D50" s="30">
        <f>$G$15*D49</f>
        <v>256856.24999999997</v>
      </c>
      <c r="E50" s="30">
        <f>$G$15*E49</f>
        <v>264561.9375</v>
      </c>
      <c r="F50" s="30">
        <f>$G$15*F49</f>
        <v>272498.79562500003</v>
      </c>
      <c r="G50" s="959">
        <f>$G$15*G49</f>
        <v>280673.75949375</v>
      </c>
      <c r="I50" s="126"/>
    </row>
    <row r="51" spans="2:11">
      <c r="B51" s="124" t="s">
        <v>487</v>
      </c>
      <c r="C51" s="24">
        <f>C49-C50</f>
        <v>463125</v>
      </c>
      <c r="D51" s="24">
        <f>D49-D50</f>
        <v>477018.75</v>
      </c>
      <c r="E51" s="24">
        <f>E49-E50</f>
        <v>491329.3125</v>
      </c>
      <c r="F51" s="24">
        <f>F49-F50</f>
        <v>506069.19187500002</v>
      </c>
      <c r="G51" s="163">
        <f>G49-G50</f>
        <v>521251.26763125003</v>
      </c>
      <c r="I51" s="126"/>
    </row>
    <row r="52" spans="2:11" ht="13">
      <c r="B52" s="374" t="s">
        <v>488</v>
      </c>
      <c r="C52" s="24">
        <f>C33</f>
        <v>379160.69119114603</v>
      </c>
      <c r="D52" s="24">
        <f>D33</f>
        <v>379160.69119114603</v>
      </c>
      <c r="E52" s="24">
        <f>E33</f>
        <v>379160.69119114603</v>
      </c>
      <c r="F52" s="24">
        <f>F33</f>
        <v>379160.69119114603</v>
      </c>
      <c r="G52" s="163">
        <f>G33</f>
        <v>379160.69119114603</v>
      </c>
      <c r="I52" s="126"/>
    </row>
    <row r="53" spans="2:11" ht="13.5" thickBot="1">
      <c r="B53" s="935" t="s">
        <v>408</v>
      </c>
      <c r="C53" s="936">
        <f>C51-C52</f>
        <v>83964.308808853966</v>
      </c>
      <c r="D53" s="936">
        <f>D51-D52</f>
        <v>97858.058808853966</v>
      </c>
      <c r="E53" s="936">
        <f>E51-E52</f>
        <v>112168.62130885397</v>
      </c>
      <c r="F53" s="936">
        <f>F51-F52</f>
        <v>126908.50068385398</v>
      </c>
      <c r="G53" s="937">
        <f>G51-G52</f>
        <v>142090.57644010399</v>
      </c>
      <c r="I53" s="126"/>
    </row>
    <row r="54" spans="2:11" ht="13.5" thickTop="1">
      <c r="B54" s="185" t="s">
        <v>489</v>
      </c>
      <c r="C54" s="24"/>
      <c r="D54" s="24"/>
      <c r="E54" s="24"/>
      <c r="F54" s="24"/>
      <c r="G54" s="163"/>
      <c r="I54" s="126"/>
    </row>
    <row r="55" spans="2:11" ht="13">
      <c r="B55" s="935" t="s">
        <v>490</v>
      </c>
      <c r="C55" s="1223">
        <f>C53*$G$8</f>
        <v>4198.2154404426983</v>
      </c>
      <c r="D55" s="1223">
        <f>D53*$G$8</f>
        <v>4892.9029404426983</v>
      </c>
      <c r="E55" s="1223">
        <f>E53*$G$8</f>
        <v>5608.431065442699</v>
      </c>
      <c r="F55" s="1223">
        <f>F53*$G$8</f>
        <v>6345.4250341927</v>
      </c>
      <c r="G55" s="1224">
        <f>G53*$G$8</f>
        <v>7104.5288220051998</v>
      </c>
      <c r="I55" s="126"/>
    </row>
    <row r="56" spans="2:11" ht="13.5" thickBot="1">
      <c r="B56" s="1180" t="s">
        <v>491</v>
      </c>
      <c r="C56" s="1225">
        <f>C53*$G$10</f>
        <v>79766.093368411268</v>
      </c>
      <c r="D56" s="1225">
        <f>D53*$G$10</f>
        <v>92965.155868411268</v>
      </c>
      <c r="E56" s="1225">
        <f>E53*$G$10</f>
        <v>106560.19024341126</v>
      </c>
      <c r="F56" s="1225">
        <f>F53*$G$10</f>
        <v>120563.07564966127</v>
      </c>
      <c r="G56" s="1226">
        <f>G53*$G$10</f>
        <v>134986.04761809879</v>
      </c>
      <c r="I56" s="126"/>
    </row>
    <row r="57" spans="2:11">
      <c r="C57" s="24"/>
      <c r="D57" s="24"/>
      <c r="E57" s="24"/>
      <c r="F57" s="24"/>
      <c r="G57" s="24"/>
      <c r="I57" s="126"/>
    </row>
    <row r="58" spans="2:11" ht="13" thickBot="1">
      <c r="B58" s="21"/>
      <c r="C58" s="30"/>
      <c r="D58" s="30"/>
      <c r="E58" s="30"/>
      <c r="F58" s="30"/>
      <c r="G58" s="30"/>
      <c r="I58" s="126"/>
    </row>
    <row r="59" spans="2:11" ht="13.5" thickBot="1">
      <c r="B59" s="1742" t="s">
        <v>1520</v>
      </c>
      <c r="C59" s="1731"/>
      <c r="D59" s="1731"/>
      <c r="E59" s="1731"/>
      <c r="F59" s="1731"/>
      <c r="G59" s="1732"/>
      <c r="I59" s="126"/>
    </row>
    <row r="60" spans="2:11" ht="13.5" thickBot="1">
      <c r="B60" s="1617" t="s">
        <v>1362</v>
      </c>
      <c r="C60" s="1538"/>
      <c r="D60" s="1538"/>
      <c r="E60" s="1538"/>
      <c r="F60" s="1538"/>
      <c r="G60" s="1539"/>
      <c r="I60" s="126"/>
    </row>
    <row r="61" spans="2:11" ht="13">
      <c r="B61" s="374" t="s">
        <v>279</v>
      </c>
      <c r="C61" s="1194">
        <f>C51</f>
        <v>463125</v>
      </c>
      <c r="D61" s="1194">
        <f>D51</f>
        <v>477018.75</v>
      </c>
      <c r="E61" s="1194">
        <f>E51</f>
        <v>491329.3125</v>
      </c>
      <c r="F61" s="1194">
        <f>F51</f>
        <v>506069.19187500002</v>
      </c>
      <c r="G61" s="1195">
        <f>G51</f>
        <v>521251.26763125003</v>
      </c>
      <c r="I61" s="126"/>
    </row>
    <row r="62" spans="2:11" ht="13">
      <c r="B62" s="374" t="s">
        <v>549</v>
      </c>
      <c r="C62" s="1194">
        <f>C35</f>
        <v>358910.2308772587</v>
      </c>
      <c r="D62" s="1194">
        <f>D35</f>
        <v>356341.96563776291</v>
      </c>
      <c r="E62" s="1194">
        <f>E35</f>
        <v>353447.98008188314</v>
      </c>
      <c r="F62" s="1194">
        <f>F35</f>
        <v>350186.96472067654</v>
      </c>
      <c r="G62" s="1195">
        <f>G35</f>
        <v>346512.37098802335</v>
      </c>
      <c r="I62" s="126"/>
    </row>
    <row r="63" spans="2:11" ht="13">
      <c r="B63" s="374" t="s">
        <v>492</v>
      </c>
      <c r="C63" s="1194">
        <f>$C$8/$G$20</f>
        <v>110317.46031746031</v>
      </c>
      <c r="D63" s="1194">
        <f>$C$8/$G$20</f>
        <v>110317.46031746031</v>
      </c>
      <c r="E63" s="1194">
        <f>$C$8/$G$20</f>
        <v>110317.46031746031</v>
      </c>
      <c r="F63" s="1194">
        <f>$C$8/$G$20</f>
        <v>110317.46031746031</v>
      </c>
      <c r="G63" s="1195">
        <f>$C$8/$G$20</f>
        <v>110317.46031746031</v>
      </c>
      <c r="I63" s="126"/>
    </row>
    <row r="64" spans="2:11" ht="13">
      <c r="B64" s="374" t="s">
        <v>1433</v>
      </c>
      <c r="C64" s="1194">
        <f>$C$22</f>
        <v>4000</v>
      </c>
      <c r="D64" s="1194">
        <f>$C$22</f>
        <v>4000</v>
      </c>
      <c r="E64" s="1194">
        <f>$C$22</f>
        <v>4000</v>
      </c>
      <c r="F64" s="1194">
        <f>$C$22</f>
        <v>4000</v>
      </c>
      <c r="G64" s="1195">
        <f>$C$22</f>
        <v>4000</v>
      </c>
      <c r="I64" s="126"/>
      <c r="K64" s="1" t="s">
        <v>1288</v>
      </c>
    </row>
    <row r="65" spans="2:18" ht="13.5" thickBot="1">
      <c r="B65" s="374" t="s">
        <v>1434</v>
      </c>
      <c r="C65" s="1194">
        <f>C41</f>
        <v>2400</v>
      </c>
      <c r="D65" s="1194">
        <f>D41</f>
        <v>2400</v>
      </c>
      <c r="E65" s="1194">
        <f>E41</f>
        <v>2400</v>
      </c>
      <c r="F65" s="1194">
        <f>F41</f>
        <v>2400</v>
      </c>
      <c r="G65" s="1196">
        <f>G41+G42</f>
        <v>50400</v>
      </c>
      <c r="I65" s="126"/>
    </row>
    <row r="66" spans="2:18" ht="13.5" thickBot="1">
      <c r="B66" s="374" t="s">
        <v>493</v>
      </c>
      <c r="C66" s="1197">
        <f>C61-C62-C63-C64-C65</f>
        <v>-12502.691194719009</v>
      </c>
      <c r="D66" s="1197">
        <f>D61-D62-D63-D64-D65</f>
        <v>3959.3240447767748</v>
      </c>
      <c r="E66" s="1197">
        <f>E61-E62-E63-E64-E65</f>
        <v>21163.872100656547</v>
      </c>
      <c r="F66" s="1197">
        <f>F61-F62-F63-F64-F65</f>
        <v>39164.766836863171</v>
      </c>
      <c r="G66" s="1198">
        <f>G61-G62-G63-G64-G65</f>
        <v>10021.436325766364</v>
      </c>
      <c r="I66" s="126"/>
      <c r="K66" s="1733" t="s">
        <v>1287</v>
      </c>
      <c r="L66" s="1734"/>
      <c r="M66" s="1734"/>
      <c r="N66" s="1734"/>
      <c r="O66" s="1734"/>
      <c r="P66" s="1735"/>
    </row>
    <row r="67" spans="2:18" ht="13.5" thickTop="1">
      <c r="B67" s="374" t="s">
        <v>489</v>
      </c>
      <c r="C67" s="1194"/>
      <c r="D67" s="1194"/>
      <c r="E67" s="1194"/>
      <c r="F67" s="1194"/>
      <c r="G67" s="1195"/>
      <c r="I67" s="126"/>
    </row>
    <row r="68" spans="2:18" ht="13.5" thickBot="1">
      <c r="B68" s="185" t="s">
        <v>490</v>
      </c>
      <c r="C68" s="1199">
        <f>C66*$G$8</f>
        <v>-625.13455973595046</v>
      </c>
      <c r="D68" s="1199">
        <f>D66*$G$8</f>
        <v>197.96620223883875</v>
      </c>
      <c r="E68" s="1199">
        <f>E66*$G$8</f>
        <v>1058.1936050328275</v>
      </c>
      <c r="F68" s="1199">
        <f>F66*$G$8</f>
        <v>1958.2383418431587</v>
      </c>
      <c r="G68" s="1200">
        <f>G66*$G$8</f>
        <v>501.07181628831825</v>
      </c>
      <c r="I68" s="126"/>
    </row>
    <row r="69" spans="2:18" ht="13.5" thickBot="1">
      <c r="B69" s="185" t="s">
        <v>491</v>
      </c>
      <c r="C69" s="1199">
        <f>C66*$G$10</f>
        <v>-11877.556634983059</v>
      </c>
      <c r="D69" s="1199">
        <f>D66*$G$10</f>
        <v>3761.357842537936</v>
      </c>
      <c r="E69" s="1199">
        <f>E66*$G$10</f>
        <v>20105.678495623717</v>
      </c>
      <c r="F69" s="1199">
        <f>F66*$G$10</f>
        <v>37206.528495020008</v>
      </c>
      <c r="G69" s="1200">
        <f>G66*$G$10</f>
        <v>9520.3645094780459</v>
      </c>
      <c r="I69" s="126"/>
      <c r="K69" s="1617" t="s">
        <v>1461</v>
      </c>
      <c r="L69" s="1538"/>
      <c r="M69" s="1538"/>
      <c r="N69" s="1538"/>
      <c r="O69" s="1538"/>
      <c r="P69" s="1539"/>
    </row>
    <row r="70" spans="2:18" ht="13" thickBot="1">
      <c r="B70" s="134"/>
      <c r="C70" s="4"/>
      <c r="D70" s="4"/>
      <c r="E70" s="4"/>
      <c r="F70" s="4"/>
      <c r="G70" s="135"/>
      <c r="I70" s="126"/>
      <c r="K70" s="230" t="s">
        <v>446</v>
      </c>
      <c r="L70" s="122"/>
      <c r="M70" s="122"/>
      <c r="N70" s="1078">
        <f>$G$17</f>
        <v>5000000</v>
      </c>
      <c r="O70" s="122"/>
      <c r="P70" s="123"/>
    </row>
    <row r="71" spans="2:18" ht="13" thickBot="1">
      <c r="B71" s="385"/>
      <c r="C71" s="21"/>
      <c r="D71" s="21"/>
      <c r="E71" s="21"/>
      <c r="F71" s="21"/>
      <c r="G71" s="21"/>
      <c r="I71" s="126"/>
      <c r="K71" s="124" t="s">
        <v>477</v>
      </c>
      <c r="N71" s="30">
        <f>$G$17*$G$18</f>
        <v>250000</v>
      </c>
      <c r="P71" s="126"/>
    </row>
    <row r="72" spans="2:18" ht="13.5" thickBot="1">
      <c r="B72" s="1617" t="s">
        <v>1403</v>
      </c>
      <c r="C72" s="1538"/>
      <c r="D72" s="1538"/>
      <c r="E72" s="1538"/>
      <c r="F72" s="1538"/>
      <c r="G72" s="1539"/>
      <c r="I72" s="126"/>
      <c r="K72" s="124"/>
      <c r="M72" s="378"/>
      <c r="P72" s="126"/>
    </row>
    <row r="73" spans="2:18" ht="13">
      <c r="B73" s="374" t="s">
        <v>446</v>
      </c>
      <c r="C73" s="28"/>
      <c r="D73" s="28"/>
      <c r="E73" s="1201">
        <f>G17</f>
        <v>5000000</v>
      </c>
      <c r="G73" s="126"/>
      <c r="I73" s="126"/>
      <c r="K73" s="374" t="s">
        <v>1271</v>
      </c>
      <c r="M73" s="24"/>
      <c r="N73" s="833">
        <f>G34</f>
        <v>2869596.0563498745</v>
      </c>
      <c r="P73" s="126"/>
    </row>
    <row r="74" spans="2:18" ht="13">
      <c r="B74" s="374" t="s">
        <v>477</v>
      </c>
      <c r="C74" s="28"/>
      <c r="D74" s="28"/>
      <c r="E74" s="1202">
        <f>E73*G18</f>
        <v>250000</v>
      </c>
      <c r="G74" s="126"/>
      <c r="I74" s="126"/>
      <c r="K74" s="124"/>
      <c r="N74" s="30">
        <f>M72-M73</f>
        <v>0</v>
      </c>
      <c r="P74" s="126"/>
    </row>
    <row r="75" spans="2:18" ht="13.5" thickBot="1">
      <c r="B75" s="374" t="s">
        <v>398</v>
      </c>
      <c r="C75" s="28"/>
      <c r="D75" s="1203">
        <f>C7+C8+C16</f>
        <v>4100000</v>
      </c>
      <c r="E75" s="1203">
        <f>E73-E74</f>
        <v>4750000</v>
      </c>
      <c r="G75" s="126"/>
      <c r="I75" s="126"/>
      <c r="K75" s="375" t="s">
        <v>1272</v>
      </c>
      <c r="L75" s="65"/>
      <c r="M75" s="65"/>
      <c r="N75" s="1079">
        <f>(N70-N71)-N73</f>
        <v>1880403.9436501255</v>
      </c>
      <c r="O75" s="4"/>
      <c r="P75" s="135"/>
    </row>
    <row r="76" spans="2:18" ht="13">
      <c r="B76" s="374" t="s">
        <v>1531</v>
      </c>
      <c r="C76" s="28"/>
      <c r="D76" s="1202">
        <f>SUM(C63:G63)</f>
        <v>551587.30158730154</v>
      </c>
      <c r="E76" s="28"/>
      <c r="G76" s="126"/>
      <c r="I76" s="126"/>
    </row>
    <row r="77" spans="2:18" ht="13.5" thickBot="1">
      <c r="B77" s="374" t="s">
        <v>400</v>
      </c>
      <c r="C77" s="28"/>
      <c r="D77" s="28"/>
      <c r="E77" s="1202">
        <f>D75-D76</f>
        <v>3548412.6984126987</v>
      </c>
      <c r="G77" s="126"/>
      <c r="I77" s="126"/>
    </row>
    <row r="78" spans="2:18" ht="13.5" thickBot="1">
      <c r="B78" s="185" t="s">
        <v>494</v>
      </c>
      <c r="C78" s="3"/>
      <c r="D78" s="3"/>
      <c r="E78" s="1197">
        <f>(E73-E74)-E77</f>
        <v>1201587.3015873013</v>
      </c>
      <c r="G78" s="126"/>
      <c r="I78" s="126"/>
      <c r="K78" s="1617" t="s">
        <v>1561</v>
      </c>
      <c r="L78" s="1538"/>
      <c r="M78" s="1538"/>
      <c r="N78" s="1538"/>
      <c r="O78" s="1538"/>
      <c r="P78" s="1539"/>
    </row>
    <row r="79" spans="2:18" ht="13.5" thickTop="1">
      <c r="B79" s="374"/>
      <c r="C79" s="28"/>
      <c r="D79" s="28"/>
      <c r="E79" s="28"/>
      <c r="G79" s="126"/>
      <c r="I79" s="126"/>
      <c r="K79" s="230"/>
      <c r="L79" s="122"/>
      <c r="M79" s="122"/>
      <c r="N79" s="122"/>
      <c r="O79" s="122"/>
      <c r="P79" s="123"/>
    </row>
    <row r="80" spans="2:18" ht="13">
      <c r="B80" s="185" t="s">
        <v>495</v>
      </c>
      <c r="C80" s="3"/>
      <c r="D80" s="1204">
        <f>G9</f>
        <v>0.1</v>
      </c>
      <c r="E80" s="837">
        <f>G9*E78</f>
        <v>120158.73015873013</v>
      </c>
      <c r="G80" s="126"/>
      <c r="I80" s="126"/>
      <c r="K80" s="168" t="s">
        <v>1273</v>
      </c>
      <c r="M80" s="1"/>
      <c r="N80" s="1076">
        <f>H102</f>
        <v>154099.56226187132</v>
      </c>
      <c r="O80" s="1283">
        <f>N80/N82</f>
        <v>8.1950244138896386E-2</v>
      </c>
      <c r="P80" s="126"/>
      <c r="R80" t="s">
        <v>1636</v>
      </c>
    </row>
    <row r="81" spans="2:18" ht="13.5" thickBot="1">
      <c r="B81" s="1205" t="s">
        <v>496</v>
      </c>
      <c r="C81" s="1206"/>
      <c r="D81" s="1207">
        <f>G11</f>
        <v>0.9</v>
      </c>
      <c r="E81" s="1208">
        <f>G11*E78</f>
        <v>1081428.5714285711</v>
      </c>
      <c r="F81" s="4"/>
      <c r="G81" s="135"/>
      <c r="I81" s="126"/>
      <c r="K81" s="168" t="s">
        <v>1274</v>
      </c>
      <c r="M81" s="1"/>
      <c r="N81" s="1076">
        <f>H93</f>
        <v>1726304.3813882538</v>
      </c>
      <c r="O81" s="1283">
        <f>N81/N82</f>
        <v>0.9180497558611036</v>
      </c>
      <c r="P81" s="126"/>
    </row>
    <row r="82" spans="2:18" ht="13.5" thickBot="1">
      <c r="B82" s="168"/>
      <c r="C82" s="1"/>
      <c r="D82" s="1"/>
      <c r="E82" s="368"/>
      <c r="I82" s="126"/>
      <c r="K82" s="375" t="s">
        <v>1593</v>
      </c>
      <c r="L82" s="4"/>
      <c r="M82" s="4"/>
      <c r="N82" s="1079">
        <f>N80+N81</f>
        <v>1880403.9436501251</v>
      </c>
      <c r="O82" s="63"/>
      <c r="P82" s="135"/>
    </row>
    <row r="83" spans="2:18" ht="13.5" thickBot="1">
      <c r="B83" s="1730" t="s">
        <v>1363</v>
      </c>
      <c r="C83" s="1731"/>
      <c r="D83" s="1731"/>
      <c r="E83" s="1731"/>
      <c r="F83" s="1731"/>
      <c r="G83" s="1731"/>
      <c r="H83" s="1732"/>
      <c r="I83" s="126"/>
    </row>
    <row r="84" spans="2:18" ht="13.5" thickBot="1">
      <c r="B84" s="1547" t="s">
        <v>1462</v>
      </c>
      <c r="C84" s="1538"/>
      <c r="D84" s="1538"/>
      <c r="E84" s="1538"/>
      <c r="F84" s="1538"/>
      <c r="G84" s="1538"/>
      <c r="H84" s="1539"/>
      <c r="I84" s="126"/>
      <c r="K84" s="1617" t="s">
        <v>1637</v>
      </c>
      <c r="L84" s="1538"/>
      <c r="M84" s="1538"/>
      <c r="N84" s="1538"/>
      <c r="O84" s="1538"/>
      <c r="P84" s="1539"/>
    </row>
    <row r="85" spans="2:18" ht="13.5" thickBot="1">
      <c r="B85" s="243" t="s">
        <v>386</v>
      </c>
      <c r="C85" s="243">
        <v>1</v>
      </c>
      <c r="D85" s="243">
        <v>2</v>
      </c>
      <c r="E85" s="243">
        <v>3</v>
      </c>
      <c r="F85" s="243">
        <v>4</v>
      </c>
      <c r="G85" s="243">
        <v>5</v>
      </c>
      <c r="H85" s="243">
        <v>6</v>
      </c>
      <c r="I85" s="126"/>
      <c r="K85" s="230"/>
      <c r="L85" s="122"/>
      <c r="M85" s="122"/>
      <c r="N85" s="122"/>
      <c r="O85" s="122"/>
      <c r="P85" s="123"/>
    </row>
    <row r="86" spans="2:18" ht="13.5" thickBot="1">
      <c r="B86" s="1739" t="s">
        <v>497</v>
      </c>
      <c r="C86" s="1740"/>
      <c r="D86" s="1740"/>
      <c r="E86" s="1740"/>
      <c r="F86" s="1740"/>
      <c r="G86" s="1740"/>
      <c r="H86" s="1741"/>
      <c r="I86" s="126"/>
      <c r="K86" s="835" t="s">
        <v>1459</v>
      </c>
      <c r="P86" s="126"/>
    </row>
    <row r="87" spans="2:18" ht="13">
      <c r="B87" s="374" t="s">
        <v>291</v>
      </c>
      <c r="C87" s="1194">
        <f>I26</f>
        <v>1121000</v>
      </c>
      <c r="D87" s="28"/>
      <c r="E87" s="1209"/>
      <c r="F87" s="28"/>
      <c r="G87" s="28"/>
      <c r="H87" s="1210"/>
      <c r="I87" s="126"/>
      <c r="K87" s="168" t="s">
        <v>1273</v>
      </c>
      <c r="M87" s="1"/>
      <c r="N87" s="1076">
        <f>$G$9*N75</f>
        <v>188040.39436501256</v>
      </c>
      <c r="O87" s="1283">
        <f>$G$9</f>
        <v>0.1</v>
      </c>
      <c r="P87" s="126"/>
      <c r="R87" s="39" t="s">
        <v>1276</v>
      </c>
    </row>
    <row r="88" spans="2:18" ht="13">
      <c r="B88" s="374" t="s">
        <v>1532</v>
      </c>
      <c r="C88" s="28"/>
      <c r="D88" s="28">
        <f>IF(C69&gt;0,C69,0)</f>
        <v>0</v>
      </c>
      <c r="E88" s="1194">
        <f>IF(D69&gt;0,D69,0)</f>
        <v>3761.357842537936</v>
      </c>
      <c r="F88" s="1194">
        <f>IF(E69&gt;0,E69,0)</f>
        <v>20105.678495623717</v>
      </c>
      <c r="G88" s="1194">
        <f>IF(F69&gt;0,F69,0)</f>
        <v>37206.528495020008</v>
      </c>
      <c r="H88" s="1195">
        <f>IF(G69&gt;0,G69,0)</f>
        <v>9520.3645094780459</v>
      </c>
      <c r="I88" s="126"/>
      <c r="K88" s="168" t="s">
        <v>1274</v>
      </c>
      <c r="M88" s="1"/>
      <c r="N88" s="1320">
        <f>$G$11*N75</f>
        <v>1692363.5492851131</v>
      </c>
      <c r="O88" s="1283">
        <f>$G$11</f>
        <v>0.9</v>
      </c>
      <c r="P88" s="126"/>
      <c r="R88" s="39" t="s">
        <v>1277</v>
      </c>
    </row>
    <row r="89" spans="2:18" ht="13.5" thickBot="1">
      <c r="B89" s="374" t="s">
        <v>1533</v>
      </c>
      <c r="C89" s="28"/>
      <c r="D89" s="1194">
        <f>IF(C69&gt;0,0,C69)</f>
        <v>-11877.556634983059</v>
      </c>
      <c r="E89" s="1194">
        <f>IF(D69&gt;0,0,D69)</f>
        <v>0</v>
      </c>
      <c r="F89" s="1194">
        <f>IF(E69&gt;0,0,E69)</f>
        <v>0</v>
      </c>
      <c r="G89" s="1194">
        <f>IF(F69&gt;0,0,F69)</f>
        <v>0</v>
      </c>
      <c r="H89" s="1195">
        <f>IF(G69&gt;0,0,G69)</f>
        <v>0</v>
      </c>
      <c r="I89" s="126"/>
      <c r="K89" s="375" t="s">
        <v>1593</v>
      </c>
      <c r="L89" s="4"/>
      <c r="M89" s="4"/>
      <c r="N89" s="1079">
        <f>N87+N88</f>
        <v>1880403.9436501258</v>
      </c>
      <c r="O89" s="4"/>
      <c r="P89" s="135"/>
    </row>
    <row r="90" spans="2:18" ht="13.5" thickBot="1">
      <c r="B90" s="374" t="s">
        <v>1534</v>
      </c>
      <c r="C90" s="28"/>
      <c r="D90" s="28"/>
      <c r="E90" s="1209"/>
      <c r="F90" s="28"/>
      <c r="G90" s="28"/>
      <c r="H90" s="1195">
        <f>E81</f>
        <v>1081428.5714285711</v>
      </c>
      <c r="I90" s="126"/>
    </row>
    <row r="91" spans="2:18" ht="13.5" thickBot="1">
      <c r="B91" s="374" t="s">
        <v>1535</v>
      </c>
      <c r="C91" s="542"/>
      <c r="D91" s="1211">
        <f>-C56</f>
        <v>-79766.093368411268</v>
      </c>
      <c r="E91" s="1211">
        <f>-D56</f>
        <v>-92965.155868411268</v>
      </c>
      <c r="F91" s="1211">
        <f>-E56</f>
        <v>-106560.19024341126</v>
      </c>
      <c r="G91" s="1211">
        <f>-F56</f>
        <v>-120563.07564966127</v>
      </c>
      <c r="H91" s="1212">
        <f>-G56</f>
        <v>-134986.04761809879</v>
      </c>
      <c r="I91" s="126"/>
      <c r="K91" s="1721" t="s">
        <v>1642</v>
      </c>
      <c r="L91" s="1722"/>
      <c r="M91" s="1722"/>
      <c r="N91" s="1722"/>
      <c r="O91" s="1722"/>
      <c r="P91" s="1723"/>
    </row>
    <row r="92" spans="2:18" ht="13">
      <c r="B92" s="374" t="s">
        <v>498</v>
      </c>
      <c r="C92" s="1194">
        <f t="shared" ref="C92:H92" si="0">SUM(C87:C91)</f>
        <v>1121000</v>
      </c>
      <c r="D92" s="1194">
        <f t="shared" si="0"/>
        <v>-91643.65000339433</v>
      </c>
      <c r="E92" s="1194">
        <f t="shared" si="0"/>
        <v>-89203.79802587333</v>
      </c>
      <c r="F92" s="1194">
        <f t="shared" si="0"/>
        <v>-86454.511747787532</v>
      </c>
      <c r="G92" s="1194">
        <f t="shared" si="0"/>
        <v>-83356.547154641274</v>
      </c>
      <c r="H92" s="1195">
        <f t="shared" si="0"/>
        <v>955962.88831995032</v>
      </c>
      <c r="I92" s="126"/>
      <c r="K92" s="124" t="s">
        <v>446</v>
      </c>
      <c r="N92" s="67">
        <f>$G$17</f>
        <v>5000000</v>
      </c>
      <c r="P92" s="126"/>
    </row>
    <row r="93" spans="2:18" ht="13.5" thickBot="1">
      <c r="B93" s="185" t="s">
        <v>215</v>
      </c>
      <c r="C93" s="1213">
        <f>C92</f>
        <v>1121000</v>
      </c>
      <c r="D93" s="1197">
        <f>C93+D92</f>
        <v>1029356.3499966057</v>
      </c>
      <c r="E93" s="1197">
        <f>D93+E92</f>
        <v>940152.55197073228</v>
      </c>
      <c r="F93" s="1197">
        <f>E93+F92</f>
        <v>853698.04022294469</v>
      </c>
      <c r="G93" s="1197">
        <f>F93+G92</f>
        <v>770341.49306830345</v>
      </c>
      <c r="H93" s="1214">
        <f>G93+H92</f>
        <v>1726304.3813882538</v>
      </c>
      <c r="I93" s="834">
        <f>H93/($H$93+$H$102)</f>
        <v>0.9180497558611036</v>
      </c>
      <c r="K93" s="124" t="s">
        <v>477</v>
      </c>
      <c r="N93" s="30">
        <f>$G$17*$G$18</f>
        <v>250000</v>
      </c>
      <c r="P93" s="126"/>
    </row>
    <row r="94" spans="2:18" ht="14" thickTop="1" thickBot="1">
      <c r="B94" s="185"/>
      <c r="C94" s="3"/>
      <c r="D94" s="3"/>
      <c r="E94" s="837"/>
      <c r="F94" s="28"/>
      <c r="G94" s="28"/>
      <c r="H94" s="1210"/>
      <c r="I94" s="126"/>
      <c r="K94" s="124"/>
      <c r="M94" s="378"/>
      <c r="P94" s="126"/>
    </row>
    <row r="95" spans="2:18" ht="13.5" thickBot="1">
      <c r="B95" s="1718" t="s">
        <v>466</v>
      </c>
      <c r="C95" s="1719"/>
      <c r="D95" s="1719"/>
      <c r="E95" s="1719"/>
      <c r="F95" s="1719"/>
      <c r="G95" s="1719"/>
      <c r="H95" s="1720"/>
      <c r="I95" s="126"/>
      <c r="K95" s="374" t="s">
        <v>1278</v>
      </c>
      <c r="M95" s="24"/>
      <c r="N95" s="833">
        <f>C7+C8</f>
        <v>4000000</v>
      </c>
      <c r="P95" s="126"/>
    </row>
    <row r="96" spans="2:18" ht="13">
      <c r="B96" s="374" t="s">
        <v>291</v>
      </c>
      <c r="C96" s="1215">
        <f>F26</f>
        <v>59000</v>
      </c>
      <c r="D96" s="1216"/>
      <c r="E96" s="1216"/>
      <c r="F96" s="1216"/>
      <c r="G96" s="1216"/>
      <c r="H96" s="1217"/>
      <c r="I96" s="126"/>
      <c r="K96" s="374" t="s">
        <v>1279</v>
      </c>
      <c r="N96" s="30">
        <f>C16</f>
        <v>100000</v>
      </c>
      <c r="P96" s="126"/>
    </row>
    <row r="97" spans="2:16" ht="13.5" thickBot="1">
      <c r="B97" s="374" t="s">
        <v>1532</v>
      </c>
      <c r="C97" s="1216"/>
      <c r="D97" s="28">
        <f>IF(C68&gt;0,C68,0)</f>
        <v>0</v>
      </c>
      <c r="E97" s="1194">
        <f>IF(D68&gt;0,D68,0)</f>
        <v>197.96620223883875</v>
      </c>
      <c r="F97" s="1194">
        <f>IF(E68&gt;0,E68,0)</f>
        <v>1058.1936050328275</v>
      </c>
      <c r="G97" s="1194">
        <f>IF(F68&gt;0,F68,0)</f>
        <v>1958.2383418431587</v>
      </c>
      <c r="H97" s="1195">
        <f>IF(G68&gt;0,G68,0)</f>
        <v>501.07181628831825</v>
      </c>
      <c r="I97" s="126"/>
      <c r="K97" s="168" t="s">
        <v>1280</v>
      </c>
      <c r="L97" s="1"/>
      <c r="M97" s="1"/>
      <c r="N97" s="35">
        <f>(N92-N93)-N95-N96</f>
        <v>650000</v>
      </c>
      <c r="P97" s="126"/>
    </row>
    <row r="98" spans="2:16" ht="13.5" thickTop="1">
      <c r="B98" s="374" t="s">
        <v>1533</v>
      </c>
      <c r="C98" s="1216"/>
      <c r="D98" s="1194">
        <f>IF(C68&gt;0,0,C68)</f>
        <v>-625.13455973595046</v>
      </c>
      <c r="E98" s="1194">
        <f>IF(D68&gt;0,0,D68)</f>
        <v>0</v>
      </c>
      <c r="F98" s="1194">
        <f>IF(E68&gt;0,0,E68)</f>
        <v>0</v>
      </c>
      <c r="G98" s="1194">
        <f>IF(F68&gt;0,0,F68)</f>
        <v>0</v>
      </c>
      <c r="H98" s="1195">
        <f>IF(G68&gt;0,0,G68)</f>
        <v>0</v>
      </c>
      <c r="I98" s="126"/>
      <c r="K98" s="835" t="s">
        <v>1460</v>
      </c>
      <c r="P98" s="126"/>
    </row>
    <row r="99" spans="2:16" ht="13">
      <c r="B99" s="374" t="s">
        <v>1534</v>
      </c>
      <c r="C99" s="1216"/>
      <c r="D99" s="1216"/>
      <c r="E99" s="1216"/>
      <c r="F99" s="1216"/>
      <c r="G99" s="1216"/>
      <c r="H99" s="1218">
        <f>E80</f>
        <v>120158.73015873013</v>
      </c>
      <c r="I99" s="126"/>
      <c r="K99" s="168" t="s">
        <v>1273</v>
      </c>
      <c r="L99" s="56">
        <f>$G$9</f>
        <v>0.1</v>
      </c>
      <c r="M99" s="1"/>
      <c r="N99" s="837">
        <f>$G$9*N97</f>
        <v>65000</v>
      </c>
      <c r="O99" s="39" t="s">
        <v>1276</v>
      </c>
      <c r="P99" s="126"/>
    </row>
    <row r="100" spans="2:16" ht="13.5" thickBot="1">
      <c r="B100" s="374" t="s">
        <v>1535</v>
      </c>
      <c r="C100" s="1206"/>
      <c r="D100" s="1211">
        <f>-C55</f>
        <v>-4198.2154404426983</v>
      </c>
      <c r="E100" s="1211">
        <f>-D55</f>
        <v>-4892.9029404426983</v>
      </c>
      <c r="F100" s="1211">
        <f>-E55</f>
        <v>-5608.431065442699</v>
      </c>
      <c r="G100" s="1211">
        <f>-F55</f>
        <v>-6345.4250341927</v>
      </c>
      <c r="H100" s="1212">
        <f>-G55</f>
        <v>-7104.5288220051998</v>
      </c>
      <c r="I100" s="126"/>
      <c r="K100" s="168" t="s">
        <v>1274</v>
      </c>
      <c r="L100" s="56">
        <f>$G$11</f>
        <v>0.9</v>
      </c>
      <c r="M100" s="1"/>
      <c r="N100" s="837">
        <f>$G$11*N97</f>
        <v>585000</v>
      </c>
      <c r="O100" s="39" t="s">
        <v>1277</v>
      </c>
      <c r="P100" s="126"/>
    </row>
    <row r="101" spans="2:16" ht="13">
      <c r="B101" s="374" t="s">
        <v>498</v>
      </c>
      <c r="C101" s="1194">
        <f t="shared" ref="C101:H101" si="1">SUM(C96:C100)</f>
        <v>59000</v>
      </c>
      <c r="D101" s="1194">
        <f t="shared" si="1"/>
        <v>-4823.3500001786488</v>
      </c>
      <c r="E101" s="1194">
        <f t="shared" si="1"/>
        <v>-4694.9367382038599</v>
      </c>
      <c r="F101" s="1194">
        <f t="shared" si="1"/>
        <v>-4550.2374604098713</v>
      </c>
      <c r="G101" s="1194">
        <f t="shared" si="1"/>
        <v>-4387.1866923495418</v>
      </c>
      <c r="H101" s="1195">
        <f t="shared" si="1"/>
        <v>113555.27315301324</v>
      </c>
      <c r="I101" s="126"/>
      <c r="K101" s="124"/>
      <c r="P101" s="126"/>
    </row>
    <row r="102" spans="2:16" ht="13.5" thickBot="1">
      <c r="B102" s="185" t="s">
        <v>215</v>
      </c>
      <c r="C102" s="1213">
        <f>C101</f>
        <v>59000</v>
      </c>
      <c r="D102" s="1197">
        <f>C102+D101</f>
        <v>54176.649999821355</v>
      </c>
      <c r="E102" s="1197">
        <f>D102+E101</f>
        <v>49481.713261617493</v>
      </c>
      <c r="F102" s="1197">
        <f>E102+F101</f>
        <v>44931.47580120762</v>
      </c>
      <c r="G102" s="1197">
        <f>F102+G101</f>
        <v>40544.28910885808</v>
      </c>
      <c r="H102" s="1214">
        <f>G102+H101</f>
        <v>154099.56226187132</v>
      </c>
      <c r="I102" s="834">
        <f>H102/($H$93+$H$102)</f>
        <v>8.1950244138896386E-2</v>
      </c>
      <c r="K102" s="1727" t="s">
        <v>1641</v>
      </c>
      <c r="L102" s="1728"/>
      <c r="M102" s="1728"/>
      <c r="N102" s="1728"/>
      <c r="O102" s="1728"/>
      <c r="P102" s="1729"/>
    </row>
    <row r="103" spans="2:16" ht="14" thickTop="1" thickBot="1">
      <c r="B103" s="1205"/>
      <c r="C103" s="1206"/>
      <c r="D103" s="1206"/>
      <c r="E103" s="1208"/>
      <c r="F103" s="542"/>
      <c r="G103" s="542"/>
      <c r="H103" s="1219"/>
      <c r="I103" s="126"/>
      <c r="K103" s="230"/>
      <c r="L103" s="122"/>
      <c r="M103" s="122"/>
      <c r="N103" s="838"/>
      <c r="O103" s="122"/>
      <c r="P103" s="123"/>
    </row>
    <row r="104" spans="2:16" ht="13.5" thickBot="1">
      <c r="B104" s="1220" t="s">
        <v>1275</v>
      </c>
      <c r="C104" s="1221"/>
      <c r="D104" s="1221"/>
      <c r="E104" s="1221"/>
      <c r="F104" s="1221"/>
      <c r="G104" s="1221"/>
      <c r="H104" s="1222">
        <f>H93+H102</f>
        <v>1880403.9436501251</v>
      </c>
      <c r="I104" s="126"/>
      <c r="K104" s="171" t="s">
        <v>1281</v>
      </c>
      <c r="N104" s="41">
        <f>N75</f>
        <v>1880403.9436501255</v>
      </c>
      <c r="P104" s="126"/>
    </row>
    <row r="105" spans="2:16">
      <c r="I105" s="126"/>
      <c r="K105" s="171" t="s">
        <v>1282</v>
      </c>
      <c r="N105" s="30">
        <f>N99+N100</f>
        <v>650000</v>
      </c>
      <c r="O105" s="1176" t="s">
        <v>1638</v>
      </c>
      <c r="P105" s="126"/>
    </row>
    <row r="106" spans="2:16">
      <c r="I106" s="126"/>
      <c r="K106" s="124"/>
      <c r="P106" s="126"/>
    </row>
    <row r="107" spans="2:16">
      <c r="I107" s="126"/>
      <c r="K107" s="225" t="s">
        <v>1283</v>
      </c>
      <c r="L107" s="21"/>
      <c r="M107" s="21"/>
      <c r="N107" s="30">
        <f>N104-N105</f>
        <v>1230403.9436501255</v>
      </c>
      <c r="O107" s="1394" t="s">
        <v>1639</v>
      </c>
      <c r="P107" s="951"/>
    </row>
    <row r="108" spans="2:16" ht="13.5" thickBot="1">
      <c r="I108" s="126"/>
      <c r="K108" s="1727" t="s">
        <v>1640</v>
      </c>
      <c r="L108" s="1728"/>
      <c r="M108" s="1728"/>
      <c r="N108" s="1728"/>
      <c r="O108" s="1728"/>
      <c r="P108" s="1729"/>
    </row>
    <row r="109" spans="2:16" ht="13.5" thickBot="1">
      <c r="B109" s="1547" t="s">
        <v>1404</v>
      </c>
      <c r="C109" s="1538"/>
      <c r="D109" s="1538"/>
      <c r="E109" s="1538"/>
      <c r="F109" s="1538"/>
      <c r="G109" s="1538"/>
      <c r="H109" s="1539"/>
      <c r="I109" s="126"/>
      <c r="K109" s="1068"/>
      <c r="P109" s="126"/>
    </row>
    <row r="110" spans="2:16" ht="13.5" thickBot="1">
      <c r="B110" s="1724" t="s">
        <v>1359</v>
      </c>
      <c r="C110" s="1725"/>
      <c r="D110" s="1725"/>
      <c r="E110" s="1725"/>
      <c r="F110" s="1725"/>
      <c r="G110" s="1725"/>
      <c r="H110" s="1726"/>
      <c r="I110" s="126"/>
      <c r="K110" s="168" t="s">
        <v>466</v>
      </c>
      <c r="P110" s="126"/>
    </row>
    <row r="111" spans="2:16" ht="13.5" thickBot="1">
      <c r="B111" s="243" t="s">
        <v>1214</v>
      </c>
      <c r="H111" s="126"/>
      <c r="I111" s="126"/>
      <c r="K111" s="171" t="s">
        <v>1284</v>
      </c>
      <c r="L111" s="23">
        <f>G9</f>
        <v>0.1</v>
      </c>
      <c r="M111" s="24">
        <f>N99</f>
        <v>65000</v>
      </c>
      <c r="N111" s="24"/>
      <c r="P111" s="126"/>
    </row>
    <row r="112" spans="2:16">
      <c r="B112" s="124" t="s">
        <v>1211</v>
      </c>
      <c r="C112" s="24">
        <f>-I26</f>
        <v>-1121000</v>
      </c>
      <c r="D112" s="24">
        <f>C56</f>
        <v>79766.093368411268</v>
      </c>
      <c r="E112" s="24">
        <f>D56</f>
        <v>92965.155868411268</v>
      </c>
      <c r="F112" s="24">
        <f>E56</f>
        <v>106560.19024341126</v>
      </c>
      <c r="G112" s="24">
        <f>F56</f>
        <v>120563.07564966127</v>
      </c>
      <c r="H112" s="163">
        <f>G56</f>
        <v>134986.04761809879</v>
      </c>
      <c r="I112" s="126"/>
      <c r="K112" s="171" t="s">
        <v>1285</v>
      </c>
      <c r="L112" s="23">
        <f>G8</f>
        <v>0.05</v>
      </c>
      <c r="M112" s="30">
        <f>N107*$G$8</f>
        <v>61520.197182506279</v>
      </c>
      <c r="N112" s="24"/>
      <c r="P112" s="126"/>
    </row>
    <row r="113" spans="2:18" ht="13">
      <c r="B113" s="171" t="s">
        <v>1355</v>
      </c>
      <c r="C113" s="21"/>
      <c r="D113" s="21"/>
      <c r="E113" s="21"/>
      <c r="F113" s="21"/>
      <c r="G113" s="21"/>
      <c r="H113" s="754">
        <f>H93</f>
        <v>1726304.3813882538</v>
      </c>
      <c r="I113" s="126"/>
      <c r="K113" s="124"/>
      <c r="M113" s="24"/>
      <c r="N113" s="1077">
        <f>M111+M112</f>
        <v>126520.19718250628</v>
      </c>
      <c r="O113" s="600">
        <f>N113/$N$119</f>
        <v>6.7283520442375261E-2</v>
      </c>
      <c r="P113" s="126"/>
    </row>
    <row r="114" spans="2:18" ht="13">
      <c r="B114" s="168" t="s">
        <v>1212</v>
      </c>
      <c r="C114" s="1102">
        <f t="shared" ref="C114:H114" si="2">SUM(C112:C113)</f>
        <v>-1121000</v>
      </c>
      <c r="D114" s="1102">
        <f t="shared" si="2"/>
        <v>79766.093368411268</v>
      </c>
      <c r="E114" s="1102">
        <f t="shared" si="2"/>
        <v>92965.155868411268</v>
      </c>
      <c r="F114" s="1102">
        <f t="shared" si="2"/>
        <v>106560.19024341126</v>
      </c>
      <c r="G114" s="1102">
        <f t="shared" si="2"/>
        <v>120563.07564966127</v>
      </c>
      <c r="H114" s="1227">
        <f t="shared" si="2"/>
        <v>1861290.4290063526</v>
      </c>
      <c r="I114" s="126"/>
      <c r="K114" s="124"/>
      <c r="M114" s="24"/>
      <c r="N114" s="24"/>
      <c r="P114" s="126"/>
    </row>
    <row r="115" spans="2:18" ht="13.5" thickBot="1">
      <c r="B115" s="124"/>
      <c r="H115" s="126"/>
      <c r="I115" s="126"/>
      <c r="K115" s="168" t="s">
        <v>468</v>
      </c>
      <c r="M115" s="24"/>
      <c r="N115" s="24"/>
      <c r="P115" s="126"/>
    </row>
    <row r="116" spans="2:18" ht="13.5" thickBot="1">
      <c r="B116" s="168" t="s">
        <v>1213</v>
      </c>
      <c r="D116" s="155">
        <f>IRR(C114:H114)</f>
        <v>0.16879090619904469</v>
      </c>
      <c r="H116" s="126"/>
      <c r="I116" s="126"/>
      <c r="K116" s="171" t="s">
        <v>1284</v>
      </c>
      <c r="L116" s="23">
        <f>G11</f>
        <v>0.9</v>
      </c>
      <c r="M116" s="24">
        <f>N100</f>
        <v>585000</v>
      </c>
      <c r="N116" s="24"/>
      <c r="P116" s="126"/>
    </row>
    <row r="117" spans="2:18" ht="13" thickBot="1">
      <c r="B117" s="134"/>
      <c r="C117" s="4"/>
      <c r="D117" s="4"/>
      <c r="E117" s="4"/>
      <c r="F117" s="4"/>
      <c r="G117" s="4"/>
      <c r="H117" s="135"/>
      <c r="I117" s="126"/>
      <c r="K117" s="171" t="s">
        <v>1285</v>
      </c>
      <c r="L117" s="23">
        <f>G10</f>
        <v>0.95</v>
      </c>
      <c r="M117" s="30">
        <f>N107*$G$10</f>
        <v>1168883.7464676192</v>
      </c>
      <c r="N117" s="24"/>
      <c r="P117" s="126"/>
      <c r="R117" s="39" t="s">
        <v>1276</v>
      </c>
    </row>
    <row r="118" spans="2:18" ht="13.5" thickBot="1">
      <c r="B118" s="124"/>
      <c r="H118" s="126"/>
      <c r="I118" s="126"/>
      <c r="K118" s="124"/>
      <c r="M118" s="24"/>
      <c r="N118" s="1077">
        <f>M116+M117</f>
        <v>1753883.7464676192</v>
      </c>
      <c r="O118" s="600">
        <f>N118/$N$119</f>
        <v>0.93271647955762471</v>
      </c>
      <c r="P118" s="126"/>
      <c r="R118" s="39" t="s">
        <v>1277</v>
      </c>
    </row>
    <row r="119" spans="2:18" ht="13.5" thickBot="1">
      <c r="B119" s="1724" t="s">
        <v>1360</v>
      </c>
      <c r="C119" s="1725"/>
      <c r="D119" s="1725"/>
      <c r="E119" s="1725"/>
      <c r="F119" s="1725"/>
      <c r="G119" s="1725"/>
      <c r="H119" s="1726"/>
      <c r="I119" s="126"/>
      <c r="K119" s="375" t="s">
        <v>1286</v>
      </c>
      <c r="L119" s="4"/>
      <c r="M119" s="31"/>
      <c r="N119" s="1079">
        <f>N113+N118</f>
        <v>1880403.9436501255</v>
      </c>
      <c r="O119" s="4"/>
      <c r="P119" s="135"/>
    </row>
    <row r="120" spans="2:18" ht="13.5" thickBot="1">
      <c r="B120" s="243" t="s">
        <v>1214</v>
      </c>
      <c r="H120" s="126"/>
      <c r="I120" s="126"/>
    </row>
    <row r="121" spans="2:18" ht="13">
      <c r="B121" s="124" t="s">
        <v>1211</v>
      </c>
      <c r="C121" s="24">
        <f>-F26</f>
        <v>-59000</v>
      </c>
      <c r="D121" s="24">
        <f>C55</f>
        <v>4198.2154404426983</v>
      </c>
      <c r="E121" s="24">
        <f>D55</f>
        <v>4892.9029404426983</v>
      </c>
      <c r="F121" s="24">
        <f>E55</f>
        <v>5608.431065442699</v>
      </c>
      <c r="G121" s="24">
        <f>F55</f>
        <v>6345.4250341927</v>
      </c>
      <c r="H121" s="163">
        <f>G55</f>
        <v>7104.5288220051998</v>
      </c>
      <c r="I121" s="126"/>
      <c r="K121" s="1" t="s">
        <v>1366</v>
      </c>
    </row>
    <row r="122" spans="2:18">
      <c r="B122" s="171" t="s">
        <v>1355</v>
      </c>
      <c r="C122" s="21"/>
      <c r="D122" s="21"/>
      <c r="E122" s="21"/>
      <c r="F122" s="21"/>
      <c r="G122" s="21"/>
      <c r="H122" s="754">
        <f>H102</f>
        <v>154099.56226187132</v>
      </c>
      <c r="I122" s="126"/>
    </row>
    <row r="123" spans="2:18" ht="13">
      <c r="B123" s="168" t="s">
        <v>1212</v>
      </c>
      <c r="C123" s="1102">
        <f t="shared" ref="C123:H123" si="3">SUM(C121:C122)</f>
        <v>-59000</v>
      </c>
      <c r="D123" s="1102">
        <f t="shared" si="3"/>
        <v>4198.2154404426983</v>
      </c>
      <c r="E123" s="1102">
        <f t="shared" si="3"/>
        <v>4892.9029404426983</v>
      </c>
      <c r="F123" s="1102">
        <f t="shared" si="3"/>
        <v>5608.431065442699</v>
      </c>
      <c r="G123" s="1102">
        <f t="shared" si="3"/>
        <v>6345.4250341927</v>
      </c>
      <c r="H123" s="1227">
        <f t="shared" si="3"/>
        <v>161204.09108387653</v>
      </c>
      <c r="I123" s="126"/>
      <c r="K123">
        <v>1</v>
      </c>
      <c r="L123" s="39" t="s">
        <v>1364</v>
      </c>
    </row>
    <row r="124" spans="2:18" ht="13" thickBot="1">
      <c r="B124" s="124"/>
      <c r="H124" s="126"/>
      <c r="I124" s="126"/>
      <c r="K124">
        <v>2</v>
      </c>
      <c r="L124" s="268" t="s">
        <v>1490</v>
      </c>
    </row>
    <row r="125" spans="2:18" ht="13.5" thickBot="1">
      <c r="B125" s="168" t="s">
        <v>1213</v>
      </c>
      <c r="D125" s="155">
        <f>IRR(C123:H123)</f>
        <v>0.27621664312218219</v>
      </c>
      <c r="H125" s="126"/>
      <c r="I125" s="126"/>
      <c r="K125">
        <v>3</v>
      </c>
      <c r="L125" s="39" t="s">
        <v>1365</v>
      </c>
    </row>
    <row r="126" spans="2:18" ht="13" thickBot="1">
      <c r="B126" s="134"/>
      <c r="C126" s="4"/>
      <c r="D126" s="4"/>
      <c r="E126" s="4"/>
      <c r="F126" s="4"/>
      <c r="G126" s="4"/>
      <c r="H126" s="135"/>
      <c r="I126" s="1080"/>
      <c r="K126">
        <v>4</v>
      </c>
      <c r="L126" s="268" t="s">
        <v>1521</v>
      </c>
    </row>
    <row r="131" spans="1:1">
      <c r="A131" s="83"/>
    </row>
    <row r="161" spans="2:8" ht="13" thickBot="1"/>
    <row r="162" spans="2:8" ht="13.5" thickBot="1">
      <c r="B162" s="1547" t="s">
        <v>1358</v>
      </c>
      <c r="C162" s="1538"/>
      <c r="D162" s="1538"/>
      <c r="E162" s="1538"/>
      <c r="F162" s="1538"/>
      <c r="G162" s="1538"/>
      <c r="H162" s="1539"/>
    </row>
    <row r="163" spans="2:8" ht="13.5" thickBot="1">
      <c r="B163" s="1547" t="s">
        <v>1357</v>
      </c>
      <c r="C163" s="1538"/>
      <c r="D163" s="1538"/>
      <c r="E163" s="1538"/>
      <c r="F163" s="1538"/>
      <c r="G163" s="1538"/>
      <c r="H163" s="1539"/>
    </row>
    <row r="164" spans="2:8" ht="13.5" thickBot="1">
      <c r="B164" s="1547" t="s">
        <v>1356</v>
      </c>
      <c r="C164" s="1538"/>
      <c r="D164" s="1538"/>
      <c r="E164" s="1538"/>
      <c r="F164" s="1538"/>
      <c r="G164" s="1538"/>
      <c r="H164" s="1539"/>
    </row>
    <row r="165" spans="2:8" ht="13.5" thickBot="1">
      <c r="B165" s="243" t="s">
        <v>386</v>
      </c>
      <c r="C165" s="243">
        <v>1</v>
      </c>
      <c r="D165" s="243">
        <v>2</v>
      </c>
      <c r="E165" s="243">
        <v>3</v>
      </c>
      <c r="F165" s="243">
        <v>4</v>
      </c>
      <c r="G165" s="243">
        <v>5</v>
      </c>
      <c r="H165" s="243">
        <v>6</v>
      </c>
    </row>
    <row r="166" spans="2:8" ht="13.5" thickBot="1">
      <c r="B166" s="1547" t="s">
        <v>466</v>
      </c>
      <c r="C166" s="1584"/>
      <c r="D166" s="1584"/>
      <c r="E166" s="1584"/>
      <c r="F166" s="1584"/>
      <c r="G166" s="1584"/>
      <c r="H166" s="1585"/>
    </row>
    <row r="167" spans="2:8" ht="13.5" thickBot="1">
      <c r="B167" s="243" t="s">
        <v>499</v>
      </c>
      <c r="H167" s="126"/>
    </row>
    <row r="168" spans="2:8">
      <c r="B168" s="124" t="s">
        <v>408</v>
      </c>
      <c r="C168" s="67">
        <f>-F26</f>
        <v>-59000</v>
      </c>
      <c r="D168" s="24">
        <f>C55</f>
        <v>4198.2154404426983</v>
      </c>
      <c r="E168" s="24">
        <f>D55</f>
        <v>4892.9029404426983</v>
      </c>
      <c r="F168" s="24">
        <f>E55</f>
        <v>5608.431065442699</v>
      </c>
      <c r="G168" s="24">
        <f>F55</f>
        <v>6345.4250341927</v>
      </c>
      <c r="H168" s="163">
        <f>G55</f>
        <v>7104.5288220051998</v>
      </c>
    </row>
    <row r="169" spans="2:8">
      <c r="B169" s="124" t="s">
        <v>441</v>
      </c>
      <c r="C169" s="378"/>
      <c r="D169" s="24">
        <f>C68</f>
        <v>-625.13455973595046</v>
      </c>
      <c r="E169" s="24">
        <f>D68</f>
        <v>197.96620223883875</v>
      </c>
      <c r="F169" s="24">
        <f>E68</f>
        <v>1058.1936050328275</v>
      </c>
      <c r="G169" s="24">
        <f>F68</f>
        <v>1958.2383418431587</v>
      </c>
      <c r="H169" s="163">
        <f>G68</f>
        <v>501.07181628831825</v>
      </c>
    </row>
    <row r="170" spans="2:8" ht="13" thickBot="1">
      <c r="B170" s="124" t="s">
        <v>500</v>
      </c>
      <c r="C170" s="66"/>
      <c r="D170" s="31">
        <f>D169*$G$21</f>
        <v>-175.03767672606614</v>
      </c>
      <c r="E170" s="31">
        <f>E169*$G$21</f>
        <v>55.430536626874854</v>
      </c>
      <c r="F170" s="31">
        <f>F169*$G$21</f>
        <v>296.29420940919169</v>
      </c>
      <c r="G170" s="31">
        <f>G169*$G$21</f>
        <v>548.30673571608452</v>
      </c>
      <c r="H170" s="207">
        <f>H169*$G$21</f>
        <v>140.30010856072911</v>
      </c>
    </row>
    <row r="171" spans="2:8">
      <c r="B171" s="124" t="s">
        <v>409</v>
      </c>
      <c r="C171" s="67">
        <f t="shared" ref="C171:H171" si="4">C168-C170</f>
        <v>-59000</v>
      </c>
      <c r="D171" s="24">
        <f t="shared" si="4"/>
        <v>4373.2531171687642</v>
      </c>
      <c r="E171" s="24">
        <f t="shared" si="4"/>
        <v>4837.4724038158238</v>
      </c>
      <c r="F171" s="24">
        <f t="shared" si="4"/>
        <v>5312.1368560335077</v>
      </c>
      <c r="G171" s="24">
        <f t="shared" si="4"/>
        <v>5797.1182984766156</v>
      </c>
      <c r="H171" s="163">
        <f t="shared" si="4"/>
        <v>6964.2287134444705</v>
      </c>
    </row>
    <row r="172" spans="2:8" ht="13" thickBot="1">
      <c r="B172" s="124"/>
      <c r="H172" s="126"/>
    </row>
    <row r="173" spans="2:8" ht="13.5" thickBot="1">
      <c r="B173" s="243" t="s">
        <v>501</v>
      </c>
      <c r="H173" s="126"/>
    </row>
    <row r="174" spans="2:8">
      <c r="B174" s="124" t="s">
        <v>408</v>
      </c>
      <c r="H174" s="381">
        <f>H102</f>
        <v>154099.56226187132</v>
      </c>
    </row>
    <row r="175" spans="2:8">
      <c r="B175" s="124" t="s">
        <v>502</v>
      </c>
      <c r="H175" s="163">
        <f>E80</f>
        <v>120158.73015873013</v>
      </c>
    </row>
    <row r="176" spans="2:8" ht="13" thickBot="1">
      <c r="B176" s="124" t="s">
        <v>500</v>
      </c>
      <c r="H176" s="207">
        <f>G21*H175</f>
        <v>33644.444444444438</v>
      </c>
    </row>
    <row r="177" spans="2:8">
      <c r="B177" s="124" t="s">
        <v>409</v>
      </c>
      <c r="H177" s="163">
        <f>H174-H176</f>
        <v>120455.11781742689</v>
      </c>
    </row>
    <row r="178" spans="2:8" ht="13.5" thickBot="1">
      <c r="B178" s="168" t="s">
        <v>503</v>
      </c>
      <c r="C178" s="68">
        <f t="shared" ref="C178:H178" si="5">C171+C177</f>
        <v>-59000</v>
      </c>
      <c r="D178" s="68">
        <f t="shared" si="5"/>
        <v>4373.2531171687642</v>
      </c>
      <c r="E178" s="68">
        <f t="shared" si="5"/>
        <v>4837.4724038158238</v>
      </c>
      <c r="F178" s="68">
        <f t="shared" si="5"/>
        <v>5312.1368560335077</v>
      </c>
      <c r="G178" s="68">
        <f t="shared" si="5"/>
        <v>5797.1182984766156</v>
      </c>
      <c r="H178" s="382">
        <f t="shared" si="5"/>
        <v>127419.34653087135</v>
      </c>
    </row>
    <row r="179" spans="2:8" ht="14" thickTop="1" thickBot="1">
      <c r="B179" s="168"/>
      <c r="C179" s="1"/>
      <c r="D179" s="1"/>
      <c r="E179" s="1"/>
      <c r="F179" s="1"/>
      <c r="G179" s="1"/>
      <c r="H179" s="192"/>
    </row>
    <row r="180" spans="2:8" ht="13.5" thickBot="1">
      <c r="B180" s="168" t="s">
        <v>504</v>
      </c>
      <c r="C180" s="1"/>
      <c r="D180" s="155">
        <f>IRR(C178:H178)</f>
        <v>0.2224166845919664</v>
      </c>
      <c r="E180" s="1"/>
      <c r="F180" s="1"/>
      <c r="G180" s="1"/>
      <c r="H180" s="192"/>
    </row>
    <row r="181" spans="2:8" ht="13" thickBot="1">
      <c r="B181" s="124"/>
      <c r="H181" s="126"/>
    </row>
    <row r="182" spans="2:8" ht="13.5" thickBot="1">
      <c r="B182" s="1547" t="s">
        <v>497</v>
      </c>
      <c r="C182" s="1584"/>
      <c r="D182" s="1584"/>
      <c r="E182" s="1584"/>
      <c r="F182" s="1584"/>
      <c r="G182" s="1584"/>
      <c r="H182" s="1585"/>
    </row>
    <row r="183" spans="2:8" ht="13.5" thickBot="1">
      <c r="B183" s="243" t="s">
        <v>499</v>
      </c>
      <c r="H183" s="126"/>
    </row>
    <row r="184" spans="2:8">
      <c r="B184" s="124" t="s">
        <v>408</v>
      </c>
      <c r="C184" s="24">
        <f>-I26</f>
        <v>-1121000</v>
      </c>
      <c r="D184" s="24">
        <f>C56</f>
        <v>79766.093368411268</v>
      </c>
      <c r="E184" s="24">
        <f>D56</f>
        <v>92965.155868411268</v>
      </c>
      <c r="F184" s="24">
        <f>E56</f>
        <v>106560.19024341126</v>
      </c>
      <c r="G184" s="24">
        <f>F56</f>
        <v>120563.07564966127</v>
      </c>
      <c r="H184" s="163">
        <f>G56</f>
        <v>134986.04761809879</v>
      </c>
    </row>
    <row r="185" spans="2:8">
      <c r="B185" s="124" t="s">
        <v>441</v>
      </c>
      <c r="D185" s="24">
        <f>C69</f>
        <v>-11877.556634983059</v>
      </c>
      <c r="E185" s="24">
        <f>D69</f>
        <v>3761.357842537936</v>
      </c>
      <c r="F185" s="24">
        <f>E69</f>
        <v>20105.678495623717</v>
      </c>
      <c r="G185" s="24">
        <f>F69</f>
        <v>37206.528495020008</v>
      </c>
      <c r="H185" s="163">
        <f>G69</f>
        <v>9520.3645094780459</v>
      </c>
    </row>
    <row r="186" spans="2:8" ht="13" thickBot="1">
      <c r="B186" s="124" t="s">
        <v>500</v>
      </c>
      <c r="C186" s="4"/>
      <c r="D186" s="31">
        <f>D185*$G$22</f>
        <v>-3325.7158577952569</v>
      </c>
      <c r="E186" s="31">
        <f>E185*$G$22</f>
        <v>1053.1801959106222</v>
      </c>
      <c r="F186" s="31">
        <f>F185*$G$22</f>
        <v>5629.5899787746412</v>
      </c>
      <c r="G186" s="31">
        <f>G185*$G$22</f>
        <v>10417.827978605603</v>
      </c>
      <c r="H186" s="207">
        <f>H185*$G$22</f>
        <v>2665.7020626538533</v>
      </c>
    </row>
    <row r="187" spans="2:8">
      <c r="B187" s="124" t="s">
        <v>409</v>
      </c>
      <c r="C187" s="24">
        <f t="shared" ref="C187:H187" si="6">C184-C186</f>
        <v>-1121000</v>
      </c>
      <c r="D187" s="24">
        <f t="shared" si="6"/>
        <v>83091.809226206518</v>
      </c>
      <c r="E187" s="24">
        <f t="shared" si="6"/>
        <v>91911.975672500645</v>
      </c>
      <c r="F187" s="24">
        <f t="shared" si="6"/>
        <v>100930.60026463661</v>
      </c>
      <c r="G187" s="24">
        <f t="shared" si="6"/>
        <v>110145.24767105567</v>
      </c>
      <c r="H187" s="163">
        <f t="shared" si="6"/>
        <v>132320.34555544495</v>
      </c>
    </row>
    <row r="188" spans="2:8" ht="13" thickBot="1">
      <c r="B188" s="124"/>
      <c r="H188" s="126"/>
    </row>
    <row r="189" spans="2:8" ht="13.5" thickBot="1">
      <c r="B189" s="243" t="s">
        <v>501</v>
      </c>
      <c r="H189" s="126"/>
    </row>
    <row r="190" spans="2:8">
      <c r="B190" s="124" t="s">
        <v>408</v>
      </c>
      <c r="H190" s="381">
        <f>H93</f>
        <v>1726304.3813882538</v>
      </c>
    </row>
    <row r="191" spans="2:8">
      <c r="B191" s="124" t="s">
        <v>502</v>
      </c>
      <c r="H191" s="163">
        <f>E81</f>
        <v>1081428.5714285711</v>
      </c>
    </row>
    <row r="192" spans="2:8" ht="13" thickBot="1">
      <c r="B192" s="124" t="s">
        <v>500</v>
      </c>
      <c r="H192" s="439">
        <f>H191*G22</f>
        <v>302799.99999999994</v>
      </c>
    </row>
    <row r="193" spans="2:8">
      <c r="B193" s="124" t="s">
        <v>409</v>
      </c>
      <c r="H193" s="163">
        <f>H190-H192</f>
        <v>1423504.3813882538</v>
      </c>
    </row>
    <row r="194" spans="2:8" ht="13.5" thickBot="1">
      <c r="B194" s="168" t="s">
        <v>503</v>
      </c>
      <c r="C194" s="32">
        <f t="shared" ref="C194:H194" si="7">C187+C193</f>
        <v>-1121000</v>
      </c>
      <c r="D194" s="32">
        <f t="shared" si="7"/>
        <v>83091.809226206518</v>
      </c>
      <c r="E194" s="32">
        <f t="shared" si="7"/>
        <v>91911.975672500645</v>
      </c>
      <c r="F194" s="32">
        <f t="shared" si="7"/>
        <v>100930.60026463661</v>
      </c>
      <c r="G194" s="32">
        <f t="shared" si="7"/>
        <v>110145.24767105567</v>
      </c>
      <c r="H194" s="383">
        <f t="shared" si="7"/>
        <v>1555824.7269436987</v>
      </c>
    </row>
    <row r="195" spans="2:8" ht="14" thickTop="1" thickBot="1">
      <c r="B195" s="168"/>
      <c r="H195" s="126"/>
    </row>
    <row r="196" spans="2:8" ht="13.5" thickBot="1">
      <c r="B196" s="168" t="s">
        <v>504</v>
      </c>
      <c r="D196" s="155">
        <f>IRR(C194:H194)</f>
        <v>0.13148856962444144</v>
      </c>
      <c r="H196" s="126"/>
    </row>
    <row r="197" spans="2:8" ht="13" thickBot="1">
      <c r="B197" s="134"/>
      <c r="C197" s="4"/>
      <c r="D197" s="4"/>
      <c r="E197" s="4"/>
      <c r="F197" s="4"/>
      <c r="G197" s="4"/>
      <c r="H197" s="135"/>
    </row>
  </sheetData>
  <mergeCells count="33">
    <mergeCell ref="B2:I2"/>
    <mergeCell ref="B3:I3"/>
    <mergeCell ref="B4:I4"/>
    <mergeCell ref="B6:H6"/>
    <mergeCell ref="B86:H86"/>
    <mergeCell ref="B5:I5"/>
    <mergeCell ref="E25:F25"/>
    <mergeCell ref="H25:I25"/>
    <mergeCell ref="B45:G45"/>
    <mergeCell ref="B60:G60"/>
    <mergeCell ref="B25:C25"/>
    <mergeCell ref="B31:G31"/>
    <mergeCell ref="B39:G39"/>
    <mergeCell ref="B72:G72"/>
    <mergeCell ref="B84:H84"/>
    <mergeCell ref="B59:G59"/>
    <mergeCell ref="K84:P84"/>
    <mergeCell ref="B83:H83"/>
    <mergeCell ref="K66:P66"/>
    <mergeCell ref="K69:P69"/>
    <mergeCell ref="K78:P78"/>
    <mergeCell ref="B95:H95"/>
    <mergeCell ref="K91:P91"/>
    <mergeCell ref="B182:H182"/>
    <mergeCell ref="B166:H166"/>
    <mergeCell ref="B119:H119"/>
    <mergeCell ref="B109:H109"/>
    <mergeCell ref="B110:H110"/>
    <mergeCell ref="K108:P108"/>
    <mergeCell ref="B163:H163"/>
    <mergeCell ref="B162:H162"/>
    <mergeCell ref="B164:H164"/>
    <mergeCell ref="K102:P102"/>
  </mergeCells>
  <phoneticPr fontId="0" type="noConversion"/>
  <pageMargins left="0.75" right="0.75" top="1" bottom="1" header="0.5" footer="0.5"/>
  <pageSetup orientation="portrait" r:id="rId1"/>
  <headerFooter alignWithMargins="0"/>
  <ignoredErrors>
    <ignoredError sqref="C50:G52" formula="1"/>
  </ignoredErrors>
  <drawing r:id="rId2"/>
  <legacyDrawing r:id="rId3"/>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3"/>
  <dimension ref="B1:I45"/>
  <sheetViews>
    <sheetView topLeftCell="A4" zoomScaleNormal="100" workbookViewId="0">
      <selection activeCell="E37" sqref="E37"/>
    </sheetView>
  </sheetViews>
  <sheetFormatPr defaultRowHeight="12.5"/>
  <cols>
    <col min="3" max="3" width="11.7265625" customWidth="1"/>
    <col min="4" max="4" width="13.453125" customWidth="1"/>
    <col min="5" max="5" width="16" customWidth="1"/>
    <col min="6" max="6" width="14.1796875" customWidth="1"/>
    <col min="7" max="7" width="13" customWidth="1"/>
    <col min="8" max="8" width="12.81640625" customWidth="1"/>
    <col min="9" max="9" width="11.54296875" customWidth="1"/>
  </cols>
  <sheetData>
    <row r="1" spans="2:9" ht="13" thickBot="1"/>
    <row r="2" spans="2:9" ht="18.5" thickBot="1">
      <c r="B2" s="1525" t="s">
        <v>1011</v>
      </c>
      <c r="C2" s="1657"/>
      <c r="D2" s="1657"/>
      <c r="E2" s="1657"/>
      <c r="F2" s="1657"/>
      <c r="G2" s="1657"/>
      <c r="H2" s="1657"/>
      <c r="I2" s="1658"/>
    </row>
    <row r="3" spans="2:9" ht="16" thickBot="1">
      <c r="B3" s="1528" t="s">
        <v>1548</v>
      </c>
      <c r="C3" s="1702"/>
      <c r="D3" s="1702"/>
      <c r="E3" s="1702"/>
      <c r="F3" s="1702"/>
      <c r="G3" s="1702"/>
      <c r="H3" s="1702"/>
      <c r="I3" s="1703"/>
    </row>
    <row r="4" spans="2:9">
      <c r="B4" s="356"/>
      <c r="C4" s="357"/>
      <c r="D4" s="333"/>
      <c r="E4" s="333"/>
      <c r="F4" s="333"/>
      <c r="G4" s="333"/>
      <c r="H4" s="333"/>
      <c r="I4" s="339"/>
    </row>
    <row r="5" spans="2:9" ht="13" thickBot="1">
      <c r="B5" s="356"/>
      <c r="C5" s="357"/>
      <c r="D5" s="333"/>
      <c r="E5" s="333"/>
      <c r="F5" s="333"/>
      <c r="G5" s="333"/>
      <c r="H5" s="333"/>
      <c r="I5" s="339"/>
    </row>
    <row r="6" spans="2:9" ht="13.5" thickBot="1">
      <c r="B6" s="1743" t="s">
        <v>207</v>
      </c>
      <c r="C6" s="1744"/>
      <c r="D6" s="1744"/>
      <c r="E6" s="1744"/>
      <c r="F6" s="1745"/>
      <c r="G6" s="333"/>
      <c r="H6" s="333"/>
      <c r="I6" s="339"/>
    </row>
    <row r="7" spans="2:9">
      <c r="B7" s="332" t="s">
        <v>844</v>
      </c>
      <c r="C7" s="333"/>
      <c r="D7" s="333"/>
      <c r="E7" s="333"/>
      <c r="F7" s="351">
        <v>1000000</v>
      </c>
      <c r="G7" s="333"/>
      <c r="H7" s="333"/>
      <c r="I7" s="345"/>
    </row>
    <row r="8" spans="2:9">
      <c r="B8" s="332" t="s">
        <v>1549</v>
      </c>
      <c r="C8" s="333"/>
      <c r="D8" s="333"/>
      <c r="E8" s="333"/>
      <c r="F8" s="352">
        <v>0.1</v>
      </c>
      <c r="G8" s="333"/>
      <c r="H8" s="333"/>
      <c r="I8" s="345"/>
    </row>
    <row r="9" spans="2:9">
      <c r="B9" s="332" t="s">
        <v>1436</v>
      </c>
      <c r="C9" s="333"/>
      <c r="D9" s="333"/>
      <c r="E9" s="333"/>
      <c r="F9" s="352">
        <v>0.1</v>
      </c>
      <c r="G9" s="333"/>
      <c r="H9" s="333"/>
      <c r="I9" s="345"/>
    </row>
    <row r="10" spans="2:9">
      <c r="B10" s="332" t="s">
        <v>846</v>
      </c>
      <c r="C10" s="333"/>
      <c r="D10" s="333"/>
      <c r="E10" s="333"/>
      <c r="F10" s="353">
        <v>5.0000000000000001E-3</v>
      </c>
      <c r="G10" s="333"/>
      <c r="H10" s="333"/>
      <c r="I10" s="345"/>
    </row>
    <row r="11" spans="2:9">
      <c r="B11" s="332" t="s">
        <v>1437</v>
      </c>
      <c r="C11" s="333"/>
      <c r="D11" s="333"/>
      <c r="E11" s="333"/>
      <c r="F11" s="352">
        <f>+F9-F10</f>
        <v>9.5000000000000001E-2</v>
      </c>
      <c r="G11" s="333"/>
      <c r="H11" s="333"/>
      <c r="I11" s="345"/>
    </row>
    <row r="12" spans="2:9" ht="13" thickBot="1">
      <c r="B12" s="839" t="s">
        <v>1289</v>
      </c>
      <c r="C12" s="334"/>
      <c r="D12" s="334"/>
      <c r="E12" s="334"/>
      <c r="F12" s="354">
        <v>9.5000000000000001E-2</v>
      </c>
      <c r="G12" s="333"/>
      <c r="H12" s="333"/>
      <c r="I12" s="345"/>
    </row>
    <row r="13" spans="2:9" ht="13" thickBot="1">
      <c r="B13" s="358"/>
      <c r="C13" s="333"/>
      <c r="D13" s="333"/>
      <c r="E13" s="333"/>
      <c r="F13" s="333"/>
      <c r="G13" s="333"/>
      <c r="H13" s="333"/>
      <c r="I13" s="339"/>
    </row>
    <row r="14" spans="2:9" ht="13.5" thickBot="1">
      <c r="B14" s="1746" t="s">
        <v>847</v>
      </c>
      <c r="C14" s="1538"/>
      <c r="D14" s="1538"/>
      <c r="E14" s="1538"/>
      <c r="F14" s="1538"/>
      <c r="G14" s="1538"/>
      <c r="H14" s="1538"/>
      <c r="I14" s="1539"/>
    </row>
    <row r="15" spans="2:9" ht="13" thickBot="1">
      <c r="B15" s="332"/>
      <c r="C15" s="333"/>
      <c r="D15" s="333"/>
      <c r="E15" s="333"/>
      <c r="F15" s="333"/>
      <c r="G15" s="333"/>
      <c r="H15" s="333"/>
      <c r="I15" s="339"/>
    </row>
    <row r="16" spans="2:9" ht="13.5" thickBot="1">
      <c r="B16" s="335"/>
      <c r="C16" s="335" t="s">
        <v>848</v>
      </c>
      <c r="D16" s="335" t="s">
        <v>849</v>
      </c>
      <c r="E16" s="335" t="s">
        <v>850</v>
      </c>
      <c r="F16" s="335" t="s">
        <v>851</v>
      </c>
      <c r="G16" s="335" t="s">
        <v>852</v>
      </c>
      <c r="H16" s="335" t="s">
        <v>853</v>
      </c>
      <c r="I16" s="335" t="s">
        <v>854</v>
      </c>
    </row>
    <row r="17" spans="2:9" ht="13">
      <c r="B17" s="336"/>
      <c r="C17" s="336"/>
      <c r="D17" s="336"/>
      <c r="E17" s="840"/>
      <c r="F17" s="840" t="s">
        <v>1546</v>
      </c>
      <c r="G17" s="840" t="s">
        <v>855</v>
      </c>
      <c r="H17" s="840" t="s">
        <v>292</v>
      </c>
      <c r="I17" s="938"/>
    </row>
    <row r="18" spans="2:9" ht="13">
      <c r="B18" s="337"/>
      <c r="C18" s="337"/>
      <c r="D18" s="841" t="s">
        <v>387</v>
      </c>
      <c r="E18" s="841" t="s">
        <v>1544</v>
      </c>
      <c r="F18" s="841" t="s">
        <v>1547</v>
      </c>
      <c r="G18" s="841" t="s">
        <v>856</v>
      </c>
      <c r="H18" s="841" t="s">
        <v>796</v>
      </c>
      <c r="I18" s="939"/>
    </row>
    <row r="19" spans="2:9" ht="13">
      <c r="B19" s="337"/>
      <c r="C19" s="841" t="s">
        <v>857</v>
      </c>
      <c r="D19" s="841" t="s">
        <v>858</v>
      </c>
      <c r="E19" s="841" t="s">
        <v>1545</v>
      </c>
      <c r="F19" s="841" t="s">
        <v>859</v>
      </c>
      <c r="G19" s="841" t="s">
        <v>860</v>
      </c>
      <c r="H19" s="841" t="s">
        <v>861</v>
      </c>
      <c r="I19" s="939"/>
    </row>
    <row r="20" spans="2:9" ht="13.5" thickBot="1">
      <c r="B20" s="338" t="s">
        <v>262</v>
      </c>
      <c r="C20" s="842" t="s">
        <v>215</v>
      </c>
      <c r="D20" s="842" t="s">
        <v>862</v>
      </c>
      <c r="E20" s="842" t="s">
        <v>863</v>
      </c>
      <c r="F20" s="842" t="s">
        <v>864</v>
      </c>
      <c r="G20" s="842" t="s">
        <v>865</v>
      </c>
      <c r="H20" s="842" t="s">
        <v>866</v>
      </c>
      <c r="I20" s="940"/>
    </row>
    <row r="21" spans="2:9">
      <c r="B21" s="332">
        <v>0</v>
      </c>
      <c r="C21" s="340">
        <f>F7</f>
        <v>1000000</v>
      </c>
      <c r="D21" s="333"/>
      <c r="E21" s="333"/>
      <c r="F21" s="333"/>
      <c r="G21" s="333"/>
      <c r="H21" s="340">
        <f>-C21</f>
        <v>-1000000</v>
      </c>
      <c r="I21" s="1053"/>
    </row>
    <row r="22" spans="2:9">
      <c r="B22" s="332">
        <v>1</v>
      </c>
      <c r="C22" s="341">
        <f>C21-F22+(C21*$F$9)</f>
        <v>837254.60511748842</v>
      </c>
      <c r="D22" s="341">
        <f t="shared" ref="D22:D30" si="0">C21*$F$8</f>
        <v>100000</v>
      </c>
      <c r="E22" s="341">
        <f t="shared" ref="E22:E31" si="1">PMT($F$9,10-B21,-C21)</f>
        <v>162745.39488251161</v>
      </c>
      <c r="F22" s="341">
        <f t="shared" ref="F22:F31" si="2">D22+E22</f>
        <v>262745.39488251158</v>
      </c>
      <c r="G22" s="341">
        <f t="shared" ref="G22:G31" si="3">C21*$F$10</f>
        <v>5000</v>
      </c>
      <c r="H22" s="341">
        <f t="shared" ref="H22:H31" si="4">F22-G22</f>
        <v>257745.39488251158</v>
      </c>
      <c r="I22" s="1054"/>
    </row>
    <row r="23" spans="2:9">
      <c r="B23" s="332">
        <v>2</v>
      </c>
      <c r="C23" s="341">
        <f t="shared" ref="C23:C30" si="5">C22-F23+(C22*$F$9)</f>
        <v>691873.26414241106</v>
      </c>
      <c r="D23" s="341">
        <f t="shared" si="0"/>
        <v>83725.460511748854</v>
      </c>
      <c r="E23" s="341">
        <f t="shared" si="1"/>
        <v>145381.34097507727</v>
      </c>
      <c r="F23" s="341">
        <f t="shared" si="2"/>
        <v>229106.80148682612</v>
      </c>
      <c r="G23" s="341">
        <f t="shared" si="3"/>
        <v>4186.2730255874421</v>
      </c>
      <c r="H23" s="341">
        <f t="shared" si="4"/>
        <v>224920.52846123869</v>
      </c>
      <c r="I23" s="1054"/>
    </row>
    <row r="24" spans="2:9">
      <c r="B24" s="332">
        <v>3</v>
      </c>
      <c r="C24" s="341">
        <f t="shared" si="5"/>
        <v>562185.75985895738</v>
      </c>
      <c r="D24" s="341">
        <f t="shared" si="0"/>
        <v>69187.326414241106</v>
      </c>
      <c r="E24" s="341">
        <f>PMT($F$9,10-B23,-C23)</f>
        <v>129687.50428345367</v>
      </c>
      <c r="F24" s="341">
        <f t="shared" si="2"/>
        <v>198874.83069769479</v>
      </c>
      <c r="G24" s="341">
        <f t="shared" si="3"/>
        <v>3459.3663207120553</v>
      </c>
      <c r="H24" s="341">
        <f t="shared" si="4"/>
        <v>195415.46437698274</v>
      </c>
      <c r="I24" s="1054"/>
    </row>
    <row r="25" spans="2:9">
      <c r="B25" s="332">
        <v>4</v>
      </c>
      <c r="C25" s="341">
        <f t="shared" si="5"/>
        <v>446709.71293056913</v>
      </c>
      <c r="D25" s="341">
        <f t="shared" si="0"/>
        <v>56218.575985895739</v>
      </c>
      <c r="E25" s="341">
        <f t="shared" si="1"/>
        <v>115476.04692838824</v>
      </c>
      <c r="F25" s="341">
        <f t="shared" si="2"/>
        <v>171694.62291428397</v>
      </c>
      <c r="G25" s="341">
        <f t="shared" si="3"/>
        <v>2810.928799294787</v>
      </c>
      <c r="H25" s="341">
        <f t="shared" si="4"/>
        <v>168883.69411498919</v>
      </c>
      <c r="I25" s="1054"/>
    </row>
    <row r="26" spans="2:9">
      <c r="B26" s="332">
        <v>5</v>
      </c>
      <c r="C26" s="341">
        <f t="shared" si="5"/>
        <v>344141.86596202198</v>
      </c>
      <c r="D26" s="341">
        <f t="shared" si="0"/>
        <v>44670.971293056915</v>
      </c>
      <c r="E26" s="341">
        <f t="shared" si="1"/>
        <v>102567.84696854715</v>
      </c>
      <c r="F26" s="341">
        <f t="shared" si="2"/>
        <v>147238.81826160406</v>
      </c>
      <c r="G26" s="341">
        <f t="shared" si="3"/>
        <v>2233.5485646528459</v>
      </c>
      <c r="H26" s="341">
        <f t="shared" si="4"/>
        <v>145005.2696969512</v>
      </c>
      <c r="I26" s="1054"/>
    </row>
    <row r="27" spans="2:9">
      <c r="B27" s="332">
        <v>6</v>
      </c>
      <c r="C27" s="341">
        <f t="shared" si="5"/>
        <v>253358.10868523765</v>
      </c>
      <c r="D27" s="341">
        <f t="shared" si="0"/>
        <v>34414.186596202198</v>
      </c>
      <c r="E27" s="341">
        <f t="shared" si="1"/>
        <v>90783.757276784338</v>
      </c>
      <c r="F27" s="341">
        <f t="shared" si="2"/>
        <v>125197.94387298654</v>
      </c>
      <c r="G27" s="341">
        <f t="shared" si="3"/>
        <v>1720.7093298101099</v>
      </c>
      <c r="H27" s="341">
        <f t="shared" si="4"/>
        <v>123477.23454317643</v>
      </c>
      <c r="I27" s="1054"/>
    </row>
    <row r="28" spans="2:9">
      <c r="B28" s="332">
        <v>7</v>
      </c>
      <c r="C28" s="341">
        <f t="shared" si="5"/>
        <v>173431.02251284884</v>
      </c>
      <c r="D28" s="341">
        <f t="shared" si="0"/>
        <v>25335.810868523768</v>
      </c>
      <c r="E28" s="341">
        <f t="shared" si="1"/>
        <v>79927.086172388808</v>
      </c>
      <c r="F28" s="341">
        <f t="shared" si="2"/>
        <v>105262.89704091258</v>
      </c>
      <c r="G28" s="341">
        <f t="shared" si="3"/>
        <v>1266.7905434261882</v>
      </c>
      <c r="H28" s="341">
        <f t="shared" si="4"/>
        <v>103996.10649748638</v>
      </c>
      <c r="I28" s="1054"/>
    </row>
    <row r="29" spans="2:9">
      <c r="B29" s="332">
        <v>8</v>
      </c>
      <c r="C29" s="341">
        <f t="shared" si="5"/>
        <v>103691.84095254616</v>
      </c>
      <c r="D29" s="341">
        <f t="shared" si="0"/>
        <v>17343.102251284883</v>
      </c>
      <c r="E29" s="341">
        <f t="shared" si="1"/>
        <v>69739.181560302677</v>
      </c>
      <c r="F29" s="341">
        <f t="shared" si="2"/>
        <v>87082.283811587564</v>
      </c>
      <c r="G29" s="341">
        <f t="shared" si="3"/>
        <v>867.15511256424418</v>
      </c>
      <c r="H29" s="341">
        <f t="shared" si="4"/>
        <v>86215.12869902332</v>
      </c>
      <c r="I29" s="1054"/>
    </row>
    <row r="30" spans="2:9">
      <c r="B30" s="332">
        <v>9</v>
      </c>
      <c r="C30" s="341">
        <f t="shared" si="5"/>
        <v>43945.589737031463</v>
      </c>
      <c r="D30" s="341">
        <f t="shared" si="0"/>
        <v>10369.184095254617</v>
      </c>
      <c r="E30" s="341">
        <f t="shared" si="1"/>
        <v>59746.251215514705</v>
      </c>
      <c r="F30" s="341">
        <f t="shared" si="2"/>
        <v>70115.435310769317</v>
      </c>
      <c r="G30" s="341">
        <f t="shared" si="3"/>
        <v>518.45920476273079</v>
      </c>
      <c r="H30" s="341">
        <f t="shared" si="4"/>
        <v>69596.976106006579</v>
      </c>
      <c r="I30" s="1054"/>
    </row>
    <row r="31" spans="2:9">
      <c r="B31" s="332">
        <v>10</v>
      </c>
      <c r="C31" s="341">
        <v>0</v>
      </c>
      <c r="D31" s="341">
        <v>0</v>
      </c>
      <c r="E31" s="341">
        <f t="shared" si="1"/>
        <v>48340.148710734618</v>
      </c>
      <c r="F31" s="341">
        <f t="shared" si="2"/>
        <v>48340.148710734618</v>
      </c>
      <c r="G31" s="341">
        <f t="shared" si="3"/>
        <v>219.72794868515732</v>
      </c>
      <c r="H31" s="341">
        <f t="shared" si="4"/>
        <v>48120.420762049464</v>
      </c>
      <c r="I31" s="1054"/>
    </row>
    <row r="32" spans="2:9" ht="13.5" thickBot="1">
      <c r="B32" s="332"/>
      <c r="C32" s="342"/>
      <c r="D32" s="342"/>
      <c r="E32" s="342"/>
      <c r="F32" s="342"/>
      <c r="G32" s="1059" t="s">
        <v>1435</v>
      </c>
      <c r="H32" s="1052">
        <f>IRR(H21:H31)</f>
        <v>9.4999999999999973E-2</v>
      </c>
      <c r="I32" s="1055"/>
    </row>
    <row r="33" spans="2:9" ht="13.5" thickBot="1">
      <c r="B33" s="332"/>
      <c r="C33" s="342"/>
      <c r="D33" s="342"/>
      <c r="E33" s="342"/>
      <c r="F33" s="342"/>
      <c r="G33" s="1056"/>
      <c r="H33" s="1057"/>
      <c r="I33" s="1058"/>
    </row>
    <row r="34" spans="2:9" ht="13.5" thickBot="1">
      <c r="B34" s="343"/>
      <c r="C34" s="112"/>
      <c r="D34" s="349" t="s">
        <v>867</v>
      </c>
      <c r="E34" s="1081" t="s">
        <v>1465</v>
      </c>
      <c r="F34" s="941"/>
      <c r="G34" s="1081" t="s">
        <v>1367</v>
      </c>
      <c r="H34" s="333"/>
      <c r="I34" s="339"/>
    </row>
    <row r="35" spans="2:9" ht="13.5" thickBot="1">
      <c r="B35" s="343"/>
      <c r="C35" s="112"/>
      <c r="D35" s="350">
        <f>F12</f>
        <v>9.5000000000000001E-2</v>
      </c>
      <c r="E35" s="355">
        <f>NPV(D35,$H$22:$H$31)</f>
        <v>1000000</v>
      </c>
      <c r="F35" s="1060"/>
      <c r="G35" s="804">
        <f>100*(E35/$F$7)</f>
        <v>100</v>
      </c>
      <c r="H35" s="333"/>
      <c r="I35" s="339"/>
    </row>
    <row r="36" spans="2:9" ht="13.5" thickBot="1">
      <c r="B36" s="343"/>
      <c r="C36" s="112"/>
      <c r="D36" s="350">
        <f>D35-0.01</f>
        <v>8.5000000000000006E-2</v>
      </c>
      <c r="E36" s="355">
        <f>NPV(D36,$H$22:$H$31)</f>
        <v>1033908.4862995055</v>
      </c>
      <c r="F36" s="1060"/>
      <c r="G36" s="804">
        <f>100*(E36/$F$7)</f>
        <v>103.39084862995054</v>
      </c>
      <c r="H36" s="112"/>
      <c r="I36" s="345"/>
    </row>
    <row r="37" spans="2:9" ht="13.5" thickBot="1">
      <c r="B37" s="343"/>
      <c r="C37" s="112"/>
      <c r="D37" s="843">
        <f>D35+0.01</f>
        <v>0.105</v>
      </c>
      <c r="E37" s="355">
        <f>NPV(D37,$H$22:$H$31)</f>
        <v>967968.76862572308</v>
      </c>
      <c r="F37" s="1060"/>
      <c r="G37" s="804">
        <f>100*(E37/$F$7)</f>
        <v>96.796876862572319</v>
      </c>
      <c r="H37" s="112"/>
      <c r="I37" s="345"/>
    </row>
    <row r="38" spans="2:9">
      <c r="B38" s="343"/>
      <c r="C38" s="112"/>
      <c r="D38" s="344"/>
      <c r="E38" s="112"/>
      <c r="F38" s="112"/>
      <c r="G38" s="112"/>
      <c r="H38" s="112"/>
      <c r="I38" s="345"/>
    </row>
    <row r="39" spans="2:9" ht="13" thickBot="1">
      <c r="B39" s="346"/>
      <c r="C39" s="347"/>
      <c r="D39" s="347"/>
      <c r="E39" s="347"/>
      <c r="F39" s="347"/>
      <c r="G39" s="347"/>
      <c r="H39" s="347"/>
      <c r="I39" s="348"/>
    </row>
    <row r="40" spans="2:9">
      <c r="B40" s="112"/>
      <c r="C40" s="112"/>
      <c r="D40" s="112"/>
      <c r="E40" s="112"/>
      <c r="F40" s="112"/>
      <c r="G40" s="112"/>
      <c r="H40" s="112"/>
      <c r="I40" s="112"/>
    </row>
    <row r="41" spans="2:9">
      <c r="B41" s="758" t="s">
        <v>1293</v>
      </c>
    </row>
    <row r="42" spans="2:9">
      <c r="C42" t="s">
        <v>1290</v>
      </c>
    </row>
    <row r="43" spans="2:9">
      <c r="C43" t="s">
        <v>1291</v>
      </c>
    </row>
    <row r="44" spans="2:9">
      <c r="C44" t="s">
        <v>1292</v>
      </c>
    </row>
    <row r="45" spans="2:9">
      <c r="C45" s="39" t="s">
        <v>1294</v>
      </c>
    </row>
  </sheetData>
  <mergeCells count="4">
    <mergeCell ref="B6:F6"/>
    <mergeCell ref="B14:I14"/>
    <mergeCell ref="B2:I2"/>
    <mergeCell ref="B3:I3"/>
  </mergeCells>
  <phoneticPr fontId="0" type="noConversion"/>
  <pageMargins left="0.75" right="0.75" top="1" bottom="1" header="0.5" footer="0.5"/>
  <pageSetup orientation="portrait" r:id="rId1"/>
  <headerFooter alignWithMargins="0"/>
  <drawing r:id="rId2"/>
  <legacyDrawing r:id="rId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EBB901"/>
  </sheetPr>
  <dimension ref="B1:Q213"/>
  <sheetViews>
    <sheetView zoomScale="98" zoomScaleNormal="98" workbookViewId="0"/>
  </sheetViews>
  <sheetFormatPr defaultRowHeight="12.5"/>
  <cols>
    <col min="3" max="3" width="11.81640625" customWidth="1"/>
    <col min="4" max="4" width="12.54296875" customWidth="1"/>
    <col min="5" max="5" width="12" customWidth="1"/>
    <col min="6" max="6" width="15.453125" customWidth="1"/>
    <col min="7" max="7" width="12.54296875" customWidth="1"/>
    <col min="8" max="8" width="17.1796875" customWidth="1"/>
    <col min="10" max="10" width="11.453125" customWidth="1"/>
    <col min="13" max="13" width="16" customWidth="1"/>
    <col min="14" max="14" width="12" customWidth="1"/>
  </cols>
  <sheetData>
    <row r="1" spans="2:17" ht="13" thickBot="1"/>
    <row r="2" spans="2:17" ht="18.5" thickBot="1">
      <c r="B2" s="1525" t="s">
        <v>1757</v>
      </c>
      <c r="C2" s="1557"/>
      <c r="D2" s="1557"/>
      <c r="E2" s="1557"/>
      <c r="F2" s="1557"/>
      <c r="G2" s="1557"/>
      <c r="H2" s="1557"/>
      <c r="I2" s="1557"/>
      <c r="J2" s="1557"/>
    </row>
    <row r="3" spans="2:17" ht="16" thickBot="1">
      <c r="B3" s="1528" t="s">
        <v>1497</v>
      </c>
      <c r="C3" s="1540"/>
      <c r="D3" s="1540"/>
      <c r="E3" s="1540"/>
      <c r="F3" s="1540"/>
      <c r="G3" s="1540"/>
      <c r="H3" s="1540"/>
      <c r="I3" s="1540"/>
      <c r="J3" s="1540"/>
    </row>
    <row r="4" spans="2:17" ht="16" thickBot="1">
      <c r="B4" s="1528" t="s">
        <v>1440</v>
      </c>
      <c r="C4" s="1540"/>
      <c r="D4" s="1540"/>
      <c r="E4" s="1540"/>
      <c r="F4" s="1540"/>
      <c r="G4" s="1540"/>
      <c r="H4" s="1540"/>
      <c r="I4" s="1540"/>
      <c r="J4" s="1540"/>
    </row>
    <row r="5" spans="2:17" ht="18.5" thickBot="1">
      <c r="B5" s="326"/>
      <c r="C5" s="327"/>
      <c r="D5" s="327"/>
      <c r="E5" s="327"/>
      <c r="F5" s="327"/>
      <c r="G5" s="327"/>
      <c r="H5" s="39"/>
    </row>
    <row r="6" spans="2:17" ht="15.75" customHeight="1" thickBot="1">
      <c r="B6" s="326"/>
      <c r="C6" s="1747" t="s">
        <v>879</v>
      </c>
      <c r="D6" s="1748"/>
      <c r="E6" s="1748"/>
      <c r="F6" s="1748"/>
      <c r="G6" s="1747" t="s">
        <v>1452</v>
      </c>
      <c r="H6" s="1748"/>
      <c r="I6" s="1748"/>
    </row>
    <row r="7" spans="2:17">
      <c r="B7" s="171"/>
      <c r="C7" s="230"/>
      <c r="D7" s="122"/>
      <c r="E7" s="122"/>
      <c r="F7" s="123"/>
      <c r="G7" s="1341" t="s">
        <v>1447</v>
      </c>
      <c r="H7" s="1342">
        <v>27000</v>
      </c>
      <c r="I7" s="1129">
        <v>9.2499999999999999E-2</v>
      </c>
    </row>
    <row r="8" spans="2:17">
      <c r="B8" s="171"/>
      <c r="C8" s="171" t="s">
        <v>774</v>
      </c>
      <c r="D8" s="39"/>
      <c r="E8" s="150">
        <v>75000</v>
      </c>
      <c r="F8" s="146" t="s">
        <v>907</v>
      </c>
      <c r="G8" s="1343" t="s">
        <v>1448</v>
      </c>
      <c r="H8" s="1344">
        <v>15000</v>
      </c>
      <c r="I8" s="1130">
        <v>0.1</v>
      </c>
    </row>
    <row r="9" spans="2:17">
      <c r="B9" s="171"/>
      <c r="C9" s="171" t="s">
        <v>1446</v>
      </c>
      <c r="D9" s="39"/>
      <c r="E9" s="151">
        <v>0.11</v>
      </c>
      <c r="F9" s="146"/>
      <c r="G9" s="1345" t="s">
        <v>1450</v>
      </c>
      <c r="H9" s="1345">
        <v>0</v>
      </c>
      <c r="I9" s="1130">
        <v>0</v>
      </c>
    </row>
    <row r="10" spans="2:17">
      <c r="B10" s="171"/>
      <c r="C10" s="171" t="s">
        <v>690</v>
      </c>
      <c r="D10" s="39"/>
      <c r="E10" s="152">
        <v>10</v>
      </c>
      <c r="F10" s="146" t="s">
        <v>816</v>
      </c>
      <c r="G10" s="1343" t="s">
        <v>1449</v>
      </c>
      <c r="H10" s="1344">
        <v>30000</v>
      </c>
      <c r="I10" s="1131">
        <v>0.11</v>
      </c>
      <c r="K10" s="1062"/>
      <c r="L10" s="1062"/>
      <c r="M10" s="1062"/>
      <c r="N10" s="1062"/>
      <c r="O10" s="1062"/>
      <c r="P10" s="1062"/>
      <c r="Q10" s="1062"/>
    </row>
    <row r="11" spans="2:17" ht="13" thickBot="1">
      <c r="B11" s="171"/>
      <c r="C11" s="228"/>
      <c r="D11" s="63"/>
      <c r="E11" s="153"/>
      <c r="F11" s="149"/>
      <c r="G11" s="63" t="s">
        <v>291</v>
      </c>
      <c r="H11" s="1065">
        <v>3000</v>
      </c>
      <c r="I11" s="1132" t="s">
        <v>1451</v>
      </c>
      <c r="K11" s="1062"/>
      <c r="L11" s="1062"/>
      <c r="M11" s="1062"/>
      <c r="N11" s="1062"/>
      <c r="O11" s="1062"/>
      <c r="P11" s="1062"/>
      <c r="Q11" s="1062"/>
    </row>
    <row r="12" spans="2:17" ht="16" thickBot="1">
      <c r="B12" s="171"/>
      <c r="C12" s="39"/>
      <c r="D12" s="39"/>
      <c r="E12" s="39"/>
      <c r="F12" s="39"/>
      <c r="G12" s="39"/>
      <c r="H12" s="1173">
        <f>SUM(H7:H11)</f>
        <v>75000</v>
      </c>
      <c r="K12" s="1063"/>
      <c r="L12" s="1063"/>
      <c r="M12" s="1063"/>
      <c r="N12" s="1063"/>
      <c r="O12" s="1063"/>
      <c r="P12" s="1063"/>
      <c r="Q12" s="1063"/>
    </row>
    <row r="13" spans="2:17" ht="13.5" thickBot="1">
      <c r="B13" s="171" t="s">
        <v>628</v>
      </c>
      <c r="C13" s="39"/>
      <c r="D13" s="280">
        <f>PMT($E$9,$E$10,-E8)</f>
        <v>12735.107032311775</v>
      </c>
      <c r="E13" s="39"/>
      <c r="F13" s="39" t="s">
        <v>845</v>
      </c>
      <c r="G13" s="151">
        <v>0</v>
      </c>
      <c r="H13" s="39"/>
    </row>
    <row r="14" spans="2:17" ht="13" thickBot="1">
      <c r="B14" s="171"/>
      <c r="C14" s="39"/>
      <c r="D14" s="39"/>
      <c r="E14" s="39"/>
      <c r="F14" s="39"/>
      <c r="G14" s="39"/>
      <c r="H14" s="39"/>
    </row>
    <row r="15" spans="2:17" ht="13.5" thickBot="1">
      <c r="B15" s="1531" t="s">
        <v>1610</v>
      </c>
      <c r="C15" s="1532"/>
      <c r="D15" s="1532"/>
      <c r="E15" s="1532"/>
      <c r="F15" s="1532"/>
      <c r="G15" s="1532"/>
      <c r="H15" s="1533"/>
    </row>
    <row r="16" spans="2:17" ht="13" thickBot="1">
      <c r="B16" s="171"/>
      <c r="C16" s="39"/>
      <c r="D16" s="39"/>
      <c r="E16" s="39"/>
      <c r="F16" s="39"/>
      <c r="G16" s="39"/>
      <c r="H16" s="146"/>
    </row>
    <row r="17" spans="2:9" ht="13.5" thickBot="1">
      <c r="B17" s="157" t="s">
        <v>262</v>
      </c>
      <c r="C17" s="157" t="s">
        <v>885</v>
      </c>
      <c r="D17" s="157" t="s">
        <v>209</v>
      </c>
      <c r="E17" s="157" t="s">
        <v>210</v>
      </c>
      <c r="F17" s="157" t="s">
        <v>387</v>
      </c>
      <c r="G17" s="157" t="s">
        <v>886</v>
      </c>
      <c r="H17" s="157" t="s">
        <v>862</v>
      </c>
    </row>
    <row r="18" spans="2:9">
      <c r="B18" s="171"/>
      <c r="C18" s="39"/>
      <c r="D18" s="39"/>
      <c r="E18" s="39"/>
      <c r="F18" s="39"/>
      <c r="G18" s="39"/>
      <c r="H18" s="146"/>
    </row>
    <row r="19" spans="2:9">
      <c r="B19" s="171">
        <v>1</v>
      </c>
      <c r="C19" s="313">
        <f>E8</f>
        <v>75000</v>
      </c>
      <c r="D19" s="313">
        <f t="shared" ref="D19:D27" si="0">PMT($E$9,10-B19+1,-C19)</f>
        <v>12735.107032311775</v>
      </c>
      <c r="E19" s="315">
        <f t="shared" ref="E19:E28" si="1">$E$9*C19</f>
        <v>8250</v>
      </c>
      <c r="F19" s="313">
        <f t="shared" ref="F19:F27" si="2">D19-E19+$G$13*C19</f>
        <v>4485.1070323117747</v>
      </c>
      <c r="G19" s="313">
        <f t="shared" ref="G19:G28" si="3">C19-F19</f>
        <v>70514.892967688225</v>
      </c>
      <c r="H19" s="322">
        <f t="shared" ref="H19:H28" si="4">$G$13*C19</f>
        <v>0</v>
      </c>
      <c r="I19" s="11"/>
    </row>
    <row r="20" spans="2:9">
      <c r="B20" s="171">
        <f t="shared" ref="B20:B28" si="5">B19+1</f>
        <v>2</v>
      </c>
      <c r="C20" s="315">
        <f t="shared" ref="C20:C28" si="6">G19</f>
        <v>70514.892967688225</v>
      </c>
      <c r="D20" s="313">
        <f t="shared" si="0"/>
        <v>12735.107032311776</v>
      </c>
      <c r="E20" s="315">
        <f t="shared" si="1"/>
        <v>7756.6382264457052</v>
      </c>
      <c r="F20" s="313">
        <f t="shared" si="2"/>
        <v>4978.4688058660713</v>
      </c>
      <c r="G20" s="313">
        <f t="shared" si="3"/>
        <v>65536.424161822157</v>
      </c>
      <c r="H20" s="322">
        <f t="shared" si="4"/>
        <v>0</v>
      </c>
    </row>
    <row r="21" spans="2:9">
      <c r="B21" s="171">
        <f t="shared" si="5"/>
        <v>3</v>
      </c>
      <c r="C21" s="315">
        <f t="shared" si="6"/>
        <v>65536.424161822157</v>
      </c>
      <c r="D21" s="313">
        <f t="shared" si="0"/>
        <v>12735.107032311775</v>
      </c>
      <c r="E21" s="315">
        <f t="shared" si="1"/>
        <v>7209.0066578004371</v>
      </c>
      <c r="F21" s="313">
        <f t="shared" si="2"/>
        <v>5526.1003745113376</v>
      </c>
      <c r="G21" s="313">
        <f t="shared" si="3"/>
        <v>60010.323787310816</v>
      </c>
      <c r="H21" s="322">
        <f t="shared" si="4"/>
        <v>0</v>
      </c>
    </row>
    <row r="22" spans="2:9">
      <c r="B22" s="171">
        <f t="shared" si="5"/>
        <v>4</v>
      </c>
      <c r="C22" s="315">
        <f t="shared" si="6"/>
        <v>60010.323787310816</v>
      </c>
      <c r="D22" s="313">
        <f t="shared" si="0"/>
        <v>12735.107032311771</v>
      </c>
      <c r="E22" s="315">
        <f t="shared" si="1"/>
        <v>6601.1356166041896</v>
      </c>
      <c r="F22" s="313">
        <f t="shared" si="2"/>
        <v>6133.9714157075814</v>
      </c>
      <c r="G22" s="313">
        <f t="shared" si="3"/>
        <v>53876.352371603236</v>
      </c>
      <c r="H22" s="322">
        <f t="shared" si="4"/>
        <v>0</v>
      </c>
    </row>
    <row r="23" spans="2:9">
      <c r="B23" s="171">
        <f t="shared" si="5"/>
        <v>5</v>
      </c>
      <c r="C23" s="315">
        <f t="shared" si="6"/>
        <v>53876.352371603236</v>
      </c>
      <c r="D23" s="313">
        <f t="shared" si="0"/>
        <v>12735.107032311775</v>
      </c>
      <c r="E23" s="315">
        <f t="shared" si="1"/>
        <v>5926.3987608763564</v>
      </c>
      <c r="F23" s="313">
        <f t="shared" si="2"/>
        <v>6808.7082714354183</v>
      </c>
      <c r="G23" s="313">
        <f t="shared" si="3"/>
        <v>47067.644100167818</v>
      </c>
      <c r="H23" s="322">
        <f t="shared" si="4"/>
        <v>0</v>
      </c>
    </row>
    <row r="24" spans="2:9">
      <c r="B24" s="171">
        <f t="shared" si="5"/>
        <v>6</v>
      </c>
      <c r="C24" s="315">
        <f t="shared" si="6"/>
        <v>47067.644100167818</v>
      </c>
      <c r="D24" s="313">
        <f t="shared" si="0"/>
        <v>12735.107032311775</v>
      </c>
      <c r="E24" s="315">
        <f t="shared" si="1"/>
        <v>5177.4408510184603</v>
      </c>
      <c r="F24" s="313">
        <f t="shared" si="2"/>
        <v>7557.6661812933144</v>
      </c>
      <c r="G24" s="313">
        <f t="shared" si="3"/>
        <v>39509.977918874501</v>
      </c>
      <c r="H24" s="322">
        <f t="shared" si="4"/>
        <v>0</v>
      </c>
    </row>
    <row r="25" spans="2:9">
      <c r="B25" s="171">
        <f t="shared" si="5"/>
        <v>7</v>
      </c>
      <c r="C25" s="315">
        <f t="shared" si="6"/>
        <v>39509.977918874501</v>
      </c>
      <c r="D25" s="313">
        <f t="shared" si="0"/>
        <v>12735.107032311775</v>
      </c>
      <c r="E25" s="315">
        <f t="shared" si="1"/>
        <v>4346.097571076195</v>
      </c>
      <c r="F25" s="313">
        <f t="shared" si="2"/>
        <v>8389.0094612355788</v>
      </c>
      <c r="G25" s="313">
        <f t="shared" si="3"/>
        <v>31120.968457638923</v>
      </c>
      <c r="H25" s="322">
        <f t="shared" si="4"/>
        <v>0</v>
      </c>
    </row>
    <row r="26" spans="2:9">
      <c r="B26" s="171">
        <f t="shared" si="5"/>
        <v>8</v>
      </c>
      <c r="C26" s="315">
        <f t="shared" si="6"/>
        <v>31120.968457638923</v>
      </c>
      <c r="D26" s="313">
        <f t="shared" si="0"/>
        <v>12735.107032311775</v>
      </c>
      <c r="E26" s="315">
        <f t="shared" si="1"/>
        <v>3423.3065303402814</v>
      </c>
      <c r="F26" s="313">
        <f t="shared" si="2"/>
        <v>9311.8005019714928</v>
      </c>
      <c r="G26" s="313">
        <f t="shared" si="3"/>
        <v>21809.167955667428</v>
      </c>
      <c r="H26" s="322">
        <f t="shared" si="4"/>
        <v>0</v>
      </c>
    </row>
    <row r="27" spans="2:9">
      <c r="B27" s="171">
        <f t="shared" si="5"/>
        <v>9</v>
      </c>
      <c r="C27" s="315">
        <f t="shared" si="6"/>
        <v>21809.167955667428</v>
      </c>
      <c r="D27" s="313">
        <f t="shared" si="0"/>
        <v>12735.107032311771</v>
      </c>
      <c r="E27" s="315">
        <f t="shared" si="1"/>
        <v>2399.0084751234172</v>
      </c>
      <c r="F27" s="313">
        <f t="shared" si="2"/>
        <v>10336.098557188354</v>
      </c>
      <c r="G27" s="313">
        <f t="shared" si="3"/>
        <v>11473.069398479074</v>
      </c>
      <c r="H27" s="322">
        <f t="shared" si="4"/>
        <v>0</v>
      </c>
    </row>
    <row r="28" spans="2:9" ht="13" thickBot="1">
      <c r="B28" s="228">
        <f t="shared" si="5"/>
        <v>10</v>
      </c>
      <c r="C28" s="323">
        <f t="shared" si="6"/>
        <v>11473.069398479074</v>
      </c>
      <c r="D28" s="324">
        <f>C28+E28</f>
        <v>12735.107032311773</v>
      </c>
      <c r="E28" s="323">
        <f t="shared" si="1"/>
        <v>1262.0376338326982</v>
      </c>
      <c r="F28" s="324">
        <f>D28-E28</f>
        <v>11473.069398479074</v>
      </c>
      <c r="G28" s="324">
        <f t="shared" si="3"/>
        <v>0</v>
      </c>
      <c r="H28" s="325">
        <f t="shared" si="4"/>
        <v>0</v>
      </c>
    </row>
    <row r="29" spans="2:9">
      <c r="B29" s="171"/>
      <c r="C29" s="303"/>
      <c r="D29" s="39"/>
      <c r="E29" s="55"/>
      <c r="F29" s="303"/>
      <c r="G29" s="303"/>
      <c r="H29" s="303"/>
    </row>
    <row r="30" spans="2:9">
      <c r="B30" s="171"/>
      <c r="C30" s="39"/>
      <c r="D30" s="39"/>
      <c r="E30" s="39"/>
      <c r="F30" s="39"/>
      <c r="G30" s="39"/>
      <c r="H30" s="39"/>
    </row>
    <row r="31" spans="2:9" ht="13" thickBot="1">
      <c r="B31" s="171"/>
      <c r="C31" s="39"/>
      <c r="D31" s="39"/>
      <c r="E31" s="39"/>
      <c r="F31" s="39"/>
      <c r="G31" s="39"/>
      <c r="H31" s="39"/>
    </row>
    <row r="32" spans="2:9" ht="13.5" thickBot="1">
      <c r="B32" s="1547" t="s">
        <v>1250</v>
      </c>
      <c r="C32" s="1538"/>
      <c r="D32" s="1538"/>
      <c r="E32" s="1538"/>
      <c r="F32" s="1538"/>
      <c r="G32" s="1538"/>
      <c r="H32" s="1539"/>
    </row>
    <row r="33" spans="2:8">
      <c r="B33" s="171"/>
      <c r="C33" s="39"/>
      <c r="D33" s="39"/>
      <c r="E33" s="39"/>
      <c r="F33" s="39"/>
      <c r="G33" s="39"/>
      <c r="H33" s="146"/>
    </row>
    <row r="34" spans="2:8">
      <c r="B34" s="171"/>
      <c r="C34" s="39" t="s">
        <v>774</v>
      </c>
      <c r="D34" s="39"/>
      <c r="E34" s="1064">
        <f>H7</f>
        <v>27000</v>
      </c>
      <c r="F34" s="39"/>
      <c r="G34" s="39"/>
      <c r="H34" s="146"/>
    </row>
    <row r="35" spans="2:8">
      <c r="B35" s="171"/>
      <c r="C35" s="39" t="s">
        <v>822</v>
      </c>
      <c r="D35" s="39"/>
      <c r="E35" s="151">
        <f>I7</f>
        <v>9.2499999999999999E-2</v>
      </c>
      <c r="F35" s="39"/>
      <c r="G35" s="39"/>
      <c r="H35" s="146"/>
    </row>
    <row r="36" spans="2:8" ht="13" thickBot="1">
      <c r="B36" s="171"/>
      <c r="C36" s="39"/>
      <c r="D36" s="39"/>
      <c r="E36" s="39"/>
      <c r="F36" s="39"/>
      <c r="G36" s="39"/>
      <c r="H36" s="146"/>
    </row>
    <row r="37" spans="2:8" ht="13">
      <c r="B37" s="136"/>
      <c r="C37" s="136"/>
      <c r="D37" s="136"/>
      <c r="E37" s="136"/>
      <c r="F37" s="136"/>
      <c r="G37" s="197" t="s">
        <v>908</v>
      </c>
      <c r="H37" s="136"/>
    </row>
    <row r="38" spans="2:8" ht="13.5" thickBot="1">
      <c r="B38" s="198" t="s">
        <v>262</v>
      </c>
      <c r="C38" s="198" t="s">
        <v>885</v>
      </c>
      <c r="D38" s="198" t="s">
        <v>210</v>
      </c>
      <c r="E38" s="198" t="s">
        <v>387</v>
      </c>
      <c r="F38" s="198" t="s">
        <v>886</v>
      </c>
      <c r="G38" s="198" t="s">
        <v>909</v>
      </c>
      <c r="H38" s="198"/>
    </row>
    <row r="39" spans="2:8">
      <c r="B39" s="171">
        <v>0</v>
      </c>
      <c r="C39" s="39"/>
      <c r="D39" s="39"/>
      <c r="E39" s="39"/>
      <c r="F39" s="39"/>
      <c r="G39" s="39"/>
      <c r="H39" s="312"/>
    </row>
    <row r="40" spans="2:8">
      <c r="B40" s="171">
        <v>1</v>
      </c>
      <c r="C40" s="313">
        <f>E34</f>
        <v>27000</v>
      </c>
      <c r="D40" s="315">
        <f t="shared" ref="D40:D49" si="7">$E$35*C40</f>
        <v>2497.5</v>
      </c>
      <c r="E40" s="313">
        <f t="shared" ref="E40:E49" si="8">IF((+F19+D82)&lt;C40,F19+D82,C40)</f>
        <v>7785.1070323117747</v>
      </c>
      <c r="F40" s="313">
        <f t="shared" ref="F40:F49" si="9">C40-E40</f>
        <v>19214.892967688225</v>
      </c>
      <c r="G40" s="315">
        <f t="shared" ref="G40:G49" si="10">D40+E40</f>
        <v>10282.607032311775</v>
      </c>
      <c r="H40" s="314"/>
    </row>
    <row r="41" spans="2:8">
      <c r="B41" s="171">
        <f t="shared" ref="B41:B49" si="11">B40+1</f>
        <v>2</v>
      </c>
      <c r="C41" s="315">
        <f t="shared" ref="C41:C49" si="12">F40</f>
        <v>19214.892967688225</v>
      </c>
      <c r="D41" s="315">
        <f t="shared" si="7"/>
        <v>1777.3775995111607</v>
      </c>
      <c r="E41" s="315">
        <f t="shared" si="8"/>
        <v>8641.4688058660722</v>
      </c>
      <c r="F41" s="315">
        <f t="shared" si="9"/>
        <v>10573.424161822153</v>
      </c>
      <c r="G41" s="315">
        <f t="shared" si="10"/>
        <v>10418.846405377233</v>
      </c>
      <c r="H41" s="314"/>
    </row>
    <row r="42" spans="2:8">
      <c r="B42" s="171">
        <f t="shared" si="11"/>
        <v>3</v>
      </c>
      <c r="C42" s="315">
        <f t="shared" si="12"/>
        <v>10573.424161822153</v>
      </c>
      <c r="D42" s="315">
        <f t="shared" si="7"/>
        <v>978.04173496854912</v>
      </c>
      <c r="E42" s="315">
        <f t="shared" si="8"/>
        <v>9592.0303745113379</v>
      </c>
      <c r="F42" s="315">
        <f t="shared" si="9"/>
        <v>981.39378731081524</v>
      </c>
      <c r="G42" s="315">
        <f t="shared" si="10"/>
        <v>10570.072109479886</v>
      </c>
      <c r="H42" s="314"/>
    </row>
    <row r="43" spans="2:8">
      <c r="B43" s="171">
        <f t="shared" si="11"/>
        <v>4</v>
      </c>
      <c r="C43" s="315">
        <f t="shared" si="12"/>
        <v>981.39378731081524</v>
      </c>
      <c r="D43" s="315">
        <f t="shared" si="7"/>
        <v>90.778925326250402</v>
      </c>
      <c r="E43" s="315">
        <f t="shared" si="8"/>
        <v>981.39378731081524</v>
      </c>
      <c r="F43" s="315">
        <f t="shared" si="9"/>
        <v>0</v>
      </c>
      <c r="G43" s="315">
        <f t="shared" si="10"/>
        <v>1072.1727126370656</v>
      </c>
      <c r="H43" s="314"/>
    </row>
    <row r="44" spans="2:8">
      <c r="B44" s="171">
        <f t="shared" si="11"/>
        <v>5</v>
      </c>
      <c r="C44" s="315">
        <f t="shared" si="12"/>
        <v>0</v>
      </c>
      <c r="D44" s="315">
        <f t="shared" si="7"/>
        <v>0</v>
      </c>
      <c r="E44" s="315">
        <f t="shared" si="8"/>
        <v>0</v>
      </c>
      <c r="F44" s="315">
        <f t="shared" si="9"/>
        <v>0</v>
      </c>
      <c r="G44" s="315">
        <f t="shared" si="10"/>
        <v>0</v>
      </c>
      <c r="H44" s="314"/>
    </row>
    <row r="45" spans="2:8">
      <c r="B45" s="171">
        <f t="shared" si="11"/>
        <v>6</v>
      </c>
      <c r="C45" s="315">
        <f t="shared" si="12"/>
        <v>0</v>
      </c>
      <c r="D45" s="315">
        <f t="shared" si="7"/>
        <v>0</v>
      </c>
      <c r="E45" s="315">
        <f t="shared" si="8"/>
        <v>0</v>
      </c>
      <c r="F45" s="315">
        <f t="shared" si="9"/>
        <v>0</v>
      </c>
      <c r="G45" s="315">
        <f t="shared" si="10"/>
        <v>0</v>
      </c>
      <c r="H45" s="314"/>
    </row>
    <row r="46" spans="2:8">
      <c r="B46" s="171">
        <f t="shared" si="11"/>
        <v>7</v>
      </c>
      <c r="C46" s="315">
        <f t="shared" si="12"/>
        <v>0</v>
      </c>
      <c r="D46" s="315">
        <f t="shared" si="7"/>
        <v>0</v>
      </c>
      <c r="E46" s="315">
        <f t="shared" si="8"/>
        <v>0</v>
      </c>
      <c r="F46" s="315">
        <f t="shared" si="9"/>
        <v>0</v>
      </c>
      <c r="G46" s="315">
        <f t="shared" si="10"/>
        <v>0</v>
      </c>
      <c r="H46" s="314"/>
    </row>
    <row r="47" spans="2:8">
      <c r="B47" s="171">
        <f t="shared" si="11"/>
        <v>8</v>
      </c>
      <c r="C47" s="315">
        <f t="shared" si="12"/>
        <v>0</v>
      </c>
      <c r="D47" s="315">
        <f t="shared" si="7"/>
        <v>0</v>
      </c>
      <c r="E47" s="315">
        <f t="shared" si="8"/>
        <v>0</v>
      </c>
      <c r="F47" s="315">
        <f t="shared" si="9"/>
        <v>0</v>
      </c>
      <c r="G47" s="315">
        <f t="shared" si="10"/>
        <v>0</v>
      </c>
      <c r="H47" s="314"/>
    </row>
    <row r="48" spans="2:8">
      <c r="B48" s="171">
        <f t="shared" si="11"/>
        <v>9</v>
      </c>
      <c r="C48" s="315">
        <f t="shared" si="12"/>
        <v>0</v>
      </c>
      <c r="D48" s="315">
        <f t="shared" si="7"/>
        <v>0</v>
      </c>
      <c r="E48" s="315">
        <f t="shared" si="8"/>
        <v>0</v>
      </c>
      <c r="F48" s="315">
        <f t="shared" si="9"/>
        <v>0</v>
      </c>
      <c r="G48" s="315">
        <f t="shared" si="10"/>
        <v>0</v>
      </c>
      <c r="H48" s="314"/>
    </row>
    <row r="49" spans="2:16">
      <c r="B49" s="171">
        <f t="shared" si="11"/>
        <v>10</v>
      </c>
      <c r="C49" s="315">
        <f t="shared" si="12"/>
        <v>0</v>
      </c>
      <c r="D49" s="315">
        <f t="shared" si="7"/>
        <v>0</v>
      </c>
      <c r="E49" s="315">
        <f t="shared" si="8"/>
        <v>0</v>
      </c>
      <c r="F49" s="315">
        <f t="shared" si="9"/>
        <v>0</v>
      </c>
      <c r="G49" s="315">
        <f t="shared" si="10"/>
        <v>0</v>
      </c>
      <c r="H49" s="314"/>
    </row>
    <row r="50" spans="2:16" ht="13" thickBot="1">
      <c r="B50" s="171"/>
      <c r="C50" s="39"/>
      <c r="D50" s="39"/>
      <c r="E50" s="39"/>
      <c r="F50" s="39"/>
      <c r="G50" s="39"/>
      <c r="H50" s="314"/>
    </row>
    <row r="51" spans="2:16" ht="13.5" thickBot="1">
      <c r="B51" s="171"/>
      <c r="C51" s="39"/>
      <c r="D51" s="39"/>
      <c r="E51" s="39" t="s">
        <v>910</v>
      </c>
      <c r="F51" s="55">
        <f>E35</f>
        <v>9.2499999999999999E-2</v>
      </c>
      <c r="G51" s="320">
        <f>NPV(F51,G40:G49)</f>
        <v>27000</v>
      </c>
      <c r="H51" s="146"/>
      <c r="O51" s="275"/>
      <c r="P51" s="275"/>
    </row>
    <row r="52" spans="2:16" ht="13.5" thickBot="1">
      <c r="B52" s="134"/>
      <c r="C52" s="4"/>
      <c r="D52" s="4"/>
      <c r="E52" s="4"/>
      <c r="F52" s="4"/>
      <c r="G52" s="316"/>
      <c r="H52" s="1172"/>
    </row>
    <row r="53" spans="2:16" ht="13" thickBot="1">
      <c r="B53" s="124"/>
      <c r="G53" s="39"/>
      <c r="H53" s="39"/>
    </row>
    <row r="54" spans="2:16" ht="14.5" thickBot="1">
      <c r="B54" s="1547" t="s">
        <v>1251</v>
      </c>
      <c r="C54" s="1538"/>
      <c r="D54" s="1538"/>
      <c r="E54" s="1538"/>
      <c r="F54" s="1538"/>
      <c r="G54" s="1538"/>
      <c r="H54" s="1539"/>
      <c r="J54" s="328" t="s">
        <v>1611</v>
      </c>
      <c r="K54" s="275"/>
      <c r="L54" s="275"/>
      <c r="M54" s="275"/>
      <c r="N54" s="275"/>
    </row>
    <row r="55" spans="2:16" ht="13.5" thickBot="1">
      <c r="B55" s="171"/>
      <c r="C55" s="39" t="s">
        <v>774</v>
      </c>
      <c r="D55" s="39"/>
      <c r="E55" s="1064">
        <f>H8</f>
        <v>15000</v>
      </c>
      <c r="F55" s="39"/>
      <c r="G55" s="39"/>
      <c r="H55" s="146"/>
      <c r="J55" s="1547" t="s">
        <v>1252</v>
      </c>
      <c r="K55" s="1538"/>
      <c r="L55" s="1538"/>
      <c r="M55" s="1538"/>
      <c r="N55" s="1539"/>
    </row>
    <row r="56" spans="2:16" ht="13" thickBot="1">
      <c r="B56" s="171"/>
      <c r="C56" s="39" t="s">
        <v>822</v>
      </c>
      <c r="D56" s="39"/>
      <c r="E56" s="151">
        <f>I8</f>
        <v>0.1</v>
      </c>
      <c r="F56" s="39"/>
      <c r="G56" s="39"/>
      <c r="H56" s="146"/>
      <c r="J56" s="124"/>
      <c r="K56" t="s">
        <v>774</v>
      </c>
      <c r="M56" s="284">
        <f>H9</f>
        <v>0</v>
      </c>
      <c r="N56" s="126"/>
    </row>
    <row r="57" spans="2:16" ht="13">
      <c r="B57" s="136"/>
      <c r="C57" s="136"/>
      <c r="D57" s="136"/>
      <c r="E57" s="136"/>
      <c r="F57" s="136"/>
      <c r="G57" s="197" t="s">
        <v>908</v>
      </c>
      <c r="H57" s="136"/>
      <c r="J57" s="124"/>
      <c r="K57" t="s">
        <v>822</v>
      </c>
      <c r="M57" s="285">
        <f>I9</f>
        <v>0</v>
      </c>
      <c r="N57" s="126"/>
    </row>
    <row r="58" spans="2:16" ht="13.5" thickBot="1">
      <c r="B58" s="198" t="s">
        <v>262</v>
      </c>
      <c r="C58" s="198" t="s">
        <v>885</v>
      </c>
      <c r="D58" s="198" t="s">
        <v>210</v>
      </c>
      <c r="E58" s="198" t="s">
        <v>387</v>
      </c>
      <c r="F58" s="198" t="s">
        <v>886</v>
      </c>
      <c r="G58" s="198" t="s">
        <v>909</v>
      </c>
      <c r="H58" s="198"/>
      <c r="J58" s="124"/>
      <c r="N58" s="126"/>
    </row>
    <row r="59" spans="2:16" ht="13">
      <c r="B59" s="171">
        <v>0</v>
      </c>
      <c r="C59" s="39"/>
      <c r="D59" s="39"/>
      <c r="E59" s="39"/>
      <c r="F59" s="39"/>
      <c r="G59" s="39"/>
      <c r="H59" s="312"/>
      <c r="J59" s="197" t="s">
        <v>262</v>
      </c>
      <c r="K59" s="136" t="s">
        <v>911</v>
      </c>
      <c r="L59" s="136" t="s">
        <v>210</v>
      </c>
      <c r="M59" s="197" t="s">
        <v>387</v>
      </c>
      <c r="N59" s="136" t="s">
        <v>1453</v>
      </c>
    </row>
    <row r="60" spans="2:16" ht="13.5" thickBot="1">
      <c r="B60" s="171">
        <v>1</v>
      </c>
      <c r="C60" s="313">
        <f>E55</f>
        <v>15000</v>
      </c>
      <c r="D60" s="313">
        <f t="shared" ref="D60:D69" si="13">$E$56*C60</f>
        <v>1500</v>
      </c>
      <c r="E60" s="313">
        <f t="shared" ref="E60:E69" si="14">IF((+F19+D82-E40)&lt;C60,F19+D82-E40,C60)</f>
        <v>0</v>
      </c>
      <c r="F60" s="313">
        <f t="shared" ref="F60:F69" si="15">C60-E60</f>
        <v>15000</v>
      </c>
      <c r="G60" s="315">
        <f t="shared" ref="G60:G69" si="16">D60+E60</f>
        <v>1500</v>
      </c>
      <c r="H60" s="314"/>
      <c r="J60" s="198"/>
      <c r="K60" s="198" t="s">
        <v>215</v>
      </c>
      <c r="L60" s="198"/>
      <c r="M60" s="198"/>
      <c r="N60" s="198"/>
    </row>
    <row r="61" spans="2:16">
      <c r="B61" s="171">
        <f t="shared" ref="B61:B69" si="17">B60+1</f>
        <v>2</v>
      </c>
      <c r="C61" s="315">
        <f t="shared" ref="C61:C69" si="18">F60</f>
        <v>15000</v>
      </c>
      <c r="D61" s="315">
        <f t="shared" si="13"/>
        <v>1500</v>
      </c>
      <c r="E61" s="315">
        <f t="shared" si="14"/>
        <v>0</v>
      </c>
      <c r="F61" s="315">
        <f t="shared" si="15"/>
        <v>15000</v>
      </c>
      <c r="G61" s="315">
        <f t="shared" si="16"/>
        <v>1500</v>
      </c>
      <c r="H61" s="314"/>
      <c r="J61" s="124">
        <v>1</v>
      </c>
      <c r="K61" s="11">
        <f>M56</f>
        <v>0</v>
      </c>
      <c r="L61" s="11">
        <f t="shared" ref="L61:L70" si="19">$M$57*K61</f>
        <v>0</v>
      </c>
      <c r="M61" s="11">
        <f t="shared" ref="M61:M70" si="20">IF((+F19+D82-E40-E60)&lt;K61,F19+D82-E40-E60,K61)</f>
        <v>0</v>
      </c>
      <c r="N61" s="317">
        <f t="shared" ref="N61:N70" si="21">K61-M61</f>
        <v>0</v>
      </c>
    </row>
    <row r="62" spans="2:16">
      <c r="B62" s="171">
        <f t="shared" si="17"/>
        <v>3</v>
      </c>
      <c r="C62" s="315">
        <f t="shared" si="18"/>
        <v>15000</v>
      </c>
      <c r="D62" s="315">
        <f t="shared" si="13"/>
        <v>1500</v>
      </c>
      <c r="E62" s="315">
        <f t="shared" si="14"/>
        <v>0</v>
      </c>
      <c r="F62" s="315">
        <f t="shared" si="15"/>
        <v>15000</v>
      </c>
      <c r="G62" s="315">
        <f t="shared" si="16"/>
        <v>1500</v>
      </c>
      <c r="H62" s="314"/>
      <c r="J62" s="124">
        <f t="shared" ref="J62:J70" si="22">J61+1</f>
        <v>2</v>
      </c>
      <c r="K62" s="161">
        <f t="shared" ref="K62:K70" si="23">N61</f>
        <v>0</v>
      </c>
      <c r="L62" s="161">
        <f t="shared" si="19"/>
        <v>0</v>
      </c>
      <c r="M62" s="161">
        <f t="shared" si="20"/>
        <v>0</v>
      </c>
      <c r="N62" s="162">
        <f t="shared" si="21"/>
        <v>0</v>
      </c>
    </row>
    <row r="63" spans="2:16">
      <c r="B63" s="171">
        <f t="shared" si="17"/>
        <v>4</v>
      </c>
      <c r="C63" s="315">
        <f t="shared" si="18"/>
        <v>15000</v>
      </c>
      <c r="D63" s="315">
        <f t="shared" si="13"/>
        <v>1500</v>
      </c>
      <c r="E63" s="315">
        <f t="shared" si="14"/>
        <v>9665.7599283967666</v>
      </c>
      <c r="F63" s="315">
        <f t="shared" si="15"/>
        <v>5334.2400716032334</v>
      </c>
      <c r="G63" s="315">
        <f t="shared" si="16"/>
        <v>11165.759928396767</v>
      </c>
      <c r="H63" s="314"/>
      <c r="J63" s="124">
        <f t="shared" si="22"/>
        <v>3</v>
      </c>
      <c r="K63" s="161">
        <f t="shared" si="23"/>
        <v>0</v>
      </c>
      <c r="L63" s="161">
        <f t="shared" si="19"/>
        <v>0</v>
      </c>
      <c r="M63" s="161">
        <f t="shared" si="20"/>
        <v>0</v>
      </c>
      <c r="N63" s="162">
        <f t="shared" si="21"/>
        <v>0</v>
      </c>
    </row>
    <row r="64" spans="2:16">
      <c r="B64" s="171">
        <f t="shared" si="17"/>
        <v>5</v>
      </c>
      <c r="C64" s="315">
        <f t="shared" si="18"/>
        <v>5334.2400716032334</v>
      </c>
      <c r="D64" s="315">
        <f t="shared" si="13"/>
        <v>533.42400716032341</v>
      </c>
      <c r="E64" s="315">
        <f t="shared" si="14"/>
        <v>5334.2400716032334</v>
      </c>
      <c r="F64" s="315">
        <f t="shared" si="15"/>
        <v>0</v>
      </c>
      <c r="G64" s="315">
        <f t="shared" si="16"/>
        <v>5867.664078763557</v>
      </c>
      <c r="H64" s="314"/>
      <c r="J64" s="124">
        <f t="shared" si="22"/>
        <v>4</v>
      </c>
      <c r="K64" s="161">
        <f t="shared" si="23"/>
        <v>0</v>
      </c>
      <c r="L64" s="161">
        <f t="shared" si="19"/>
        <v>0</v>
      </c>
      <c r="M64" s="161">
        <f t="shared" si="20"/>
        <v>0</v>
      </c>
      <c r="N64" s="162">
        <f t="shared" si="21"/>
        <v>0</v>
      </c>
    </row>
    <row r="65" spans="2:15">
      <c r="B65" s="171">
        <f t="shared" si="17"/>
        <v>6</v>
      </c>
      <c r="C65" s="315">
        <f t="shared" si="18"/>
        <v>0</v>
      </c>
      <c r="D65" s="315">
        <f t="shared" si="13"/>
        <v>0</v>
      </c>
      <c r="E65" s="315">
        <f t="shared" si="14"/>
        <v>0</v>
      </c>
      <c r="F65" s="315">
        <f t="shared" si="15"/>
        <v>0</v>
      </c>
      <c r="G65" s="315">
        <f t="shared" si="16"/>
        <v>0</v>
      </c>
      <c r="H65" s="314"/>
      <c r="J65" s="124">
        <f t="shared" si="22"/>
        <v>5</v>
      </c>
      <c r="K65" s="161">
        <f t="shared" si="23"/>
        <v>0</v>
      </c>
      <c r="L65" s="161">
        <f t="shared" si="19"/>
        <v>0</v>
      </c>
      <c r="M65" s="161">
        <f t="shared" si="20"/>
        <v>0</v>
      </c>
      <c r="N65" s="162">
        <f t="shared" si="21"/>
        <v>0</v>
      </c>
    </row>
    <row r="66" spans="2:15">
      <c r="B66" s="171">
        <f t="shared" si="17"/>
        <v>7</v>
      </c>
      <c r="C66" s="315">
        <f t="shared" si="18"/>
        <v>0</v>
      </c>
      <c r="D66" s="315">
        <f t="shared" si="13"/>
        <v>0</v>
      </c>
      <c r="E66" s="315">
        <f t="shared" si="14"/>
        <v>0</v>
      </c>
      <c r="F66" s="315">
        <f t="shared" si="15"/>
        <v>0</v>
      </c>
      <c r="G66" s="315">
        <f t="shared" si="16"/>
        <v>0</v>
      </c>
      <c r="H66" s="314"/>
      <c r="J66" s="124">
        <f t="shared" si="22"/>
        <v>6</v>
      </c>
      <c r="K66" s="161">
        <f t="shared" si="23"/>
        <v>0</v>
      </c>
      <c r="L66" s="161">
        <f t="shared" si="19"/>
        <v>0</v>
      </c>
      <c r="M66" s="161">
        <f t="shared" si="20"/>
        <v>0</v>
      </c>
      <c r="N66" s="162">
        <f t="shared" si="21"/>
        <v>0</v>
      </c>
    </row>
    <row r="67" spans="2:15">
      <c r="B67" s="171">
        <f t="shared" si="17"/>
        <v>8</v>
      </c>
      <c r="C67" s="315">
        <f t="shared" si="18"/>
        <v>0</v>
      </c>
      <c r="D67" s="315">
        <f t="shared" si="13"/>
        <v>0</v>
      </c>
      <c r="E67" s="315">
        <f t="shared" si="14"/>
        <v>0</v>
      </c>
      <c r="F67" s="315">
        <f t="shared" si="15"/>
        <v>0</v>
      </c>
      <c r="G67" s="315">
        <f t="shared" si="16"/>
        <v>0</v>
      </c>
      <c r="H67" s="314"/>
      <c r="J67" s="124">
        <f t="shared" si="22"/>
        <v>7</v>
      </c>
      <c r="K67" s="161">
        <f t="shared" si="23"/>
        <v>0</v>
      </c>
      <c r="L67" s="161">
        <f t="shared" si="19"/>
        <v>0</v>
      </c>
      <c r="M67" s="161">
        <f t="shared" si="20"/>
        <v>0</v>
      </c>
      <c r="N67" s="162">
        <f t="shared" si="21"/>
        <v>0</v>
      </c>
    </row>
    <row r="68" spans="2:15">
      <c r="B68" s="171">
        <f t="shared" si="17"/>
        <v>9</v>
      </c>
      <c r="C68" s="315">
        <f t="shared" si="18"/>
        <v>0</v>
      </c>
      <c r="D68" s="315">
        <f t="shared" si="13"/>
        <v>0</v>
      </c>
      <c r="E68" s="315">
        <f t="shared" si="14"/>
        <v>0</v>
      </c>
      <c r="F68" s="315">
        <f t="shared" si="15"/>
        <v>0</v>
      </c>
      <c r="G68" s="315">
        <f t="shared" si="16"/>
        <v>0</v>
      </c>
      <c r="H68" s="314"/>
      <c r="J68" s="124">
        <f t="shared" si="22"/>
        <v>8</v>
      </c>
      <c r="K68" s="161">
        <f t="shared" si="23"/>
        <v>0</v>
      </c>
      <c r="L68" s="161">
        <f t="shared" si="19"/>
        <v>0</v>
      </c>
      <c r="M68" s="161">
        <f t="shared" si="20"/>
        <v>0</v>
      </c>
      <c r="N68" s="162">
        <f t="shared" si="21"/>
        <v>0</v>
      </c>
    </row>
    <row r="69" spans="2:15">
      <c r="B69" s="171">
        <f t="shared" si="17"/>
        <v>10</v>
      </c>
      <c r="C69" s="315">
        <f t="shared" si="18"/>
        <v>0</v>
      </c>
      <c r="D69" s="315">
        <f t="shared" si="13"/>
        <v>0</v>
      </c>
      <c r="E69" s="315">
        <f t="shared" si="14"/>
        <v>0</v>
      </c>
      <c r="F69" s="315">
        <f t="shared" si="15"/>
        <v>0</v>
      </c>
      <c r="G69" s="315">
        <f t="shared" si="16"/>
        <v>0</v>
      </c>
      <c r="H69" s="314"/>
      <c r="J69" s="124">
        <f t="shared" si="22"/>
        <v>9</v>
      </c>
      <c r="K69" s="161">
        <f t="shared" si="23"/>
        <v>0</v>
      </c>
      <c r="L69" s="161">
        <f t="shared" si="19"/>
        <v>0</v>
      </c>
      <c r="M69" s="161">
        <f t="shared" si="20"/>
        <v>0</v>
      </c>
      <c r="N69" s="162">
        <f t="shared" si="21"/>
        <v>0</v>
      </c>
      <c r="O69" s="87"/>
    </row>
    <row r="70" spans="2:15" ht="13" thickBot="1">
      <c r="B70" s="171"/>
      <c r="C70" s="39"/>
      <c r="D70" s="39"/>
      <c r="E70" s="39"/>
      <c r="F70" s="39"/>
      <c r="G70" s="39"/>
      <c r="H70" s="146"/>
      <c r="J70" s="134">
        <f t="shared" si="22"/>
        <v>10</v>
      </c>
      <c r="K70" s="318">
        <f t="shared" si="23"/>
        <v>0</v>
      </c>
      <c r="L70" s="318">
        <f t="shared" si="19"/>
        <v>0</v>
      </c>
      <c r="M70" s="318">
        <f t="shared" si="20"/>
        <v>0</v>
      </c>
      <c r="N70" s="319">
        <f t="shared" si="21"/>
        <v>0</v>
      </c>
    </row>
    <row r="71" spans="2:15" ht="13.5" thickBot="1">
      <c r="B71" s="171"/>
      <c r="C71" s="39"/>
      <c r="D71" s="39"/>
      <c r="E71" s="39" t="s">
        <v>910</v>
      </c>
      <c r="F71" s="55">
        <f>E56</f>
        <v>0.1</v>
      </c>
      <c r="G71" s="320">
        <f>NPV(F71,G60:G69)</f>
        <v>14999.999999999996</v>
      </c>
      <c r="H71" s="146"/>
    </row>
    <row r="72" spans="2:15" ht="16" thickBot="1">
      <c r="B72" s="228"/>
      <c r="C72" s="63"/>
      <c r="D72" s="63"/>
      <c r="E72" s="4"/>
      <c r="F72" s="4"/>
      <c r="G72" s="316"/>
      <c r="H72" s="311"/>
      <c r="J72" s="329" t="s">
        <v>912</v>
      </c>
      <c r="K72" s="87"/>
      <c r="L72" s="87"/>
      <c r="M72" s="87"/>
      <c r="N72" s="87"/>
    </row>
    <row r="73" spans="2:15" ht="13" thickBot="1">
      <c r="B73" s="171"/>
      <c r="C73" s="39"/>
      <c r="D73" s="39"/>
      <c r="E73" s="39"/>
      <c r="F73" s="39"/>
      <c r="G73" s="39"/>
      <c r="H73" s="39"/>
    </row>
    <row r="74" spans="2:15" ht="13.5" thickBot="1">
      <c r="B74" s="1547" t="s">
        <v>1249</v>
      </c>
      <c r="C74" s="1538"/>
      <c r="D74" s="1538"/>
      <c r="E74" s="1538"/>
      <c r="F74" s="1538"/>
      <c r="G74" s="1538"/>
      <c r="H74" s="1539"/>
    </row>
    <row r="75" spans="2:15">
      <c r="B75" s="171"/>
      <c r="C75" s="39" t="s">
        <v>774</v>
      </c>
      <c r="D75" s="39"/>
      <c r="E75" s="1064">
        <f>H10</f>
        <v>30000</v>
      </c>
      <c r="F75" s="39"/>
      <c r="G75" s="39"/>
      <c r="H75" s="146"/>
    </row>
    <row r="76" spans="2:15">
      <c r="B76" s="171"/>
      <c r="C76" s="39" t="s">
        <v>822</v>
      </c>
      <c r="D76" s="39"/>
      <c r="E76" s="151">
        <f>I10</f>
        <v>0.11</v>
      </c>
      <c r="F76" s="39"/>
      <c r="G76" s="39"/>
      <c r="H76" s="146"/>
    </row>
    <row r="77" spans="2:15" ht="13" thickBot="1">
      <c r="B77" s="171"/>
      <c r="C77" s="39"/>
      <c r="D77" s="39"/>
      <c r="E77" s="55"/>
      <c r="F77" s="39"/>
      <c r="G77" s="39"/>
      <c r="H77" s="146"/>
    </row>
    <row r="78" spans="2:15" ht="13">
      <c r="B78" s="136"/>
      <c r="C78" s="136"/>
      <c r="D78" s="197" t="s">
        <v>210</v>
      </c>
      <c r="E78" s="197" t="s">
        <v>292</v>
      </c>
      <c r="F78" s="136"/>
      <c r="G78" s="197" t="s">
        <v>908</v>
      </c>
      <c r="H78" s="136"/>
    </row>
    <row r="79" spans="2:15" ht="13.5" thickBot="1">
      <c r="B79" s="198" t="s">
        <v>262</v>
      </c>
      <c r="C79" s="198" t="s">
        <v>885</v>
      </c>
      <c r="D79" s="1274" t="s">
        <v>1559</v>
      </c>
      <c r="E79" s="198" t="s">
        <v>209</v>
      </c>
      <c r="F79" s="198" t="s">
        <v>886</v>
      </c>
      <c r="G79" s="198" t="s">
        <v>909</v>
      </c>
      <c r="H79" s="198"/>
    </row>
    <row r="80" spans="2:15">
      <c r="B80" s="171"/>
      <c r="C80" s="39"/>
      <c r="D80" s="39"/>
      <c r="E80" s="39"/>
      <c r="F80" s="39"/>
      <c r="G80" s="39"/>
      <c r="H80" s="146"/>
    </row>
    <row r="81" spans="2:8">
      <c r="B81" s="171">
        <v>0</v>
      </c>
      <c r="C81" s="39"/>
      <c r="D81" s="39"/>
      <c r="E81" s="39"/>
      <c r="F81" s="39"/>
      <c r="G81" s="299">
        <f>-E75</f>
        <v>-30000</v>
      </c>
      <c r="H81" s="308"/>
    </row>
    <row r="82" spans="2:8">
      <c r="B82" s="171">
        <v>1</v>
      </c>
      <c r="C82" s="313">
        <f>E75</f>
        <v>30000</v>
      </c>
      <c r="D82" s="315">
        <f t="shared" ref="D82:D91" si="24">$E$76*C82</f>
        <v>3300</v>
      </c>
      <c r="E82" s="315">
        <f t="shared" ref="E82:E91" si="25">IF((+F19-E40-E60-M61+D82)&lt;C82+D82,F19-E40-E60-M61+D82,C82+D82)</f>
        <v>0</v>
      </c>
      <c r="F82" s="313">
        <f t="shared" ref="F82:F91" si="26">C82+D82-E82</f>
        <v>33300</v>
      </c>
      <c r="G82" s="315">
        <f t="shared" ref="G82:G91" si="27">E82</f>
        <v>0</v>
      </c>
      <c r="H82" s="314"/>
    </row>
    <row r="83" spans="2:8">
      <c r="B83" s="171">
        <f t="shared" ref="B83:B91" si="28">B82+1</f>
        <v>2</v>
      </c>
      <c r="C83" s="315">
        <f t="shared" ref="C83:C91" si="29">F82</f>
        <v>33300</v>
      </c>
      <c r="D83" s="315">
        <f t="shared" si="24"/>
        <v>3663</v>
      </c>
      <c r="E83" s="315">
        <f t="shared" si="25"/>
        <v>-9.0949470177292824E-13</v>
      </c>
      <c r="F83" s="315">
        <f t="shared" si="26"/>
        <v>36963</v>
      </c>
      <c r="G83" s="315">
        <f t="shared" si="27"/>
        <v>-9.0949470177292824E-13</v>
      </c>
      <c r="H83" s="314"/>
    </row>
    <row r="84" spans="2:8">
      <c r="B84" s="171">
        <f t="shared" si="28"/>
        <v>3</v>
      </c>
      <c r="C84" s="315">
        <f t="shared" si="29"/>
        <v>36963</v>
      </c>
      <c r="D84" s="315">
        <f t="shared" si="24"/>
        <v>4065.93</v>
      </c>
      <c r="E84" s="315">
        <f t="shared" si="25"/>
        <v>-4.5474735088646412E-13</v>
      </c>
      <c r="F84" s="315">
        <f t="shared" si="26"/>
        <v>41028.93</v>
      </c>
      <c r="G84" s="315">
        <f t="shared" si="27"/>
        <v>-4.5474735088646412E-13</v>
      </c>
      <c r="H84" s="314"/>
    </row>
    <row r="85" spans="2:8">
      <c r="B85" s="171">
        <f t="shared" si="28"/>
        <v>4</v>
      </c>
      <c r="C85" s="315">
        <f t="shared" si="29"/>
        <v>41028.93</v>
      </c>
      <c r="D85" s="315">
        <f t="shared" si="24"/>
        <v>4513.1823000000004</v>
      </c>
      <c r="E85" s="315">
        <f t="shared" si="25"/>
        <v>0</v>
      </c>
      <c r="F85" s="315">
        <f t="shared" si="26"/>
        <v>45542.112300000001</v>
      </c>
      <c r="G85" s="315">
        <f t="shared" si="27"/>
        <v>0</v>
      </c>
      <c r="H85" s="314"/>
    </row>
    <row r="86" spans="2:8">
      <c r="B86" s="171">
        <f t="shared" si="28"/>
        <v>5</v>
      </c>
      <c r="C86" s="315">
        <f t="shared" si="29"/>
        <v>45542.112300000001</v>
      </c>
      <c r="D86" s="315">
        <f t="shared" si="24"/>
        <v>5009.632353</v>
      </c>
      <c r="E86" s="315">
        <f t="shared" si="25"/>
        <v>6484.1005528321848</v>
      </c>
      <c r="F86" s="315">
        <f t="shared" si="26"/>
        <v>44067.644100167818</v>
      </c>
      <c r="G86" s="315">
        <f t="shared" si="27"/>
        <v>6484.1005528321848</v>
      </c>
      <c r="H86" s="314"/>
    </row>
    <row r="87" spans="2:8">
      <c r="B87" s="171">
        <f t="shared" si="28"/>
        <v>6</v>
      </c>
      <c r="C87" s="315">
        <f t="shared" si="29"/>
        <v>44067.644100167818</v>
      </c>
      <c r="D87" s="315">
        <f t="shared" si="24"/>
        <v>4847.4408510184603</v>
      </c>
      <c r="E87" s="315">
        <f t="shared" si="25"/>
        <v>12405.107032311775</v>
      </c>
      <c r="F87" s="315">
        <f t="shared" si="26"/>
        <v>36509.977918874501</v>
      </c>
      <c r="G87" s="315">
        <f t="shared" si="27"/>
        <v>12405.107032311775</v>
      </c>
      <c r="H87" s="314"/>
    </row>
    <row r="88" spans="2:8">
      <c r="B88" s="171">
        <f t="shared" si="28"/>
        <v>7</v>
      </c>
      <c r="C88" s="315">
        <f t="shared" si="29"/>
        <v>36509.977918874501</v>
      </c>
      <c r="D88" s="315">
        <f t="shared" si="24"/>
        <v>4016.097571076195</v>
      </c>
      <c r="E88" s="315">
        <f t="shared" si="25"/>
        <v>12405.107032311775</v>
      </c>
      <c r="F88" s="315">
        <f t="shared" si="26"/>
        <v>28120.968457638919</v>
      </c>
      <c r="G88" s="315">
        <f t="shared" si="27"/>
        <v>12405.107032311775</v>
      </c>
      <c r="H88" s="314"/>
    </row>
    <row r="89" spans="2:8">
      <c r="B89" s="171">
        <f t="shared" si="28"/>
        <v>8</v>
      </c>
      <c r="C89" s="315">
        <f t="shared" si="29"/>
        <v>28120.968457638919</v>
      </c>
      <c r="D89" s="315">
        <f t="shared" si="24"/>
        <v>3093.3065303402809</v>
      </c>
      <c r="E89" s="315">
        <f t="shared" si="25"/>
        <v>12405.107032311775</v>
      </c>
      <c r="F89" s="315">
        <f t="shared" si="26"/>
        <v>18809.167955667424</v>
      </c>
      <c r="G89" s="315">
        <f t="shared" si="27"/>
        <v>12405.107032311775</v>
      </c>
      <c r="H89" s="314"/>
    </row>
    <row r="90" spans="2:8">
      <c r="B90" s="171">
        <f t="shared" si="28"/>
        <v>9</v>
      </c>
      <c r="C90" s="315">
        <f t="shared" si="29"/>
        <v>18809.167955667424</v>
      </c>
      <c r="D90" s="315">
        <f t="shared" si="24"/>
        <v>2069.0084751234167</v>
      </c>
      <c r="E90" s="315">
        <f t="shared" si="25"/>
        <v>12405.107032311771</v>
      </c>
      <c r="F90" s="315">
        <f t="shared" si="26"/>
        <v>8473.0693984790705</v>
      </c>
      <c r="G90" s="315">
        <f t="shared" si="27"/>
        <v>12405.107032311771</v>
      </c>
      <c r="H90" s="314"/>
    </row>
    <row r="91" spans="2:8">
      <c r="B91" s="171">
        <f t="shared" si="28"/>
        <v>10</v>
      </c>
      <c r="C91" s="315">
        <f t="shared" si="29"/>
        <v>8473.0693984790705</v>
      </c>
      <c r="D91" s="315">
        <f t="shared" si="24"/>
        <v>932.03763383269779</v>
      </c>
      <c r="E91" s="315">
        <f t="shared" si="25"/>
        <v>9405.1070323117674</v>
      </c>
      <c r="F91" s="315">
        <f t="shared" si="26"/>
        <v>0</v>
      </c>
      <c r="G91" s="315">
        <f t="shared" si="27"/>
        <v>9405.1070323117674</v>
      </c>
      <c r="H91" s="314"/>
    </row>
    <row r="92" spans="2:8" ht="13" thickBot="1">
      <c r="B92" s="171"/>
      <c r="C92" s="39"/>
      <c r="D92" s="39"/>
      <c r="E92" s="39"/>
      <c r="F92" s="39"/>
      <c r="G92" s="39"/>
      <c r="H92" s="146"/>
    </row>
    <row r="93" spans="2:8" ht="13.5" thickBot="1">
      <c r="B93" s="171"/>
      <c r="C93" s="39"/>
      <c r="D93" s="39"/>
      <c r="E93" s="39"/>
      <c r="F93" s="39" t="s">
        <v>903</v>
      </c>
      <c r="G93" s="155">
        <f>IRR(G81:G91,0.1)</f>
        <v>0.10999999999961263</v>
      </c>
      <c r="H93" s="1172"/>
    </row>
    <row r="94" spans="2:8" ht="13.5" thickBot="1">
      <c r="B94" s="228"/>
      <c r="C94" s="63"/>
      <c r="D94" s="63"/>
      <c r="E94" s="63" t="s">
        <v>910</v>
      </c>
      <c r="F94" s="321">
        <f>E76</f>
        <v>0.11</v>
      </c>
      <c r="G94" s="320">
        <f>NPV(F94,G82:G91)</f>
        <v>29999.999999999978</v>
      </c>
      <c r="H94" s="149"/>
    </row>
    <row r="95" spans="2:8">
      <c r="B95" s="171"/>
      <c r="C95" s="39"/>
      <c r="D95" s="39"/>
      <c r="E95" s="39"/>
      <c r="F95" s="39"/>
      <c r="G95" s="39"/>
      <c r="H95" s="39"/>
    </row>
    <row r="96" spans="2:8">
      <c r="B96" s="171"/>
      <c r="C96" s="39"/>
      <c r="D96" s="39"/>
      <c r="E96" s="39"/>
      <c r="F96" s="39"/>
      <c r="G96" s="39"/>
      <c r="H96" s="39"/>
    </row>
    <row r="97" spans="2:8">
      <c r="B97" s="171"/>
      <c r="C97" s="39"/>
      <c r="D97" s="39"/>
      <c r="E97" s="39"/>
      <c r="F97" s="39"/>
      <c r="G97" s="39"/>
      <c r="H97" s="39"/>
    </row>
    <row r="98" spans="2:8" ht="13.5" thickBot="1">
      <c r="B98" s="171"/>
      <c r="C98" s="39"/>
      <c r="D98" s="39"/>
      <c r="E98" s="1"/>
      <c r="F98" s="39"/>
      <c r="G98" s="39"/>
      <c r="H98" s="39"/>
    </row>
    <row r="99" spans="2:8" ht="13.5" thickBot="1">
      <c r="B99" s="1547" t="s">
        <v>1441</v>
      </c>
      <c r="C99" s="1538"/>
      <c r="D99" s="1538"/>
      <c r="E99" s="1538"/>
      <c r="F99" s="1538"/>
      <c r="G99" s="1538"/>
      <c r="H99" s="1539"/>
    </row>
    <row r="100" spans="2:8" ht="13" thickBot="1">
      <c r="B100" s="171"/>
      <c r="C100" s="39"/>
      <c r="D100" s="39"/>
      <c r="E100" s="39"/>
      <c r="F100" s="39"/>
      <c r="G100" s="39"/>
      <c r="H100" s="39"/>
    </row>
    <row r="101" spans="2:8" ht="13">
      <c r="B101" s="136"/>
      <c r="C101" s="197" t="s">
        <v>1442</v>
      </c>
      <c r="D101" s="197" t="s">
        <v>1444</v>
      </c>
      <c r="E101" s="136"/>
      <c r="F101" s="39"/>
      <c r="G101" s="39"/>
      <c r="H101" s="39"/>
    </row>
    <row r="102" spans="2:8" ht="13.5" thickBot="1">
      <c r="B102" s="198" t="s">
        <v>262</v>
      </c>
      <c r="C102" s="198" t="s">
        <v>1443</v>
      </c>
      <c r="D102" s="198" t="s">
        <v>913</v>
      </c>
      <c r="E102" s="198" t="s">
        <v>914</v>
      </c>
      <c r="F102" s="39"/>
      <c r="G102" s="39"/>
      <c r="H102" s="39"/>
    </row>
    <row r="103" spans="2:8">
      <c r="B103" s="171"/>
      <c r="C103" s="39"/>
      <c r="D103" s="39"/>
      <c r="E103" s="146"/>
      <c r="F103" s="39"/>
      <c r="G103" s="39"/>
      <c r="H103" s="39"/>
    </row>
    <row r="104" spans="2:8">
      <c r="B104" s="171">
        <v>0</v>
      </c>
      <c r="C104" s="39"/>
      <c r="D104" s="39"/>
      <c r="E104" s="312">
        <f>-(+E8-E75-E34-E55-M56)</f>
        <v>-3000</v>
      </c>
      <c r="F104" s="268" t="s">
        <v>1527</v>
      </c>
      <c r="G104" s="39"/>
      <c r="H104" s="39"/>
    </row>
    <row r="105" spans="2:8">
      <c r="B105" s="171">
        <v>1</v>
      </c>
      <c r="C105" s="313">
        <f t="shared" ref="C105:C114" si="30">E19+F19</f>
        <v>12735.107032311775</v>
      </c>
      <c r="D105" s="313">
        <f t="shared" ref="D105:D114" si="31">E82+D40+E40+D60+E60+L61+M61</f>
        <v>11782.607032311775</v>
      </c>
      <c r="E105" s="314">
        <f t="shared" ref="E105:E114" si="32">C105-D105</f>
        <v>952.5</v>
      </c>
      <c r="F105" s="313"/>
      <c r="G105" s="39"/>
      <c r="H105" s="39"/>
    </row>
    <row r="106" spans="2:8">
      <c r="B106" s="171">
        <f t="shared" ref="B106:B114" si="33">B105+1</f>
        <v>2</v>
      </c>
      <c r="C106" s="313">
        <f t="shared" si="30"/>
        <v>12735.107032311776</v>
      </c>
      <c r="D106" s="315">
        <f t="shared" si="31"/>
        <v>11918.846405377231</v>
      </c>
      <c r="E106" s="314">
        <f t="shared" si="32"/>
        <v>816.26062693454514</v>
      </c>
      <c r="F106" s="315"/>
      <c r="G106" s="39"/>
      <c r="H106" s="39"/>
    </row>
    <row r="107" spans="2:8">
      <c r="B107" s="171">
        <f t="shared" si="33"/>
        <v>3</v>
      </c>
      <c r="C107" s="313">
        <f t="shared" si="30"/>
        <v>12735.107032311775</v>
      </c>
      <c r="D107" s="315">
        <f t="shared" si="31"/>
        <v>12070.072109479886</v>
      </c>
      <c r="E107" s="314">
        <f t="shared" si="32"/>
        <v>665.03492283188825</v>
      </c>
      <c r="F107" s="315"/>
      <c r="G107" s="39"/>
      <c r="H107" s="39"/>
    </row>
    <row r="108" spans="2:8">
      <c r="B108" s="171">
        <f t="shared" si="33"/>
        <v>4</v>
      </c>
      <c r="C108" s="313">
        <f t="shared" si="30"/>
        <v>12735.107032311771</v>
      </c>
      <c r="D108" s="315">
        <f t="shared" si="31"/>
        <v>12237.932641033833</v>
      </c>
      <c r="E108" s="314">
        <f t="shared" si="32"/>
        <v>497.17439127793841</v>
      </c>
      <c r="F108" s="315"/>
      <c r="G108" s="39"/>
      <c r="H108" s="39"/>
    </row>
    <row r="109" spans="2:8">
      <c r="B109" s="171">
        <f t="shared" si="33"/>
        <v>5</v>
      </c>
      <c r="C109" s="313">
        <f t="shared" si="30"/>
        <v>12735.107032311775</v>
      </c>
      <c r="D109" s="315">
        <f t="shared" si="31"/>
        <v>12351.764631595743</v>
      </c>
      <c r="E109" s="314">
        <f t="shared" si="32"/>
        <v>383.34240071603199</v>
      </c>
      <c r="F109" s="315"/>
      <c r="G109" s="39"/>
      <c r="H109" s="39"/>
    </row>
    <row r="110" spans="2:8">
      <c r="B110" s="171">
        <f t="shared" si="33"/>
        <v>6</v>
      </c>
      <c r="C110" s="313">
        <f t="shared" si="30"/>
        <v>12735.107032311775</v>
      </c>
      <c r="D110" s="315">
        <f t="shared" si="31"/>
        <v>12405.107032311775</v>
      </c>
      <c r="E110" s="314">
        <f t="shared" si="32"/>
        <v>330</v>
      </c>
      <c r="F110" s="315"/>
      <c r="G110" s="39"/>
      <c r="H110" s="39"/>
    </row>
    <row r="111" spans="2:8">
      <c r="B111" s="171">
        <f t="shared" si="33"/>
        <v>7</v>
      </c>
      <c r="C111" s="313">
        <f t="shared" si="30"/>
        <v>12735.107032311775</v>
      </c>
      <c r="D111" s="315">
        <f t="shared" si="31"/>
        <v>12405.107032311775</v>
      </c>
      <c r="E111" s="314">
        <f t="shared" si="32"/>
        <v>330</v>
      </c>
      <c r="F111" s="315"/>
      <c r="G111" s="39"/>
      <c r="H111" s="39"/>
    </row>
    <row r="112" spans="2:8">
      <c r="B112" s="171">
        <f t="shared" si="33"/>
        <v>8</v>
      </c>
      <c r="C112" s="313">
        <f t="shared" si="30"/>
        <v>12735.107032311775</v>
      </c>
      <c r="D112" s="315">
        <f t="shared" si="31"/>
        <v>12405.107032311775</v>
      </c>
      <c r="E112" s="314">
        <f t="shared" si="32"/>
        <v>330</v>
      </c>
      <c r="F112" s="315"/>
      <c r="G112" s="39"/>
      <c r="H112" s="39"/>
    </row>
    <row r="113" spans="2:8">
      <c r="B113" s="171">
        <f t="shared" si="33"/>
        <v>9</v>
      </c>
      <c r="C113" s="313">
        <f t="shared" si="30"/>
        <v>12735.107032311771</v>
      </c>
      <c r="D113" s="315">
        <f t="shared" si="31"/>
        <v>12405.107032311771</v>
      </c>
      <c r="E113" s="314">
        <f t="shared" si="32"/>
        <v>330</v>
      </c>
      <c r="F113" s="315"/>
      <c r="G113" s="39"/>
      <c r="H113" s="39"/>
    </row>
    <row r="114" spans="2:8">
      <c r="B114" s="171">
        <f t="shared" si="33"/>
        <v>10</v>
      </c>
      <c r="C114" s="313">
        <f t="shared" si="30"/>
        <v>12735.107032311773</v>
      </c>
      <c r="D114" s="315">
        <f t="shared" si="31"/>
        <v>9405.1070323117674</v>
      </c>
      <c r="E114" s="314">
        <f t="shared" si="32"/>
        <v>3330.0000000000055</v>
      </c>
      <c r="F114" s="315"/>
      <c r="G114" s="39"/>
      <c r="H114" s="39"/>
    </row>
    <row r="115" spans="2:8">
      <c r="B115" s="171"/>
      <c r="C115" s="39"/>
      <c r="D115" s="39"/>
      <c r="E115" s="146"/>
      <c r="F115" s="39"/>
      <c r="G115" s="39"/>
      <c r="H115" s="39"/>
    </row>
    <row r="116" spans="2:8" ht="13" thickBot="1">
      <c r="B116" s="228"/>
      <c r="C116" s="63"/>
      <c r="D116" s="774" t="s">
        <v>903</v>
      </c>
      <c r="E116" s="844">
        <f>IRR(E104:E114,0.2)</f>
        <v>0.20194244725079802</v>
      </c>
      <c r="F116" s="39"/>
      <c r="G116" s="39"/>
      <c r="H116" s="39"/>
    </row>
    <row r="117" spans="2:8">
      <c r="B117" s="171"/>
      <c r="C117" s="39"/>
      <c r="D117" s="39"/>
      <c r="E117" s="55"/>
      <c r="F117" s="39"/>
      <c r="G117" s="39"/>
      <c r="H117" s="39"/>
    </row>
    <row r="118" spans="2:8" ht="13" thickBot="1">
      <c r="B118" s="171"/>
      <c r="C118" s="39"/>
      <c r="D118" s="39"/>
      <c r="E118" s="55"/>
      <c r="F118" s="39"/>
      <c r="G118" s="39"/>
      <c r="H118" s="39"/>
    </row>
    <row r="119" spans="2:8" ht="13.5" thickBot="1">
      <c r="B119" s="1547" t="s">
        <v>1445</v>
      </c>
      <c r="C119" s="1538"/>
      <c r="D119" s="1538"/>
      <c r="E119" s="1538"/>
      <c r="F119" s="1538"/>
      <c r="G119" s="1538"/>
      <c r="H119" s="1539"/>
    </row>
    <row r="120" spans="2:8" ht="13" thickBot="1">
      <c r="B120" s="171"/>
      <c r="C120" s="39"/>
      <c r="D120" s="39"/>
      <c r="E120" s="55"/>
      <c r="F120" s="39"/>
      <c r="G120" s="39"/>
      <c r="H120" s="39"/>
    </row>
    <row r="121" spans="2:8" ht="13.5" thickBot="1">
      <c r="B121" s="171"/>
      <c r="C121" s="1594" t="s">
        <v>915</v>
      </c>
      <c r="D121" s="1631"/>
      <c r="E121" s="1631"/>
      <c r="F121" s="1631"/>
      <c r="G121" s="1631"/>
      <c r="H121" s="1632"/>
    </row>
    <row r="122" spans="2:8" ht="13.5" thickBot="1">
      <c r="B122" s="171"/>
      <c r="C122" s="124"/>
      <c r="D122" s="157" t="s">
        <v>916</v>
      </c>
      <c r="E122" s="157" t="s">
        <v>917</v>
      </c>
      <c r="F122" s="157" t="s">
        <v>918</v>
      </c>
      <c r="G122" s="157" t="s">
        <v>292</v>
      </c>
      <c r="H122" s="157" t="s">
        <v>919</v>
      </c>
    </row>
    <row r="123" spans="2:8" ht="13.5" thickBot="1">
      <c r="B123" s="171"/>
      <c r="C123" s="157" t="s">
        <v>920</v>
      </c>
      <c r="D123" s="55">
        <f>E35</f>
        <v>9.2499999999999999E-2</v>
      </c>
      <c r="E123" s="55">
        <f>E56</f>
        <v>0.1</v>
      </c>
      <c r="F123" s="55">
        <f>E76</f>
        <v>0.11</v>
      </c>
      <c r="H123" s="146"/>
    </row>
    <row r="124" spans="2:8" ht="13.5" thickBot="1">
      <c r="B124" s="171"/>
      <c r="C124" s="157" t="s">
        <v>386</v>
      </c>
      <c r="D124" s="39"/>
      <c r="E124" s="39"/>
      <c r="F124" s="23"/>
      <c r="H124" s="146"/>
    </row>
    <row r="125" spans="2:8">
      <c r="B125" s="171"/>
      <c r="C125" s="171">
        <v>0</v>
      </c>
      <c r="D125" s="69">
        <f t="shared" ref="D125:D134" si="34">C40</f>
        <v>27000</v>
      </c>
      <c r="E125" s="69">
        <f t="shared" ref="E125:E134" si="35">C60</f>
        <v>15000</v>
      </c>
      <c r="F125" s="69">
        <f t="shared" ref="F125:F134" si="36">C82</f>
        <v>30000</v>
      </c>
      <c r="G125" s="69">
        <f t="shared" ref="G125:G134" si="37">D125+E125+F125</f>
        <v>72000</v>
      </c>
      <c r="H125" s="300">
        <f t="shared" ref="H125:H134" si="38">(+C82*$E$76+C40*$E$35+C60*$E$56)/(C82+C40+C60)</f>
        <v>0.10135416666666666</v>
      </c>
    </row>
    <row r="126" spans="2:8">
      <c r="B126" s="171"/>
      <c r="C126" s="171">
        <f t="shared" ref="C126:C134" si="39">C125+1</f>
        <v>1</v>
      </c>
      <c r="D126" s="69">
        <f t="shared" si="34"/>
        <v>19214.892967688225</v>
      </c>
      <c r="E126" s="69">
        <f t="shared" si="35"/>
        <v>15000</v>
      </c>
      <c r="F126" s="69">
        <f t="shared" si="36"/>
        <v>33300</v>
      </c>
      <c r="G126" s="69">
        <f t="shared" si="37"/>
        <v>67514.892967688225</v>
      </c>
      <c r="H126" s="300">
        <f t="shared" si="38"/>
        <v>0.10279772794474751</v>
      </c>
    </row>
    <row r="127" spans="2:8">
      <c r="B127" s="171"/>
      <c r="C127" s="171">
        <f t="shared" si="39"/>
        <v>2</v>
      </c>
      <c r="D127" s="69">
        <f t="shared" si="34"/>
        <v>10573.424161822153</v>
      </c>
      <c r="E127" s="69">
        <f t="shared" si="35"/>
        <v>15000</v>
      </c>
      <c r="F127" s="69">
        <f t="shared" si="36"/>
        <v>36963</v>
      </c>
      <c r="G127" s="69">
        <f t="shared" si="37"/>
        <v>62536.424161822157</v>
      </c>
      <c r="H127" s="300">
        <f t="shared" si="38"/>
        <v>0.10464256347684772</v>
      </c>
    </row>
    <row r="128" spans="2:8">
      <c r="B128" s="171"/>
      <c r="C128" s="171">
        <f t="shared" si="39"/>
        <v>3</v>
      </c>
      <c r="D128" s="69">
        <f t="shared" si="34"/>
        <v>981.39378731081524</v>
      </c>
      <c r="E128" s="69">
        <f t="shared" si="35"/>
        <v>15000</v>
      </c>
      <c r="F128" s="69">
        <f t="shared" si="36"/>
        <v>41028.93</v>
      </c>
      <c r="G128" s="69">
        <f t="shared" si="37"/>
        <v>57010.323787310816</v>
      </c>
      <c r="H128" s="300">
        <f t="shared" si="38"/>
        <v>0.10706764704754847</v>
      </c>
    </row>
    <row r="129" spans="2:9">
      <c r="B129" s="171"/>
      <c r="C129" s="171">
        <f t="shared" si="39"/>
        <v>4</v>
      </c>
      <c r="D129" s="69">
        <f t="shared" si="34"/>
        <v>0</v>
      </c>
      <c r="E129" s="69">
        <f t="shared" si="35"/>
        <v>5334.2400716032334</v>
      </c>
      <c r="F129" s="69">
        <f t="shared" si="36"/>
        <v>45542.112300000001</v>
      </c>
      <c r="G129" s="69">
        <f t="shared" si="37"/>
        <v>50876.352371603236</v>
      </c>
      <c r="H129" s="300">
        <f t="shared" si="38"/>
        <v>0.10895152859374789</v>
      </c>
    </row>
    <row r="130" spans="2:9">
      <c r="B130" s="171"/>
      <c r="C130" s="171">
        <f t="shared" si="39"/>
        <v>5</v>
      </c>
      <c r="D130" s="69">
        <f t="shared" si="34"/>
        <v>0</v>
      </c>
      <c r="E130" s="69">
        <f t="shared" si="35"/>
        <v>0</v>
      </c>
      <c r="F130" s="69">
        <f t="shared" si="36"/>
        <v>44067.644100167818</v>
      </c>
      <c r="G130" s="69">
        <f t="shared" si="37"/>
        <v>44067.644100167818</v>
      </c>
      <c r="H130" s="300">
        <f t="shared" si="38"/>
        <v>0.11000000000000001</v>
      </c>
    </row>
    <row r="131" spans="2:9">
      <c r="B131" s="171"/>
      <c r="C131" s="171">
        <f t="shared" si="39"/>
        <v>6</v>
      </c>
      <c r="D131" s="69">
        <f t="shared" si="34"/>
        <v>0</v>
      </c>
      <c r="E131" s="69">
        <f t="shared" si="35"/>
        <v>0</v>
      </c>
      <c r="F131" s="69">
        <f t="shared" si="36"/>
        <v>36509.977918874501</v>
      </c>
      <c r="G131" s="69">
        <f t="shared" si="37"/>
        <v>36509.977918874501</v>
      </c>
      <c r="H131" s="300">
        <f t="shared" si="38"/>
        <v>0.11</v>
      </c>
    </row>
    <row r="132" spans="2:9">
      <c r="B132" s="171"/>
      <c r="C132" s="171">
        <f t="shared" si="39"/>
        <v>7</v>
      </c>
      <c r="D132" s="69">
        <f t="shared" si="34"/>
        <v>0</v>
      </c>
      <c r="E132" s="69">
        <f t="shared" si="35"/>
        <v>0</v>
      </c>
      <c r="F132" s="69">
        <f t="shared" si="36"/>
        <v>28120.968457638919</v>
      </c>
      <c r="G132" s="69">
        <f t="shared" si="37"/>
        <v>28120.968457638919</v>
      </c>
      <c r="H132" s="300">
        <f t="shared" si="38"/>
        <v>0.10999999999999999</v>
      </c>
    </row>
    <row r="133" spans="2:9">
      <c r="B133" s="171"/>
      <c r="C133" s="171">
        <f t="shared" si="39"/>
        <v>8</v>
      </c>
      <c r="D133" s="69">
        <f t="shared" si="34"/>
        <v>0</v>
      </c>
      <c r="E133" s="69">
        <f t="shared" si="35"/>
        <v>0</v>
      </c>
      <c r="F133" s="69">
        <f t="shared" si="36"/>
        <v>18809.167955667424</v>
      </c>
      <c r="G133" s="69">
        <f t="shared" si="37"/>
        <v>18809.167955667424</v>
      </c>
      <c r="H133" s="300">
        <f t="shared" si="38"/>
        <v>0.11</v>
      </c>
    </row>
    <row r="134" spans="2:9" ht="13" thickBot="1">
      <c r="B134" s="171"/>
      <c r="C134" s="228">
        <f t="shared" si="39"/>
        <v>9</v>
      </c>
      <c r="D134" s="310">
        <f t="shared" si="34"/>
        <v>0</v>
      </c>
      <c r="E134" s="310">
        <f t="shared" si="35"/>
        <v>0</v>
      </c>
      <c r="F134" s="310">
        <f t="shared" si="36"/>
        <v>8473.0693984790705</v>
      </c>
      <c r="G134" s="310">
        <f t="shared" si="37"/>
        <v>8473.0693984790705</v>
      </c>
      <c r="H134" s="311">
        <f t="shared" si="38"/>
        <v>0.11</v>
      </c>
    </row>
    <row r="135" spans="2:9">
      <c r="B135" s="171"/>
      <c r="C135" s="39"/>
      <c r="D135" s="39"/>
      <c r="E135" s="39"/>
      <c r="F135" s="39"/>
      <c r="G135" s="39"/>
      <c r="H135" s="39"/>
    </row>
    <row r="136" spans="2:9" ht="13" thickBot="1">
      <c r="B136" s="171"/>
      <c r="C136" s="39"/>
      <c r="D136" s="39"/>
      <c r="E136" s="39"/>
      <c r="F136" s="39"/>
      <c r="G136" s="39"/>
      <c r="H136" s="39"/>
    </row>
    <row r="137" spans="2:9" ht="13.5" thickBot="1">
      <c r="B137" s="168" t="s">
        <v>921</v>
      </c>
      <c r="C137" s="39"/>
      <c r="D137" s="39"/>
      <c r="E137" s="56"/>
      <c r="F137" s="155">
        <f>H125</f>
        <v>0.10135416666666666</v>
      </c>
      <c r="G137" s="39" t="s">
        <v>1295</v>
      </c>
      <c r="H137" s="55">
        <f>E9</f>
        <v>0.11</v>
      </c>
      <c r="I137" s="39" t="s">
        <v>1296</v>
      </c>
    </row>
    <row r="138" spans="2:9">
      <c r="B138" s="171"/>
      <c r="C138" s="39"/>
      <c r="D138" s="39"/>
      <c r="E138" s="39"/>
      <c r="F138" s="39"/>
      <c r="G138" s="39"/>
      <c r="H138" s="39"/>
    </row>
    <row r="139" spans="2:9" ht="13">
      <c r="B139" s="168" t="s">
        <v>922</v>
      </c>
      <c r="C139" s="39"/>
      <c r="D139" s="39"/>
      <c r="E139" s="39"/>
      <c r="F139" s="39"/>
      <c r="G139" s="39"/>
      <c r="H139" s="39"/>
    </row>
    <row r="140" spans="2:9" ht="13">
      <c r="B140" s="171"/>
      <c r="C140" s="1" t="s">
        <v>923</v>
      </c>
      <c r="D140" s="39"/>
      <c r="E140" s="39"/>
      <c r="F140" s="39"/>
      <c r="G140" s="39"/>
      <c r="H140" s="39"/>
    </row>
    <row r="141" spans="2:9">
      <c r="B141" s="171"/>
      <c r="C141" s="39"/>
      <c r="D141" s="39"/>
      <c r="E141" s="39"/>
      <c r="F141" s="39"/>
      <c r="G141" s="39"/>
      <c r="H141" s="39"/>
    </row>
    <row r="142" spans="2:9" ht="13">
      <c r="B142" s="168" t="s">
        <v>924</v>
      </c>
      <c r="C142" s="39"/>
      <c r="D142" s="39"/>
      <c r="E142" s="39"/>
      <c r="F142" s="39"/>
      <c r="G142" s="39"/>
      <c r="H142" s="39"/>
    </row>
    <row r="143" spans="2:9">
      <c r="B143" s="171"/>
      <c r="C143" s="39"/>
      <c r="D143" s="39"/>
      <c r="E143" s="39"/>
      <c r="F143" s="39"/>
      <c r="G143" s="39"/>
      <c r="H143" s="39"/>
    </row>
    <row r="144" spans="2:9" ht="13">
      <c r="B144" s="171"/>
      <c r="C144" s="1" t="s">
        <v>925</v>
      </c>
      <c r="D144" s="39"/>
      <c r="E144" s="39"/>
      <c r="F144" s="39"/>
      <c r="G144" s="39"/>
      <c r="H144" s="39"/>
    </row>
    <row r="145" spans="2:8">
      <c r="B145" s="171"/>
      <c r="C145" s="39"/>
      <c r="D145" s="39"/>
      <c r="E145" s="39"/>
      <c r="F145" s="39"/>
      <c r="G145" s="39"/>
      <c r="H145" s="39"/>
    </row>
    <row r="146" spans="2:8">
      <c r="B146" s="171"/>
      <c r="C146" s="39"/>
      <c r="D146" s="39"/>
      <c r="E146" s="39"/>
      <c r="F146" s="39"/>
      <c r="G146" s="39"/>
      <c r="H146" s="39"/>
    </row>
    <row r="147" spans="2:8">
      <c r="B147" s="171"/>
      <c r="C147" s="39"/>
      <c r="D147" s="39"/>
      <c r="E147" s="39"/>
      <c r="F147" s="39"/>
      <c r="G147" s="39"/>
      <c r="H147" s="39"/>
    </row>
    <row r="148" spans="2:8">
      <c r="B148" s="171"/>
      <c r="C148" s="39"/>
      <c r="D148" s="39"/>
      <c r="E148" s="39"/>
      <c r="F148" s="39"/>
      <c r="G148" s="39"/>
      <c r="H148" s="39"/>
    </row>
    <row r="149" spans="2:8">
      <c r="B149" s="171"/>
      <c r="C149" s="39"/>
      <c r="D149" s="39"/>
      <c r="E149" s="39"/>
      <c r="F149" s="39"/>
      <c r="G149" s="39"/>
      <c r="H149" s="39"/>
    </row>
    <row r="150" spans="2:8">
      <c r="B150" s="171"/>
      <c r="C150" s="39"/>
      <c r="D150" s="39"/>
      <c r="E150" s="39"/>
      <c r="F150" s="39"/>
      <c r="G150" s="39"/>
      <c r="H150" s="39"/>
    </row>
    <row r="151" spans="2:8">
      <c r="B151" s="171"/>
      <c r="C151" s="39"/>
      <c r="D151" s="39"/>
      <c r="E151" s="39"/>
      <c r="F151" s="39"/>
      <c r="G151" s="39"/>
      <c r="H151" s="39"/>
    </row>
    <row r="152" spans="2:8">
      <c r="B152" s="171"/>
      <c r="C152" s="39"/>
      <c r="D152" s="39"/>
      <c r="E152" s="39"/>
      <c r="F152" s="39"/>
      <c r="G152" s="39"/>
      <c r="H152" s="39"/>
    </row>
    <row r="153" spans="2:8">
      <c r="B153" s="171"/>
      <c r="C153" s="39"/>
      <c r="D153" s="39"/>
      <c r="E153" s="39"/>
      <c r="F153" s="39"/>
      <c r="G153" s="39"/>
      <c r="H153" s="39"/>
    </row>
    <row r="154" spans="2:8">
      <c r="B154" s="171"/>
      <c r="C154" s="39"/>
      <c r="D154" s="39"/>
      <c r="E154" s="39"/>
      <c r="F154" s="39"/>
      <c r="G154" s="39"/>
      <c r="H154" s="39"/>
    </row>
    <row r="155" spans="2:8">
      <c r="B155" s="171"/>
      <c r="C155" s="39"/>
      <c r="D155" s="39"/>
      <c r="E155" s="39"/>
      <c r="F155" s="39"/>
      <c r="G155" s="39"/>
      <c r="H155" s="39"/>
    </row>
    <row r="156" spans="2:8">
      <c r="B156" s="171"/>
      <c r="C156" s="39"/>
      <c r="D156" s="39"/>
      <c r="E156" s="39"/>
      <c r="F156" s="39"/>
      <c r="G156" s="39"/>
      <c r="H156" s="39"/>
    </row>
    <row r="157" spans="2:8">
      <c r="B157" s="171"/>
      <c r="C157" s="39"/>
      <c r="D157" s="39"/>
      <c r="E157" s="39"/>
      <c r="F157" s="39"/>
      <c r="G157" s="39"/>
      <c r="H157" s="39"/>
    </row>
    <row r="158" spans="2:8">
      <c r="B158" s="171"/>
      <c r="C158" s="39"/>
      <c r="D158" s="39"/>
      <c r="E158" s="39"/>
      <c r="F158" s="39"/>
      <c r="G158" s="39"/>
      <c r="H158" s="39"/>
    </row>
    <row r="159" spans="2:8">
      <c r="B159" s="171"/>
      <c r="C159" s="39"/>
      <c r="D159" s="39"/>
      <c r="E159" s="39"/>
      <c r="F159" s="39"/>
      <c r="G159" s="39"/>
      <c r="H159" s="39"/>
    </row>
    <row r="160" spans="2:8">
      <c r="B160" s="171"/>
      <c r="C160" s="39"/>
      <c r="D160" s="39"/>
      <c r="E160" s="39"/>
      <c r="F160" s="39"/>
      <c r="G160" s="39"/>
      <c r="H160" s="39"/>
    </row>
    <row r="161" spans="2:9">
      <c r="B161" s="171"/>
      <c r="C161" s="39"/>
      <c r="D161" s="39"/>
      <c r="E161" s="39"/>
      <c r="F161" s="39"/>
      <c r="G161" s="39"/>
      <c r="H161" s="39"/>
    </row>
    <row r="162" spans="2:9">
      <c r="B162" s="171"/>
      <c r="C162" s="39"/>
      <c r="D162" s="39"/>
      <c r="E162" s="39"/>
      <c r="F162" s="39"/>
      <c r="G162" s="39"/>
      <c r="H162" s="39"/>
    </row>
    <row r="163" spans="2:9">
      <c r="B163" s="171"/>
      <c r="C163" s="39"/>
      <c r="D163" s="39"/>
      <c r="E163" s="39"/>
      <c r="F163" s="39"/>
      <c r="G163" s="39"/>
      <c r="H163" s="39"/>
    </row>
    <row r="164" spans="2:9">
      <c r="B164" s="171"/>
      <c r="C164" s="39"/>
      <c r="D164" s="39"/>
      <c r="E164" s="39"/>
      <c r="F164" s="39"/>
      <c r="G164" s="39"/>
      <c r="H164" s="39"/>
    </row>
    <row r="165" spans="2:9">
      <c r="B165" s="171"/>
      <c r="C165" s="39"/>
      <c r="D165" s="39"/>
      <c r="E165" s="39"/>
      <c r="F165" s="39"/>
      <c r="G165" s="39"/>
      <c r="H165" s="39"/>
    </row>
    <row r="166" spans="2:9">
      <c r="B166" s="171"/>
      <c r="C166" s="39"/>
      <c r="D166" s="39"/>
      <c r="E166" s="39"/>
      <c r="F166" s="39"/>
      <c r="G166" s="39"/>
      <c r="H166" s="39"/>
    </row>
    <row r="167" spans="2:9">
      <c r="B167" s="171"/>
      <c r="C167" s="39"/>
      <c r="D167" s="39"/>
      <c r="E167" s="39"/>
      <c r="F167" s="39"/>
      <c r="G167" s="39"/>
      <c r="H167" s="39"/>
    </row>
    <row r="168" spans="2:9">
      <c r="B168" s="171"/>
      <c r="C168" s="39"/>
      <c r="D168" s="39"/>
      <c r="E168" s="39"/>
      <c r="F168" s="39"/>
      <c r="G168" s="39"/>
      <c r="H168" s="39"/>
    </row>
    <row r="169" spans="2:9" ht="13" thickBot="1">
      <c r="B169" s="228"/>
      <c r="C169" s="63"/>
      <c r="D169" s="63"/>
      <c r="E169" s="63"/>
      <c r="F169" s="63"/>
      <c r="G169" s="63"/>
      <c r="H169" s="63"/>
      <c r="I169" s="4"/>
    </row>
    <row r="170" spans="2:9" ht="13" thickBot="1">
      <c r="B170" s="276"/>
      <c r="C170" s="277"/>
      <c r="D170" s="277"/>
      <c r="E170" s="277"/>
      <c r="F170" s="277"/>
      <c r="G170" s="277"/>
      <c r="H170" s="277"/>
      <c r="I170" s="122"/>
    </row>
    <row r="171" spans="2:9" ht="13.5" thickBot="1">
      <c r="B171" s="1547" t="s">
        <v>1454</v>
      </c>
      <c r="C171" s="1538"/>
      <c r="D171" s="1538"/>
      <c r="E171" s="1538"/>
      <c r="F171" s="1538"/>
      <c r="G171" s="1538"/>
      <c r="H171" s="1539"/>
    </row>
    <row r="172" spans="2:9" ht="13" thickBot="1">
      <c r="B172" s="171"/>
      <c r="C172" s="39"/>
      <c r="D172" s="39"/>
      <c r="E172" s="39"/>
      <c r="F172" s="39"/>
      <c r="G172" s="39"/>
      <c r="H172" s="39"/>
    </row>
    <row r="173" spans="2:9" ht="13.5" thickBot="1">
      <c r="B173" s="171"/>
      <c r="C173" s="39"/>
      <c r="D173" s="39"/>
      <c r="E173" s="157" t="s">
        <v>1439</v>
      </c>
      <c r="F173" s="157" t="s">
        <v>926</v>
      </c>
      <c r="G173" s="39"/>
      <c r="H173" s="39"/>
    </row>
    <row r="174" spans="2:9" ht="13.5" thickBot="1">
      <c r="B174" s="171"/>
      <c r="C174" s="39"/>
      <c r="D174" s="39"/>
      <c r="E174" s="845">
        <f>+IRR(E104:E114)</f>
        <v>0.20194244725567478</v>
      </c>
      <c r="F174" s="1066">
        <f>E116</f>
        <v>0.20194244725079802</v>
      </c>
      <c r="G174" s="39"/>
      <c r="H174" s="39"/>
    </row>
    <row r="175" spans="2:9">
      <c r="B175" s="171"/>
      <c r="C175" s="39"/>
      <c r="D175" s="39"/>
      <c r="E175" s="330">
        <v>0</v>
      </c>
      <c r="F175" s="300">
        <f t="dataTable" ref="F175:F181" dt2D="0" dtr="0" r1="G13"/>
        <v>0.20194244725079802</v>
      </c>
      <c r="G175" s="39"/>
      <c r="H175" s="39"/>
    </row>
    <row r="176" spans="2:9">
      <c r="B176" s="171"/>
      <c r="C176" s="39"/>
      <c r="D176" s="39"/>
      <c r="E176" s="330">
        <f t="shared" ref="E176:E181" si="40">E175+0.05</f>
        <v>0.05</v>
      </c>
      <c r="F176" s="300">
        <v>0.18459333281643819</v>
      </c>
      <c r="G176" s="39"/>
      <c r="H176" s="39"/>
    </row>
    <row r="177" spans="2:8">
      <c r="B177" s="171"/>
      <c r="C177" s="39"/>
      <c r="D177" s="39"/>
      <c r="E177" s="330">
        <f t="shared" si="40"/>
        <v>0.1</v>
      </c>
      <c r="F177" s="300">
        <v>0.17248849273712086</v>
      </c>
      <c r="G177" s="39"/>
      <c r="H177" s="39"/>
    </row>
    <row r="178" spans="2:8">
      <c r="B178" s="171"/>
      <c r="C178" s="39"/>
      <c r="D178" s="39"/>
      <c r="E178" s="330">
        <f t="shared" si="40"/>
        <v>0.15000000000000002</v>
      </c>
      <c r="F178" s="300">
        <v>0.16658257731501069</v>
      </c>
      <c r="G178" s="39"/>
      <c r="H178" s="39"/>
    </row>
    <row r="179" spans="2:8">
      <c r="B179" s="171"/>
      <c r="C179" s="39"/>
      <c r="D179" s="39"/>
      <c r="E179" s="330">
        <f t="shared" si="40"/>
        <v>0.2</v>
      </c>
      <c r="F179" s="300">
        <v>0.16095376532733474</v>
      </c>
      <c r="G179" s="39"/>
      <c r="H179" s="39"/>
    </row>
    <row r="180" spans="2:8">
      <c r="B180" s="171"/>
      <c r="C180" s="39"/>
      <c r="D180" s="39"/>
      <c r="E180" s="330">
        <f t="shared" si="40"/>
        <v>0.25</v>
      </c>
      <c r="F180" s="300">
        <v>0.15837910922808218</v>
      </c>
      <c r="G180" s="39"/>
      <c r="H180" s="39"/>
    </row>
    <row r="181" spans="2:8" ht="13" thickBot="1">
      <c r="B181" s="171"/>
      <c r="C181" s="39"/>
      <c r="D181" s="39"/>
      <c r="E181" s="331">
        <f t="shared" si="40"/>
        <v>0.3</v>
      </c>
      <c r="F181" s="311">
        <v>0.15840809973666103</v>
      </c>
      <c r="G181" s="39"/>
      <c r="H181" s="39"/>
    </row>
    <row r="182" spans="2:8">
      <c r="B182" s="171"/>
      <c r="C182" s="39"/>
      <c r="D182" s="39"/>
      <c r="E182" s="39"/>
      <c r="F182" s="39"/>
      <c r="G182" s="39"/>
      <c r="H182" s="39"/>
    </row>
    <row r="183" spans="2:8">
      <c r="B183" s="171"/>
      <c r="C183" s="39"/>
      <c r="D183" s="39"/>
      <c r="E183" s="39"/>
      <c r="F183" s="39"/>
      <c r="G183" s="39"/>
      <c r="H183" s="39"/>
    </row>
    <row r="184" spans="2:8">
      <c r="B184" s="171"/>
      <c r="C184" s="39"/>
      <c r="D184" s="39"/>
      <c r="E184" s="39"/>
      <c r="F184" s="39"/>
      <c r="G184" s="39"/>
      <c r="H184" s="39"/>
    </row>
    <row r="185" spans="2:8" ht="13">
      <c r="B185" s="171"/>
      <c r="C185" s="1" t="s">
        <v>1455</v>
      </c>
      <c r="D185" s="39"/>
      <c r="E185" s="39"/>
      <c r="F185" s="39"/>
      <c r="G185" s="39"/>
      <c r="H185" s="39"/>
    </row>
    <row r="186" spans="2:8">
      <c r="B186" s="171"/>
      <c r="C186" s="39"/>
      <c r="D186" s="39"/>
      <c r="E186" s="39"/>
      <c r="F186" s="39"/>
      <c r="G186" s="39"/>
      <c r="H186" s="39"/>
    </row>
    <row r="187" spans="2:8">
      <c r="B187" s="171"/>
      <c r="C187" s="39"/>
      <c r="D187" s="39"/>
      <c r="E187" s="39"/>
      <c r="F187" s="39"/>
      <c r="G187" s="39"/>
      <c r="H187" s="39"/>
    </row>
    <row r="188" spans="2:8">
      <c r="B188" s="171"/>
      <c r="C188" s="39"/>
      <c r="D188" s="39"/>
      <c r="E188" s="39"/>
      <c r="F188" s="39"/>
      <c r="G188" s="39"/>
      <c r="H188" s="39"/>
    </row>
    <row r="189" spans="2:8">
      <c r="B189" s="171"/>
      <c r="C189" s="39"/>
      <c r="D189" s="39"/>
      <c r="E189" s="39"/>
      <c r="F189" s="39"/>
      <c r="G189" s="39"/>
      <c r="H189" s="39"/>
    </row>
    <row r="190" spans="2:8">
      <c r="B190" s="171"/>
      <c r="C190" s="39"/>
      <c r="D190" s="39"/>
      <c r="E190" s="39"/>
      <c r="F190" s="39"/>
      <c r="G190" s="39"/>
      <c r="H190" s="39"/>
    </row>
    <row r="191" spans="2:8">
      <c r="B191" s="171"/>
      <c r="C191" s="39"/>
      <c r="D191" s="39"/>
      <c r="E191" s="39"/>
      <c r="F191" s="39"/>
      <c r="G191" s="39"/>
      <c r="H191" s="39"/>
    </row>
    <row r="192" spans="2:8">
      <c r="B192" s="171"/>
      <c r="C192" s="39"/>
      <c r="D192" s="39"/>
      <c r="E192" s="39"/>
      <c r="F192" s="39"/>
      <c r="G192" s="39"/>
      <c r="H192" s="39"/>
    </row>
    <row r="193" spans="2:8">
      <c r="B193" s="171"/>
      <c r="C193" s="39"/>
      <c r="D193" s="39"/>
      <c r="E193" s="39"/>
      <c r="F193" s="39"/>
      <c r="G193" s="39"/>
      <c r="H193" s="39"/>
    </row>
    <row r="194" spans="2:8">
      <c r="B194" s="171"/>
      <c r="C194" s="39"/>
      <c r="D194" s="39"/>
      <c r="E194" s="39"/>
      <c r="F194" s="39"/>
      <c r="G194" s="39"/>
      <c r="H194" s="39"/>
    </row>
    <row r="195" spans="2:8">
      <c r="B195" s="171"/>
      <c r="C195" s="39"/>
      <c r="D195" s="39"/>
      <c r="E195" s="39"/>
      <c r="F195" s="39"/>
      <c r="G195" s="39"/>
      <c r="H195" s="39"/>
    </row>
    <row r="196" spans="2:8">
      <c r="B196" s="171"/>
      <c r="C196" s="39"/>
      <c r="D196" s="39"/>
      <c r="E196" s="39"/>
      <c r="F196" s="39"/>
      <c r="G196" s="39"/>
      <c r="H196" s="39"/>
    </row>
    <row r="197" spans="2:8">
      <c r="B197" s="171"/>
      <c r="C197" s="39"/>
      <c r="D197" s="39"/>
      <c r="E197" s="39"/>
      <c r="F197" s="39"/>
      <c r="G197" s="39"/>
      <c r="H197" s="39"/>
    </row>
    <row r="198" spans="2:8">
      <c r="B198" s="171"/>
      <c r="C198" s="39"/>
      <c r="D198" s="39"/>
      <c r="E198" s="39"/>
      <c r="F198" s="39"/>
      <c r="G198" s="39"/>
      <c r="H198" s="39"/>
    </row>
    <row r="199" spans="2:8">
      <c r="B199" s="171"/>
      <c r="C199" s="39"/>
      <c r="D199" s="39"/>
      <c r="E199" s="39"/>
      <c r="F199" s="39"/>
      <c r="G199" s="39"/>
      <c r="H199" s="39"/>
    </row>
    <row r="200" spans="2:8">
      <c r="B200" s="171"/>
      <c r="C200" s="39"/>
      <c r="D200" s="39"/>
      <c r="E200" s="39"/>
      <c r="F200" s="39"/>
      <c r="G200" s="39"/>
      <c r="H200" s="39"/>
    </row>
    <row r="201" spans="2:8">
      <c r="B201" s="171"/>
      <c r="C201" s="39"/>
      <c r="D201" s="39"/>
      <c r="E201" s="39"/>
      <c r="F201" s="39"/>
      <c r="G201" s="39"/>
      <c r="H201" s="39"/>
    </row>
    <row r="202" spans="2:8">
      <c r="B202" s="171"/>
      <c r="C202" s="39"/>
      <c r="D202" s="39"/>
      <c r="E202" s="39"/>
      <c r="F202" s="39"/>
      <c r="G202" s="39"/>
      <c r="H202" s="39"/>
    </row>
    <row r="203" spans="2:8">
      <c r="B203" s="171"/>
      <c r="C203" s="39"/>
      <c r="D203" s="39"/>
      <c r="E203" s="39"/>
      <c r="F203" s="39"/>
      <c r="G203" s="39"/>
      <c r="H203" s="39"/>
    </row>
    <row r="204" spans="2:8">
      <c r="B204" s="171"/>
      <c r="C204" s="39"/>
      <c r="D204" s="39"/>
      <c r="E204" s="39"/>
      <c r="F204" s="39"/>
      <c r="G204" s="39"/>
      <c r="H204" s="39"/>
    </row>
    <row r="205" spans="2:8">
      <c r="B205" s="171"/>
      <c r="C205" s="39"/>
      <c r="D205" s="39"/>
      <c r="E205" s="39"/>
      <c r="F205" s="39"/>
      <c r="G205" s="39"/>
      <c r="H205" s="39"/>
    </row>
    <row r="206" spans="2:8">
      <c r="B206" s="171"/>
      <c r="C206" s="39"/>
      <c r="D206" s="39"/>
      <c r="E206" s="39"/>
      <c r="F206" s="39"/>
      <c r="G206" s="39"/>
      <c r="H206" s="39"/>
    </row>
    <row r="207" spans="2:8">
      <c r="B207" s="171"/>
      <c r="C207" s="39"/>
      <c r="D207" s="39"/>
      <c r="E207" s="39"/>
      <c r="F207" s="39"/>
      <c r="G207" s="39"/>
      <c r="H207" s="39"/>
    </row>
    <row r="208" spans="2:8">
      <c r="B208" s="171"/>
      <c r="C208" s="39"/>
      <c r="D208" s="39"/>
      <c r="E208" s="39"/>
      <c r="F208" s="39"/>
      <c r="G208" s="39"/>
      <c r="H208" s="39"/>
    </row>
    <row r="209" spans="2:9">
      <c r="B209" s="171"/>
      <c r="C209" s="39"/>
      <c r="D209" s="39"/>
      <c r="E209" s="39"/>
      <c r="F209" s="39"/>
      <c r="G209" s="39"/>
      <c r="H209" s="39"/>
    </row>
    <row r="210" spans="2:9">
      <c r="B210" s="171"/>
      <c r="C210" s="39"/>
      <c r="D210" s="39"/>
      <c r="E210" s="39"/>
      <c r="F210" s="39"/>
      <c r="G210" s="39"/>
      <c r="H210" s="39"/>
    </row>
    <row r="211" spans="2:9">
      <c r="B211" s="171"/>
      <c r="C211" s="39"/>
      <c r="D211" s="39"/>
      <c r="E211" s="39"/>
      <c r="F211" s="39"/>
      <c r="G211" s="39"/>
      <c r="H211" s="39"/>
    </row>
    <row r="212" spans="2:9">
      <c r="B212" s="171"/>
      <c r="C212" s="39"/>
      <c r="D212" s="39"/>
      <c r="E212" s="39"/>
      <c r="F212" s="39"/>
      <c r="G212" s="39"/>
      <c r="H212" s="39"/>
    </row>
    <row r="213" spans="2:9" ht="13" thickBot="1">
      <c r="B213" s="134"/>
      <c r="C213" s="4"/>
      <c r="D213" s="4"/>
      <c r="E213" s="4"/>
      <c r="F213" s="4"/>
      <c r="G213" s="4"/>
      <c r="H213" s="4"/>
      <c r="I213" s="4"/>
    </row>
  </sheetData>
  <mergeCells count="14">
    <mergeCell ref="C6:F6"/>
    <mergeCell ref="B15:H15"/>
    <mergeCell ref="B74:H74"/>
    <mergeCell ref="B2:J2"/>
    <mergeCell ref="B4:J4"/>
    <mergeCell ref="G6:I6"/>
    <mergeCell ref="B3:J3"/>
    <mergeCell ref="B171:H171"/>
    <mergeCell ref="C121:H121"/>
    <mergeCell ref="J55:N55"/>
    <mergeCell ref="B54:H54"/>
    <mergeCell ref="B32:H32"/>
    <mergeCell ref="B99:H99"/>
    <mergeCell ref="B119:H119"/>
  </mergeCells>
  <phoneticPr fontId="0" type="noConversion"/>
  <pageMargins left="0.75" right="0.75" top="1" bottom="1" header="0.5" footer="0.5"/>
  <pageSetup orientation="portrait" r:id="rId1"/>
  <headerFooter alignWithMargins="0"/>
  <drawing r:id="rId2"/>
  <legacyDrawing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1:I72"/>
  <sheetViews>
    <sheetView topLeftCell="A4" workbookViewId="0">
      <selection activeCell="I24" sqref="I24"/>
    </sheetView>
  </sheetViews>
  <sheetFormatPr defaultRowHeight="12.5"/>
  <cols>
    <col min="2" max="2" width="27.7265625" customWidth="1"/>
    <col min="3" max="3" width="12.1796875" customWidth="1"/>
    <col min="4" max="4" width="13.1796875" customWidth="1"/>
    <col min="5" max="5" width="16.54296875" customWidth="1"/>
    <col min="6" max="6" width="11.81640625" customWidth="1"/>
    <col min="7" max="7" width="13.54296875" customWidth="1"/>
  </cols>
  <sheetData>
    <row r="1" spans="2:9" ht="13" thickBot="1"/>
    <row r="2" spans="2:9" ht="18.5" thickBot="1">
      <c r="B2" s="1525" t="s">
        <v>1012</v>
      </c>
      <c r="C2" s="1657"/>
      <c r="D2" s="1657"/>
      <c r="E2" s="1657"/>
      <c r="F2" s="1657"/>
      <c r="G2" s="1657"/>
      <c r="H2" s="1657"/>
      <c r="I2" s="1658"/>
    </row>
    <row r="3" spans="2:9" ht="16" thickBot="1">
      <c r="B3" s="1528" t="s">
        <v>942</v>
      </c>
      <c r="C3" s="1702"/>
      <c r="D3" s="1702"/>
      <c r="E3" s="1702"/>
      <c r="F3" s="1702"/>
      <c r="G3" s="1702"/>
      <c r="H3" s="1702"/>
      <c r="I3" s="1703"/>
    </row>
    <row r="4" spans="2:9" ht="13.5" thickBot="1">
      <c r="B4" s="171"/>
      <c r="C4" s="39"/>
      <c r="D4" s="1"/>
      <c r="E4" s="39"/>
      <c r="F4" s="39"/>
      <c r="G4" s="39"/>
      <c r="I4" s="126"/>
    </row>
    <row r="5" spans="2:9" ht="13.5" thickBot="1">
      <c r="B5" s="1531" t="s">
        <v>827</v>
      </c>
      <c r="C5" s="1532"/>
      <c r="D5" s="1533"/>
      <c r="E5" s="39"/>
      <c r="F5" s="39"/>
      <c r="G5" s="39"/>
      <c r="I5" s="126"/>
    </row>
    <row r="6" spans="2:9">
      <c r="B6" s="171" t="s">
        <v>927</v>
      </c>
      <c r="C6" s="39"/>
      <c r="D6" s="247">
        <v>20000000</v>
      </c>
      <c r="E6" s="39"/>
      <c r="F6" s="39"/>
      <c r="G6" s="39"/>
      <c r="I6" s="126"/>
    </row>
    <row r="7" spans="2:9">
      <c r="B7" s="171" t="s">
        <v>928</v>
      </c>
      <c r="C7" s="39"/>
      <c r="D7" s="246">
        <v>0.06</v>
      </c>
      <c r="E7" s="39"/>
      <c r="F7" s="39"/>
      <c r="G7" s="39"/>
      <c r="I7" s="126"/>
    </row>
    <row r="8" spans="2:9" ht="13" thickBot="1">
      <c r="B8" s="228" t="s">
        <v>929</v>
      </c>
      <c r="C8" s="63"/>
      <c r="D8" s="302">
        <f>D7*D6</f>
        <v>1200000</v>
      </c>
      <c r="E8" s="39"/>
      <c r="F8" s="39"/>
      <c r="G8" s="39"/>
      <c r="I8" s="126"/>
    </row>
    <row r="9" spans="2:9" ht="13">
      <c r="B9" s="171"/>
      <c r="C9" s="55"/>
      <c r="D9" s="55"/>
      <c r="E9" s="1"/>
      <c r="F9" s="39"/>
      <c r="G9" s="39"/>
      <c r="I9" s="126"/>
    </row>
    <row r="10" spans="2:9" ht="13" thickBot="1">
      <c r="B10" s="171"/>
      <c r="C10" s="55"/>
      <c r="D10" s="55"/>
      <c r="E10" s="39"/>
      <c r="F10" s="39"/>
      <c r="G10" s="39"/>
      <c r="I10" s="126"/>
    </row>
    <row r="11" spans="2:9" ht="13">
      <c r="B11" s="276"/>
      <c r="C11" s="136"/>
      <c r="D11" s="136"/>
      <c r="E11" s="136" t="s">
        <v>930</v>
      </c>
      <c r="F11" s="136"/>
      <c r="G11" s="39"/>
      <c r="I11" s="126"/>
    </row>
    <row r="12" spans="2:9" ht="13.5" thickBot="1">
      <c r="B12" s="171"/>
      <c r="C12" s="137" t="s">
        <v>1082</v>
      </c>
      <c r="D12" s="137" t="s">
        <v>931</v>
      </c>
      <c r="E12" s="137" t="s">
        <v>932</v>
      </c>
      <c r="F12" s="137" t="s">
        <v>933</v>
      </c>
      <c r="G12" s="39"/>
      <c r="I12" s="126"/>
    </row>
    <row r="13" spans="2:9">
      <c r="B13" s="171" t="s">
        <v>934</v>
      </c>
      <c r="C13" s="299">
        <f>D13*D6</f>
        <v>10000000</v>
      </c>
      <c r="D13" s="304">
        <v>0.5</v>
      </c>
      <c r="E13" s="55">
        <f>D8/C13-D7</f>
        <v>0.06</v>
      </c>
      <c r="F13" s="300">
        <f>D7+E13</f>
        <v>0.12</v>
      </c>
      <c r="G13" s="39"/>
      <c r="I13" s="126"/>
    </row>
    <row r="14" spans="2:9">
      <c r="B14" s="171" t="s">
        <v>935</v>
      </c>
      <c r="C14" s="82">
        <f>D14*D6</f>
        <v>10000000</v>
      </c>
      <c r="D14" s="305">
        <f>(1-D13)</f>
        <v>0.5</v>
      </c>
      <c r="E14" s="55">
        <f>-E13*C17</f>
        <v>-0.06</v>
      </c>
      <c r="F14" s="300">
        <f>D7+E14</f>
        <v>0</v>
      </c>
      <c r="G14" s="39"/>
      <c r="I14" s="126"/>
    </row>
    <row r="15" spans="2:9" ht="13" thickBot="1">
      <c r="B15" s="228" t="s">
        <v>292</v>
      </c>
      <c r="C15" s="64">
        <f>D6</f>
        <v>20000000</v>
      </c>
      <c r="D15" s="301">
        <f>D13+D14</f>
        <v>1</v>
      </c>
      <c r="E15" s="63"/>
      <c r="F15" s="149"/>
      <c r="G15" s="39"/>
      <c r="I15" s="126"/>
    </row>
    <row r="16" spans="2:9" ht="13" thickBot="1">
      <c r="B16" s="171"/>
      <c r="C16" s="39"/>
      <c r="D16" s="39"/>
      <c r="E16" s="39"/>
      <c r="F16" s="39"/>
      <c r="G16" s="39"/>
      <c r="I16" s="126"/>
    </row>
    <row r="17" spans="2:9" ht="13.5" thickBot="1">
      <c r="B17" s="171" t="s">
        <v>936</v>
      </c>
      <c r="C17" s="306">
        <f>D13/D14</f>
        <v>1</v>
      </c>
      <c r="D17" s="39"/>
      <c r="E17" s="39"/>
      <c r="F17" s="39"/>
      <c r="G17" s="39"/>
      <c r="I17" s="126"/>
    </row>
    <row r="18" spans="2:9" ht="13.5" thickBot="1">
      <c r="B18" s="171" t="s">
        <v>937</v>
      </c>
      <c r="C18" s="155">
        <f>D8/C14</f>
        <v>0.12</v>
      </c>
      <c r="E18" s="39"/>
      <c r="F18" s="39"/>
      <c r="G18" s="39"/>
      <c r="I18" s="126"/>
    </row>
    <row r="19" spans="2:9" ht="13">
      <c r="B19" s="168"/>
      <c r="C19" s="39"/>
      <c r="D19" s="55"/>
      <c r="E19" s="39"/>
      <c r="F19" s="39"/>
      <c r="G19" s="39"/>
      <c r="I19" s="126"/>
    </row>
    <row r="20" spans="2:9" ht="13.5" thickBot="1">
      <c r="B20" s="171"/>
      <c r="C20" s="1"/>
      <c r="D20" s="56"/>
      <c r="E20" s="39"/>
      <c r="F20" s="39"/>
      <c r="G20" s="39"/>
      <c r="I20" s="126"/>
    </row>
    <row r="21" spans="2:9" ht="13.5" thickBot="1">
      <c r="B21" s="157" t="s">
        <v>938</v>
      </c>
      <c r="C21" s="157" t="s">
        <v>939</v>
      </c>
      <c r="D21" s="157" t="s">
        <v>940</v>
      </c>
      <c r="E21" s="157" t="s">
        <v>1083</v>
      </c>
      <c r="F21" s="157" t="s">
        <v>941</v>
      </c>
      <c r="G21" s="157" t="s">
        <v>1084</v>
      </c>
      <c r="I21" s="126"/>
    </row>
    <row r="22" spans="2:9">
      <c r="B22" s="307">
        <v>0</v>
      </c>
      <c r="C22" s="55">
        <f t="shared" ref="C22:C40" si="0">IF(+B22+$D$9&lt;$F$13,B22+$D$9,$F$13)</f>
        <v>0</v>
      </c>
      <c r="D22" s="55">
        <f t="shared" ref="D22:D40" si="1">IF(+$C$18-B22*$C$17&gt;$F$14,+$C$18-B22*$C$17,$F$14)</f>
        <v>0.12</v>
      </c>
      <c r="E22" s="299">
        <f t="shared" ref="E22:E40" si="2">C22*$C$13</f>
        <v>0</v>
      </c>
      <c r="F22" s="299">
        <f t="shared" ref="F22:F40" si="3">D22*$C$14</f>
        <v>1200000</v>
      </c>
      <c r="G22" s="308">
        <f t="shared" ref="G22:G40" si="4">E22+F22</f>
        <v>1200000</v>
      </c>
      <c r="I22" s="126"/>
    </row>
    <row r="23" spans="2:9">
      <c r="B23" s="307">
        <f t="shared" ref="B23:B40" si="5">B22+0.01</f>
        <v>0.01</v>
      </c>
      <c r="C23" s="55">
        <f t="shared" si="0"/>
        <v>0.01</v>
      </c>
      <c r="D23" s="55">
        <f t="shared" si="1"/>
        <v>0.11</v>
      </c>
      <c r="E23" s="34">
        <f t="shared" si="2"/>
        <v>100000</v>
      </c>
      <c r="F23" s="34">
        <f t="shared" si="3"/>
        <v>1100000</v>
      </c>
      <c r="G23" s="309">
        <f t="shared" si="4"/>
        <v>1200000</v>
      </c>
      <c r="I23" s="126"/>
    </row>
    <row r="24" spans="2:9">
      <c r="B24" s="307">
        <f t="shared" si="5"/>
        <v>0.02</v>
      </c>
      <c r="C24" s="55">
        <f t="shared" si="0"/>
        <v>0.02</v>
      </c>
      <c r="D24" s="55">
        <f t="shared" si="1"/>
        <v>9.9999999999999992E-2</v>
      </c>
      <c r="E24" s="34">
        <f t="shared" si="2"/>
        <v>200000</v>
      </c>
      <c r="F24" s="34">
        <f t="shared" si="3"/>
        <v>999999.99999999988</v>
      </c>
      <c r="G24" s="309">
        <f t="shared" si="4"/>
        <v>1200000</v>
      </c>
      <c r="I24" s="126"/>
    </row>
    <row r="25" spans="2:9">
      <c r="B25" s="307">
        <f t="shared" si="5"/>
        <v>0.03</v>
      </c>
      <c r="C25" s="55">
        <f t="shared" si="0"/>
        <v>0.03</v>
      </c>
      <c r="D25" s="55">
        <f t="shared" si="1"/>
        <v>0.09</v>
      </c>
      <c r="E25" s="34">
        <f t="shared" si="2"/>
        <v>300000</v>
      </c>
      <c r="F25" s="34">
        <f t="shared" si="3"/>
        <v>900000</v>
      </c>
      <c r="G25" s="309">
        <f t="shared" si="4"/>
        <v>1200000</v>
      </c>
      <c r="I25" s="126"/>
    </row>
    <row r="26" spans="2:9">
      <c r="B26" s="307">
        <f t="shared" si="5"/>
        <v>0.04</v>
      </c>
      <c r="C26" s="55">
        <f t="shared" si="0"/>
        <v>0.04</v>
      </c>
      <c r="D26" s="55">
        <f t="shared" si="1"/>
        <v>7.9999999999999988E-2</v>
      </c>
      <c r="E26" s="34">
        <f t="shared" si="2"/>
        <v>400000</v>
      </c>
      <c r="F26" s="34">
        <f t="shared" si="3"/>
        <v>799999.99999999988</v>
      </c>
      <c r="G26" s="309">
        <f t="shared" si="4"/>
        <v>1200000</v>
      </c>
      <c r="I26" s="126"/>
    </row>
    <row r="27" spans="2:9">
      <c r="B27" s="307">
        <f t="shared" si="5"/>
        <v>0.05</v>
      </c>
      <c r="C27" s="55">
        <f t="shared" si="0"/>
        <v>0.05</v>
      </c>
      <c r="D27" s="55">
        <f t="shared" si="1"/>
        <v>6.9999999999999993E-2</v>
      </c>
      <c r="E27" s="34">
        <f t="shared" si="2"/>
        <v>500000</v>
      </c>
      <c r="F27" s="34">
        <f t="shared" si="3"/>
        <v>699999.99999999988</v>
      </c>
      <c r="G27" s="309">
        <f t="shared" si="4"/>
        <v>1200000</v>
      </c>
      <c r="I27" s="126"/>
    </row>
    <row r="28" spans="2:9">
      <c r="B28" s="307">
        <f t="shared" si="5"/>
        <v>6.0000000000000005E-2</v>
      </c>
      <c r="C28" s="55">
        <f t="shared" si="0"/>
        <v>6.0000000000000005E-2</v>
      </c>
      <c r="D28" s="55">
        <f t="shared" si="1"/>
        <v>5.9999999999999991E-2</v>
      </c>
      <c r="E28" s="34">
        <f t="shared" si="2"/>
        <v>600000</v>
      </c>
      <c r="F28" s="34">
        <f t="shared" si="3"/>
        <v>599999.99999999988</v>
      </c>
      <c r="G28" s="309">
        <f t="shared" si="4"/>
        <v>1200000</v>
      </c>
      <c r="I28" s="126"/>
    </row>
    <row r="29" spans="2:9">
      <c r="B29" s="307">
        <f t="shared" si="5"/>
        <v>7.0000000000000007E-2</v>
      </c>
      <c r="C29" s="55">
        <f t="shared" si="0"/>
        <v>7.0000000000000007E-2</v>
      </c>
      <c r="D29" s="55">
        <f t="shared" si="1"/>
        <v>4.9999999999999989E-2</v>
      </c>
      <c r="E29" s="34">
        <f t="shared" si="2"/>
        <v>700000.00000000012</v>
      </c>
      <c r="F29" s="34">
        <f t="shared" si="3"/>
        <v>499999.99999999988</v>
      </c>
      <c r="G29" s="309">
        <f t="shared" si="4"/>
        <v>1200000</v>
      </c>
      <c r="I29" s="126"/>
    </row>
    <row r="30" spans="2:9">
      <c r="B30" s="307">
        <f t="shared" si="5"/>
        <v>0.08</v>
      </c>
      <c r="C30" s="55">
        <f t="shared" si="0"/>
        <v>0.08</v>
      </c>
      <c r="D30" s="55">
        <f t="shared" si="1"/>
        <v>3.9999999999999994E-2</v>
      </c>
      <c r="E30" s="34">
        <f t="shared" si="2"/>
        <v>800000</v>
      </c>
      <c r="F30" s="34">
        <f t="shared" si="3"/>
        <v>399999.99999999994</v>
      </c>
      <c r="G30" s="309">
        <f t="shared" si="4"/>
        <v>1200000</v>
      </c>
      <c r="I30" s="126"/>
    </row>
    <row r="31" spans="2:9">
      <c r="B31" s="307">
        <f t="shared" si="5"/>
        <v>0.09</v>
      </c>
      <c r="C31" s="55">
        <f t="shared" si="0"/>
        <v>0.09</v>
      </c>
      <c r="D31" s="55">
        <f t="shared" si="1"/>
        <v>0.03</v>
      </c>
      <c r="E31" s="34">
        <f t="shared" si="2"/>
        <v>900000</v>
      </c>
      <c r="F31" s="34">
        <f t="shared" si="3"/>
        <v>300000</v>
      </c>
      <c r="G31" s="309">
        <f t="shared" si="4"/>
        <v>1200000</v>
      </c>
      <c r="I31" s="126"/>
    </row>
    <row r="32" spans="2:9">
      <c r="B32" s="307">
        <f t="shared" si="5"/>
        <v>9.9999999999999992E-2</v>
      </c>
      <c r="C32" s="55">
        <f t="shared" si="0"/>
        <v>9.9999999999999992E-2</v>
      </c>
      <c r="D32" s="55">
        <f t="shared" si="1"/>
        <v>2.0000000000000004E-2</v>
      </c>
      <c r="E32" s="34">
        <f t="shared" si="2"/>
        <v>999999.99999999988</v>
      </c>
      <c r="F32" s="34">
        <f t="shared" si="3"/>
        <v>200000.00000000003</v>
      </c>
      <c r="G32" s="309">
        <f t="shared" si="4"/>
        <v>1200000</v>
      </c>
      <c r="I32" s="126"/>
    </row>
    <row r="33" spans="2:9">
      <c r="B33" s="307">
        <f t="shared" si="5"/>
        <v>0.10999999999999999</v>
      </c>
      <c r="C33" s="55">
        <f t="shared" si="0"/>
        <v>0.10999999999999999</v>
      </c>
      <c r="D33" s="55">
        <f t="shared" si="1"/>
        <v>1.0000000000000009E-2</v>
      </c>
      <c r="E33" s="34">
        <f t="shared" si="2"/>
        <v>1099999.9999999998</v>
      </c>
      <c r="F33" s="34">
        <f t="shared" si="3"/>
        <v>100000.00000000009</v>
      </c>
      <c r="G33" s="309">
        <f t="shared" si="4"/>
        <v>1199999.9999999998</v>
      </c>
      <c r="I33" s="126"/>
    </row>
    <row r="34" spans="2:9">
      <c r="B34" s="307">
        <f t="shared" si="5"/>
        <v>0.11999999999999998</v>
      </c>
      <c r="C34" s="55">
        <f t="shared" si="0"/>
        <v>0.12</v>
      </c>
      <c r="D34" s="55">
        <f t="shared" si="1"/>
        <v>1.3877787807814457E-17</v>
      </c>
      <c r="E34" s="34">
        <f t="shared" si="2"/>
        <v>1200000</v>
      </c>
      <c r="F34" s="34">
        <f t="shared" si="3"/>
        <v>1.3877787807814457E-10</v>
      </c>
      <c r="G34" s="309">
        <f t="shared" si="4"/>
        <v>1200000.0000000002</v>
      </c>
      <c r="I34" s="126"/>
    </row>
    <row r="35" spans="2:9">
      <c r="B35" s="307">
        <f t="shared" si="5"/>
        <v>0.12999999999999998</v>
      </c>
      <c r="C35" s="55">
        <f t="shared" si="0"/>
        <v>0.12</v>
      </c>
      <c r="D35" s="55">
        <f t="shared" si="1"/>
        <v>0</v>
      </c>
      <c r="E35" s="34">
        <f t="shared" si="2"/>
        <v>1200000</v>
      </c>
      <c r="F35" s="34">
        <f t="shared" si="3"/>
        <v>0</v>
      </c>
      <c r="G35" s="309">
        <f t="shared" si="4"/>
        <v>1200000</v>
      </c>
      <c r="I35" s="126"/>
    </row>
    <row r="36" spans="2:9">
      <c r="B36" s="307">
        <f t="shared" si="5"/>
        <v>0.13999999999999999</v>
      </c>
      <c r="C36" s="55">
        <f t="shared" si="0"/>
        <v>0.12</v>
      </c>
      <c r="D36" s="55">
        <f t="shared" si="1"/>
        <v>0</v>
      </c>
      <c r="E36" s="34">
        <f t="shared" si="2"/>
        <v>1200000</v>
      </c>
      <c r="F36" s="34">
        <f t="shared" si="3"/>
        <v>0</v>
      </c>
      <c r="G36" s="309">
        <f t="shared" si="4"/>
        <v>1200000</v>
      </c>
      <c r="I36" s="126"/>
    </row>
    <row r="37" spans="2:9">
      <c r="B37" s="307">
        <f t="shared" si="5"/>
        <v>0.15</v>
      </c>
      <c r="C37" s="55">
        <f t="shared" si="0"/>
        <v>0.12</v>
      </c>
      <c r="D37" s="55">
        <f t="shared" si="1"/>
        <v>0</v>
      </c>
      <c r="E37" s="34">
        <f t="shared" si="2"/>
        <v>1200000</v>
      </c>
      <c r="F37" s="34">
        <f t="shared" si="3"/>
        <v>0</v>
      </c>
      <c r="G37" s="309">
        <f t="shared" si="4"/>
        <v>1200000</v>
      </c>
      <c r="I37" s="126"/>
    </row>
    <row r="38" spans="2:9">
      <c r="B38" s="307">
        <f t="shared" si="5"/>
        <v>0.16</v>
      </c>
      <c r="C38" s="55">
        <f t="shared" si="0"/>
        <v>0.12</v>
      </c>
      <c r="D38" s="55">
        <f t="shared" si="1"/>
        <v>0</v>
      </c>
      <c r="E38" s="34">
        <f t="shared" si="2"/>
        <v>1200000</v>
      </c>
      <c r="F38" s="34">
        <f t="shared" si="3"/>
        <v>0</v>
      </c>
      <c r="G38" s="309">
        <f t="shared" si="4"/>
        <v>1200000</v>
      </c>
      <c r="I38" s="126"/>
    </row>
    <row r="39" spans="2:9">
      <c r="B39" s="307">
        <f t="shared" si="5"/>
        <v>0.17</v>
      </c>
      <c r="C39" s="55">
        <f t="shared" si="0"/>
        <v>0.12</v>
      </c>
      <c r="D39" s="55">
        <f t="shared" si="1"/>
        <v>0</v>
      </c>
      <c r="E39" s="34">
        <f t="shared" si="2"/>
        <v>1200000</v>
      </c>
      <c r="F39" s="34">
        <f t="shared" si="3"/>
        <v>0</v>
      </c>
      <c r="G39" s="309">
        <f t="shared" si="4"/>
        <v>1200000</v>
      </c>
      <c r="I39" s="126"/>
    </row>
    <row r="40" spans="2:9">
      <c r="B40" s="307">
        <f t="shared" si="5"/>
        <v>0.18000000000000002</v>
      </c>
      <c r="C40" s="55">
        <f t="shared" si="0"/>
        <v>0.12</v>
      </c>
      <c r="D40" s="55">
        <f t="shared" si="1"/>
        <v>0</v>
      </c>
      <c r="E40" s="34">
        <f t="shared" si="2"/>
        <v>1200000</v>
      </c>
      <c r="F40" s="34">
        <f t="shared" si="3"/>
        <v>0</v>
      </c>
      <c r="G40" s="309">
        <f t="shared" si="4"/>
        <v>1200000</v>
      </c>
      <c r="I40" s="126"/>
    </row>
    <row r="41" spans="2:9" ht="13" thickBot="1">
      <c r="B41" s="134"/>
      <c r="C41" s="4"/>
      <c r="D41" s="4"/>
      <c r="E41" s="4"/>
      <c r="F41" s="4"/>
      <c r="G41" s="135"/>
      <c r="I41" s="126"/>
    </row>
    <row r="42" spans="2:9">
      <c r="B42" s="124"/>
      <c r="I42" s="126"/>
    </row>
    <row r="43" spans="2:9">
      <c r="B43" s="124"/>
      <c r="I43" s="126"/>
    </row>
    <row r="44" spans="2:9">
      <c r="B44" s="124"/>
      <c r="I44" s="126"/>
    </row>
    <row r="45" spans="2:9">
      <c r="B45" s="124"/>
      <c r="I45" s="126"/>
    </row>
    <row r="46" spans="2:9">
      <c r="B46" s="124"/>
      <c r="I46" s="126"/>
    </row>
    <row r="47" spans="2:9">
      <c r="B47" s="124"/>
      <c r="I47" s="126"/>
    </row>
    <row r="48" spans="2:9">
      <c r="B48" s="124"/>
      <c r="I48" s="126"/>
    </row>
    <row r="49" spans="2:9">
      <c r="B49" s="124"/>
      <c r="I49" s="126"/>
    </row>
    <row r="50" spans="2:9">
      <c r="B50" s="124"/>
      <c r="I50" s="126"/>
    </row>
    <row r="51" spans="2:9">
      <c r="B51" s="124"/>
      <c r="I51" s="126"/>
    </row>
    <row r="52" spans="2:9">
      <c r="B52" s="124"/>
      <c r="I52" s="126"/>
    </row>
    <row r="53" spans="2:9">
      <c r="B53" s="124"/>
      <c r="I53" s="126"/>
    </row>
    <row r="54" spans="2:9">
      <c r="B54" s="124"/>
      <c r="I54" s="126"/>
    </row>
    <row r="55" spans="2:9">
      <c r="B55" s="124"/>
      <c r="I55" s="126"/>
    </row>
    <row r="56" spans="2:9">
      <c r="B56" s="124"/>
      <c r="I56" s="126"/>
    </row>
    <row r="57" spans="2:9">
      <c r="B57" s="124"/>
      <c r="I57" s="126"/>
    </row>
    <row r="58" spans="2:9">
      <c r="B58" s="124"/>
      <c r="I58" s="126"/>
    </row>
    <row r="59" spans="2:9">
      <c r="B59" s="124"/>
      <c r="I59" s="126"/>
    </row>
    <row r="60" spans="2:9">
      <c r="B60" s="124"/>
      <c r="I60" s="126"/>
    </row>
    <row r="61" spans="2:9">
      <c r="B61" s="124"/>
      <c r="I61" s="126"/>
    </row>
    <row r="62" spans="2:9">
      <c r="B62" s="124"/>
      <c r="I62" s="126"/>
    </row>
    <row r="63" spans="2:9">
      <c r="B63" s="124"/>
      <c r="I63" s="126"/>
    </row>
    <row r="64" spans="2:9">
      <c r="B64" s="124"/>
      <c r="I64" s="126"/>
    </row>
    <row r="65" spans="2:9">
      <c r="B65" s="124"/>
      <c r="I65" s="126"/>
    </row>
    <row r="66" spans="2:9">
      <c r="B66" s="124"/>
      <c r="I66" s="126"/>
    </row>
    <row r="67" spans="2:9">
      <c r="B67" s="124"/>
      <c r="I67" s="126"/>
    </row>
    <row r="68" spans="2:9">
      <c r="B68" s="124"/>
      <c r="I68" s="126"/>
    </row>
    <row r="69" spans="2:9">
      <c r="B69" s="124"/>
      <c r="I69" s="126"/>
    </row>
    <row r="70" spans="2:9">
      <c r="B70" s="124"/>
      <c r="I70" s="126"/>
    </row>
    <row r="71" spans="2:9">
      <c r="B71" s="124"/>
      <c r="I71" s="126"/>
    </row>
    <row r="72" spans="2:9" ht="13" thickBot="1">
      <c r="B72" s="134"/>
      <c r="C72" s="4"/>
      <c r="D72" s="4"/>
      <c r="E72" s="4"/>
      <c r="F72" s="4"/>
      <c r="G72" s="4"/>
      <c r="H72" s="4"/>
      <c r="I72" s="135"/>
    </row>
  </sheetData>
  <mergeCells count="3">
    <mergeCell ref="B5:D5"/>
    <mergeCell ref="B2:I2"/>
    <mergeCell ref="B3:I3"/>
  </mergeCells>
  <phoneticPr fontId="0" type="noConversion"/>
  <pageMargins left="0.75" right="0.75" top="1" bottom="1" header="0.5" footer="0.5"/>
  <headerFooter alignWithMargins="0"/>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B1:J170"/>
  <sheetViews>
    <sheetView workbookViewId="0"/>
  </sheetViews>
  <sheetFormatPr defaultRowHeight="12.5"/>
  <cols>
    <col min="2" max="2" width="15" customWidth="1"/>
    <col min="3" max="3" width="11.1796875" customWidth="1"/>
    <col min="4" max="4" width="14.1796875" customWidth="1"/>
    <col min="5" max="5" width="16" customWidth="1"/>
    <col min="6" max="6" width="17.81640625" customWidth="1"/>
    <col min="7" max="7" width="14.1796875" customWidth="1"/>
    <col min="8" max="8" width="13.26953125" customWidth="1"/>
  </cols>
  <sheetData>
    <row r="1" spans="2:10" ht="13" thickBot="1"/>
    <row r="2" spans="2:10" ht="18.5" thickBot="1">
      <c r="B2" s="1525" t="s">
        <v>1012</v>
      </c>
      <c r="C2" s="1657"/>
      <c r="D2" s="1657"/>
      <c r="E2" s="1657"/>
      <c r="F2" s="1657"/>
      <c r="G2" s="1657"/>
      <c r="H2" s="1657"/>
      <c r="I2" s="1657"/>
      <c r="J2" s="1658"/>
    </row>
    <row r="3" spans="2:10" ht="16" thickBot="1">
      <c r="B3" s="1528" t="s">
        <v>906</v>
      </c>
      <c r="C3" s="1702"/>
      <c r="D3" s="1702"/>
      <c r="E3" s="1702"/>
      <c r="F3" s="1702"/>
      <c r="G3" s="1702"/>
      <c r="H3" s="1702"/>
      <c r="I3" s="1702"/>
      <c r="J3" s="1703"/>
    </row>
    <row r="4" spans="2:10" ht="15.5">
      <c r="B4" s="124"/>
      <c r="E4" s="20"/>
      <c r="J4" s="126"/>
    </row>
    <row r="5" spans="2:10" ht="16" thickBot="1">
      <c r="B5" s="124"/>
      <c r="E5" s="20"/>
      <c r="F5" s="20"/>
      <c r="J5" s="126"/>
    </row>
    <row r="6" spans="2:10" ht="16" thickBot="1">
      <c r="B6" s="124"/>
      <c r="C6" s="1535" t="s">
        <v>879</v>
      </c>
      <c r="D6" s="1750"/>
      <c r="E6" s="1750"/>
      <c r="F6" s="1751"/>
      <c r="J6" s="126"/>
    </row>
    <row r="7" spans="2:10">
      <c r="B7" s="124"/>
      <c r="C7" s="276" t="s">
        <v>774</v>
      </c>
      <c r="D7" s="277"/>
      <c r="E7" s="279">
        <v>1000000</v>
      </c>
      <c r="F7" s="278"/>
      <c r="J7" s="126"/>
    </row>
    <row r="8" spans="2:10">
      <c r="B8" s="124"/>
      <c r="C8" s="171" t="s">
        <v>571</v>
      </c>
      <c r="D8" s="39"/>
      <c r="E8" s="151">
        <v>0.11</v>
      </c>
      <c r="F8" s="146"/>
      <c r="J8" s="126"/>
    </row>
    <row r="9" spans="2:10" ht="13" thickBot="1">
      <c r="B9" s="124"/>
      <c r="C9" s="228" t="s">
        <v>881</v>
      </c>
      <c r="D9" s="63"/>
      <c r="E9" s="153">
        <v>10</v>
      </c>
      <c r="F9" s="149" t="s">
        <v>816</v>
      </c>
      <c r="J9" s="126"/>
    </row>
    <row r="10" spans="2:10" ht="13" thickBot="1">
      <c r="B10" s="124"/>
      <c r="J10" s="126"/>
    </row>
    <row r="11" spans="2:10" ht="13.5" thickBot="1">
      <c r="B11" s="124" t="s">
        <v>628</v>
      </c>
      <c r="D11" s="1061">
        <f>PMT($E$8,$E$9,-E7)</f>
        <v>169801.42709749032</v>
      </c>
      <c r="F11" t="s">
        <v>862</v>
      </c>
      <c r="G11" s="151">
        <v>0</v>
      </c>
      <c r="J11" s="126"/>
    </row>
    <row r="12" spans="2:10" ht="13" thickBot="1">
      <c r="B12" s="124"/>
      <c r="J12" s="126"/>
    </row>
    <row r="13" spans="2:10" ht="16" thickBot="1">
      <c r="B13" s="1535" t="s">
        <v>884</v>
      </c>
      <c r="C13" s="1532"/>
      <c r="D13" s="1532"/>
      <c r="E13" s="1532"/>
      <c r="F13" s="1532"/>
      <c r="G13" s="1532"/>
      <c r="H13" s="1533"/>
      <c r="J13" s="126"/>
    </row>
    <row r="14" spans="2:10" ht="13" thickBot="1">
      <c r="B14" s="124"/>
      <c r="H14" s="126"/>
      <c r="J14" s="126"/>
    </row>
    <row r="15" spans="2:10" ht="16" thickBot="1">
      <c r="B15" s="281" t="s">
        <v>262</v>
      </c>
      <c r="C15" s="281" t="s">
        <v>885</v>
      </c>
      <c r="D15" s="281" t="s">
        <v>209</v>
      </c>
      <c r="E15" s="281" t="s">
        <v>210</v>
      </c>
      <c r="F15" s="281" t="s">
        <v>387</v>
      </c>
      <c r="G15" s="281" t="s">
        <v>886</v>
      </c>
      <c r="H15" s="281" t="s">
        <v>862</v>
      </c>
      <c r="J15" s="126"/>
    </row>
    <row r="16" spans="2:10">
      <c r="B16" s="124"/>
      <c r="H16" s="126"/>
      <c r="J16" s="126"/>
    </row>
    <row r="17" spans="2:10">
      <c r="B17" s="124">
        <v>1</v>
      </c>
      <c r="C17" s="43">
        <f>E7</f>
        <v>1000000</v>
      </c>
      <c r="D17" s="43">
        <f t="shared" ref="D17:D25" si="0">PMT($E$8,10-B17+1,-C17)</f>
        <v>169801.42709749032</v>
      </c>
      <c r="E17" s="43">
        <f t="shared" ref="E17:E26" si="1">$E$8*C17</f>
        <v>110000</v>
      </c>
      <c r="F17" s="43">
        <f t="shared" ref="F17:F25" si="2">D17-E17+$G$11*C17</f>
        <v>59801.427097490319</v>
      </c>
      <c r="G17" s="43">
        <f t="shared" ref="G17:G26" si="3">C17-F17</f>
        <v>940198.57290250971</v>
      </c>
      <c r="H17" s="271">
        <f t="shared" ref="H17:H25" si="4">$G$11*C17</f>
        <v>0</v>
      </c>
      <c r="J17" s="126"/>
    </row>
    <row r="18" spans="2:10">
      <c r="B18" s="124">
        <f t="shared" ref="B18:B26" si="5">B17+1</f>
        <v>2</v>
      </c>
      <c r="C18" s="43">
        <f t="shared" ref="C18:C26" si="6">G17</f>
        <v>940198.57290250971</v>
      </c>
      <c r="D18" s="43">
        <f t="shared" si="0"/>
        <v>169801.42709749032</v>
      </c>
      <c r="E18" s="43">
        <f t="shared" si="1"/>
        <v>103421.84301927607</v>
      </c>
      <c r="F18" s="43">
        <f t="shared" si="2"/>
        <v>66379.584078214248</v>
      </c>
      <c r="G18" s="43">
        <f t="shared" si="3"/>
        <v>873818.98882429546</v>
      </c>
      <c r="H18" s="271">
        <f t="shared" si="4"/>
        <v>0</v>
      </c>
      <c r="J18" s="126"/>
    </row>
    <row r="19" spans="2:10">
      <c r="B19" s="124">
        <f t="shared" si="5"/>
        <v>3</v>
      </c>
      <c r="C19" s="43">
        <f t="shared" si="6"/>
        <v>873818.98882429546</v>
      </c>
      <c r="D19" s="43">
        <f t="shared" si="0"/>
        <v>169801.42709749032</v>
      </c>
      <c r="E19" s="43">
        <f t="shared" si="1"/>
        <v>96120.088770672504</v>
      </c>
      <c r="F19" s="43">
        <f t="shared" si="2"/>
        <v>73681.338326817815</v>
      </c>
      <c r="G19" s="43">
        <f t="shared" si="3"/>
        <v>800137.65049747762</v>
      </c>
      <c r="H19" s="271">
        <f t="shared" si="4"/>
        <v>0</v>
      </c>
      <c r="J19" s="126"/>
    </row>
    <row r="20" spans="2:10">
      <c r="B20" s="124">
        <f t="shared" si="5"/>
        <v>4</v>
      </c>
      <c r="C20" s="43">
        <f t="shared" si="6"/>
        <v>800137.65049747762</v>
      </c>
      <c r="D20" s="43">
        <f t="shared" si="0"/>
        <v>169801.42709749032</v>
      </c>
      <c r="E20" s="43">
        <f t="shared" si="1"/>
        <v>88015.141554722533</v>
      </c>
      <c r="F20" s="43">
        <f t="shared" si="2"/>
        <v>81786.285542767786</v>
      </c>
      <c r="G20" s="43">
        <f t="shared" si="3"/>
        <v>718351.36495470977</v>
      </c>
      <c r="H20" s="271">
        <f t="shared" si="4"/>
        <v>0</v>
      </c>
      <c r="J20" s="126"/>
    </row>
    <row r="21" spans="2:10">
      <c r="B21" s="124">
        <f t="shared" si="5"/>
        <v>5</v>
      </c>
      <c r="C21" s="43">
        <f t="shared" si="6"/>
        <v>718351.36495470977</v>
      </c>
      <c r="D21" s="43">
        <f t="shared" si="0"/>
        <v>169801.42709749032</v>
      </c>
      <c r="E21" s="43">
        <f t="shared" si="1"/>
        <v>79018.65014501808</v>
      </c>
      <c r="F21" s="43">
        <f t="shared" si="2"/>
        <v>90782.776952472239</v>
      </c>
      <c r="G21" s="43">
        <f t="shared" si="3"/>
        <v>627568.58800223749</v>
      </c>
      <c r="H21" s="271">
        <f t="shared" si="4"/>
        <v>0</v>
      </c>
      <c r="J21" s="126"/>
    </row>
    <row r="22" spans="2:10">
      <c r="B22" s="124">
        <f t="shared" si="5"/>
        <v>6</v>
      </c>
      <c r="C22" s="43">
        <f t="shared" si="6"/>
        <v>627568.58800223749</v>
      </c>
      <c r="D22" s="43">
        <f t="shared" si="0"/>
        <v>169801.42709749032</v>
      </c>
      <c r="E22" s="43">
        <f t="shared" si="1"/>
        <v>69032.544680246123</v>
      </c>
      <c r="F22" s="43">
        <f t="shared" si="2"/>
        <v>100768.8824172442</v>
      </c>
      <c r="G22" s="43">
        <f t="shared" si="3"/>
        <v>526799.70558499335</v>
      </c>
      <c r="H22" s="271">
        <f t="shared" si="4"/>
        <v>0</v>
      </c>
      <c r="J22" s="126"/>
    </row>
    <row r="23" spans="2:10">
      <c r="B23" s="124">
        <f t="shared" si="5"/>
        <v>7</v>
      </c>
      <c r="C23" s="43">
        <f t="shared" si="6"/>
        <v>526799.70558499335</v>
      </c>
      <c r="D23" s="43">
        <f t="shared" si="0"/>
        <v>169801.42709749032</v>
      </c>
      <c r="E23" s="43">
        <f t="shared" si="1"/>
        <v>57947.967614349269</v>
      </c>
      <c r="F23" s="43">
        <f t="shared" si="2"/>
        <v>111853.45948314105</v>
      </c>
      <c r="G23" s="43">
        <f t="shared" si="3"/>
        <v>414946.24610185227</v>
      </c>
      <c r="H23" s="271">
        <f t="shared" si="4"/>
        <v>0</v>
      </c>
      <c r="J23" s="126"/>
    </row>
    <row r="24" spans="2:10">
      <c r="B24" s="124">
        <f t="shared" si="5"/>
        <v>8</v>
      </c>
      <c r="C24" s="43">
        <f t="shared" si="6"/>
        <v>414946.24610185227</v>
      </c>
      <c r="D24" s="43">
        <f t="shared" si="0"/>
        <v>169801.42709749032</v>
      </c>
      <c r="E24" s="43">
        <f t="shared" si="1"/>
        <v>45644.08707120375</v>
      </c>
      <c r="F24" s="43">
        <f t="shared" si="2"/>
        <v>124157.34002628658</v>
      </c>
      <c r="G24" s="43">
        <f t="shared" si="3"/>
        <v>290788.90607556573</v>
      </c>
      <c r="H24" s="271">
        <f t="shared" si="4"/>
        <v>0</v>
      </c>
      <c r="J24" s="126"/>
    </row>
    <row r="25" spans="2:10">
      <c r="B25" s="124">
        <f t="shared" si="5"/>
        <v>9</v>
      </c>
      <c r="C25" s="43">
        <f t="shared" si="6"/>
        <v>290788.90607556573</v>
      </c>
      <c r="D25" s="43">
        <f t="shared" si="0"/>
        <v>169801.42709749032</v>
      </c>
      <c r="E25" s="43">
        <f t="shared" si="1"/>
        <v>31986.779668312229</v>
      </c>
      <c r="F25" s="43">
        <f t="shared" si="2"/>
        <v>137814.64742917809</v>
      </c>
      <c r="G25" s="43">
        <f t="shared" si="3"/>
        <v>152974.25864638764</v>
      </c>
      <c r="H25" s="271">
        <f t="shared" si="4"/>
        <v>0</v>
      </c>
      <c r="J25" s="126"/>
    </row>
    <row r="26" spans="2:10" ht="13" thickBot="1">
      <c r="B26" s="134">
        <f t="shared" si="5"/>
        <v>10</v>
      </c>
      <c r="C26" s="282">
        <f t="shared" si="6"/>
        <v>152974.25864638764</v>
      </c>
      <c r="D26" s="282">
        <f>C26+E26</f>
        <v>169801.42709749029</v>
      </c>
      <c r="E26" s="282">
        <f t="shared" si="1"/>
        <v>16827.16845110264</v>
      </c>
      <c r="F26" s="282">
        <f>D26-E26</f>
        <v>152974.25864638767</v>
      </c>
      <c r="G26" s="282">
        <f t="shared" si="3"/>
        <v>0</v>
      </c>
      <c r="H26" s="272">
        <v>0</v>
      </c>
      <c r="J26" s="126"/>
    </row>
    <row r="27" spans="2:10">
      <c r="B27" s="124"/>
      <c r="C27" s="160"/>
      <c r="E27" s="23"/>
      <c r="F27" s="160"/>
      <c r="G27" s="160"/>
      <c r="H27" s="160"/>
      <c r="J27" s="126"/>
    </row>
    <row r="28" spans="2:10">
      <c r="B28" s="124"/>
      <c r="J28" s="126"/>
    </row>
    <row r="29" spans="2:10" ht="16" thickBot="1">
      <c r="B29" s="124"/>
      <c r="E29" s="20"/>
      <c r="J29" s="126"/>
    </row>
    <row r="30" spans="2:10" ht="16" thickBot="1">
      <c r="B30" s="124"/>
      <c r="D30" s="1749" t="s">
        <v>887</v>
      </c>
      <c r="E30" s="1700"/>
      <c r="F30" s="1701"/>
      <c r="J30" s="126"/>
    </row>
    <row r="31" spans="2:10" ht="13" thickBot="1">
      <c r="B31" s="124"/>
      <c r="D31" s="124"/>
      <c r="F31" s="126"/>
      <c r="J31" s="126"/>
    </row>
    <row r="32" spans="2:10" ht="16" thickBot="1">
      <c r="B32" s="124"/>
      <c r="D32" s="281" t="s">
        <v>262</v>
      </c>
      <c r="E32" s="281" t="s">
        <v>210</v>
      </c>
      <c r="F32" s="281" t="s">
        <v>387</v>
      </c>
      <c r="J32" s="126"/>
    </row>
    <row r="33" spans="2:10">
      <c r="B33" s="124"/>
      <c r="D33" s="124"/>
      <c r="F33" s="126"/>
      <c r="J33" s="126"/>
    </row>
    <row r="34" spans="2:10">
      <c r="B34" s="124"/>
      <c r="D34" s="124">
        <v>1</v>
      </c>
      <c r="E34" s="8">
        <f t="shared" ref="E34:F43" si="7">E17</f>
        <v>110000</v>
      </c>
      <c r="F34" s="158">
        <f t="shared" si="7"/>
        <v>59801.427097490319</v>
      </c>
      <c r="J34" s="126"/>
    </row>
    <row r="35" spans="2:10">
      <c r="B35" s="124"/>
      <c r="D35" s="124">
        <f t="shared" ref="D35:D43" si="8">D34+1</f>
        <v>2</v>
      </c>
      <c r="E35" s="24">
        <f t="shared" si="7"/>
        <v>103421.84301927607</v>
      </c>
      <c r="F35" s="163">
        <f t="shared" si="7"/>
        <v>66379.584078214248</v>
      </c>
      <c r="J35" s="126"/>
    </row>
    <row r="36" spans="2:10">
      <c r="B36" s="124"/>
      <c r="D36" s="124">
        <f t="shared" si="8"/>
        <v>3</v>
      </c>
      <c r="E36" s="24">
        <f t="shared" si="7"/>
        <v>96120.088770672504</v>
      </c>
      <c r="F36" s="163">
        <f t="shared" si="7"/>
        <v>73681.338326817815</v>
      </c>
      <c r="J36" s="126"/>
    </row>
    <row r="37" spans="2:10">
      <c r="B37" s="124"/>
      <c r="D37" s="124">
        <f t="shared" si="8"/>
        <v>4</v>
      </c>
      <c r="E37" s="24">
        <f t="shared" si="7"/>
        <v>88015.141554722533</v>
      </c>
      <c r="F37" s="163">
        <f t="shared" si="7"/>
        <v>81786.285542767786</v>
      </c>
      <c r="J37" s="126"/>
    </row>
    <row r="38" spans="2:10">
      <c r="B38" s="124"/>
      <c r="D38" s="124">
        <f t="shared" si="8"/>
        <v>5</v>
      </c>
      <c r="E38" s="24">
        <f t="shared" si="7"/>
        <v>79018.65014501808</v>
      </c>
      <c r="F38" s="163">
        <f t="shared" si="7"/>
        <v>90782.776952472239</v>
      </c>
      <c r="J38" s="126"/>
    </row>
    <row r="39" spans="2:10">
      <c r="B39" s="124"/>
      <c r="D39" s="124">
        <f t="shared" si="8"/>
        <v>6</v>
      </c>
      <c r="E39" s="24">
        <f t="shared" si="7"/>
        <v>69032.544680246123</v>
      </c>
      <c r="F39" s="163">
        <f t="shared" si="7"/>
        <v>100768.8824172442</v>
      </c>
      <c r="J39" s="126"/>
    </row>
    <row r="40" spans="2:10">
      <c r="B40" s="124"/>
      <c r="D40" s="124">
        <f t="shared" si="8"/>
        <v>7</v>
      </c>
      <c r="E40" s="24">
        <f t="shared" si="7"/>
        <v>57947.967614349269</v>
      </c>
      <c r="F40" s="163">
        <f t="shared" si="7"/>
        <v>111853.45948314105</v>
      </c>
      <c r="J40" s="126"/>
    </row>
    <row r="41" spans="2:10">
      <c r="B41" s="124"/>
      <c r="D41" s="124">
        <f t="shared" si="8"/>
        <v>8</v>
      </c>
      <c r="E41" s="24">
        <f t="shared" si="7"/>
        <v>45644.08707120375</v>
      </c>
      <c r="F41" s="163">
        <f t="shared" si="7"/>
        <v>124157.34002628658</v>
      </c>
      <c r="J41" s="126"/>
    </row>
    <row r="42" spans="2:10">
      <c r="B42" s="124"/>
      <c r="D42" s="124">
        <f t="shared" si="8"/>
        <v>9</v>
      </c>
      <c r="E42" s="24">
        <f t="shared" si="7"/>
        <v>31986.779668312229</v>
      </c>
      <c r="F42" s="163">
        <f t="shared" si="7"/>
        <v>137814.64742917809</v>
      </c>
      <c r="J42" s="126"/>
    </row>
    <row r="43" spans="2:10" ht="13" thickBot="1">
      <c r="B43" s="124"/>
      <c r="D43" s="134">
        <f t="shared" si="8"/>
        <v>10</v>
      </c>
      <c r="E43" s="31">
        <f t="shared" si="7"/>
        <v>16827.16845110264</v>
      </c>
      <c r="F43" s="207">
        <f t="shared" si="7"/>
        <v>152974.25864638767</v>
      </c>
      <c r="J43" s="126"/>
    </row>
    <row r="44" spans="2:10" ht="13" thickBot="1">
      <c r="B44" s="124"/>
      <c r="J44" s="126"/>
    </row>
    <row r="45" spans="2:10" ht="16" thickBot="1">
      <c r="B45" s="124"/>
      <c r="E45" s="281" t="s">
        <v>888</v>
      </c>
      <c r="F45" s="281" t="s">
        <v>888</v>
      </c>
      <c r="G45" s="281" t="s">
        <v>889</v>
      </c>
      <c r="J45" s="126"/>
    </row>
    <row r="46" spans="2:10" ht="16" thickBot="1">
      <c r="B46" s="292"/>
      <c r="C46" t="s">
        <v>890</v>
      </c>
      <c r="E46" s="283">
        <f>NPV(0.11,$E$34:$E$43)</f>
        <v>461248.40452711418</v>
      </c>
      <c r="F46" s="283">
        <f>NPV(0.11,$F$34:$F$43)</f>
        <v>538751.59547288553</v>
      </c>
      <c r="G46" s="283">
        <f>E46+F46</f>
        <v>999999.99999999977</v>
      </c>
      <c r="J46" s="126"/>
    </row>
    <row r="47" spans="2:10" ht="13" thickBot="1">
      <c r="B47" s="124"/>
      <c r="J47" s="126"/>
    </row>
    <row r="48" spans="2:10" ht="16" thickBot="1">
      <c r="B48" s="124"/>
      <c r="E48" s="281" t="s">
        <v>891</v>
      </c>
      <c r="F48" s="281" t="s">
        <v>891</v>
      </c>
      <c r="G48" s="281" t="s">
        <v>889</v>
      </c>
      <c r="J48" s="126"/>
    </row>
    <row r="49" spans="2:10" ht="16" thickBot="1">
      <c r="B49" s="292"/>
      <c r="C49" t="s">
        <v>890</v>
      </c>
      <c r="E49" s="283">
        <f>NPV(0.1,$E$34:$E$43)</f>
        <v>476918.8978944582</v>
      </c>
      <c r="F49" s="283">
        <f>NPV(0.1,$F$34:$F$43)</f>
        <v>566437.36555049208</v>
      </c>
      <c r="G49" s="283">
        <f>E49+F49</f>
        <v>1043356.2634449503</v>
      </c>
      <c r="J49" s="126"/>
    </row>
    <row r="50" spans="2:10" ht="13" thickBot="1">
      <c r="B50" s="124"/>
      <c r="D50" s="23"/>
      <c r="E50" s="24"/>
      <c r="F50" s="24"/>
      <c r="G50" s="24"/>
      <c r="J50" s="126"/>
    </row>
    <row r="51" spans="2:10" ht="16" thickBot="1">
      <c r="B51" s="124"/>
      <c r="E51" s="281" t="s">
        <v>892</v>
      </c>
      <c r="F51" s="281" t="s">
        <v>892</v>
      </c>
      <c r="G51" s="281" t="s">
        <v>889</v>
      </c>
      <c r="J51" s="126"/>
    </row>
    <row r="52" spans="2:10" ht="16" thickBot="1">
      <c r="B52" s="292"/>
      <c r="C52" t="s">
        <v>890</v>
      </c>
      <c r="E52" s="283">
        <f>NPV(0.12,$E$34:$E$43)</f>
        <v>446424.72992404678</v>
      </c>
      <c r="F52" s="283">
        <f>NPV(0.12,$F$34:$F$43)</f>
        <v>512991.20371922135</v>
      </c>
      <c r="G52" s="283">
        <f>E52+F52</f>
        <v>959415.93364326819</v>
      </c>
      <c r="J52" s="126"/>
    </row>
    <row r="53" spans="2:10">
      <c r="B53" s="124"/>
      <c r="D53" s="23"/>
      <c r="E53" s="24"/>
      <c r="F53" s="24"/>
      <c r="G53" s="24"/>
      <c r="J53" s="126"/>
    </row>
    <row r="54" spans="2:10">
      <c r="B54" s="124"/>
      <c r="C54" t="s">
        <v>893</v>
      </c>
      <c r="D54" s="23"/>
      <c r="E54" s="24"/>
      <c r="F54" s="24"/>
      <c r="G54" s="24"/>
      <c r="J54" s="126"/>
    </row>
    <row r="55" spans="2:10" ht="13" thickBot="1">
      <c r="B55" s="124"/>
      <c r="D55" s="23"/>
      <c r="E55" s="24"/>
      <c r="F55" s="24"/>
      <c r="G55" s="24"/>
      <c r="J55" s="126"/>
    </row>
    <row r="56" spans="2:10" ht="16" thickBot="1">
      <c r="B56" s="124"/>
      <c r="D56" s="1535" t="s">
        <v>879</v>
      </c>
      <c r="E56" s="1750"/>
      <c r="F56" s="1750"/>
      <c r="G56" s="1751"/>
      <c r="J56" s="126"/>
    </row>
    <row r="57" spans="2:10">
      <c r="B57" s="124"/>
      <c r="D57" s="124" t="s">
        <v>894</v>
      </c>
      <c r="F57" s="284">
        <f>E7</f>
        <v>1000000</v>
      </c>
      <c r="G57" s="126" t="s">
        <v>880</v>
      </c>
      <c r="J57" s="126"/>
    </row>
    <row r="58" spans="2:10">
      <c r="B58" s="124"/>
      <c r="D58" s="124" t="s">
        <v>895</v>
      </c>
      <c r="F58" s="285">
        <f>E8</f>
        <v>0.11</v>
      </c>
      <c r="G58" s="126"/>
      <c r="J58" s="126"/>
    </row>
    <row r="59" spans="2:10" ht="13" thickBot="1">
      <c r="B59" s="124"/>
      <c r="D59" s="134" t="s">
        <v>881</v>
      </c>
      <c r="E59" s="4"/>
      <c r="F59" s="286">
        <f>E9</f>
        <v>10</v>
      </c>
      <c r="G59" s="135" t="s">
        <v>816</v>
      </c>
      <c r="J59" s="126"/>
    </row>
    <row r="60" spans="2:10" ht="13" thickBot="1">
      <c r="B60" s="124"/>
      <c r="J60" s="126"/>
    </row>
    <row r="61" spans="2:10" ht="13.5" thickBot="1">
      <c r="B61" s="124" t="s">
        <v>882</v>
      </c>
      <c r="D61" s="170">
        <f>PMT($E$8,$E$9,-F57)</f>
        <v>169801.42709749032</v>
      </c>
      <c r="F61" s="87" t="s">
        <v>883</v>
      </c>
      <c r="G61" s="285">
        <v>0.2</v>
      </c>
      <c r="H61" s="698" t="s">
        <v>38</v>
      </c>
      <c r="J61" s="126"/>
    </row>
    <row r="62" spans="2:10" ht="13" thickBot="1">
      <c r="B62" s="124"/>
      <c r="J62" s="126"/>
    </row>
    <row r="63" spans="2:10" ht="16" thickBot="1">
      <c r="B63" s="1535" t="s">
        <v>884</v>
      </c>
      <c r="C63" s="1532"/>
      <c r="D63" s="1532"/>
      <c r="E63" s="1532"/>
      <c r="F63" s="1532"/>
      <c r="G63" s="1532"/>
      <c r="H63" s="1533"/>
      <c r="J63" s="126"/>
    </row>
    <row r="64" spans="2:10" ht="13" thickBot="1">
      <c r="B64" s="124"/>
      <c r="H64" s="126"/>
      <c r="J64" s="126"/>
    </row>
    <row r="65" spans="2:10" ht="16" thickBot="1">
      <c r="B65" s="281" t="s">
        <v>262</v>
      </c>
      <c r="C65" s="281" t="s">
        <v>885</v>
      </c>
      <c r="D65" s="281" t="s">
        <v>209</v>
      </c>
      <c r="E65" s="281" t="s">
        <v>210</v>
      </c>
      <c r="F65" s="281" t="s">
        <v>387</v>
      </c>
      <c r="G65" s="281" t="s">
        <v>886</v>
      </c>
      <c r="H65" s="281" t="s">
        <v>862</v>
      </c>
      <c r="J65" s="126"/>
    </row>
    <row r="66" spans="2:10">
      <c r="B66" s="124"/>
      <c r="H66" s="126"/>
      <c r="J66" s="126"/>
    </row>
    <row r="67" spans="2:10">
      <c r="B67" s="124">
        <v>1</v>
      </c>
      <c r="C67" s="43">
        <f>F57</f>
        <v>1000000</v>
      </c>
      <c r="D67" s="43">
        <f t="shared" ref="D67:D75" si="9">PMT($E$8,10-B67+1,-C67)</f>
        <v>169801.42709749032</v>
      </c>
      <c r="E67" s="43">
        <f t="shared" ref="E67:E76" si="10">$E$8*C67</f>
        <v>110000</v>
      </c>
      <c r="F67" s="43">
        <f t="shared" ref="F67:F76" si="11">D67-E67+H67</f>
        <v>259801.42709749032</v>
      </c>
      <c r="G67" s="43">
        <f t="shared" ref="G67:G76" si="12">C67-F67</f>
        <v>740198.57290250971</v>
      </c>
      <c r="H67" s="287">
        <f t="shared" ref="H67:H75" si="13">$G$61*C67</f>
        <v>200000</v>
      </c>
      <c r="J67" s="126"/>
    </row>
    <row r="68" spans="2:10">
      <c r="B68" s="124">
        <f t="shared" ref="B68:B76" si="14">B67+1</f>
        <v>2</v>
      </c>
      <c r="C68" s="43">
        <f t="shared" ref="C68:C76" si="15">G67</f>
        <v>740198.57290250971</v>
      </c>
      <c r="D68" s="43">
        <f t="shared" si="9"/>
        <v>133681.09422497975</v>
      </c>
      <c r="E68" s="43">
        <f t="shared" si="10"/>
        <v>81421.843019276072</v>
      </c>
      <c r="F68" s="43">
        <f t="shared" si="11"/>
        <v>200298.96578620563</v>
      </c>
      <c r="G68" s="43">
        <f t="shared" si="12"/>
        <v>539899.60711630411</v>
      </c>
      <c r="H68" s="287">
        <f t="shared" si="13"/>
        <v>148039.71458050195</v>
      </c>
      <c r="J68" s="126"/>
    </row>
    <row r="69" spans="2:10">
      <c r="B69" s="124">
        <f t="shared" si="14"/>
        <v>3</v>
      </c>
      <c r="C69" s="43">
        <f t="shared" si="15"/>
        <v>539899.60711630411</v>
      </c>
      <c r="D69" s="43">
        <f t="shared" si="9"/>
        <v>104913.86082267507</v>
      </c>
      <c r="E69" s="43">
        <f t="shared" si="10"/>
        <v>59388.956782793452</v>
      </c>
      <c r="F69" s="43">
        <f t="shared" si="11"/>
        <v>153504.82546314242</v>
      </c>
      <c r="G69" s="43">
        <f t="shared" si="12"/>
        <v>386394.78165316168</v>
      </c>
      <c r="H69" s="287">
        <f t="shared" si="13"/>
        <v>107979.92142326082</v>
      </c>
      <c r="J69" s="126"/>
    </row>
    <row r="70" spans="2:10">
      <c r="B70" s="124">
        <f t="shared" si="14"/>
        <v>4</v>
      </c>
      <c r="C70" s="43">
        <f t="shared" si="15"/>
        <v>386394.78165316168</v>
      </c>
      <c r="D70" s="43">
        <f t="shared" si="9"/>
        <v>81998.872702637367</v>
      </c>
      <c r="E70" s="43">
        <f t="shared" si="10"/>
        <v>42503.425981847788</v>
      </c>
      <c r="F70" s="43">
        <f t="shared" si="11"/>
        <v>116774.40305142192</v>
      </c>
      <c r="G70" s="43">
        <f t="shared" si="12"/>
        <v>269620.37860173977</v>
      </c>
      <c r="H70" s="287">
        <f t="shared" si="13"/>
        <v>77278.95633063234</v>
      </c>
      <c r="J70" s="126"/>
    </row>
    <row r="71" spans="2:10">
      <c r="B71" s="124">
        <f t="shared" si="14"/>
        <v>5</v>
      </c>
      <c r="C71" s="43">
        <f t="shared" si="15"/>
        <v>269620.37860173977</v>
      </c>
      <c r="D71" s="43">
        <f t="shared" si="9"/>
        <v>63731.938567455058</v>
      </c>
      <c r="E71" s="43">
        <f t="shared" si="10"/>
        <v>29658.241646191374</v>
      </c>
      <c r="F71" s="43">
        <f t="shared" si="11"/>
        <v>87997.772641611635</v>
      </c>
      <c r="G71" s="43">
        <f t="shared" si="12"/>
        <v>181622.60596012813</v>
      </c>
      <c r="H71" s="287">
        <f t="shared" si="13"/>
        <v>53924.075720347959</v>
      </c>
      <c r="J71" s="126"/>
    </row>
    <row r="72" spans="2:10">
      <c r="B72" s="124">
        <f t="shared" si="14"/>
        <v>6</v>
      </c>
      <c r="C72" s="43">
        <f t="shared" si="15"/>
        <v>181622.60596012813</v>
      </c>
      <c r="D72" s="43">
        <f t="shared" si="9"/>
        <v>49141.684709504538</v>
      </c>
      <c r="E72" s="43">
        <f t="shared" si="10"/>
        <v>19978.486655614095</v>
      </c>
      <c r="F72" s="43">
        <f t="shared" si="11"/>
        <v>65487.719245916072</v>
      </c>
      <c r="G72" s="43">
        <f t="shared" si="12"/>
        <v>116134.88671421206</v>
      </c>
      <c r="H72" s="287">
        <f t="shared" si="13"/>
        <v>36324.521192025626</v>
      </c>
      <c r="J72" s="126"/>
    </row>
    <row r="73" spans="2:10">
      <c r="B73" s="124">
        <f t="shared" si="14"/>
        <v>7</v>
      </c>
      <c r="C73" s="43">
        <f t="shared" si="15"/>
        <v>116134.88671421206</v>
      </c>
      <c r="D73" s="43">
        <f t="shared" si="9"/>
        <v>37433.334321970287</v>
      </c>
      <c r="E73" s="43">
        <f t="shared" si="10"/>
        <v>12774.837538563326</v>
      </c>
      <c r="F73" s="43">
        <f t="shared" si="11"/>
        <v>47885.474126249377</v>
      </c>
      <c r="G73" s="43">
        <f t="shared" si="12"/>
        <v>68249.412587962681</v>
      </c>
      <c r="H73" s="287">
        <f t="shared" si="13"/>
        <v>23226.977342842412</v>
      </c>
      <c r="J73" s="126"/>
    </row>
    <row r="74" spans="2:10">
      <c r="B74" s="124">
        <f t="shared" si="14"/>
        <v>8</v>
      </c>
      <c r="C74" s="43">
        <f t="shared" si="15"/>
        <v>68249.412587962681</v>
      </c>
      <c r="D74" s="43">
        <f t="shared" si="9"/>
        <v>27928.551625351723</v>
      </c>
      <c r="E74" s="43">
        <f t="shared" si="10"/>
        <v>7507.435384675895</v>
      </c>
      <c r="F74" s="43">
        <f t="shared" si="11"/>
        <v>34070.998758268368</v>
      </c>
      <c r="G74" s="43">
        <f t="shared" si="12"/>
        <v>34178.413829694313</v>
      </c>
      <c r="H74" s="287">
        <f t="shared" si="13"/>
        <v>13649.882517592538</v>
      </c>
      <c r="J74" s="126"/>
    </row>
    <row r="75" spans="2:10">
      <c r="B75" s="124">
        <f t="shared" si="14"/>
        <v>9</v>
      </c>
      <c r="C75" s="43">
        <f t="shared" si="15"/>
        <v>34178.413829694313</v>
      </c>
      <c r="D75" s="43">
        <f t="shared" si="9"/>
        <v>19957.92591448643</v>
      </c>
      <c r="E75" s="43">
        <f t="shared" si="10"/>
        <v>3759.6255212663746</v>
      </c>
      <c r="F75" s="43">
        <f t="shared" si="11"/>
        <v>23033.983159158917</v>
      </c>
      <c r="G75" s="43">
        <f t="shared" si="12"/>
        <v>11144.430670535396</v>
      </c>
      <c r="H75" s="287">
        <f t="shared" si="13"/>
        <v>6835.6827659388628</v>
      </c>
      <c r="J75" s="126"/>
    </row>
    <row r="76" spans="2:10" ht="13" thickBot="1">
      <c r="B76" s="134">
        <f t="shared" si="14"/>
        <v>10</v>
      </c>
      <c r="C76" s="282">
        <f t="shared" si="15"/>
        <v>11144.430670535396</v>
      </c>
      <c r="D76" s="282">
        <f>C76+E76</f>
        <v>12370.318044294288</v>
      </c>
      <c r="E76" s="282">
        <f t="shared" si="10"/>
        <v>1225.8873737588935</v>
      </c>
      <c r="F76" s="282">
        <f t="shared" si="11"/>
        <v>11144.430670535396</v>
      </c>
      <c r="G76" s="282">
        <f t="shared" si="12"/>
        <v>0</v>
      </c>
      <c r="H76" s="288">
        <v>0</v>
      </c>
      <c r="J76" s="126"/>
    </row>
    <row r="77" spans="2:10">
      <c r="B77" s="124"/>
      <c r="C77" s="160"/>
      <c r="E77" s="23"/>
      <c r="F77" s="160"/>
      <c r="G77" s="160"/>
      <c r="H77" s="160"/>
      <c r="J77" s="126"/>
    </row>
    <row r="78" spans="2:10">
      <c r="B78" s="124"/>
      <c r="J78" s="126"/>
    </row>
    <row r="79" spans="2:10" ht="16" thickBot="1">
      <c r="B79" s="124"/>
      <c r="E79" s="20"/>
      <c r="J79" s="126"/>
    </row>
    <row r="80" spans="2:10" ht="16" thickBot="1">
      <c r="B80" s="124"/>
      <c r="D80" s="1749" t="s">
        <v>887</v>
      </c>
      <c r="E80" s="1700"/>
      <c r="F80" s="1701"/>
      <c r="J80" s="126"/>
    </row>
    <row r="81" spans="2:10" ht="13" thickBot="1">
      <c r="B81" s="124"/>
      <c r="D81" s="124"/>
      <c r="F81" s="126"/>
      <c r="J81" s="126"/>
    </row>
    <row r="82" spans="2:10" ht="16" thickBot="1">
      <c r="B82" s="124"/>
      <c r="D82" s="281" t="s">
        <v>262</v>
      </c>
      <c r="E82" s="281" t="s">
        <v>210</v>
      </c>
      <c r="F82" s="281" t="s">
        <v>387</v>
      </c>
      <c r="J82" s="126"/>
    </row>
    <row r="83" spans="2:10">
      <c r="B83" s="124"/>
      <c r="D83" s="124"/>
      <c r="F83" s="126"/>
      <c r="J83" s="126"/>
    </row>
    <row r="84" spans="2:10">
      <c r="B84" s="124"/>
      <c r="D84" s="124">
        <v>1</v>
      </c>
      <c r="E84" s="8">
        <f t="shared" ref="E84:F93" si="16">E67</f>
        <v>110000</v>
      </c>
      <c r="F84" s="158">
        <f t="shared" si="16"/>
        <v>259801.42709749032</v>
      </c>
      <c r="J84" s="126"/>
    </row>
    <row r="85" spans="2:10">
      <c r="B85" s="124"/>
      <c r="D85" s="124">
        <f t="shared" ref="D85:D93" si="17">D84+1</f>
        <v>2</v>
      </c>
      <c r="E85" s="24">
        <f t="shared" si="16"/>
        <v>81421.843019276072</v>
      </c>
      <c r="F85" s="163">
        <f t="shared" si="16"/>
        <v>200298.96578620563</v>
      </c>
      <c r="J85" s="126"/>
    </row>
    <row r="86" spans="2:10">
      <c r="B86" s="124"/>
      <c r="D86" s="124">
        <f t="shared" si="17"/>
        <v>3</v>
      </c>
      <c r="E86" s="24">
        <f t="shared" si="16"/>
        <v>59388.956782793452</v>
      </c>
      <c r="F86" s="163">
        <f t="shared" si="16"/>
        <v>153504.82546314242</v>
      </c>
      <c r="J86" s="126"/>
    </row>
    <row r="87" spans="2:10">
      <c r="B87" s="124"/>
      <c r="D87" s="124">
        <f t="shared" si="17"/>
        <v>4</v>
      </c>
      <c r="E87" s="24">
        <f t="shared" si="16"/>
        <v>42503.425981847788</v>
      </c>
      <c r="F87" s="163">
        <f t="shared" si="16"/>
        <v>116774.40305142192</v>
      </c>
      <c r="J87" s="126"/>
    </row>
    <row r="88" spans="2:10">
      <c r="B88" s="124"/>
      <c r="D88" s="124">
        <f t="shared" si="17"/>
        <v>5</v>
      </c>
      <c r="E88" s="24">
        <f t="shared" si="16"/>
        <v>29658.241646191374</v>
      </c>
      <c r="F88" s="163">
        <f t="shared" si="16"/>
        <v>87997.772641611635</v>
      </c>
      <c r="J88" s="126"/>
    </row>
    <row r="89" spans="2:10">
      <c r="B89" s="124"/>
      <c r="D89" s="124">
        <f t="shared" si="17"/>
        <v>6</v>
      </c>
      <c r="E89" s="24">
        <f t="shared" si="16"/>
        <v>19978.486655614095</v>
      </c>
      <c r="F89" s="163">
        <f t="shared" si="16"/>
        <v>65487.719245916072</v>
      </c>
      <c r="J89" s="126"/>
    </row>
    <row r="90" spans="2:10">
      <c r="B90" s="124"/>
      <c r="D90" s="124">
        <f t="shared" si="17"/>
        <v>7</v>
      </c>
      <c r="E90" s="24">
        <f t="shared" si="16"/>
        <v>12774.837538563326</v>
      </c>
      <c r="F90" s="163">
        <f t="shared" si="16"/>
        <v>47885.474126249377</v>
      </c>
      <c r="J90" s="126"/>
    </row>
    <row r="91" spans="2:10">
      <c r="B91" s="124"/>
      <c r="D91" s="124">
        <f t="shared" si="17"/>
        <v>8</v>
      </c>
      <c r="E91" s="24">
        <f t="shared" si="16"/>
        <v>7507.435384675895</v>
      </c>
      <c r="F91" s="163">
        <f t="shared" si="16"/>
        <v>34070.998758268368</v>
      </c>
      <c r="J91" s="126"/>
    </row>
    <row r="92" spans="2:10">
      <c r="B92" s="124"/>
      <c r="D92" s="124">
        <f t="shared" si="17"/>
        <v>9</v>
      </c>
      <c r="E92" s="24">
        <f t="shared" si="16"/>
        <v>3759.6255212663746</v>
      </c>
      <c r="F92" s="163">
        <f t="shared" si="16"/>
        <v>23033.983159158917</v>
      </c>
      <c r="J92" s="126"/>
    </row>
    <row r="93" spans="2:10" ht="13" thickBot="1">
      <c r="B93" s="124"/>
      <c r="D93" s="134">
        <f t="shared" si="17"/>
        <v>10</v>
      </c>
      <c r="E93" s="31">
        <f t="shared" si="16"/>
        <v>1225.8873737588935</v>
      </c>
      <c r="F93" s="207">
        <f t="shared" si="16"/>
        <v>11144.430670535396</v>
      </c>
      <c r="J93" s="126"/>
    </row>
    <row r="94" spans="2:10" ht="13" thickBot="1">
      <c r="B94" s="124"/>
      <c r="J94" s="126"/>
    </row>
    <row r="95" spans="2:10" ht="16" thickBot="1">
      <c r="B95" s="124"/>
      <c r="E95" s="281" t="s">
        <v>888</v>
      </c>
      <c r="F95" s="281" t="s">
        <v>888</v>
      </c>
      <c r="G95" s="281" t="s">
        <v>889</v>
      </c>
      <c r="J95" s="126"/>
    </row>
    <row r="96" spans="2:10" ht="16" thickBot="1">
      <c r="B96" s="292"/>
      <c r="E96" s="283">
        <f>NPV(0.11,$E$67:$E$76)</f>
        <v>276200.20003156731</v>
      </c>
      <c r="F96" s="283">
        <f>NPV(0.11,$F$67:$F$76)</f>
        <v>723799.7999684324</v>
      </c>
      <c r="G96" s="283">
        <f>E96+F96</f>
        <v>999999.99999999977</v>
      </c>
      <c r="J96" s="126"/>
    </row>
    <row r="97" spans="2:10" ht="15.5">
      <c r="B97" s="292"/>
      <c r="E97" s="293"/>
      <c r="F97" s="293"/>
      <c r="G97" s="8"/>
      <c r="J97" s="126"/>
    </row>
    <row r="98" spans="2:10" ht="15.5">
      <c r="B98" s="292"/>
      <c r="E98" s="294" t="s">
        <v>896</v>
      </c>
      <c r="F98" s="293"/>
      <c r="G98" s="8"/>
      <c r="J98" s="126"/>
    </row>
    <row r="99" spans="2:10" ht="15.5">
      <c r="B99" s="292"/>
      <c r="F99" s="293"/>
      <c r="G99" s="8"/>
      <c r="J99" s="126"/>
    </row>
    <row r="100" spans="2:10" ht="15.5">
      <c r="B100" s="292"/>
      <c r="E100" s="295" t="s">
        <v>897</v>
      </c>
      <c r="F100" s="295"/>
      <c r="G100" s="296">
        <f>G61</f>
        <v>0.2</v>
      </c>
      <c r="H100" s="114" t="s">
        <v>898</v>
      </c>
      <c r="J100" s="126"/>
    </row>
    <row r="101" spans="2:10" ht="16" thickBot="1">
      <c r="B101" s="292"/>
      <c r="E101" s="293"/>
      <c r="F101" s="293"/>
      <c r="G101" s="8"/>
      <c r="J101" s="126"/>
    </row>
    <row r="102" spans="2:10" ht="16" thickBot="1">
      <c r="B102" s="292"/>
      <c r="E102" s="281" t="s">
        <v>899</v>
      </c>
      <c r="F102" s="281" t="s">
        <v>900</v>
      </c>
      <c r="G102" s="281" t="s">
        <v>889</v>
      </c>
      <c r="J102" s="126"/>
    </row>
    <row r="103" spans="2:10" ht="16" thickBot="1">
      <c r="B103" s="292"/>
      <c r="E103" s="283">
        <f>NPV(0.11,$E$84:$E$93)</f>
        <v>276200.20003156731</v>
      </c>
      <c r="F103" s="283">
        <f>NPV(0.11,$F$84:$F$93)</f>
        <v>723799.7999684324</v>
      </c>
      <c r="G103" s="283">
        <f>E103+F103</f>
        <v>999999.99999999977</v>
      </c>
      <c r="J103" s="126"/>
    </row>
    <row r="104" spans="2:10">
      <c r="B104" s="124"/>
      <c r="J104" s="126"/>
    </row>
    <row r="105" spans="2:10" ht="13" thickBot="1">
      <c r="B105" s="124"/>
      <c r="J105" s="126"/>
    </row>
    <row r="106" spans="2:10" ht="16" thickBot="1">
      <c r="B106" s="124"/>
      <c r="D106" s="230"/>
      <c r="E106" s="281" t="s">
        <v>901</v>
      </c>
      <c r="F106" s="281" t="s">
        <v>900</v>
      </c>
      <c r="G106" s="281" t="s">
        <v>889</v>
      </c>
      <c r="J106" s="126"/>
    </row>
    <row r="107" spans="2:10" ht="16" thickBot="1">
      <c r="B107" s="124"/>
      <c r="D107" s="281" t="s">
        <v>862</v>
      </c>
      <c r="E107" s="289">
        <f>E103</f>
        <v>276200.20003156731</v>
      </c>
      <c r="F107" s="289">
        <f>F103</f>
        <v>723799.7999684324</v>
      </c>
      <c r="G107" s="289">
        <f>G103</f>
        <v>999999.99999999977</v>
      </c>
      <c r="J107" s="126"/>
    </row>
    <row r="108" spans="2:10">
      <c r="B108" s="124"/>
      <c r="D108" s="270">
        <v>0</v>
      </c>
      <c r="E108" s="8">
        <f t="dataTable" ref="E108:G114" dt2D="0" dtr="0" r1="G61" ca="1"/>
        <v>461248.40452711418</v>
      </c>
      <c r="F108" s="8">
        <v>538751.59547288553</v>
      </c>
      <c r="G108" s="158">
        <v>999999.99999999977</v>
      </c>
      <c r="J108" s="126"/>
    </row>
    <row r="109" spans="2:10">
      <c r="B109" s="124"/>
      <c r="D109" s="270">
        <f t="shared" ref="D109:D114" si="18">D108+0.05</f>
        <v>0.05</v>
      </c>
      <c r="E109" s="24">
        <v>399943.29936966562</v>
      </c>
      <c r="F109" s="24">
        <v>600056.70063033409</v>
      </c>
      <c r="G109" s="158">
        <v>999999.99999999977</v>
      </c>
      <c r="J109" s="126"/>
    </row>
    <row r="110" spans="2:10">
      <c r="B110" s="124"/>
      <c r="D110" s="270">
        <f t="shared" si="18"/>
        <v>0.1</v>
      </c>
      <c r="E110" s="24">
        <v>350217.52374041331</v>
      </c>
      <c r="F110" s="24">
        <v>649782.47625958663</v>
      </c>
      <c r="G110" s="158">
        <v>1000000</v>
      </c>
      <c r="J110" s="126"/>
    </row>
    <row r="111" spans="2:10">
      <c r="B111" s="124"/>
      <c r="D111" s="270">
        <f t="shared" si="18"/>
        <v>0.15000000000000002</v>
      </c>
      <c r="E111" s="24">
        <v>309611.40100247646</v>
      </c>
      <c r="F111" s="24">
        <v>690388.59899752331</v>
      </c>
      <c r="G111" s="158">
        <v>999999.99999999977</v>
      </c>
      <c r="J111" s="126"/>
    </row>
    <row r="112" spans="2:10">
      <c r="B112" s="124"/>
      <c r="D112" s="270">
        <f t="shared" si="18"/>
        <v>0.2</v>
      </c>
      <c r="E112" s="24">
        <v>276200.20003156731</v>
      </c>
      <c r="F112" s="24">
        <v>723799.7999684324</v>
      </c>
      <c r="G112" s="158">
        <v>999999.99999999977</v>
      </c>
      <c r="J112" s="126"/>
    </row>
    <row r="113" spans="2:10">
      <c r="B113" s="124"/>
      <c r="D113" s="270">
        <f t="shared" si="18"/>
        <v>0.25</v>
      </c>
      <c r="E113" s="24">
        <v>248482.10750291706</v>
      </c>
      <c r="F113" s="24">
        <v>751517.89249708282</v>
      </c>
      <c r="G113" s="158">
        <v>999999.99999999988</v>
      </c>
      <c r="J113" s="126"/>
    </row>
    <row r="114" spans="2:10" ht="13" thickBot="1">
      <c r="B114" s="124"/>
      <c r="D114" s="141">
        <f t="shared" si="18"/>
        <v>0.3</v>
      </c>
      <c r="E114" s="31">
        <v>225287.51593176441</v>
      </c>
      <c r="F114" s="31">
        <v>774712.48406823538</v>
      </c>
      <c r="G114" s="253">
        <v>999999.99999999977</v>
      </c>
      <c r="J114" s="126"/>
    </row>
    <row r="115" spans="2:10">
      <c r="B115" s="124"/>
      <c r="J115" s="126"/>
    </row>
    <row r="116" spans="2:10" ht="15.5">
      <c r="B116" s="213"/>
      <c r="C116" s="297" t="s">
        <v>37</v>
      </c>
      <c r="D116" s="275"/>
      <c r="E116" s="275"/>
      <c r="F116" s="275"/>
      <c r="G116" s="275"/>
      <c r="H116" s="275"/>
      <c r="I116" s="275"/>
      <c r="J116" s="126"/>
    </row>
    <row r="117" spans="2:10" ht="15.5">
      <c r="B117" s="124"/>
      <c r="C117" s="298" t="s">
        <v>902</v>
      </c>
      <c r="D117" s="275"/>
      <c r="E117" s="275"/>
      <c r="F117" s="275"/>
      <c r="G117" s="275"/>
      <c r="H117" s="275"/>
      <c r="I117" s="275"/>
      <c r="J117" s="126"/>
    </row>
    <row r="118" spans="2:10" ht="16" thickBot="1">
      <c r="B118" s="124"/>
      <c r="C118" s="20"/>
      <c r="J118" s="126"/>
    </row>
    <row r="119" spans="2:10" ht="16" thickBot="1">
      <c r="B119" s="124"/>
      <c r="D119" s="281" t="s">
        <v>262</v>
      </c>
      <c r="E119" s="281" t="s">
        <v>210</v>
      </c>
      <c r="F119" s="281" t="s">
        <v>387</v>
      </c>
      <c r="J119" s="126"/>
    </row>
    <row r="120" spans="2:10">
      <c r="B120" s="124"/>
      <c r="D120" s="124">
        <v>0</v>
      </c>
      <c r="E120" s="8">
        <v>-310000</v>
      </c>
      <c r="F120" s="158">
        <v>-690000</v>
      </c>
      <c r="J120" s="126"/>
    </row>
    <row r="121" spans="2:10">
      <c r="B121" s="124"/>
      <c r="D121" s="124">
        <v>1</v>
      </c>
      <c r="E121" s="24">
        <f t="shared" ref="E121:F130" si="19">E84</f>
        <v>110000</v>
      </c>
      <c r="F121" s="163">
        <f t="shared" si="19"/>
        <v>259801.42709749032</v>
      </c>
      <c r="J121" s="126"/>
    </row>
    <row r="122" spans="2:10">
      <c r="B122" s="124"/>
      <c r="D122" s="124">
        <f t="shared" ref="D122:D130" si="20">D121+1</f>
        <v>2</v>
      </c>
      <c r="E122" s="24">
        <f t="shared" si="19"/>
        <v>81421.843019276072</v>
      </c>
      <c r="F122" s="163">
        <f t="shared" si="19"/>
        <v>200298.96578620563</v>
      </c>
      <c r="J122" s="126"/>
    </row>
    <row r="123" spans="2:10">
      <c r="B123" s="124"/>
      <c r="D123" s="124">
        <f t="shared" si="20"/>
        <v>3</v>
      </c>
      <c r="E123" s="24">
        <f t="shared" si="19"/>
        <v>59388.956782793452</v>
      </c>
      <c r="F123" s="163">
        <f t="shared" si="19"/>
        <v>153504.82546314242</v>
      </c>
      <c r="J123" s="126"/>
    </row>
    <row r="124" spans="2:10">
      <c r="B124" s="124"/>
      <c r="D124" s="124">
        <f t="shared" si="20"/>
        <v>4</v>
      </c>
      <c r="E124" s="24">
        <f t="shared" si="19"/>
        <v>42503.425981847788</v>
      </c>
      <c r="F124" s="163">
        <f t="shared" si="19"/>
        <v>116774.40305142192</v>
      </c>
      <c r="J124" s="126"/>
    </row>
    <row r="125" spans="2:10">
      <c r="B125" s="124"/>
      <c r="D125" s="124">
        <f t="shared" si="20"/>
        <v>5</v>
      </c>
      <c r="E125" s="24">
        <f t="shared" si="19"/>
        <v>29658.241646191374</v>
      </c>
      <c r="F125" s="163">
        <f t="shared" si="19"/>
        <v>87997.772641611635</v>
      </c>
      <c r="J125" s="126"/>
    </row>
    <row r="126" spans="2:10">
      <c r="B126" s="124"/>
      <c r="D126" s="124">
        <f t="shared" si="20"/>
        <v>6</v>
      </c>
      <c r="E126" s="24">
        <f t="shared" si="19"/>
        <v>19978.486655614095</v>
      </c>
      <c r="F126" s="163">
        <f t="shared" si="19"/>
        <v>65487.719245916072</v>
      </c>
      <c r="J126" s="126"/>
    </row>
    <row r="127" spans="2:10">
      <c r="B127" s="124"/>
      <c r="D127" s="124">
        <f t="shared" si="20"/>
        <v>7</v>
      </c>
      <c r="E127" s="24">
        <f t="shared" si="19"/>
        <v>12774.837538563326</v>
      </c>
      <c r="F127" s="163">
        <f t="shared" si="19"/>
        <v>47885.474126249377</v>
      </c>
      <c r="J127" s="126"/>
    </row>
    <row r="128" spans="2:10">
      <c r="B128" s="124"/>
      <c r="D128" s="124">
        <f t="shared" si="20"/>
        <v>8</v>
      </c>
      <c r="E128" s="24">
        <f t="shared" si="19"/>
        <v>7507.435384675895</v>
      </c>
      <c r="F128" s="163">
        <f t="shared" si="19"/>
        <v>34070.998758268368</v>
      </c>
      <c r="J128" s="126"/>
    </row>
    <row r="129" spans="2:10">
      <c r="B129" s="124"/>
      <c r="D129" s="124">
        <f t="shared" si="20"/>
        <v>9</v>
      </c>
      <c r="E129" s="24">
        <f t="shared" si="19"/>
        <v>3759.6255212663746</v>
      </c>
      <c r="F129" s="163">
        <f t="shared" si="19"/>
        <v>23033.983159158917</v>
      </c>
      <c r="J129" s="126"/>
    </row>
    <row r="130" spans="2:10">
      <c r="B130" s="124"/>
      <c r="D130" s="124">
        <f t="shared" si="20"/>
        <v>10</v>
      </c>
      <c r="E130" s="24">
        <f t="shared" si="19"/>
        <v>1225.8873737588935</v>
      </c>
      <c r="F130" s="163">
        <f t="shared" si="19"/>
        <v>11144.430670535396</v>
      </c>
      <c r="J130" s="126"/>
    </row>
    <row r="131" spans="2:10" ht="13" thickBot="1">
      <c r="B131" s="124"/>
      <c r="D131" s="124"/>
      <c r="F131" s="126"/>
      <c r="J131" s="126"/>
    </row>
    <row r="132" spans="2:10" ht="13.5" thickBot="1">
      <c r="B132" s="124"/>
      <c r="D132" s="144" t="s">
        <v>903</v>
      </c>
      <c r="E132" s="291">
        <f>IRR(E120:E130,0.2)</f>
        <v>6.2668291335333581E-2</v>
      </c>
      <c r="F132" s="155">
        <f>IRR(F120:F130,0.1)</f>
        <v>0.12889867304300129</v>
      </c>
      <c r="J132" s="126"/>
    </row>
    <row r="133" spans="2:10" ht="13" thickBot="1">
      <c r="B133" s="124"/>
      <c r="J133" s="126"/>
    </row>
    <row r="134" spans="2:10" ht="16" thickBot="1">
      <c r="B134" s="124"/>
      <c r="D134" s="230"/>
      <c r="E134" s="281" t="s">
        <v>904</v>
      </c>
      <c r="F134" s="281" t="s">
        <v>905</v>
      </c>
      <c r="J134" s="126"/>
    </row>
    <row r="135" spans="2:10" ht="16" thickBot="1">
      <c r="B135" s="124"/>
      <c r="D135" s="281" t="s">
        <v>862</v>
      </c>
      <c r="E135" s="289">
        <f>E132</f>
        <v>6.2668291335333581E-2</v>
      </c>
      <c r="F135" s="290">
        <f>F132</f>
        <v>0.12889867304300129</v>
      </c>
      <c r="J135" s="126"/>
    </row>
    <row r="136" spans="2:10">
      <c r="B136" s="124"/>
      <c r="D136" s="270">
        <v>0</v>
      </c>
      <c r="E136" s="23">
        <f t="dataTable" ref="E136:F142" dt2D="0" dtr="0" r1="G61"/>
        <v>0.24915470158402697</v>
      </c>
      <c r="F136" s="252">
        <v>6.2678684472482482E-2</v>
      </c>
      <c r="J136" s="126"/>
    </row>
    <row r="137" spans="2:10">
      <c r="B137" s="124"/>
      <c r="D137" s="270">
        <f t="shared" ref="D137:D142" si="21">D136+0.05</f>
        <v>0.05</v>
      </c>
      <c r="E137" s="23">
        <v>0.20275076843028517</v>
      </c>
      <c r="F137" s="252">
        <v>7.6817319317295407E-2</v>
      </c>
      <c r="J137" s="126"/>
    </row>
    <row r="138" spans="2:10">
      <c r="B138" s="124"/>
      <c r="D138" s="270">
        <f t="shared" si="21"/>
        <v>0.1</v>
      </c>
      <c r="E138" s="23">
        <v>0.15620057056458925</v>
      </c>
      <c r="F138" s="252">
        <v>9.2734735267980817E-2</v>
      </c>
      <c r="J138" s="126"/>
    </row>
    <row r="139" spans="2:10">
      <c r="B139" s="124"/>
      <c r="D139" s="270">
        <f t="shared" si="21"/>
        <v>0.15000000000000002</v>
      </c>
      <c r="E139" s="23">
        <v>0.10950568561556473</v>
      </c>
      <c r="F139" s="252">
        <v>0.11019158015340635</v>
      </c>
      <c r="J139" s="126"/>
    </row>
    <row r="140" spans="2:10">
      <c r="B140" s="124"/>
      <c r="D140" s="270">
        <f t="shared" si="21"/>
        <v>0.2</v>
      </c>
      <c r="E140" s="23">
        <v>6.2668291335333581E-2</v>
      </c>
      <c r="F140" s="252">
        <v>0.12889867304300129</v>
      </c>
      <c r="J140" s="126"/>
    </row>
    <row r="141" spans="2:10">
      <c r="B141" s="124"/>
      <c r="D141" s="270">
        <f t="shared" si="21"/>
        <v>0.25</v>
      </c>
      <c r="E141" s="23">
        <v>1.5691151147200655E-2</v>
      </c>
      <c r="F141" s="252">
        <v>0.14856923932464006</v>
      </c>
      <c r="J141" s="126"/>
    </row>
    <row r="142" spans="2:10" ht="13" thickBot="1">
      <c r="B142" s="124"/>
      <c r="D142" s="141">
        <f t="shared" si="21"/>
        <v>0.3</v>
      </c>
      <c r="E142" s="142">
        <v>-3.1422448677723702E-2</v>
      </c>
      <c r="F142" s="143">
        <v>0.16895437796574697</v>
      </c>
      <c r="J142" s="126"/>
    </row>
    <row r="143" spans="2:10">
      <c r="B143" s="124"/>
      <c r="J143" s="126"/>
    </row>
    <row r="144" spans="2:10">
      <c r="B144" s="124"/>
      <c r="J144" s="126"/>
    </row>
    <row r="145" spans="2:10">
      <c r="B145" s="124"/>
      <c r="J145" s="126"/>
    </row>
    <row r="146" spans="2:10">
      <c r="B146" s="124"/>
      <c r="J146" s="126"/>
    </row>
    <row r="147" spans="2:10">
      <c r="B147" s="124"/>
      <c r="J147" s="126"/>
    </row>
    <row r="148" spans="2:10">
      <c r="B148" s="124"/>
      <c r="J148" s="126"/>
    </row>
    <row r="149" spans="2:10">
      <c r="B149" s="124"/>
      <c r="J149" s="126"/>
    </row>
    <row r="150" spans="2:10">
      <c r="B150" s="124"/>
      <c r="J150" s="126"/>
    </row>
    <row r="151" spans="2:10">
      <c r="B151" s="124"/>
      <c r="J151" s="126"/>
    </row>
    <row r="152" spans="2:10">
      <c r="B152" s="124"/>
      <c r="J152" s="126"/>
    </row>
    <row r="153" spans="2:10">
      <c r="B153" s="124"/>
      <c r="J153" s="126"/>
    </row>
    <row r="154" spans="2:10">
      <c r="B154" s="124"/>
      <c r="J154" s="126"/>
    </row>
    <row r="155" spans="2:10">
      <c r="B155" s="124"/>
      <c r="J155" s="126"/>
    </row>
    <row r="156" spans="2:10">
      <c r="B156" s="124"/>
      <c r="J156" s="126"/>
    </row>
    <row r="157" spans="2:10">
      <c r="B157" s="124"/>
      <c r="J157" s="126"/>
    </row>
    <row r="158" spans="2:10">
      <c r="B158" s="124"/>
      <c r="J158" s="126"/>
    </row>
    <row r="159" spans="2:10">
      <c r="B159" s="124"/>
      <c r="J159" s="126"/>
    </row>
    <row r="160" spans="2:10">
      <c r="B160" s="124"/>
      <c r="J160" s="126"/>
    </row>
    <row r="161" spans="2:10">
      <c r="B161" s="124"/>
      <c r="J161" s="126"/>
    </row>
    <row r="162" spans="2:10">
      <c r="B162" s="124"/>
      <c r="J162" s="126"/>
    </row>
    <row r="163" spans="2:10">
      <c r="B163" s="124"/>
      <c r="J163" s="126"/>
    </row>
    <row r="164" spans="2:10">
      <c r="B164" s="124"/>
      <c r="J164" s="126"/>
    </row>
    <row r="165" spans="2:10">
      <c r="B165" s="124"/>
      <c r="J165" s="126"/>
    </row>
    <row r="166" spans="2:10">
      <c r="B166" s="124"/>
      <c r="J166" s="126"/>
    </row>
    <row r="167" spans="2:10">
      <c r="B167" s="124"/>
      <c r="J167" s="126"/>
    </row>
    <row r="168" spans="2:10">
      <c r="B168" s="124"/>
      <c r="J168" s="126"/>
    </row>
    <row r="169" spans="2:10">
      <c r="B169" s="124"/>
      <c r="J169" s="126"/>
    </row>
    <row r="170" spans="2:10" ht="13" thickBot="1">
      <c r="B170" s="134"/>
      <c r="C170" s="4"/>
      <c r="D170" s="4"/>
      <c r="E170" s="4"/>
      <c r="F170" s="4"/>
      <c r="G170" s="4"/>
      <c r="H170" s="4"/>
      <c r="I170" s="4"/>
      <c r="J170" s="135"/>
    </row>
  </sheetData>
  <mergeCells count="8">
    <mergeCell ref="B2:J2"/>
    <mergeCell ref="B3:J3"/>
    <mergeCell ref="B63:H63"/>
    <mergeCell ref="D80:F80"/>
    <mergeCell ref="C6:F6"/>
    <mergeCell ref="B13:H13"/>
    <mergeCell ref="D30:F30"/>
    <mergeCell ref="D56:G56"/>
  </mergeCells>
  <phoneticPr fontId="0" type="noConversion"/>
  <pageMargins left="0.75" right="0.75" top="1" bottom="1" header="0.5" footer="0.5"/>
  <pageSetup orientation="portrait" r:id="rId1"/>
  <headerFooter alignWithMargins="0"/>
  <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9" tint="0.79998168889431442"/>
  </sheetPr>
  <dimension ref="B1:L76"/>
  <sheetViews>
    <sheetView topLeftCell="A22" zoomScaleNormal="100" workbookViewId="0">
      <selection activeCell="Q39" sqref="Q39"/>
    </sheetView>
  </sheetViews>
  <sheetFormatPr defaultRowHeight="12.5"/>
  <cols>
    <col min="2" max="2" width="11.26953125" customWidth="1"/>
    <col min="3" max="3" width="11.54296875" customWidth="1"/>
    <col min="4" max="4" width="11.7265625" bestFit="1" customWidth="1"/>
    <col min="5" max="5" width="20" customWidth="1"/>
    <col min="6" max="6" width="10.453125" customWidth="1"/>
    <col min="9" max="10" width="11.26953125" bestFit="1" customWidth="1"/>
    <col min="11" max="11" width="15.1796875" customWidth="1"/>
    <col min="12" max="12" width="11.54296875" customWidth="1"/>
  </cols>
  <sheetData>
    <row r="1" spans="2:12">
      <c r="B1" s="39" t="s">
        <v>1297</v>
      </c>
    </row>
    <row r="3" spans="2:12" ht="13" thickBot="1"/>
    <row r="4" spans="2:12" ht="18.5" thickBot="1">
      <c r="B4" s="1525" t="s">
        <v>1012</v>
      </c>
      <c r="C4" s="1536"/>
      <c r="D4" s="1536"/>
      <c r="E4" s="1536"/>
      <c r="F4" s="1536"/>
      <c r="G4" s="1536"/>
      <c r="H4" s="1536"/>
      <c r="I4" s="1536"/>
      <c r="J4" s="1536"/>
      <c r="K4" s="1536"/>
      <c r="L4" s="1534"/>
    </row>
    <row r="5" spans="2:12" ht="18.5" thickBot="1">
      <c r="B5" s="1763" t="s">
        <v>1498</v>
      </c>
      <c r="C5" s="1764"/>
      <c r="D5" s="1764"/>
      <c r="E5" s="1764"/>
      <c r="F5" s="1764"/>
      <c r="G5" s="1764"/>
      <c r="H5" s="1764"/>
      <c r="I5" s="1764"/>
      <c r="J5" s="1764"/>
      <c r="K5" s="1764"/>
      <c r="L5" s="1765"/>
    </row>
    <row r="6" spans="2:12" ht="13.5" thickBot="1">
      <c r="B6" s="1752" t="s">
        <v>1056</v>
      </c>
      <c r="C6" s="1753"/>
      <c r="E6" s="1752" t="s">
        <v>1484</v>
      </c>
      <c r="F6" s="1753"/>
      <c r="K6" s="126"/>
      <c r="L6" s="126"/>
    </row>
    <row r="7" spans="2:12">
      <c r="B7" s="124" t="s">
        <v>1057</v>
      </c>
      <c r="C7" s="125">
        <v>10000000</v>
      </c>
      <c r="E7" t="s">
        <v>1438</v>
      </c>
      <c r="F7" s="125">
        <v>8000000</v>
      </c>
      <c r="K7" s="126"/>
      <c r="L7" s="126"/>
    </row>
    <row r="8" spans="2:12">
      <c r="B8" s="124" t="s">
        <v>571</v>
      </c>
      <c r="C8" s="127">
        <v>0.1</v>
      </c>
      <c r="K8" s="126"/>
      <c r="L8" s="126"/>
    </row>
    <row r="9" spans="2:12">
      <c r="B9" s="124" t="s">
        <v>1058</v>
      </c>
      <c r="C9" s="128">
        <v>5</v>
      </c>
      <c r="K9" s="126"/>
      <c r="L9" s="126"/>
    </row>
    <row r="10" spans="2:12" ht="13" thickBot="1">
      <c r="B10" s="124" t="s">
        <v>1483</v>
      </c>
      <c r="C10" s="83" t="s">
        <v>1482</v>
      </c>
      <c r="K10" s="126"/>
      <c r="L10" s="126"/>
    </row>
    <row r="11" spans="2:12" ht="13.5" thickBot="1">
      <c r="B11" s="1547" t="s">
        <v>1059</v>
      </c>
      <c r="C11" s="1538"/>
      <c r="D11" s="1539"/>
      <c r="F11" s="1547" t="s">
        <v>1060</v>
      </c>
      <c r="G11" s="1538"/>
      <c r="H11" s="1538"/>
      <c r="I11" s="1538"/>
      <c r="J11" s="1538"/>
      <c r="K11" s="1539"/>
      <c r="L11" s="126"/>
    </row>
    <row r="12" spans="2:12">
      <c r="B12" s="124"/>
      <c r="D12" s="126"/>
      <c r="F12" s="124"/>
      <c r="K12" s="126"/>
      <c r="L12" s="126"/>
    </row>
    <row r="13" spans="2:12">
      <c r="B13" s="124" t="s">
        <v>1061</v>
      </c>
      <c r="D13" s="126"/>
      <c r="F13" s="124" t="s">
        <v>1062</v>
      </c>
      <c r="I13" s="129" t="s">
        <v>920</v>
      </c>
      <c r="K13" s="126"/>
      <c r="L13" s="126"/>
    </row>
    <row r="14" spans="2:12">
      <c r="B14" s="124" t="s">
        <v>1063</v>
      </c>
      <c r="D14" s="130">
        <f>Total_Asset</f>
        <v>10000000</v>
      </c>
      <c r="F14" s="124" t="s">
        <v>1064</v>
      </c>
      <c r="I14" s="131">
        <v>0.08</v>
      </c>
      <c r="K14" s="132">
        <v>6000000</v>
      </c>
      <c r="L14" s="126"/>
    </row>
    <row r="15" spans="2:12">
      <c r="B15" s="124"/>
      <c r="D15" s="126"/>
      <c r="F15" s="124"/>
      <c r="I15" s="6"/>
      <c r="K15" s="126"/>
      <c r="L15" s="126"/>
    </row>
    <row r="16" spans="2:12">
      <c r="B16" s="124"/>
      <c r="D16" s="126"/>
      <c r="F16" s="124"/>
      <c r="I16" s="6"/>
      <c r="K16" s="126"/>
      <c r="L16" s="126"/>
    </row>
    <row r="17" spans="2:12">
      <c r="B17" s="124"/>
      <c r="D17" s="126"/>
      <c r="F17" s="124" t="s">
        <v>1065</v>
      </c>
      <c r="I17" s="6"/>
      <c r="K17" s="126"/>
      <c r="L17" s="126"/>
    </row>
    <row r="18" spans="2:12">
      <c r="B18" s="124"/>
      <c r="D18" s="126"/>
      <c r="F18" s="124" t="s">
        <v>1066</v>
      </c>
      <c r="I18" s="6"/>
      <c r="K18" s="126"/>
      <c r="L18" s="126"/>
    </row>
    <row r="19" spans="2:12">
      <c r="B19" s="124"/>
      <c r="D19" s="126"/>
      <c r="F19" s="124" t="s">
        <v>1067</v>
      </c>
      <c r="I19" s="131">
        <v>0.1</v>
      </c>
      <c r="K19" s="132">
        <v>3000000</v>
      </c>
      <c r="L19" s="126"/>
    </row>
    <row r="20" spans="2:12" ht="19.5" customHeight="1">
      <c r="B20" s="124"/>
      <c r="D20" s="126"/>
      <c r="F20" s="124" t="s">
        <v>292</v>
      </c>
      <c r="I20" s="6"/>
      <c r="K20" s="130">
        <v>9000000</v>
      </c>
      <c r="L20" s="126"/>
    </row>
    <row r="21" spans="2:12">
      <c r="B21" s="124"/>
      <c r="D21" s="126"/>
      <c r="F21" s="124" t="s">
        <v>1466</v>
      </c>
      <c r="K21" s="132">
        <v>1000000</v>
      </c>
      <c r="L21" s="126"/>
    </row>
    <row r="22" spans="2:12">
      <c r="B22" s="124"/>
      <c r="D22" s="126"/>
      <c r="F22" s="124"/>
      <c r="K22" s="126"/>
      <c r="L22" s="126"/>
    </row>
    <row r="23" spans="2:12">
      <c r="B23" s="124" t="s">
        <v>292</v>
      </c>
      <c r="D23" s="133">
        <f>Total_Asset</f>
        <v>10000000</v>
      </c>
      <c r="F23" s="124" t="s">
        <v>292</v>
      </c>
      <c r="K23" s="133">
        <v>10000000</v>
      </c>
      <c r="L23" s="126"/>
    </row>
    <row r="24" spans="2:12" ht="13" thickBot="1">
      <c r="B24" s="134"/>
      <c r="C24" s="4"/>
      <c r="D24" s="135"/>
      <c r="F24" s="134"/>
      <c r="G24" s="4"/>
      <c r="H24" s="4"/>
      <c r="I24" s="4"/>
      <c r="J24" s="4"/>
      <c r="K24" s="135"/>
      <c r="L24" s="126"/>
    </row>
    <row r="25" spans="2:12" ht="13" thickBot="1">
      <c r="B25" s="134"/>
      <c r="C25" s="4"/>
      <c r="D25" s="4"/>
      <c r="E25" s="4"/>
      <c r="F25" s="4"/>
      <c r="G25" s="4"/>
      <c r="H25" s="4"/>
      <c r="I25" s="4"/>
      <c r="J25" s="4"/>
      <c r="K25" s="135"/>
      <c r="L25" s="126"/>
    </row>
    <row r="26" spans="2:12">
      <c r="B26" s="124"/>
      <c r="L26" s="126"/>
    </row>
    <row r="27" spans="2:12">
      <c r="B27" s="124"/>
      <c r="L27" s="126"/>
    </row>
    <row r="28" spans="2:12" ht="13" thickBot="1">
      <c r="B28" s="124"/>
      <c r="L28" s="126"/>
    </row>
    <row r="29" spans="2:12" ht="13.5" thickBot="1">
      <c r="B29" s="1754" t="s">
        <v>1485</v>
      </c>
      <c r="C29" s="1755"/>
      <c r="D29" s="1755"/>
      <c r="E29" s="1755"/>
      <c r="F29" s="1756"/>
      <c r="L29" s="126"/>
    </row>
    <row r="30" spans="2:12" ht="13.5" thickBot="1">
      <c r="B30" s="124"/>
      <c r="F30" s="126"/>
      <c r="J30" s="1531" t="s">
        <v>1068</v>
      </c>
      <c r="K30" s="1532"/>
      <c r="L30" s="1533"/>
    </row>
    <row r="31" spans="2:12" ht="13.5" thickBot="1">
      <c r="B31" s="136" t="s">
        <v>1069</v>
      </c>
      <c r="C31" s="136" t="s">
        <v>1070</v>
      </c>
      <c r="D31" s="1275" t="s">
        <v>1447</v>
      </c>
      <c r="E31" s="1275" t="s">
        <v>1448</v>
      </c>
      <c r="F31" s="136"/>
      <c r="J31" s="1110" t="s">
        <v>1072</v>
      </c>
      <c r="K31" s="1110" t="s">
        <v>1065</v>
      </c>
      <c r="L31" s="1110" t="s">
        <v>914</v>
      </c>
    </row>
    <row r="32" spans="2:12" ht="13.5" thickBot="1">
      <c r="B32" s="137" t="s">
        <v>227</v>
      </c>
      <c r="C32" s="137" t="s">
        <v>1071</v>
      </c>
      <c r="D32" s="1110" t="s">
        <v>1072</v>
      </c>
      <c r="E32" s="1110" t="s">
        <v>1065</v>
      </c>
      <c r="F32" s="1110" t="s">
        <v>914</v>
      </c>
      <c r="I32" s="139"/>
      <c r="J32" s="138">
        <f>-Class_A</f>
        <v>-6000000</v>
      </c>
      <c r="K32" s="139">
        <f>-Class_B</f>
        <v>-3000000</v>
      </c>
      <c r="L32" s="130">
        <f>-Residual</f>
        <v>-1000000</v>
      </c>
    </row>
    <row r="33" spans="2:12">
      <c r="B33" s="140">
        <v>1</v>
      </c>
      <c r="C33" s="139">
        <f t="shared" ref="C33:C48" si="0">IF(B33="","",IF(B33=Maturity,Mortgages*Interest_rate+Mortgages,Mortgages*Interest_rate))</f>
        <v>1000000</v>
      </c>
      <c r="D33" s="139">
        <f t="shared" ref="D33:D48" si="1">IF(B33="","",IF(B33=Maturity, Class_A*ClassA_Coupon+Class_A, Class_A*ClassA_Coupon))</f>
        <v>480000</v>
      </c>
      <c r="E33" s="139">
        <f t="shared" ref="E33:E48" si="2">IF(B33="","",IF(B33=Maturity,Class_B*ClassB_Coupon+Class_B,Class_B*ClassB_Coupon))</f>
        <v>300000</v>
      </c>
      <c r="F33" s="130">
        <f t="shared" ref="F33:F48" si="3">IF(B33="","",C33-D33-E33)</f>
        <v>220000</v>
      </c>
      <c r="I33" s="139"/>
      <c r="J33" s="138">
        <f t="shared" ref="J33:J47" si="4">D33</f>
        <v>480000</v>
      </c>
      <c r="K33" s="139">
        <f t="shared" ref="K33:K47" si="5">E33</f>
        <v>300000</v>
      </c>
      <c r="L33" s="130">
        <f t="shared" ref="L33:L47" si="6">F33</f>
        <v>220000</v>
      </c>
    </row>
    <row r="34" spans="2:12">
      <c r="B34" s="140">
        <f t="shared" ref="B34:B48" si="7">IF(B33="","", IF(B33+1&lt;=Maturity,B33+1,""))</f>
        <v>2</v>
      </c>
      <c r="C34" s="139">
        <f t="shared" si="0"/>
        <v>1000000</v>
      </c>
      <c r="D34" s="139">
        <f t="shared" si="1"/>
        <v>480000</v>
      </c>
      <c r="E34" s="139">
        <f t="shared" si="2"/>
        <v>300000</v>
      </c>
      <c r="F34" s="130">
        <f t="shared" si="3"/>
        <v>220000</v>
      </c>
      <c r="I34" s="139"/>
      <c r="J34" s="138">
        <f t="shared" si="4"/>
        <v>480000</v>
      </c>
      <c r="K34" s="139">
        <f t="shared" si="5"/>
        <v>300000</v>
      </c>
      <c r="L34" s="130">
        <f t="shared" si="6"/>
        <v>220000</v>
      </c>
    </row>
    <row r="35" spans="2:12">
      <c r="B35" s="140">
        <f t="shared" si="7"/>
        <v>3</v>
      </c>
      <c r="C35" s="139">
        <f t="shared" si="0"/>
        <v>1000000</v>
      </c>
      <c r="D35" s="139">
        <f t="shared" si="1"/>
        <v>480000</v>
      </c>
      <c r="E35" s="139">
        <f t="shared" si="2"/>
        <v>300000</v>
      </c>
      <c r="F35" s="130">
        <f t="shared" si="3"/>
        <v>220000</v>
      </c>
      <c r="I35" s="139"/>
      <c r="J35" s="138">
        <f t="shared" si="4"/>
        <v>480000</v>
      </c>
      <c r="K35" s="139">
        <f t="shared" si="5"/>
        <v>300000</v>
      </c>
      <c r="L35" s="130">
        <f t="shared" si="6"/>
        <v>220000</v>
      </c>
    </row>
    <row r="36" spans="2:12">
      <c r="B36" s="140">
        <f t="shared" si="7"/>
        <v>4</v>
      </c>
      <c r="C36" s="139">
        <f t="shared" si="0"/>
        <v>1000000</v>
      </c>
      <c r="D36" s="139">
        <f t="shared" si="1"/>
        <v>480000</v>
      </c>
      <c r="E36" s="139">
        <f t="shared" si="2"/>
        <v>300000</v>
      </c>
      <c r="F36" s="130">
        <f t="shared" si="3"/>
        <v>220000</v>
      </c>
      <c r="I36" s="139"/>
      <c r="J36" s="138">
        <f t="shared" si="4"/>
        <v>480000</v>
      </c>
      <c r="K36" s="139">
        <f t="shared" si="5"/>
        <v>300000</v>
      </c>
      <c r="L36" s="130">
        <f t="shared" si="6"/>
        <v>220000</v>
      </c>
    </row>
    <row r="37" spans="2:12">
      <c r="B37" s="140">
        <f t="shared" si="7"/>
        <v>5</v>
      </c>
      <c r="C37" s="139">
        <f t="shared" si="0"/>
        <v>11000000</v>
      </c>
      <c r="D37" s="139">
        <f t="shared" si="1"/>
        <v>6480000</v>
      </c>
      <c r="E37" s="139">
        <f t="shared" si="2"/>
        <v>3300000</v>
      </c>
      <c r="F37" s="130">
        <f t="shared" si="3"/>
        <v>1220000</v>
      </c>
      <c r="I37" s="139"/>
      <c r="J37" s="138">
        <f t="shared" si="4"/>
        <v>6480000</v>
      </c>
      <c r="K37" s="139">
        <f t="shared" si="5"/>
        <v>3300000</v>
      </c>
      <c r="L37" s="130">
        <f t="shared" si="6"/>
        <v>1220000</v>
      </c>
    </row>
    <row r="38" spans="2:12">
      <c r="B38" s="140" t="str">
        <f t="shared" si="7"/>
        <v/>
      </c>
      <c r="C38" s="139" t="str">
        <f t="shared" si="0"/>
        <v/>
      </c>
      <c r="D38" s="139" t="str">
        <f t="shared" si="1"/>
        <v/>
      </c>
      <c r="E38" s="139" t="str">
        <f t="shared" si="2"/>
        <v/>
      </c>
      <c r="F38" s="130" t="str">
        <f t="shared" si="3"/>
        <v/>
      </c>
      <c r="I38" s="139"/>
      <c r="J38" s="138" t="str">
        <f t="shared" si="4"/>
        <v/>
      </c>
      <c r="K38" s="139" t="str">
        <f t="shared" si="5"/>
        <v/>
      </c>
      <c r="L38" s="130" t="str">
        <f t="shared" si="6"/>
        <v/>
      </c>
    </row>
    <row r="39" spans="2:12">
      <c r="B39" s="140" t="str">
        <f t="shared" si="7"/>
        <v/>
      </c>
      <c r="C39" s="139" t="str">
        <f t="shared" si="0"/>
        <v/>
      </c>
      <c r="D39" s="139" t="str">
        <f t="shared" si="1"/>
        <v/>
      </c>
      <c r="E39" s="139" t="str">
        <f t="shared" si="2"/>
        <v/>
      </c>
      <c r="F39" s="130" t="str">
        <f t="shared" si="3"/>
        <v/>
      </c>
      <c r="I39" s="139"/>
      <c r="J39" s="138" t="str">
        <f t="shared" si="4"/>
        <v/>
      </c>
      <c r="K39" s="139" t="str">
        <f t="shared" si="5"/>
        <v/>
      </c>
      <c r="L39" s="130" t="str">
        <f t="shared" si="6"/>
        <v/>
      </c>
    </row>
    <row r="40" spans="2:12">
      <c r="B40" s="140" t="str">
        <f t="shared" si="7"/>
        <v/>
      </c>
      <c r="C40" s="139" t="str">
        <f t="shared" si="0"/>
        <v/>
      </c>
      <c r="D40" s="139" t="str">
        <f t="shared" si="1"/>
        <v/>
      </c>
      <c r="E40" s="139" t="str">
        <f t="shared" si="2"/>
        <v/>
      </c>
      <c r="F40" s="130" t="str">
        <f t="shared" si="3"/>
        <v/>
      </c>
      <c r="I40" s="139"/>
      <c r="J40" s="138" t="str">
        <f t="shared" si="4"/>
        <v/>
      </c>
      <c r="K40" s="139" t="str">
        <f t="shared" si="5"/>
        <v/>
      </c>
      <c r="L40" s="130" t="str">
        <f t="shared" si="6"/>
        <v/>
      </c>
    </row>
    <row r="41" spans="2:12">
      <c r="B41" s="140" t="str">
        <f t="shared" si="7"/>
        <v/>
      </c>
      <c r="C41" s="139" t="str">
        <f t="shared" si="0"/>
        <v/>
      </c>
      <c r="D41" s="139" t="str">
        <f t="shared" si="1"/>
        <v/>
      </c>
      <c r="E41" s="139" t="str">
        <f t="shared" si="2"/>
        <v/>
      </c>
      <c r="F41" s="130" t="str">
        <f t="shared" si="3"/>
        <v/>
      </c>
      <c r="I41" s="139"/>
      <c r="J41" s="138" t="str">
        <f t="shared" si="4"/>
        <v/>
      </c>
      <c r="K41" s="139" t="str">
        <f t="shared" si="5"/>
        <v/>
      </c>
      <c r="L41" s="130" t="str">
        <f t="shared" si="6"/>
        <v/>
      </c>
    </row>
    <row r="42" spans="2:12">
      <c r="B42" s="140" t="str">
        <f t="shared" si="7"/>
        <v/>
      </c>
      <c r="C42" s="139" t="str">
        <f t="shared" si="0"/>
        <v/>
      </c>
      <c r="D42" s="139" t="str">
        <f t="shared" si="1"/>
        <v/>
      </c>
      <c r="E42" s="139" t="str">
        <f t="shared" si="2"/>
        <v/>
      </c>
      <c r="F42" s="130" t="str">
        <f t="shared" si="3"/>
        <v/>
      </c>
      <c r="I42" s="139"/>
      <c r="J42" s="138" t="str">
        <f t="shared" si="4"/>
        <v/>
      </c>
      <c r="K42" s="139" t="str">
        <f t="shared" si="5"/>
        <v/>
      </c>
      <c r="L42" s="130" t="str">
        <f t="shared" si="6"/>
        <v/>
      </c>
    </row>
    <row r="43" spans="2:12">
      <c r="B43" s="140" t="str">
        <f t="shared" si="7"/>
        <v/>
      </c>
      <c r="C43" s="139" t="str">
        <f t="shared" si="0"/>
        <v/>
      </c>
      <c r="D43" s="139" t="str">
        <f t="shared" si="1"/>
        <v/>
      </c>
      <c r="E43" s="139" t="str">
        <f t="shared" si="2"/>
        <v/>
      </c>
      <c r="F43" s="130" t="str">
        <f t="shared" si="3"/>
        <v/>
      </c>
      <c r="I43" s="139"/>
      <c r="J43" s="138" t="str">
        <f t="shared" si="4"/>
        <v/>
      </c>
      <c r="K43" s="139" t="str">
        <f t="shared" si="5"/>
        <v/>
      </c>
      <c r="L43" s="130" t="str">
        <f t="shared" si="6"/>
        <v/>
      </c>
    </row>
    <row r="44" spans="2:12">
      <c r="B44" s="140" t="str">
        <f t="shared" si="7"/>
        <v/>
      </c>
      <c r="C44" s="139" t="str">
        <f t="shared" si="0"/>
        <v/>
      </c>
      <c r="D44" s="139" t="str">
        <f t="shared" si="1"/>
        <v/>
      </c>
      <c r="E44" s="139" t="str">
        <f t="shared" si="2"/>
        <v/>
      </c>
      <c r="F44" s="130" t="str">
        <f t="shared" si="3"/>
        <v/>
      </c>
      <c r="I44" s="139"/>
      <c r="J44" s="138" t="str">
        <f t="shared" si="4"/>
        <v/>
      </c>
      <c r="K44" s="139" t="str">
        <f t="shared" si="5"/>
        <v/>
      </c>
      <c r="L44" s="130" t="str">
        <f t="shared" si="6"/>
        <v/>
      </c>
    </row>
    <row r="45" spans="2:12">
      <c r="B45" s="140" t="str">
        <f t="shared" si="7"/>
        <v/>
      </c>
      <c r="C45" s="139" t="str">
        <f t="shared" si="0"/>
        <v/>
      </c>
      <c r="D45" s="139" t="str">
        <f t="shared" si="1"/>
        <v/>
      </c>
      <c r="E45" s="139" t="str">
        <f t="shared" si="2"/>
        <v/>
      </c>
      <c r="F45" s="130" t="str">
        <f t="shared" si="3"/>
        <v/>
      </c>
      <c r="I45" s="139"/>
      <c r="J45" s="138" t="str">
        <f t="shared" si="4"/>
        <v/>
      </c>
      <c r="K45" s="139" t="str">
        <f t="shared" si="5"/>
        <v/>
      </c>
      <c r="L45" s="130" t="str">
        <f t="shared" si="6"/>
        <v/>
      </c>
    </row>
    <row r="46" spans="2:12">
      <c r="B46" s="140" t="str">
        <f t="shared" si="7"/>
        <v/>
      </c>
      <c r="C46" s="139" t="str">
        <f t="shared" si="0"/>
        <v/>
      </c>
      <c r="D46" s="139" t="str">
        <f t="shared" si="1"/>
        <v/>
      </c>
      <c r="E46" s="139" t="str">
        <f t="shared" si="2"/>
        <v/>
      </c>
      <c r="F46" s="130" t="str">
        <f t="shared" si="3"/>
        <v/>
      </c>
      <c r="I46" s="139"/>
      <c r="J46" s="138" t="str">
        <f t="shared" si="4"/>
        <v/>
      </c>
      <c r="K46" s="139" t="str">
        <f t="shared" si="5"/>
        <v/>
      </c>
      <c r="L46" s="130" t="str">
        <f t="shared" si="6"/>
        <v/>
      </c>
    </row>
    <row r="47" spans="2:12">
      <c r="B47" s="140" t="str">
        <f t="shared" si="7"/>
        <v/>
      </c>
      <c r="C47" s="139" t="str">
        <f t="shared" si="0"/>
        <v/>
      </c>
      <c r="D47" s="139" t="str">
        <f t="shared" si="1"/>
        <v/>
      </c>
      <c r="E47" s="139" t="str">
        <f t="shared" si="2"/>
        <v/>
      </c>
      <c r="F47" s="130" t="str">
        <f t="shared" si="3"/>
        <v/>
      </c>
      <c r="I47" s="139"/>
      <c r="J47" s="138" t="str">
        <f t="shared" si="4"/>
        <v/>
      </c>
      <c r="K47" s="139" t="str">
        <f t="shared" si="5"/>
        <v/>
      </c>
      <c r="L47" s="130" t="str">
        <f t="shared" si="6"/>
        <v/>
      </c>
    </row>
    <row r="48" spans="2:12" ht="13" thickBot="1">
      <c r="B48" s="140" t="str">
        <f t="shared" si="7"/>
        <v/>
      </c>
      <c r="C48" s="139" t="str">
        <f t="shared" si="0"/>
        <v/>
      </c>
      <c r="D48" s="139" t="str">
        <f t="shared" si="1"/>
        <v/>
      </c>
      <c r="E48" s="139" t="str">
        <f t="shared" si="2"/>
        <v/>
      </c>
      <c r="F48" s="130" t="str">
        <f t="shared" si="3"/>
        <v/>
      </c>
      <c r="I48" s="139"/>
      <c r="J48" s="138"/>
      <c r="K48" s="139"/>
      <c r="L48" s="130"/>
    </row>
    <row r="49" spans="2:12" ht="13.5" thickBot="1">
      <c r="B49" s="124"/>
      <c r="C49" t="s">
        <v>1073</v>
      </c>
      <c r="D49" s="269">
        <f>J49</f>
        <v>8.0000000000000071E-2</v>
      </c>
      <c r="E49" s="269">
        <f>K49</f>
        <v>0.10000000000000009</v>
      </c>
      <c r="F49" s="269">
        <f>L49</f>
        <v>0.2200000000000002</v>
      </c>
      <c r="I49" s="167"/>
      <c r="J49" s="141">
        <f>IRR(J32:J48)</f>
        <v>8.0000000000000071E-2</v>
      </c>
      <c r="K49" s="142">
        <f>IRR(K32:K48)</f>
        <v>0.10000000000000009</v>
      </c>
      <c r="L49" s="143">
        <f>IRR(L32:L48)</f>
        <v>0.2200000000000002</v>
      </c>
    </row>
    <row r="50" spans="2:12" ht="13" thickBot="1">
      <c r="B50" s="134"/>
      <c r="C50" s="4"/>
      <c r="D50" s="4"/>
      <c r="E50" s="4"/>
      <c r="F50" s="135"/>
      <c r="L50" s="126"/>
    </row>
    <row r="51" spans="2:12">
      <c r="B51" s="124"/>
      <c r="L51" s="126"/>
    </row>
    <row r="52" spans="2:12" ht="13" thickBot="1">
      <c r="B52" s="124"/>
      <c r="L52" s="126"/>
    </row>
    <row r="53" spans="2:12" ht="13">
      <c r="B53" s="1757" t="s">
        <v>1074</v>
      </c>
      <c r="C53" s="1758"/>
      <c r="D53" s="1758"/>
      <c r="E53" s="1758"/>
      <c r="F53" s="1759"/>
      <c r="L53" s="126"/>
    </row>
    <row r="54" spans="2:12" ht="13.5" thickBot="1">
      <c r="B54" s="1760" t="s">
        <v>1075</v>
      </c>
      <c r="C54" s="1761"/>
      <c r="D54" s="1761"/>
      <c r="E54" s="1761"/>
      <c r="F54" s="1762"/>
      <c r="L54" s="126"/>
    </row>
    <row r="55" spans="2:12" ht="13.5" thickBot="1">
      <c r="B55" s="124"/>
      <c r="F55" s="126"/>
      <c r="J55" s="1531" t="s">
        <v>1068</v>
      </c>
      <c r="K55" s="1532"/>
      <c r="L55" s="1533"/>
    </row>
    <row r="56" spans="2:12" ht="13.5" thickBot="1">
      <c r="B56" s="136" t="s">
        <v>1069</v>
      </c>
      <c r="C56" s="136" t="s">
        <v>1070</v>
      </c>
      <c r="D56" s="1275" t="s">
        <v>1447</v>
      </c>
      <c r="E56" s="1275" t="s">
        <v>1448</v>
      </c>
      <c r="F56" s="136"/>
      <c r="J56" s="137" t="s">
        <v>1072</v>
      </c>
      <c r="K56" s="137" t="s">
        <v>1065</v>
      </c>
      <c r="L56" s="137" t="s">
        <v>914</v>
      </c>
    </row>
    <row r="57" spans="2:12" ht="13.5" thickBot="1">
      <c r="B57" s="137" t="s">
        <v>227</v>
      </c>
      <c r="C57" s="137" t="s">
        <v>1071</v>
      </c>
      <c r="D57" s="1110" t="s">
        <v>1072</v>
      </c>
      <c r="E57" s="1110" t="s">
        <v>1065</v>
      </c>
      <c r="F57" s="137" t="s">
        <v>914</v>
      </c>
      <c r="I57" s="139"/>
      <c r="J57" s="138">
        <f>-Class_A</f>
        <v>-6000000</v>
      </c>
      <c r="K57" s="139">
        <f>-Class_B</f>
        <v>-3000000</v>
      </c>
      <c r="L57" s="130">
        <f>-Residual</f>
        <v>-1000000</v>
      </c>
    </row>
    <row r="58" spans="2:12">
      <c r="B58" s="140">
        <v>1</v>
      </c>
      <c r="C58" s="139">
        <f t="shared" ref="C58:C72" si="8">IF(B58="","",IF(B58=Maturity,Mortgages*Interest_rate+Default_property_Price,Mortgages*Interest_rate))</f>
        <v>1000000</v>
      </c>
      <c r="D58" s="139">
        <f t="shared" ref="D58:D72" si="9">IF(B58="","",IF(B58=Maturity, Class_A*ClassA_Coupon+Class_A, Class_A*ClassA_Coupon))</f>
        <v>480000</v>
      </c>
      <c r="E58" s="139">
        <f t="shared" ref="E58:E72" si="10">IF(B58="","",IF(B58=Maturity,C58-D58,Class_B*ClassB_Coupon))</f>
        <v>300000</v>
      </c>
      <c r="F58" s="130">
        <f t="shared" ref="F58:F72" si="11">IF(B58="","",IF(B58=Maturity,0,C58-D58-E58))</f>
        <v>220000</v>
      </c>
      <c r="I58" s="139"/>
      <c r="J58" s="138">
        <f t="shared" ref="J58:J72" si="12">D58</f>
        <v>480000</v>
      </c>
      <c r="K58" s="139">
        <f t="shared" ref="K58:K72" si="13">E58</f>
        <v>300000</v>
      </c>
      <c r="L58" s="130">
        <f t="shared" ref="L58:L72" si="14">F58</f>
        <v>220000</v>
      </c>
    </row>
    <row r="59" spans="2:12">
      <c r="B59" s="140">
        <f t="shared" ref="B59:B73" si="15">IF(B58="","", IF(B58+1&lt;=Maturity,B58+1,""))</f>
        <v>2</v>
      </c>
      <c r="C59" s="139">
        <f t="shared" si="8"/>
        <v>1000000</v>
      </c>
      <c r="D59" s="139">
        <f t="shared" si="9"/>
        <v>480000</v>
      </c>
      <c r="E59" s="139">
        <f t="shared" si="10"/>
        <v>300000</v>
      </c>
      <c r="F59" s="130">
        <f t="shared" si="11"/>
        <v>220000</v>
      </c>
      <c r="I59" s="139"/>
      <c r="J59" s="138">
        <f t="shared" si="12"/>
        <v>480000</v>
      </c>
      <c r="K59" s="139">
        <f t="shared" si="13"/>
        <v>300000</v>
      </c>
      <c r="L59" s="130">
        <f t="shared" si="14"/>
        <v>220000</v>
      </c>
    </row>
    <row r="60" spans="2:12">
      <c r="B60" s="140">
        <f t="shared" si="15"/>
        <v>3</v>
      </c>
      <c r="C60" s="139">
        <f t="shared" si="8"/>
        <v>1000000</v>
      </c>
      <c r="D60" s="139">
        <f t="shared" si="9"/>
        <v>480000</v>
      </c>
      <c r="E60" s="139">
        <f t="shared" si="10"/>
        <v>300000</v>
      </c>
      <c r="F60" s="130">
        <f t="shared" si="11"/>
        <v>220000</v>
      </c>
      <c r="I60" s="139"/>
      <c r="J60" s="138">
        <f t="shared" si="12"/>
        <v>480000</v>
      </c>
      <c r="K60" s="139">
        <f t="shared" si="13"/>
        <v>300000</v>
      </c>
      <c r="L60" s="130">
        <f t="shared" si="14"/>
        <v>220000</v>
      </c>
    </row>
    <row r="61" spans="2:12">
      <c r="B61" s="140">
        <f t="shared" si="15"/>
        <v>4</v>
      </c>
      <c r="C61" s="139">
        <f t="shared" si="8"/>
        <v>1000000</v>
      </c>
      <c r="D61" s="139">
        <f t="shared" si="9"/>
        <v>480000</v>
      </c>
      <c r="E61" s="139">
        <f t="shared" si="10"/>
        <v>300000</v>
      </c>
      <c r="F61" s="130">
        <f t="shared" si="11"/>
        <v>220000</v>
      </c>
      <c r="I61" s="139"/>
      <c r="J61" s="138">
        <f t="shared" si="12"/>
        <v>480000</v>
      </c>
      <c r="K61" s="139">
        <f t="shared" si="13"/>
        <v>300000</v>
      </c>
      <c r="L61" s="130">
        <f t="shared" si="14"/>
        <v>220000</v>
      </c>
    </row>
    <row r="62" spans="2:12">
      <c r="B62" s="140">
        <f t="shared" si="15"/>
        <v>5</v>
      </c>
      <c r="C62" s="139">
        <f t="shared" si="8"/>
        <v>9000000</v>
      </c>
      <c r="D62" s="139">
        <f t="shared" si="9"/>
        <v>6480000</v>
      </c>
      <c r="E62" s="139">
        <f t="shared" si="10"/>
        <v>2520000</v>
      </c>
      <c r="F62" s="130">
        <f t="shared" si="11"/>
        <v>0</v>
      </c>
      <c r="I62" s="139"/>
      <c r="J62" s="138">
        <f t="shared" si="12"/>
        <v>6480000</v>
      </c>
      <c r="K62" s="139">
        <f t="shared" si="13"/>
        <v>2520000</v>
      </c>
      <c r="L62" s="130">
        <f t="shared" si="14"/>
        <v>0</v>
      </c>
    </row>
    <row r="63" spans="2:12">
      <c r="B63" s="140" t="str">
        <f t="shared" si="15"/>
        <v/>
      </c>
      <c r="C63" s="139" t="str">
        <f t="shared" si="8"/>
        <v/>
      </c>
      <c r="D63" s="139" t="str">
        <f t="shared" si="9"/>
        <v/>
      </c>
      <c r="E63" s="139" t="str">
        <f t="shared" si="10"/>
        <v/>
      </c>
      <c r="F63" s="130" t="str">
        <f t="shared" si="11"/>
        <v/>
      </c>
      <c r="I63" s="167"/>
      <c r="J63" s="138" t="str">
        <f t="shared" si="12"/>
        <v/>
      </c>
      <c r="K63" s="139" t="str">
        <f t="shared" si="13"/>
        <v/>
      </c>
      <c r="L63" s="130" t="str">
        <f t="shared" si="14"/>
        <v/>
      </c>
    </row>
    <row r="64" spans="2:12">
      <c r="B64" s="140" t="str">
        <f t="shared" si="15"/>
        <v/>
      </c>
      <c r="C64" s="139" t="str">
        <f t="shared" si="8"/>
        <v/>
      </c>
      <c r="D64" s="139" t="str">
        <f t="shared" si="9"/>
        <v/>
      </c>
      <c r="E64" s="139" t="str">
        <f t="shared" si="10"/>
        <v/>
      </c>
      <c r="F64" s="130" t="str">
        <f t="shared" si="11"/>
        <v/>
      </c>
      <c r="J64" s="138" t="str">
        <f t="shared" si="12"/>
        <v/>
      </c>
      <c r="K64" s="139" t="str">
        <f t="shared" si="13"/>
        <v/>
      </c>
      <c r="L64" s="130" t="str">
        <f t="shared" si="14"/>
        <v/>
      </c>
    </row>
    <row r="65" spans="2:12">
      <c r="B65" s="140" t="str">
        <f t="shared" si="15"/>
        <v/>
      </c>
      <c r="C65" s="139" t="str">
        <f t="shared" si="8"/>
        <v/>
      </c>
      <c r="D65" s="139" t="str">
        <f t="shared" si="9"/>
        <v/>
      </c>
      <c r="E65" s="139" t="str">
        <f t="shared" si="10"/>
        <v/>
      </c>
      <c r="F65" s="130" t="str">
        <f t="shared" si="11"/>
        <v/>
      </c>
      <c r="J65" s="138" t="str">
        <f t="shared" si="12"/>
        <v/>
      </c>
      <c r="K65" s="139" t="str">
        <f t="shared" si="13"/>
        <v/>
      </c>
      <c r="L65" s="130" t="str">
        <f t="shared" si="14"/>
        <v/>
      </c>
    </row>
    <row r="66" spans="2:12">
      <c r="B66" s="140" t="str">
        <f t="shared" si="15"/>
        <v/>
      </c>
      <c r="C66" s="139" t="str">
        <f t="shared" si="8"/>
        <v/>
      </c>
      <c r="D66" s="139" t="str">
        <f t="shared" si="9"/>
        <v/>
      </c>
      <c r="E66" s="139" t="str">
        <f t="shared" si="10"/>
        <v/>
      </c>
      <c r="F66" s="130" t="str">
        <f t="shared" si="11"/>
        <v/>
      </c>
      <c r="J66" s="138" t="str">
        <f t="shared" si="12"/>
        <v/>
      </c>
      <c r="K66" s="139" t="str">
        <f t="shared" si="13"/>
        <v/>
      </c>
      <c r="L66" s="130" t="str">
        <f t="shared" si="14"/>
        <v/>
      </c>
    </row>
    <row r="67" spans="2:12">
      <c r="B67" s="140" t="str">
        <f t="shared" si="15"/>
        <v/>
      </c>
      <c r="C67" s="139" t="str">
        <f t="shared" si="8"/>
        <v/>
      </c>
      <c r="D67" s="139" t="str">
        <f t="shared" si="9"/>
        <v/>
      </c>
      <c r="E67" s="139" t="str">
        <f t="shared" si="10"/>
        <v/>
      </c>
      <c r="F67" s="130" t="str">
        <f t="shared" si="11"/>
        <v/>
      </c>
      <c r="J67" s="138" t="str">
        <f t="shared" si="12"/>
        <v/>
      </c>
      <c r="K67" s="139" t="str">
        <f t="shared" si="13"/>
        <v/>
      </c>
      <c r="L67" s="130" t="str">
        <f t="shared" si="14"/>
        <v/>
      </c>
    </row>
    <row r="68" spans="2:12">
      <c r="B68" s="140" t="str">
        <f t="shared" si="15"/>
        <v/>
      </c>
      <c r="C68" s="139" t="str">
        <f t="shared" si="8"/>
        <v/>
      </c>
      <c r="D68" s="139" t="str">
        <f t="shared" si="9"/>
        <v/>
      </c>
      <c r="E68" s="139" t="str">
        <f t="shared" si="10"/>
        <v/>
      </c>
      <c r="F68" s="130" t="str">
        <f t="shared" si="11"/>
        <v/>
      </c>
      <c r="J68" s="138" t="str">
        <f t="shared" si="12"/>
        <v/>
      </c>
      <c r="K68" s="139" t="str">
        <f t="shared" si="13"/>
        <v/>
      </c>
      <c r="L68" s="130" t="str">
        <f t="shared" si="14"/>
        <v/>
      </c>
    </row>
    <row r="69" spans="2:12">
      <c r="B69" s="140" t="str">
        <f t="shared" si="15"/>
        <v/>
      </c>
      <c r="C69" s="139" t="str">
        <f t="shared" si="8"/>
        <v/>
      </c>
      <c r="D69" s="139" t="str">
        <f t="shared" si="9"/>
        <v/>
      </c>
      <c r="E69" s="139" t="str">
        <f t="shared" si="10"/>
        <v/>
      </c>
      <c r="F69" s="130" t="str">
        <f t="shared" si="11"/>
        <v/>
      </c>
      <c r="J69" s="138" t="str">
        <f t="shared" si="12"/>
        <v/>
      </c>
      <c r="K69" s="139" t="str">
        <f t="shared" si="13"/>
        <v/>
      </c>
      <c r="L69" s="130" t="str">
        <f t="shared" si="14"/>
        <v/>
      </c>
    </row>
    <row r="70" spans="2:12">
      <c r="B70" s="140" t="str">
        <f t="shared" si="15"/>
        <v/>
      </c>
      <c r="C70" s="139" t="str">
        <f t="shared" si="8"/>
        <v/>
      </c>
      <c r="D70" s="139" t="str">
        <f t="shared" si="9"/>
        <v/>
      </c>
      <c r="E70" s="139" t="str">
        <f t="shared" si="10"/>
        <v/>
      </c>
      <c r="F70" s="130" t="str">
        <f t="shared" si="11"/>
        <v/>
      </c>
      <c r="J70" s="138" t="str">
        <f t="shared" si="12"/>
        <v/>
      </c>
      <c r="K70" s="139" t="str">
        <f t="shared" si="13"/>
        <v/>
      </c>
      <c r="L70" s="130" t="str">
        <f t="shared" si="14"/>
        <v/>
      </c>
    </row>
    <row r="71" spans="2:12">
      <c r="B71" s="140" t="str">
        <f t="shared" si="15"/>
        <v/>
      </c>
      <c r="C71" s="139" t="str">
        <f t="shared" si="8"/>
        <v/>
      </c>
      <c r="D71" s="139" t="str">
        <f t="shared" si="9"/>
        <v/>
      </c>
      <c r="E71" s="139" t="str">
        <f t="shared" si="10"/>
        <v/>
      </c>
      <c r="F71" s="130" t="str">
        <f t="shared" si="11"/>
        <v/>
      </c>
      <c r="J71" s="138" t="str">
        <f t="shared" si="12"/>
        <v/>
      </c>
      <c r="K71" s="139" t="str">
        <f t="shared" si="13"/>
        <v/>
      </c>
      <c r="L71" s="130" t="str">
        <f t="shared" si="14"/>
        <v/>
      </c>
    </row>
    <row r="72" spans="2:12">
      <c r="B72" s="140" t="str">
        <f t="shared" si="15"/>
        <v/>
      </c>
      <c r="C72" s="139" t="str">
        <f t="shared" si="8"/>
        <v/>
      </c>
      <c r="D72" s="139" t="str">
        <f t="shared" si="9"/>
        <v/>
      </c>
      <c r="E72" s="139" t="str">
        <f t="shared" si="10"/>
        <v/>
      </c>
      <c r="F72" s="130" t="str">
        <f t="shared" si="11"/>
        <v/>
      </c>
      <c r="J72" s="138" t="str">
        <f t="shared" si="12"/>
        <v/>
      </c>
      <c r="K72" s="139" t="str">
        <f t="shared" si="13"/>
        <v/>
      </c>
      <c r="L72" s="130" t="str">
        <f t="shared" si="14"/>
        <v/>
      </c>
    </row>
    <row r="73" spans="2:12" ht="13" thickBot="1">
      <c r="B73" s="140" t="str">
        <f t="shared" si="15"/>
        <v/>
      </c>
      <c r="F73" s="126"/>
      <c r="J73" s="124"/>
      <c r="L73" s="126"/>
    </row>
    <row r="74" spans="2:12" ht="13.5" thickBot="1">
      <c r="B74" s="140" t="str">
        <f>IF(B48="","", IF(B48+1&lt;=Maturity,B48+1,""))</f>
        <v/>
      </c>
      <c r="C74" t="s">
        <v>1073</v>
      </c>
      <c r="D74" s="269">
        <f>J74</f>
        <v>8.0000000000000071E-2</v>
      </c>
      <c r="E74" s="269">
        <f>K74</f>
        <v>5.3251124706580111E-2</v>
      </c>
      <c r="F74" s="269">
        <f>L74</f>
        <v>-4.9242377009059979E-2</v>
      </c>
      <c r="I74" s="167"/>
      <c r="J74" s="141">
        <f>IRR(J57:J73)</f>
        <v>8.0000000000000071E-2</v>
      </c>
      <c r="K74" s="142">
        <f>IRR(K57:K73)</f>
        <v>5.3251124706580111E-2</v>
      </c>
      <c r="L74" s="1174">
        <f>IRR(L57:L73)</f>
        <v>-4.9242377009059979E-2</v>
      </c>
    </row>
    <row r="75" spans="2:12" ht="13" thickBot="1">
      <c r="B75" s="144" t="str">
        <f>IF(B49="","", IF(B49+1&lt;=Maturity,B49+1,""))</f>
        <v/>
      </c>
      <c r="C75" s="4"/>
      <c r="D75" s="4"/>
      <c r="E75" s="4"/>
      <c r="F75" s="135"/>
      <c r="L75" s="126"/>
    </row>
    <row r="76" spans="2:12" ht="13" thickBot="1">
      <c r="B76" s="134"/>
      <c r="C76" s="4"/>
      <c r="D76" s="4"/>
      <c r="E76" s="4"/>
      <c r="F76" s="4"/>
      <c r="G76" s="4"/>
      <c r="H76" s="4"/>
      <c r="I76" s="4"/>
      <c r="J76" s="4"/>
      <c r="K76" s="4"/>
      <c r="L76" s="135"/>
    </row>
  </sheetData>
  <mergeCells count="11">
    <mergeCell ref="B4:L4"/>
    <mergeCell ref="J55:L55"/>
    <mergeCell ref="B6:C6"/>
    <mergeCell ref="B11:D11"/>
    <mergeCell ref="F11:K11"/>
    <mergeCell ref="B29:F29"/>
    <mergeCell ref="B53:F53"/>
    <mergeCell ref="B54:F54"/>
    <mergeCell ref="J30:L30"/>
    <mergeCell ref="E6:F6"/>
    <mergeCell ref="B5:L5"/>
  </mergeCells>
  <phoneticPr fontId="39" type="noConversion"/>
  <pageMargins left="0.75" right="0.75" top="1" bottom="1" header="0.5" footer="0.5"/>
  <pageSetup orientation="portrait" r:id="rId1"/>
  <headerFooter alignWithMargins="0"/>
  <drawing r:id="rId2"/>
  <legacyDrawing r:id="rId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22"/>
  <dimension ref="B1:L62"/>
  <sheetViews>
    <sheetView workbookViewId="0">
      <selection activeCell="D7" sqref="D7"/>
    </sheetView>
  </sheetViews>
  <sheetFormatPr defaultRowHeight="12.5"/>
  <cols>
    <col min="3" max="3" width="10.1796875" customWidth="1"/>
    <col min="4" max="4" width="14.54296875" bestFit="1" customWidth="1"/>
    <col min="5" max="5" width="17" customWidth="1"/>
    <col min="7" max="7" width="11.7265625" customWidth="1"/>
  </cols>
  <sheetData>
    <row r="1" spans="2:12" ht="13" thickBot="1"/>
    <row r="2" spans="2:12" ht="18.5" thickBot="1">
      <c r="B2" s="1525" t="s">
        <v>1131</v>
      </c>
      <c r="C2" s="1557"/>
      <c r="D2" s="1557"/>
      <c r="E2" s="1557"/>
      <c r="F2" s="1557"/>
      <c r="G2" s="1557"/>
      <c r="H2" s="1557"/>
      <c r="I2" s="1557"/>
      <c r="J2" s="1557"/>
      <c r="K2" s="1557"/>
      <c r="L2" s="1558"/>
    </row>
    <row r="3" spans="2:12" ht="16" thickBot="1">
      <c r="B3" s="1528" t="s">
        <v>873</v>
      </c>
      <c r="C3" s="1540"/>
      <c r="D3" s="1540"/>
      <c r="E3" s="1540"/>
      <c r="F3" s="1540"/>
      <c r="G3" s="1540"/>
      <c r="H3" s="1540"/>
      <c r="I3" s="1540"/>
      <c r="J3" s="1540"/>
      <c r="K3" s="1540"/>
      <c r="L3" s="1541"/>
    </row>
    <row r="4" spans="2:12" ht="13.5" thickBot="1">
      <c r="B4" s="1547"/>
      <c r="C4" s="1584"/>
      <c r="D4" s="1584"/>
      <c r="E4" s="1584"/>
      <c r="F4" s="1584"/>
      <c r="G4" s="1584"/>
      <c r="H4" s="1584"/>
      <c r="I4" s="1584"/>
      <c r="J4" s="1584"/>
      <c r="K4" s="1584"/>
      <c r="L4" s="1585"/>
    </row>
    <row r="5" spans="2:12">
      <c r="B5" s="124"/>
      <c r="L5" s="126"/>
    </row>
    <row r="6" spans="2:12" ht="13">
      <c r="B6" s="168"/>
      <c r="C6" s="1"/>
      <c r="D6" s="1" t="s">
        <v>871</v>
      </c>
      <c r="E6" s="44" t="s">
        <v>872</v>
      </c>
      <c r="L6" s="126"/>
    </row>
    <row r="7" spans="2:12">
      <c r="B7" s="171" t="s">
        <v>868</v>
      </c>
      <c r="C7" s="39"/>
      <c r="D7" s="55">
        <v>7.4104088212849334E-2</v>
      </c>
      <c r="E7" s="55">
        <v>4.0575108695652166E-2</v>
      </c>
      <c r="L7" s="126"/>
    </row>
    <row r="8" spans="2:12">
      <c r="B8" s="171" t="s">
        <v>874</v>
      </c>
      <c r="C8" s="39"/>
      <c r="D8" s="55">
        <v>1.75985410971271E-2</v>
      </c>
      <c r="E8" s="55">
        <v>2.3222408959197964E-2</v>
      </c>
      <c r="L8" s="126"/>
    </row>
    <row r="9" spans="2:12">
      <c r="B9" s="171" t="s">
        <v>870</v>
      </c>
      <c r="C9" s="39"/>
      <c r="D9" s="273">
        <v>-5.2055083608894118E-2</v>
      </c>
      <c r="E9" s="39"/>
      <c r="L9" s="126"/>
    </row>
    <row r="10" spans="2:12" ht="13" thickBot="1">
      <c r="B10" s="124"/>
      <c r="D10" s="274"/>
      <c r="L10" s="126"/>
    </row>
    <row r="11" spans="2:12" ht="13">
      <c r="B11" s="197"/>
      <c r="C11" s="197"/>
      <c r="D11" s="197" t="s">
        <v>875</v>
      </c>
      <c r="E11" s="197" t="s">
        <v>875</v>
      </c>
      <c r="F11" s="197"/>
      <c r="G11" s="197"/>
      <c r="L11" s="126"/>
    </row>
    <row r="12" spans="2:12" ht="13.5" thickBot="1">
      <c r="B12" s="198" t="s">
        <v>869</v>
      </c>
      <c r="C12" s="198" t="s">
        <v>877</v>
      </c>
      <c r="D12" s="198" t="s">
        <v>356</v>
      </c>
      <c r="E12" s="198" t="s">
        <v>876</v>
      </c>
      <c r="F12" s="198" t="s">
        <v>872</v>
      </c>
      <c r="G12" s="198" t="s">
        <v>878</v>
      </c>
      <c r="L12" s="126"/>
    </row>
    <row r="13" spans="2:12">
      <c r="B13" s="270">
        <v>0</v>
      </c>
      <c r="C13" s="23">
        <f t="shared" ref="C13:C33" si="0">1-B13</f>
        <v>1</v>
      </c>
      <c r="D13" s="23">
        <f t="shared" ref="D13:D33" si="1">(B13^2*$D$7^2)+(C13^2*$D$8^2)+(2*B13*C13*$D$9*$D$7*$D$8)</f>
        <v>3.0970864874727152E-4</v>
      </c>
      <c r="E13" s="23">
        <f t="shared" ref="E13:E33" si="2">D13^(1/2)</f>
        <v>1.75985410971271E-2</v>
      </c>
      <c r="F13" s="23">
        <f t="shared" ref="F13:F33" si="3">B13*$E$7+C13*$E$8</f>
        <v>2.3222408959197964E-2</v>
      </c>
      <c r="G13" s="271">
        <f t="shared" ref="G13:G33" si="4">F13*100</f>
        <v>2.3222408959197964</v>
      </c>
      <c r="L13" s="126"/>
    </row>
    <row r="14" spans="2:12">
      <c r="B14" s="270">
        <f t="shared" ref="B14:B33" si="5">B13+0.05</f>
        <v>0.05</v>
      </c>
      <c r="C14" s="23">
        <f t="shared" si="0"/>
        <v>0.95</v>
      </c>
      <c r="D14" s="23">
        <f t="shared" si="1"/>
        <v>2.8679139903464761E-4</v>
      </c>
      <c r="E14" s="23">
        <f t="shared" si="2"/>
        <v>1.6934916564147803E-2</v>
      </c>
      <c r="F14" s="23">
        <f t="shared" si="3"/>
        <v>2.4090043946020673E-2</v>
      </c>
      <c r="G14" s="271">
        <f t="shared" si="4"/>
        <v>2.4090043946020674</v>
      </c>
      <c r="L14" s="126"/>
    </row>
    <row r="15" spans="2:12">
      <c r="B15" s="270">
        <f t="shared" si="5"/>
        <v>0.1</v>
      </c>
      <c r="C15" s="23">
        <f t="shared" si="0"/>
        <v>0.9</v>
      </c>
      <c r="D15" s="23">
        <f t="shared" si="1"/>
        <v>2.9355863477130244E-4</v>
      </c>
      <c r="E15" s="23">
        <f t="shared" si="2"/>
        <v>1.7133552893994358E-2</v>
      </c>
      <c r="F15" s="23">
        <f t="shared" si="3"/>
        <v>2.4957678932843383E-2</v>
      </c>
      <c r="G15" s="271">
        <f t="shared" si="4"/>
        <v>2.4957678932843383</v>
      </c>
      <c r="L15" s="126"/>
    </row>
    <row r="16" spans="2:12">
      <c r="B16" s="270">
        <f t="shared" si="5"/>
        <v>0.15000000000000002</v>
      </c>
      <c r="C16" s="23">
        <f t="shared" si="0"/>
        <v>0.85</v>
      </c>
      <c r="D16" s="23">
        <f t="shared" si="1"/>
        <v>3.3001035595723596E-4</v>
      </c>
      <c r="E16" s="23">
        <f t="shared" si="2"/>
        <v>1.8166187160690489E-2</v>
      </c>
      <c r="F16" s="23">
        <f t="shared" si="3"/>
        <v>2.5825313919666092E-2</v>
      </c>
      <c r="G16" s="271">
        <f t="shared" si="4"/>
        <v>2.5825313919666093</v>
      </c>
      <c r="L16" s="126"/>
    </row>
    <row r="17" spans="2:12">
      <c r="B17" s="270">
        <f t="shared" si="5"/>
        <v>0.2</v>
      </c>
      <c r="C17" s="23">
        <f t="shared" si="0"/>
        <v>0.8</v>
      </c>
      <c r="D17" s="23">
        <f t="shared" si="1"/>
        <v>3.9614656259244843E-4</v>
      </c>
      <c r="E17" s="23">
        <f t="shared" si="2"/>
        <v>1.9903430925155802E-2</v>
      </c>
      <c r="F17" s="23">
        <f t="shared" si="3"/>
        <v>2.6692948906488805E-2</v>
      </c>
      <c r="G17" s="271">
        <f t="shared" si="4"/>
        <v>2.6692948906488807</v>
      </c>
      <c r="L17" s="126"/>
    </row>
    <row r="18" spans="2:12">
      <c r="B18" s="270">
        <f t="shared" si="5"/>
        <v>0.25</v>
      </c>
      <c r="C18" s="23">
        <f t="shared" si="0"/>
        <v>0.75</v>
      </c>
      <c r="D18" s="23">
        <f t="shared" si="1"/>
        <v>4.9196725467693942E-4</v>
      </c>
      <c r="E18" s="23">
        <f t="shared" si="2"/>
        <v>2.218033486394963E-2</v>
      </c>
      <c r="F18" s="23">
        <f t="shared" si="3"/>
        <v>2.7560583893311515E-2</v>
      </c>
      <c r="G18" s="271">
        <f t="shared" si="4"/>
        <v>2.7560583893311517</v>
      </c>
      <c r="L18" s="126"/>
    </row>
    <row r="19" spans="2:12">
      <c r="B19" s="270">
        <f t="shared" si="5"/>
        <v>0.3</v>
      </c>
      <c r="C19" s="23">
        <f t="shared" si="0"/>
        <v>0.7</v>
      </c>
      <c r="D19" s="23">
        <f t="shared" si="1"/>
        <v>6.1747243221070916E-4</v>
      </c>
      <c r="E19" s="23">
        <f t="shared" si="2"/>
        <v>2.4848992579392614E-2</v>
      </c>
      <c r="F19" s="23">
        <f t="shared" si="3"/>
        <v>2.8428218880134224E-2</v>
      </c>
      <c r="G19" s="271">
        <f t="shared" si="4"/>
        <v>2.8428218880134226</v>
      </c>
      <c r="L19" s="126"/>
    </row>
    <row r="20" spans="2:12">
      <c r="B20" s="270">
        <f t="shared" si="5"/>
        <v>0.35</v>
      </c>
      <c r="C20" s="23">
        <f t="shared" si="0"/>
        <v>0.65</v>
      </c>
      <c r="D20" s="23">
        <f t="shared" si="1"/>
        <v>7.7266209519375763E-4</v>
      </c>
      <c r="E20" s="23">
        <f t="shared" si="2"/>
        <v>2.7796800089106618E-2</v>
      </c>
      <c r="F20" s="23">
        <f t="shared" si="3"/>
        <v>2.9295853866956933E-2</v>
      </c>
      <c r="G20" s="271">
        <f t="shared" si="4"/>
        <v>2.9295853866956936</v>
      </c>
      <c r="L20" s="126"/>
    </row>
    <row r="21" spans="2:12">
      <c r="B21" s="270">
        <f t="shared" si="5"/>
        <v>0.39999999999999997</v>
      </c>
      <c r="C21" s="23">
        <f t="shared" si="0"/>
        <v>0.60000000000000009</v>
      </c>
      <c r="D21" s="23">
        <f t="shared" si="1"/>
        <v>9.5753624362608495E-4</v>
      </c>
      <c r="E21" s="23">
        <f t="shared" si="2"/>
        <v>3.0944082530042556E-2</v>
      </c>
      <c r="F21" s="23">
        <f t="shared" si="3"/>
        <v>3.0163488853779646E-2</v>
      </c>
      <c r="G21" s="271">
        <f t="shared" si="4"/>
        <v>3.0163488853779645</v>
      </c>
      <c r="L21" s="126"/>
    </row>
    <row r="22" spans="2:12">
      <c r="B22" s="270">
        <f t="shared" si="5"/>
        <v>0.44999999999999996</v>
      </c>
      <c r="C22" s="23">
        <f t="shared" si="0"/>
        <v>0.55000000000000004</v>
      </c>
      <c r="D22" s="23">
        <f t="shared" si="1"/>
        <v>1.1720948775076909E-3</v>
      </c>
      <c r="E22" s="23">
        <f t="shared" si="2"/>
        <v>3.4235871209999769E-2</v>
      </c>
      <c r="F22" s="23">
        <f t="shared" si="3"/>
        <v>3.1031123840602356E-2</v>
      </c>
      <c r="G22" s="271">
        <f t="shared" si="4"/>
        <v>3.1031123840602355</v>
      </c>
      <c r="L22" s="126"/>
    </row>
    <row r="23" spans="2:12">
      <c r="B23" s="270">
        <f t="shared" si="5"/>
        <v>0.49999999999999994</v>
      </c>
      <c r="C23" s="23">
        <f t="shared" si="0"/>
        <v>0.5</v>
      </c>
      <c r="D23" s="23">
        <f t="shared" si="1"/>
        <v>1.4163379968385758E-3</v>
      </c>
      <c r="E23" s="23">
        <f t="shared" si="2"/>
        <v>3.7634266258804297E-2</v>
      </c>
      <c r="F23" s="23">
        <f t="shared" si="3"/>
        <v>3.1898758827425058E-2</v>
      </c>
      <c r="G23" s="271">
        <f t="shared" si="4"/>
        <v>3.189875882742506</v>
      </c>
      <c r="L23" s="126"/>
    </row>
    <row r="24" spans="2:12">
      <c r="B24" s="270">
        <f t="shared" si="5"/>
        <v>0.54999999999999993</v>
      </c>
      <c r="C24" s="23">
        <f t="shared" si="0"/>
        <v>0.45000000000000007</v>
      </c>
      <c r="D24" s="23">
        <f t="shared" si="1"/>
        <v>1.6902656016187392E-3</v>
      </c>
      <c r="E24" s="23">
        <f t="shared" si="2"/>
        <v>4.1112839863219605E-2</v>
      </c>
      <c r="F24" s="23">
        <f t="shared" si="3"/>
        <v>3.2766393814247771E-2</v>
      </c>
      <c r="G24" s="271">
        <f t="shared" si="4"/>
        <v>3.276639381424777</v>
      </c>
      <c r="L24" s="126"/>
    </row>
    <row r="25" spans="2:12">
      <c r="B25" s="270">
        <f t="shared" si="5"/>
        <v>0.6</v>
      </c>
      <c r="C25" s="23">
        <f t="shared" si="0"/>
        <v>0.4</v>
      </c>
      <c r="D25" s="23">
        <f t="shared" si="1"/>
        <v>1.9938776918481823E-3</v>
      </c>
      <c r="E25" s="23">
        <f t="shared" si="2"/>
        <v>4.4652857600025804E-2</v>
      </c>
      <c r="F25" s="23">
        <f t="shared" si="3"/>
        <v>3.3634028801070484E-2</v>
      </c>
      <c r="G25" s="271">
        <f t="shared" si="4"/>
        <v>3.3634028801070484</v>
      </c>
      <c r="L25" s="126"/>
    </row>
    <row r="26" spans="2:12">
      <c r="B26" s="270">
        <f t="shared" si="5"/>
        <v>0.65</v>
      </c>
      <c r="C26" s="23">
        <f t="shared" si="0"/>
        <v>0.35</v>
      </c>
      <c r="D26" s="23">
        <f t="shared" si="1"/>
        <v>2.327174267526903E-3</v>
      </c>
      <c r="E26" s="23">
        <f t="shared" si="2"/>
        <v>4.8240794640292801E-2</v>
      </c>
      <c r="F26" s="23">
        <f t="shared" si="3"/>
        <v>3.4501663787893197E-2</v>
      </c>
      <c r="G26" s="271">
        <f t="shared" si="4"/>
        <v>3.4501663787893198</v>
      </c>
      <c r="L26" s="126"/>
    </row>
    <row r="27" spans="2:12">
      <c r="B27" s="270">
        <f t="shared" si="5"/>
        <v>0.70000000000000007</v>
      </c>
      <c r="C27" s="23">
        <f t="shared" si="0"/>
        <v>0.29999999999999993</v>
      </c>
      <c r="D27" s="23">
        <f t="shared" si="1"/>
        <v>2.6901553286549033E-3</v>
      </c>
      <c r="E27" s="23">
        <f t="shared" si="2"/>
        <v>5.1866707324206569E-2</v>
      </c>
      <c r="F27" s="23">
        <f t="shared" si="3"/>
        <v>3.536929877471591E-2</v>
      </c>
      <c r="G27" s="271">
        <f t="shared" si="4"/>
        <v>3.5369298774715912</v>
      </c>
      <c r="L27" s="126"/>
    </row>
    <row r="28" spans="2:12">
      <c r="B28" s="270">
        <f t="shared" si="5"/>
        <v>0.75000000000000011</v>
      </c>
      <c r="C28" s="23">
        <f t="shared" si="0"/>
        <v>0.24999999999999989</v>
      </c>
      <c r="D28" s="23">
        <f t="shared" si="1"/>
        <v>3.0828208752321827E-3</v>
      </c>
      <c r="E28" s="23">
        <f t="shared" si="2"/>
        <v>5.5523156207407581E-2</v>
      </c>
      <c r="F28" s="23">
        <f t="shared" si="3"/>
        <v>3.6236933761538616E-2</v>
      </c>
      <c r="G28" s="271">
        <f t="shared" si="4"/>
        <v>3.6236933761538617</v>
      </c>
      <c r="L28" s="126"/>
    </row>
    <row r="29" spans="2:12">
      <c r="B29" s="270">
        <f t="shared" si="5"/>
        <v>0.80000000000000016</v>
      </c>
      <c r="C29" s="23">
        <f t="shared" si="0"/>
        <v>0.19999999999999984</v>
      </c>
      <c r="D29" s="23">
        <f t="shared" si="1"/>
        <v>3.5051709072587401E-3</v>
      </c>
      <c r="E29" s="23">
        <f t="shared" si="2"/>
        <v>5.9204483844205076E-2</v>
      </c>
      <c r="F29" s="23">
        <f t="shared" si="3"/>
        <v>3.7104568748361336E-2</v>
      </c>
      <c r="G29" s="271">
        <f t="shared" si="4"/>
        <v>3.7104568748361335</v>
      </c>
      <c r="L29" s="126"/>
    </row>
    <row r="30" spans="2:12">
      <c r="B30" s="270">
        <f t="shared" si="5"/>
        <v>0.8500000000000002</v>
      </c>
      <c r="C30" s="23">
        <f t="shared" si="0"/>
        <v>0.1499999999999998</v>
      </c>
      <c r="D30" s="23">
        <f t="shared" si="1"/>
        <v>3.9572054247345775E-3</v>
      </c>
      <c r="E30" s="23">
        <f t="shared" si="2"/>
        <v>6.2906322613347679E-2</v>
      </c>
      <c r="F30" s="23">
        <f t="shared" si="3"/>
        <v>3.7972203735184042E-2</v>
      </c>
      <c r="G30" s="271">
        <f t="shared" si="4"/>
        <v>3.797220373518404</v>
      </c>
      <c r="L30" s="126"/>
    </row>
    <row r="31" spans="2:12">
      <c r="B31" s="270">
        <f t="shared" si="5"/>
        <v>0.90000000000000024</v>
      </c>
      <c r="C31" s="23">
        <f t="shared" si="0"/>
        <v>9.9999999999999756E-2</v>
      </c>
      <c r="D31" s="23">
        <f t="shared" si="1"/>
        <v>4.4389244276596927E-3</v>
      </c>
      <c r="E31" s="23">
        <f t="shared" si="2"/>
        <v>6.6625253678013807E-2</v>
      </c>
      <c r="F31" s="23">
        <f t="shared" si="3"/>
        <v>3.8839838722006755E-2</v>
      </c>
      <c r="G31" s="271">
        <f t="shared" si="4"/>
        <v>3.8839838722006754</v>
      </c>
      <c r="L31" s="126"/>
    </row>
    <row r="32" spans="2:12">
      <c r="B32" s="270">
        <f t="shared" si="5"/>
        <v>0.95000000000000029</v>
      </c>
      <c r="C32" s="23">
        <f t="shared" si="0"/>
        <v>4.9999999999999711E-2</v>
      </c>
      <c r="D32" s="23">
        <f t="shared" si="1"/>
        <v>4.9503279160340863E-3</v>
      </c>
      <c r="E32" s="23">
        <f t="shared" si="2"/>
        <v>7.0358566756537094E-2</v>
      </c>
      <c r="F32" s="23">
        <f t="shared" si="3"/>
        <v>3.970747370882946E-2</v>
      </c>
      <c r="G32" s="271">
        <f t="shared" si="4"/>
        <v>3.9707473708829459</v>
      </c>
      <c r="L32" s="126"/>
    </row>
    <row r="33" spans="2:12" ht="13" thickBot="1">
      <c r="B33" s="141">
        <f t="shared" si="5"/>
        <v>1.0000000000000002</v>
      </c>
      <c r="C33" s="142">
        <f t="shared" si="0"/>
        <v>0</v>
      </c>
      <c r="D33" s="142">
        <f t="shared" si="1"/>
        <v>5.4914158898577582E-3</v>
      </c>
      <c r="E33" s="142">
        <f t="shared" si="2"/>
        <v>7.4104088212849348E-2</v>
      </c>
      <c r="F33" s="142">
        <f t="shared" si="3"/>
        <v>4.0575108695652173E-2</v>
      </c>
      <c r="G33" s="272">
        <f t="shared" si="4"/>
        <v>4.0575108695652169</v>
      </c>
      <c r="L33" s="126"/>
    </row>
    <row r="34" spans="2:12">
      <c r="B34" s="124"/>
      <c r="L34" s="126"/>
    </row>
    <row r="35" spans="2:12">
      <c r="B35" s="124"/>
      <c r="L35" s="126"/>
    </row>
    <row r="36" spans="2:12">
      <c r="B36" s="124"/>
      <c r="L36" s="126"/>
    </row>
    <row r="37" spans="2:12">
      <c r="B37" s="124"/>
      <c r="L37" s="126"/>
    </row>
    <row r="38" spans="2:12">
      <c r="B38" s="124"/>
      <c r="L38" s="126"/>
    </row>
    <row r="39" spans="2:12">
      <c r="B39" s="124"/>
      <c r="L39" s="126"/>
    </row>
    <row r="40" spans="2:12">
      <c r="B40" s="124"/>
      <c r="L40" s="126"/>
    </row>
    <row r="41" spans="2:12">
      <c r="B41" s="124"/>
      <c r="L41" s="126"/>
    </row>
    <row r="42" spans="2:12">
      <c r="B42" s="124"/>
      <c r="L42" s="126"/>
    </row>
    <row r="43" spans="2:12">
      <c r="B43" s="124"/>
      <c r="L43" s="126"/>
    </row>
    <row r="44" spans="2:12">
      <c r="B44" s="124"/>
      <c r="L44" s="126"/>
    </row>
    <row r="45" spans="2:12">
      <c r="B45" s="124"/>
      <c r="L45" s="126"/>
    </row>
    <row r="46" spans="2:12">
      <c r="B46" s="124"/>
      <c r="L46" s="126"/>
    </row>
    <row r="47" spans="2:12">
      <c r="B47" s="124"/>
      <c r="L47" s="126"/>
    </row>
    <row r="48" spans="2:12">
      <c r="B48" s="124"/>
      <c r="L48" s="126"/>
    </row>
    <row r="49" spans="2:12">
      <c r="B49" s="124"/>
      <c r="L49" s="126"/>
    </row>
    <row r="50" spans="2:12">
      <c r="B50" s="124"/>
      <c r="L50" s="126"/>
    </row>
    <row r="51" spans="2:12">
      <c r="B51" s="124"/>
      <c r="L51" s="126"/>
    </row>
    <row r="52" spans="2:12">
      <c r="B52" s="124"/>
      <c r="L52" s="126"/>
    </row>
    <row r="53" spans="2:12">
      <c r="B53" s="124"/>
      <c r="L53" s="126"/>
    </row>
    <row r="54" spans="2:12">
      <c r="B54" s="124"/>
      <c r="L54" s="126"/>
    </row>
    <row r="55" spans="2:12">
      <c r="B55" s="124"/>
      <c r="L55" s="126"/>
    </row>
    <row r="56" spans="2:12">
      <c r="B56" s="124"/>
      <c r="L56" s="126"/>
    </row>
    <row r="57" spans="2:12">
      <c r="B57" s="124"/>
      <c r="L57" s="126"/>
    </row>
    <row r="58" spans="2:12">
      <c r="B58" s="124"/>
      <c r="L58" s="126"/>
    </row>
    <row r="59" spans="2:12">
      <c r="B59" s="124"/>
      <c r="L59" s="126"/>
    </row>
    <row r="60" spans="2:12">
      <c r="B60" s="124"/>
      <c r="L60" s="126"/>
    </row>
    <row r="61" spans="2:12">
      <c r="B61" s="124"/>
      <c r="L61" s="126"/>
    </row>
    <row r="62" spans="2:12" ht="13" thickBot="1">
      <c r="B62" s="134"/>
      <c r="C62" s="4"/>
      <c r="D62" s="4"/>
      <c r="E62" s="4"/>
      <c r="F62" s="4"/>
      <c r="G62" s="4"/>
      <c r="H62" s="4"/>
      <c r="I62" s="4"/>
      <c r="J62" s="4"/>
      <c r="K62" s="4"/>
      <c r="L62" s="135"/>
    </row>
  </sheetData>
  <mergeCells count="3">
    <mergeCell ref="B2:L2"/>
    <mergeCell ref="B3:L3"/>
    <mergeCell ref="B4:L4"/>
  </mergeCells>
  <phoneticPr fontId="0" type="noConversion"/>
  <pageMargins left="0.75" right="0.75" top="1" bottom="1" header="0.5" footer="0.5"/>
  <pageSetup orientation="portrait" r:id="rId1"/>
  <headerFooter alignWithMargins="0"/>
  <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C000"/>
  </sheetPr>
  <dimension ref="B1:S84"/>
  <sheetViews>
    <sheetView zoomScaleNormal="100" zoomScalePageLayoutView="150" workbookViewId="0">
      <selection activeCell="B2" sqref="B2"/>
    </sheetView>
  </sheetViews>
  <sheetFormatPr defaultColWidth="13.1796875" defaultRowHeight="15.5"/>
  <cols>
    <col min="1" max="1" width="6.453125" style="1416" customWidth="1"/>
    <col min="2" max="2" width="33.7265625" style="1416" customWidth="1"/>
    <col min="3" max="3" width="9.1796875" style="1416" customWidth="1"/>
    <col min="4" max="4" width="11.26953125" style="1416" customWidth="1"/>
    <col min="5" max="5" width="12.7265625" style="1416" customWidth="1"/>
    <col min="6" max="6" width="12.54296875" style="1416" customWidth="1"/>
    <col min="7" max="7" width="12.7265625" style="1416" customWidth="1"/>
    <col min="8" max="16384" width="13.1796875" style="1416"/>
  </cols>
  <sheetData>
    <row r="1" spans="2:8">
      <c r="B1" s="1441" t="s">
        <v>1696</v>
      </c>
    </row>
    <row r="2" spans="2:8">
      <c r="B2" s="1441" t="s">
        <v>1711</v>
      </c>
    </row>
    <row r="3" spans="2:8">
      <c r="B3" s="1437" t="s">
        <v>1695</v>
      </c>
      <c r="C3" s="1436"/>
      <c r="D3" s="1433" t="s">
        <v>1694</v>
      </c>
      <c r="E3" s="1432" t="s">
        <v>1693</v>
      </c>
    </row>
    <row r="4" spans="2:8">
      <c r="B4" s="1431" t="s">
        <v>1692</v>
      </c>
      <c r="C4" s="1417"/>
      <c r="D4" s="1442">
        <v>0</v>
      </c>
      <c r="E4" s="1425">
        <f>E6*D4</f>
        <v>0</v>
      </c>
    </row>
    <row r="5" spans="2:8">
      <c r="B5" s="1431" t="s">
        <v>1691</v>
      </c>
      <c r="C5" s="1417"/>
      <c r="D5" s="1443">
        <v>1</v>
      </c>
      <c r="E5" s="1438">
        <f>E6*D5</f>
        <v>1000000</v>
      </c>
    </row>
    <row r="6" spans="2:8">
      <c r="B6" s="1429" t="s">
        <v>120</v>
      </c>
      <c r="C6" s="1421"/>
      <c r="D6" s="1424">
        <f>D4+D5</f>
        <v>1</v>
      </c>
      <c r="E6" s="1444">
        <v>1000000</v>
      </c>
    </row>
    <row r="8" spans="2:8">
      <c r="D8" s="1766" t="s">
        <v>1424</v>
      </c>
      <c r="E8" s="1767"/>
    </row>
    <row r="9" spans="2:8">
      <c r="B9" s="1437" t="s">
        <v>1690</v>
      </c>
      <c r="C9" s="1436"/>
      <c r="D9" s="1435" t="s">
        <v>1689</v>
      </c>
      <c r="E9" s="1434" t="s">
        <v>1688</v>
      </c>
      <c r="F9" s="1433" t="s">
        <v>1687</v>
      </c>
      <c r="G9" s="1432" t="s">
        <v>1686</v>
      </c>
    </row>
    <row r="10" spans="2:8">
      <c r="B10" s="1431" t="s">
        <v>1697</v>
      </c>
      <c r="C10" s="1417"/>
      <c r="D10" s="1430">
        <v>0</v>
      </c>
      <c r="E10" s="1445">
        <v>0.1</v>
      </c>
      <c r="F10" s="1442">
        <v>0</v>
      </c>
      <c r="G10" s="1446">
        <v>1</v>
      </c>
      <c r="H10" s="1416" t="str">
        <f>IF(F10+G10&lt;&gt;1,"Error","")</f>
        <v/>
      </c>
    </row>
    <row r="11" spans="2:8">
      <c r="B11" s="1431" t="s">
        <v>1698</v>
      </c>
      <c r="C11" s="1417"/>
      <c r="D11" s="1430">
        <f>E10</f>
        <v>0.1</v>
      </c>
      <c r="E11" s="1445">
        <v>0.25</v>
      </c>
      <c r="F11" s="1442">
        <v>0.2</v>
      </c>
      <c r="G11" s="1446">
        <v>0.8</v>
      </c>
      <c r="H11" s="1416" t="str">
        <f t="shared" ref="H11:H12" si="0">IF(F11+G11&lt;&gt;1,"Error","")</f>
        <v/>
      </c>
    </row>
    <row r="12" spans="2:8">
      <c r="B12" s="1429" t="s">
        <v>1699</v>
      </c>
      <c r="C12" s="1421"/>
      <c r="D12" s="1428">
        <f>E11</f>
        <v>0.25</v>
      </c>
      <c r="E12" s="1427"/>
      <c r="F12" s="1447">
        <v>0.4</v>
      </c>
      <c r="G12" s="1448">
        <v>0.6</v>
      </c>
      <c r="H12" s="1416" t="str">
        <f t="shared" si="0"/>
        <v/>
      </c>
    </row>
    <row r="13" spans="2:8">
      <c r="D13" s="1426"/>
      <c r="E13" s="1426"/>
    </row>
    <row r="14" spans="2:8">
      <c r="D14" s="1426"/>
      <c r="E14" s="1426"/>
    </row>
    <row r="15" spans="2:8">
      <c r="D15" s="1426"/>
      <c r="E15" s="1426"/>
    </row>
    <row r="16" spans="2:8" ht="16" thickBot="1">
      <c r="D16" s="1426"/>
      <c r="E16" s="1426"/>
    </row>
    <row r="17" spans="2:10">
      <c r="B17" s="1449" t="s">
        <v>1700</v>
      </c>
      <c r="C17" s="1450"/>
      <c r="D17" s="1451"/>
      <c r="E17" s="1452" t="s">
        <v>1670</v>
      </c>
      <c r="F17" s="1452" t="s">
        <v>1669</v>
      </c>
      <c r="G17" s="1452" t="s">
        <v>1668</v>
      </c>
      <c r="H17" s="1452" t="s">
        <v>1667</v>
      </c>
      <c r="I17" s="1452" t="s">
        <v>1666</v>
      </c>
      <c r="J17" s="1453" t="s">
        <v>1665</v>
      </c>
    </row>
    <row r="18" spans="2:10">
      <c r="B18" s="1454" t="s">
        <v>1685</v>
      </c>
      <c r="C18" s="1455" t="s">
        <v>903</v>
      </c>
      <c r="D18" s="1456">
        <f>IRR(E18:J18)</f>
        <v>0.20652848341038044</v>
      </c>
      <c r="E18" s="1457">
        <f>-E6</f>
        <v>-1000000</v>
      </c>
      <c r="F18" s="1458">
        <v>70000</v>
      </c>
      <c r="G18" s="1458">
        <v>70000</v>
      </c>
      <c r="H18" s="1458">
        <v>1570000</v>
      </c>
      <c r="I18" s="1458"/>
      <c r="J18" s="1459"/>
    </row>
    <row r="19" spans="2:10">
      <c r="B19" s="1460"/>
      <c r="C19" s="1461"/>
      <c r="J19" s="1462"/>
    </row>
    <row r="20" spans="2:10">
      <c r="B20" s="1463" t="s">
        <v>1684</v>
      </c>
      <c r="C20" s="1464"/>
      <c r="D20" s="1426"/>
      <c r="E20" s="1457">
        <f t="shared" ref="E20:J20" si="1">IF(E18&gt;0,0,E18*$D$4)</f>
        <v>0</v>
      </c>
      <c r="F20" s="1457">
        <f t="shared" si="1"/>
        <v>0</v>
      </c>
      <c r="G20" s="1457">
        <f t="shared" si="1"/>
        <v>0</v>
      </c>
      <c r="H20" s="1457">
        <f t="shared" si="1"/>
        <v>0</v>
      </c>
      <c r="I20" s="1457">
        <f t="shared" si="1"/>
        <v>0</v>
      </c>
      <c r="J20" s="1465">
        <f t="shared" si="1"/>
        <v>0</v>
      </c>
    </row>
    <row r="21" spans="2:10">
      <c r="B21" s="1463" t="s">
        <v>1683</v>
      </c>
      <c r="C21" s="1464"/>
      <c r="D21" s="1426"/>
      <c r="E21" s="1457">
        <f t="shared" ref="E21:J21" si="2">IF(E18&gt;0,0,E18*$D$5)</f>
        <v>-1000000</v>
      </c>
      <c r="F21" s="1457">
        <f t="shared" si="2"/>
        <v>0</v>
      </c>
      <c r="G21" s="1457">
        <f t="shared" si="2"/>
        <v>0</v>
      </c>
      <c r="H21" s="1457">
        <f t="shared" si="2"/>
        <v>0</v>
      </c>
      <c r="I21" s="1457">
        <f t="shared" si="2"/>
        <v>0</v>
      </c>
      <c r="J21" s="1465">
        <f t="shared" si="2"/>
        <v>0</v>
      </c>
    </row>
    <row r="22" spans="2:10">
      <c r="B22" s="1454" t="s">
        <v>1682</v>
      </c>
      <c r="D22" s="1457"/>
      <c r="E22" s="1457">
        <f t="shared" ref="E22:J22" si="3">SUM(E20:E21)</f>
        <v>-1000000</v>
      </c>
      <c r="F22" s="1457">
        <f t="shared" si="3"/>
        <v>0</v>
      </c>
      <c r="G22" s="1457">
        <f t="shared" si="3"/>
        <v>0</v>
      </c>
      <c r="H22" s="1457">
        <f t="shared" si="3"/>
        <v>0</v>
      </c>
      <c r="I22" s="1457">
        <f t="shared" si="3"/>
        <v>0</v>
      </c>
      <c r="J22" s="1465">
        <f t="shared" si="3"/>
        <v>0</v>
      </c>
    </row>
    <row r="23" spans="2:10">
      <c r="B23" s="1460"/>
      <c r="C23" s="1461"/>
      <c r="J23" s="1462"/>
    </row>
    <row r="24" spans="2:10" ht="16" thickBot="1">
      <c r="B24" s="1466" t="s">
        <v>1681</v>
      </c>
      <c r="C24" s="1467"/>
      <c r="D24" s="1468"/>
      <c r="E24" s="1469">
        <f t="shared" ref="E24:J24" si="4">IF(E18&lt;0,0,E18)</f>
        <v>0</v>
      </c>
      <c r="F24" s="1470">
        <f t="shared" si="4"/>
        <v>70000</v>
      </c>
      <c r="G24" s="1470">
        <f t="shared" si="4"/>
        <v>70000</v>
      </c>
      <c r="H24" s="1470">
        <f t="shared" si="4"/>
        <v>1570000</v>
      </c>
      <c r="I24" s="1470">
        <f t="shared" si="4"/>
        <v>0</v>
      </c>
      <c r="J24" s="1471">
        <f t="shared" si="4"/>
        <v>0</v>
      </c>
    </row>
    <row r="27" spans="2:10" ht="16" thickBot="1"/>
    <row r="28" spans="2:10">
      <c r="B28" s="1472" t="s">
        <v>1701</v>
      </c>
      <c r="C28" s="1450"/>
      <c r="D28" s="1473">
        <f>E10</f>
        <v>0.1</v>
      </c>
      <c r="E28" s="1452" t="s">
        <v>1670</v>
      </c>
      <c r="F28" s="1452" t="s">
        <v>1669</v>
      </c>
      <c r="G28" s="1452" t="s">
        <v>1668</v>
      </c>
      <c r="H28" s="1452" t="s">
        <v>1667</v>
      </c>
      <c r="I28" s="1452" t="s">
        <v>1666</v>
      </c>
      <c r="J28" s="1453" t="s">
        <v>1665</v>
      </c>
    </row>
    <row r="29" spans="2:10">
      <c r="B29" s="1474" t="s">
        <v>1678</v>
      </c>
      <c r="E29" s="1418">
        <v>0</v>
      </c>
      <c r="F29" s="1418">
        <f>E33</f>
        <v>-1000000</v>
      </c>
      <c r="G29" s="1418">
        <f>F33</f>
        <v>-1030000</v>
      </c>
      <c r="H29" s="1418">
        <f>G33</f>
        <v>-1063000</v>
      </c>
      <c r="I29" s="1418">
        <f>H33</f>
        <v>0</v>
      </c>
      <c r="J29" s="1475">
        <f>I33</f>
        <v>0</v>
      </c>
    </row>
    <row r="30" spans="2:10">
      <c r="B30" s="1474" t="s">
        <v>1677</v>
      </c>
      <c r="E30" s="1418">
        <f t="shared" ref="E30:J30" si="5">E22</f>
        <v>-1000000</v>
      </c>
      <c r="F30" s="1418">
        <f t="shared" si="5"/>
        <v>0</v>
      </c>
      <c r="G30" s="1418">
        <f t="shared" si="5"/>
        <v>0</v>
      </c>
      <c r="H30" s="1418">
        <f t="shared" si="5"/>
        <v>0</v>
      </c>
      <c r="I30" s="1418">
        <f t="shared" si="5"/>
        <v>0</v>
      </c>
      <c r="J30" s="1475">
        <f t="shared" si="5"/>
        <v>0</v>
      </c>
    </row>
    <row r="31" spans="2:10">
      <c r="B31" s="1474" t="s">
        <v>1680</v>
      </c>
      <c r="E31" s="1418">
        <f t="shared" ref="E31:J31" si="6">E29*$D$28</f>
        <v>0</v>
      </c>
      <c r="F31" s="1418">
        <f t="shared" si="6"/>
        <v>-100000</v>
      </c>
      <c r="G31" s="1418">
        <f t="shared" si="6"/>
        <v>-103000</v>
      </c>
      <c r="H31" s="1418">
        <f t="shared" si="6"/>
        <v>-106300</v>
      </c>
      <c r="I31" s="1418">
        <f t="shared" si="6"/>
        <v>0</v>
      </c>
      <c r="J31" s="1475">
        <f t="shared" si="6"/>
        <v>0</v>
      </c>
    </row>
    <row r="32" spans="2:10">
      <c r="B32" s="1474" t="s">
        <v>1679</v>
      </c>
      <c r="E32" s="1476">
        <f t="shared" ref="E32:J32" si="7">MIN(E24,-SUM(E29:E31))</f>
        <v>0</v>
      </c>
      <c r="F32" s="1476">
        <f t="shared" si="7"/>
        <v>70000</v>
      </c>
      <c r="G32" s="1476">
        <f t="shared" si="7"/>
        <v>70000</v>
      </c>
      <c r="H32" s="1476">
        <f t="shared" si="7"/>
        <v>1169300</v>
      </c>
      <c r="I32" s="1476">
        <f t="shared" si="7"/>
        <v>0</v>
      </c>
      <c r="J32" s="1477">
        <f t="shared" si="7"/>
        <v>0</v>
      </c>
    </row>
    <row r="33" spans="2:19">
      <c r="B33" s="1474" t="s">
        <v>719</v>
      </c>
      <c r="E33" s="1418">
        <f>E29+E30+E31-E32</f>
        <v>-1000000</v>
      </c>
      <c r="F33" s="1418">
        <f>F29+F30+F31+F32</f>
        <v>-1030000</v>
      </c>
      <c r="G33" s="1418">
        <f>G29+G30+G31+G32</f>
        <v>-1063000</v>
      </c>
      <c r="H33" s="1418">
        <f>H29+H30+H31+H32</f>
        <v>0</v>
      </c>
      <c r="I33" s="1418">
        <f>I29+I30+I31+I32</f>
        <v>0</v>
      </c>
      <c r="J33" s="1475">
        <f>J29+J30+J31+J32</f>
        <v>0</v>
      </c>
    </row>
    <row r="34" spans="2:19">
      <c r="B34" s="1474" t="s">
        <v>1702</v>
      </c>
      <c r="D34" s="1422">
        <f>IRR(E34:J34)</f>
        <v>0.10000000000000009</v>
      </c>
      <c r="E34" s="1418">
        <f t="shared" ref="E34:J34" si="8">E30+E32</f>
        <v>-1000000</v>
      </c>
      <c r="F34" s="1418">
        <f t="shared" si="8"/>
        <v>70000</v>
      </c>
      <c r="G34" s="1418">
        <f t="shared" si="8"/>
        <v>70000</v>
      </c>
      <c r="H34" s="1418">
        <f t="shared" si="8"/>
        <v>1169300</v>
      </c>
      <c r="I34" s="1418">
        <f t="shared" si="8"/>
        <v>0</v>
      </c>
      <c r="J34" s="1475">
        <f t="shared" si="8"/>
        <v>0</v>
      </c>
    </row>
    <row r="35" spans="2:19">
      <c r="B35" s="1474" t="s">
        <v>1703</v>
      </c>
      <c r="D35" s="1422"/>
      <c r="E35" s="1418">
        <f>E32</f>
        <v>0</v>
      </c>
      <c r="F35" s="1418">
        <f t="shared" ref="F35:J35" si="9">F32</f>
        <v>70000</v>
      </c>
      <c r="G35" s="1418">
        <f t="shared" si="9"/>
        <v>70000</v>
      </c>
      <c r="H35" s="1418">
        <f t="shared" si="9"/>
        <v>1169300</v>
      </c>
      <c r="I35" s="1418">
        <f t="shared" si="9"/>
        <v>0</v>
      </c>
      <c r="J35" s="1475">
        <f t="shared" si="9"/>
        <v>0</v>
      </c>
    </row>
    <row r="36" spans="2:19">
      <c r="B36" s="1474"/>
      <c r="J36" s="1462"/>
    </row>
    <row r="37" spans="2:19">
      <c r="B37" s="1478" t="s">
        <v>1704</v>
      </c>
      <c r="J37" s="1462"/>
    </row>
    <row r="38" spans="2:19">
      <c r="B38" s="1474" t="s">
        <v>1673</v>
      </c>
      <c r="C38" s="1422">
        <f>G10</f>
        <v>1</v>
      </c>
      <c r="E38" s="1418">
        <f>E35*$G$10</f>
        <v>0</v>
      </c>
      <c r="F38" s="1418">
        <f t="shared" ref="F38:J38" si="10">F35*$G$10</f>
        <v>70000</v>
      </c>
      <c r="G38" s="1418">
        <f t="shared" si="10"/>
        <v>70000</v>
      </c>
      <c r="H38" s="1418">
        <f t="shared" si="10"/>
        <v>1169300</v>
      </c>
      <c r="I38" s="1418">
        <f t="shared" si="10"/>
        <v>0</v>
      </c>
      <c r="J38" s="1475">
        <f t="shared" si="10"/>
        <v>0</v>
      </c>
      <c r="M38" s="1422"/>
      <c r="N38" s="1418"/>
      <c r="O38" s="1418"/>
      <c r="P38" s="1418"/>
      <c r="Q38" s="1418"/>
      <c r="R38" s="1418"/>
      <c r="S38" s="1418"/>
    </row>
    <row r="39" spans="2:19">
      <c r="B39" s="1474" t="s">
        <v>1672</v>
      </c>
      <c r="C39" s="1422">
        <f>F10</f>
        <v>0</v>
      </c>
      <c r="E39" s="1418">
        <f t="shared" ref="E39:J39" si="11">E32*$C$39</f>
        <v>0</v>
      </c>
      <c r="F39" s="1418">
        <f t="shared" si="11"/>
        <v>0</v>
      </c>
      <c r="G39" s="1418">
        <f t="shared" si="11"/>
        <v>0</v>
      </c>
      <c r="H39" s="1418">
        <f t="shared" si="11"/>
        <v>0</v>
      </c>
      <c r="I39" s="1418">
        <f t="shared" si="11"/>
        <v>0</v>
      </c>
      <c r="J39" s="1475">
        <f t="shared" si="11"/>
        <v>0</v>
      </c>
    </row>
    <row r="40" spans="2:19">
      <c r="B40" s="1474"/>
      <c r="J40" s="1462"/>
    </row>
    <row r="41" spans="2:19" ht="16" thickBot="1">
      <c r="B41" s="1466" t="s">
        <v>1705</v>
      </c>
      <c r="C41" s="1479"/>
      <c r="D41" s="1479"/>
      <c r="E41" s="1480">
        <f t="shared" ref="E41:J41" si="12">E24-E32</f>
        <v>0</v>
      </c>
      <c r="F41" s="1480">
        <f t="shared" si="12"/>
        <v>0</v>
      </c>
      <c r="G41" s="1480">
        <f t="shared" si="12"/>
        <v>0</v>
      </c>
      <c r="H41" s="1480">
        <f t="shared" si="12"/>
        <v>400700</v>
      </c>
      <c r="I41" s="1480">
        <f t="shared" si="12"/>
        <v>0</v>
      </c>
      <c r="J41" s="1481">
        <f t="shared" si="12"/>
        <v>0</v>
      </c>
    </row>
    <row r="42" spans="2:19" ht="16" thickBot="1"/>
    <row r="43" spans="2:19">
      <c r="B43" s="1472" t="s">
        <v>1706</v>
      </c>
      <c r="C43" s="1450"/>
      <c r="D43" s="1473">
        <f>E11</f>
        <v>0.25</v>
      </c>
      <c r="E43" s="1452" t="s">
        <v>1670</v>
      </c>
      <c r="F43" s="1452" t="s">
        <v>1669</v>
      </c>
      <c r="G43" s="1452" t="s">
        <v>1668</v>
      </c>
      <c r="H43" s="1452" t="s">
        <v>1667</v>
      </c>
      <c r="I43" s="1452" t="s">
        <v>1666</v>
      </c>
      <c r="J43" s="1453" t="s">
        <v>1665</v>
      </c>
    </row>
    <row r="44" spans="2:19">
      <c r="B44" s="1474" t="s">
        <v>1678</v>
      </c>
      <c r="E44" s="1418">
        <v>0</v>
      </c>
      <c r="F44" s="1418">
        <f>E48</f>
        <v>-1000000</v>
      </c>
      <c r="G44" s="1418">
        <f>F48</f>
        <v>-1180000</v>
      </c>
      <c r="H44" s="1418">
        <f>G48</f>
        <v>-1405000</v>
      </c>
      <c r="I44" s="1418">
        <f>H48</f>
        <v>-186250</v>
      </c>
      <c r="J44" s="1475">
        <f>I48</f>
        <v>-232812.5</v>
      </c>
    </row>
    <row r="45" spans="2:19">
      <c r="B45" s="1474" t="s">
        <v>1677</v>
      </c>
      <c r="E45" s="1418">
        <f t="shared" ref="E45:J45" si="13">E22</f>
        <v>-1000000</v>
      </c>
      <c r="F45" s="1418">
        <f t="shared" si="13"/>
        <v>0</v>
      </c>
      <c r="G45" s="1418">
        <f t="shared" si="13"/>
        <v>0</v>
      </c>
      <c r="H45" s="1418">
        <f t="shared" si="13"/>
        <v>0</v>
      </c>
      <c r="I45" s="1418">
        <f t="shared" si="13"/>
        <v>0</v>
      </c>
      <c r="J45" s="1475">
        <f t="shared" si="13"/>
        <v>0</v>
      </c>
    </row>
    <row r="46" spans="2:19">
      <c r="B46" s="1474" t="s">
        <v>1676</v>
      </c>
      <c r="E46" s="1418">
        <f t="shared" ref="E46:J46" si="14">E44*$D43</f>
        <v>0</v>
      </c>
      <c r="F46" s="1418">
        <f t="shared" si="14"/>
        <v>-250000</v>
      </c>
      <c r="G46" s="1418">
        <f t="shared" si="14"/>
        <v>-295000</v>
      </c>
      <c r="H46" s="1418">
        <f t="shared" si="14"/>
        <v>-351250</v>
      </c>
      <c r="I46" s="1418">
        <f t="shared" si="14"/>
        <v>-46562.5</v>
      </c>
      <c r="J46" s="1475">
        <f t="shared" si="14"/>
        <v>-58203.125</v>
      </c>
    </row>
    <row r="47" spans="2:19">
      <c r="B47" s="1474" t="s">
        <v>1675</v>
      </c>
      <c r="E47" s="1476">
        <f t="shared" ref="E47:J47" si="15">MIN(E24,-SUM(E44:E46))</f>
        <v>0</v>
      </c>
      <c r="F47" s="1476">
        <f t="shared" si="15"/>
        <v>70000</v>
      </c>
      <c r="G47" s="1476">
        <f t="shared" si="15"/>
        <v>70000</v>
      </c>
      <c r="H47" s="1476">
        <f t="shared" si="15"/>
        <v>1570000</v>
      </c>
      <c r="I47" s="1476">
        <f t="shared" si="15"/>
        <v>0</v>
      </c>
      <c r="J47" s="1477">
        <f t="shared" si="15"/>
        <v>0</v>
      </c>
    </row>
    <row r="48" spans="2:19">
      <c r="B48" s="1474" t="s">
        <v>719</v>
      </c>
      <c r="E48" s="1418">
        <f>E44+E45+E46-E47</f>
        <v>-1000000</v>
      </c>
      <c r="F48" s="1418">
        <f>F44+F45+F46+F47</f>
        <v>-1180000</v>
      </c>
      <c r="G48" s="1418">
        <f>G44+G45+G46+G47</f>
        <v>-1405000</v>
      </c>
      <c r="H48" s="1418">
        <f>H44+H45+H46+H47</f>
        <v>-186250</v>
      </c>
      <c r="I48" s="1418">
        <f>I44+I45+I46+I47</f>
        <v>-232812.5</v>
      </c>
      <c r="J48" s="1475">
        <f>J44+J45+J46+J47</f>
        <v>-291015.625</v>
      </c>
    </row>
    <row r="49" spans="2:19">
      <c r="B49" s="1474" t="s">
        <v>1707</v>
      </c>
      <c r="D49" s="1422">
        <f>IRR(E49:J49)</f>
        <v>0.20652848341038044</v>
      </c>
      <c r="E49" s="1418">
        <f t="shared" ref="E49:J49" si="16">E45+E47</f>
        <v>-1000000</v>
      </c>
      <c r="F49" s="1418">
        <f t="shared" si="16"/>
        <v>70000</v>
      </c>
      <c r="G49" s="1418">
        <f t="shared" si="16"/>
        <v>70000</v>
      </c>
      <c r="H49" s="1418">
        <f t="shared" si="16"/>
        <v>1570000</v>
      </c>
      <c r="I49" s="1418">
        <f t="shared" si="16"/>
        <v>0</v>
      </c>
      <c r="J49" s="1475">
        <f t="shared" si="16"/>
        <v>0</v>
      </c>
    </row>
    <row r="50" spans="2:19">
      <c r="B50" s="1474" t="s">
        <v>1703</v>
      </c>
      <c r="D50" s="1422"/>
      <c r="E50" s="1418">
        <f t="shared" ref="E50:J50" si="17">E47-E32</f>
        <v>0</v>
      </c>
      <c r="F50" s="1418">
        <f t="shared" si="17"/>
        <v>0</v>
      </c>
      <c r="G50" s="1418">
        <f t="shared" si="17"/>
        <v>0</v>
      </c>
      <c r="H50" s="1418">
        <f t="shared" si="17"/>
        <v>400700</v>
      </c>
      <c r="I50" s="1418">
        <f t="shared" si="17"/>
        <v>0</v>
      </c>
      <c r="J50" s="1475">
        <f t="shared" si="17"/>
        <v>0</v>
      </c>
    </row>
    <row r="51" spans="2:19">
      <c r="B51" s="1474"/>
      <c r="J51" s="1462"/>
      <c r="O51" s="1423"/>
      <c r="P51" s="1423"/>
      <c r="Q51" s="1423"/>
      <c r="R51" s="1423"/>
      <c r="S51" s="1423"/>
    </row>
    <row r="52" spans="2:19">
      <c r="B52" s="1478" t="s">
        <v>1704</v>
      </c>
      <c r="J52" s="1462"/>
      <c r="O52" s="1423"/>
      <c r="P52" s="1423"/>
      <c r="Q52" s="1423"/>
      <c r="R52" s="1423"/>
      <c r="S52" s="1423"/>
    </row>
    <row r="53" spans="2:19">
      <c r="B53" s="1474" t="s">
        <v>1673</v>
      </c>
      <c r="C53" s="1422">
        <f>G11</f>
        <v>0.8</v>
      </c>
      <c r="E53" s="1418">
        <f>E50*$C$53</f>
        <v>0</v>
      </c>
      <c r="F53" s="1418">
        <f t="shared" ref="F53:J53" si="18">F50*$C$53</f>
        <v>0</v>
      </c>
      <c r="G53" s="1418">
        <f t="shared" si="18"/>
        <v>0</v>
      </c>
      <c r="H53" s="1418">
        <f t="shared" si="18"/>
        <v>320560</v>
      </c>
      <c r="I53" s="1418">
        <f t="shared" si="18"/>
        <v>0</v>
      </c>
      <c r="J53" s="1475">
        <f t="shared" si="18"/>
        <v>0</v>
      </c>
      <c r="M53" s="1422"/>
      <c r="N53" s="1418"/>
      <c r="O53" s="1418"/>
      <c r="P53" s="1418"/>
      <c r="Q53" s="1418"/>
      <c r="R53" s="1418"/>
      <c r="S53" s="1418"/>
    </row>
    <row r="54" spans="2:19">
      <c r="B54" s="1474" t="s">
        <v>1672</v>
      </c>
      <c r="C54" s="1422">
        <f>F11</f>
        <v>0.2</v>
      </c>
      <c r="E54" s="1418">
        <f>E50*$C$54</f>
        <v>0</v>
      </c>
      <c r="F54" s="1418">
        <f t="shared" ref="F54:J54" si="19">F50*$C$54</f>
        <v>0</v>
      </c>
      <c r="G54" s="1418">
        <f t="shared" si="19"/>
        <v>0</v>
      </c>
      <c r="H54" s="1418">
        <f t="shared" si="19"/>
        <v>80140</v>
      </c>
      <c r="I54" s="1418">
        <f t="shared" si="19"/>
        <v>0</v>
      </c>
      <c r="J54" s="1475">
        <f t="shared" si="19"/>
        <v>0</v>
      </c>
    </row>
    <row r="55" spans="2:19">
      <c r="B55" s="1474"/>
      <c r="J55" s="1462"/>
    </row>
    <row r="56" spans="2:19" ht="16" thickBot="1">
      <c r="B56" s="1466" t="s">
        <v>1705</v>
      </c>
      <c r="C56" s="1467"/>
      <c r="D56" s="1467"/>
      <c r="E56" s="1480">
        <f t="shared" ref="E56:J56" si="20">E24-E47</f>
        <v>0</v>
      </c>
      <c r="F56" s="1480">
        <f t="shared" si="20"/>
        <v>0</v>
      </c>
      <c r="G56" s="1480">
        <f t="shared" si="20"/>
        <v>0</v>
      </c>
      <c r="H56" s="1480">
        <f t="shared" si="20"/>
        <v>0</v>
      </c>
      <c r="I56" s="1480">
        <f t="shared" si="20"/>
        <v>0</v>
      </c>
      <c r="J56" s="1481">
        <f t="shared" si="20"/>
        <v>0</v>
      </c>
    </row>
    <row r="57" spans="2:19" ht="16" thickBot="1"/>
    <row r="58" spans="2:19">
      <c r="B58" s="1472" t="s">
        <v>1708</v>
      </c>
      <c r="C58" s="1482"/>
      <c r="D58" s="1450"/>
      <c r="E58" s="1452" t="s">
        <v>1670</v>
      </c>
      <c r="F58" s="1452" t="s">
        <v>1669</v>
      </c>
      <c r="G58" s="1452" t="s">
        <v>1668</v>
      </c>
      <c r="H58" s="1452" t="s">
        <v>1667</v>
      </c>
      <c r="I58" s="1452" t="s">
        <v>1666</v>
      </c>
      <c r="J58" s="1453" t="s">
        <v>1665</v>
      </c>
      <c r="N58" s="1423"/>
    </row>
    <row r="59" spans="2:19">
      <c r="B59" s="1474" t="s">
        <v>1674</v>
      </c>
      <c r="E59" s="1418">
        <f t="shared" ref="E59:J59" si="21">E56</f>
        <v>0</v>
      </c>
      <c r="F59" s="1418">
        <f t="shared" si="21"/>
        <v>0</v>
      </c>
      <c r="G59" s="1418">
        <f t="shared" si="21"/>
        <v>0</v>
      </c>
      <c r="H59" s="1418">
        <f t="shared" si="21"/>
        <v>0</v>
      </c>
      <c r="I59" s="1418">
        <f t="shared" si="21"/>
        <v>0</v>
      </c>
      <c r="J59" s="1475">
        <f t="shared" si="21"/>
        <v>0</v>
      </c>
      <c r="N59" s="1423"/>
    </row>
    <row r="60" spans="2:19">
      <c r="B60" s="1474"/>
      <c r="E60" s="1418"/>
      <c r="F60" s="1418"/>
      <c r="G60" s="1418"/>
      <c r="H60" s="1418"/>
      <c r="I60" s="1418"/>
      <c r="J60" s="1475"/>
      <c r="N60" s="1423"/>
    </row>
    <row r="61" spans="2:19">
      <c r="B61" s="1478" t="s">
        <v>1709</v>
      </c>
      <c r="E61" s="1418"/>
      <c r="F61" s="1418"/>
      <c r="G61" s="1418"/>
      <c r="H61" s="1418"/>
      <c r="I61" s="1418"/>
      <c r="J61" s="1475"/>
      <c r="N61" s="1423"/>
    </row>
    <row r="62" spans="2:19">
      <c r="B62" s="1474" t="s">
        <v>1673</v>
      </c>
      <c r="C62" s="1422">
        <f>G12</f>
        <v>0.6</v>
      </c>
      <c r="E62" s="1418">
        <f t="shared" ref="E62:J62" si="22">E59*$C$62</f>
        <v>0</v>
      </c>
      <c r="F62" s="1418">
        <f t="shared" si="22"/>
        <v>0</v>
      </c>
      <c r="G62" s="1418">
        <f t="shared" si="22"/>
        <v>0</v>
      </c>
      <c r="H62" s="1418">
        <f t="shared" si="22"/>
        <v>0</v>
      </c>
      <c r="I62" s="1418">
        <f t="shared" si="22"/>
        <v>0</v>
      </c>
      <c r="J62" s="1475">
        <f t="shared" si="22"/>
        <v>0</v>
      </c>
    </row>
    <row r="63" spans="2:19">
      <c r="B63" s="1474" t="s">
        <v>1672</v>
      </c>
      <c r="C63" s="1422">
        <f>F12</f>
        <v>0.4</v>
      </c>
      <c r="E63" s="1418">
        <f t="shared" ref="E63:J63" si="23">E59*$C$63</f>
        <v>0</v>
      </c>
      <c r="F63" s="1418">
        <f t="shared" si="23"/>
        <v>0</v>
      </c>
      <c r="G63" s="1418">
        <f t="shared" si="23"/>
        <v>0</v>
      </c>
      <c r="H63" s="1418">
        <f t="shared" si="23"/>
        <v>0</v>
      </c>
      <c r="I63" s="1418">
        <f t="shared" si="23"/>
        <v>0</v>
      </c>
      <c r="J63" s="1475">
        <f t="shared" si="23"/>
        <v>0</v>
      </c>
    </row>
    <row r="64" spans="2:19" ht="16" thickBot="1">
      <c r="B64" s="1483"/>
      <c r="C64" s="1467"/>
      <c r="D64" s="1467"/>
      <c r="E64" s="1467"/>
      <c r="F64" s="1467"/>
      <c r="G64" s="1467"/>
      <c r="H64" s="1467"/>
      <c r="I64" s="1467"/>
      <c r="J64" s="1484"/>
    </row>
    <row r="66" spans="2:10" ht="16" thickBot="1"/>
    <row r="67" spans="2:10">
      <c r="B67" s="1472" t="s">
        <v>1671</v>
      </c>
      <c r="C67" s="1450"/>
      <c r="D67" s="1450"/>
      <c r="E67" s="1452" t="s">
        <v>1670</v>
      </c>
      <c r="F67" s="1452" t="s">
        <v>1669</v>
      </c>
      <c r="G67" s="1452" t="s">
        <v>1668</v>
      </c>
      <c r="H67" s="1452" t="s">
        <v>1667</v>
      </c>
      <c r="I67" s="1452" t="s">
        <v>1666</v>
      </c>
      <c r="J67" s="1453" t="s">
        <v>1665</v>
      </c>
    </row>
    <row r="68" spans="2:10">
      <c r="B68" s="1460"/>
      <c r="E68" s="1485"/>
      <c r="F68" s="1485"/>
      <c r="G68" s="1485"/>
      <c r="H68" s="1485"/>
      <c r="I68" s="1485"/>
      <c r="J68" s="1486"/>
    </row>
    <row r="69" spans="2:10">
      <c r="B69" s="1487" t="s">
        <v>1664</v>
      </c>
      <c r="J69" s="1462"/>
    </row>
    <row r="70" spans="2:10">
      <c r="B70" s="1474" t="s">
        <v>1663</v>
      </c>
      <c r="E70" s="1418">
        <f t="shared" ref="E70:J70" si="24">E21</f>
        <v>-1000000</v>
      </c>
      <c r="F70" s="1418">
        <f t="shared" si="24"/>
        <v>0</v>
      </c>
      <c r="G70" s="1418">
        <f t="shared" si="24"/>
        <v>0</v>
      </c>
      <c r="H70" s="1418">
        <f t="shared" si="24"/>
        <v>0</v>
      </c>
      <c r="I70" s="1418">
        <f t="shared" si="24"/>
        <v>0</v>
      </c>
      <c r="J70" s="1475">
        <f t="shared" si="24"/>
        <v>0</v>
      </c>
    </row>
    <row r="71" spans="2:10">
      <c r="B71" s="1488" t="s">
        <v>1662</v>
      </c>
      <c r="C71" s="1420"/>
      <c r="D71" s="1420"/>
      <c r="E71" s="1419">
        <f>$D$5*(E38+E53+E62)</f>
        <v>0</v>
      </c>
      <c r="F71" s="1419">
        <f t="shared" ref="F71:J71" si="25">$D$5*(F38+F53+F62)</f>
        <v>70000</v>
      </c>
      <c r="G71" s="1419">
        <f t="shared" si="25"/>
        <v>70000</v>
      </c>
      <c r="H71" s="1419">
        <f t="shared" si="25"/>
        <v>1489860</v>
      </c>
      <c r="I71" s="1419">
        <f t="shared" si="25"/>
        <v>0</v>
      </c>
      <c r="J71" s="1489">
        <f t="shared" si="25"/>
        <v>0</v>
      </c>
    </row>
    <row r="72" spans="2:10">
      <c r="B72" s="1474" t="s">
        <v>1661</v>
      </c>
      <c r="E72" s="1418">
        <f>SUM(E70:E71)</f>
        <v>-1000000</v>
      </c>
      <c r="F72" s="1418">
        <f t="shared" ref="F72:J72" si="26">SUM(F70:F71)</f>
        <v>70000</v>
      </c>
      <c r="G72" s="1418">
        <f t="shared" si="26"/>
        <v>70000</v>
      </c>
      <c r="H72" s="1418">
        <f t="shared" si="26"/>
        <v>1489860</v>
      </c>
      <c r="I72" s="1418">
        <f t="shared" si="26"/>
        <v>0</v>
      </c>
      <c r="J72" s="1475">
        <f t="shared" si="26"/>
        <v>0</v>
      </c>
    </row>
    <row r="73" spans="2:10">
      <c r="B73" s="1474"/>
      <c r="J73" s="1462"/>
    </row>
    <row r="74" spans="2:10">
      <c r="B74" s="1454" t="s">
        <v>1660</v>
      </c>
      <c r="C74" s="1440">
        <f>IRR(E72:J72)</f>
        <v>0.18678236087129885</v>
      </c>
      <c r="J74" s="1462"/>
    </row>
    <row r="75" spans="2:10">
      <c r="B75" s="1454" t="s">
        <v>1659</v>
      </c>
      <c r="C75" s="1439">
        <f>(SUM(F72:J72)/-SUM(E70:J70))</f>
        <v>1.6298600000000001</v>
      </c>
      <c r="J75" s="1462"/>
    </row>
    <row r="76" spans="2:10">
      <c r="B76" s="1474"/>
      <c r="J76" s="1462"/>
    </row>
    <row r="77" spans="2:10">
      <c r="B77" s="1487" t="s">
        <v>1658</v>
      </c>
      <c r="J77" s="1462"/>
    </row>
    <row r="78" spans="2:10">
      <c r="B78" s="1474" t="s">
        <v>1657</v>
      </c>
      <c r="E78" s="1418">
        <f t="shared" ref="E78:J78" si="27">E20</f>
        <v>0</v>
      </c>
      <c r="F78" s="1418">
        <f t="shared" si="27"/>
        <v>0</v>
      </c>
      <c r="G78" s="1418">
        <f t="shared" si="27"/>
        <v>0</v>
      </c>
      <c r="H78" s="1418">
        <f t="shared" si="27"/>
        <v>0</v>
      </c>
      <c r="I78" s="1418">
        <f t="shared" si="27"/>
        <v>0</v>
      </c>
      <c r="J78" s="1475">
        <f t="shared" si="27"/>
        <v>0</v>
      </c>
    </row>
    <row r="79" spans="2:10">
      <c r="B79" s="1474" t="s">
        <v>1656</v>
      </c>
      <c r="E79" s="1419">
        <f>$D$4*(E38+E53+E62)</f>
        <v>0</v>
      </c>
      <c r="F79" s="1419">
        <f t="shared" ref="F79:J79" si="28">$D$4*(F38+F53+F62)</f>
        <v>0</v>
      </c>
      <c r="G79" s="1419">
        <f t="shared" si="28"/>
        <v>0</v>
      </c>
      <c r="H79" s="1419">
        <f t="shared" si="28"/>
        <v>0</v>
      </c>
      <c r="I79" s="1419">
        <f t="shared" si="28"/>
        <v>0</v>
      </c>
      <c r="J79" s="1489">
        <f t="shared" si="28"/>
        <v>0</v>
      </c>
    </row>
    <row r="80" spans="2:10">
      <c r="B80" s="1488" t="s">
        <v>1655</v>
      </c>
      <c r="C80" s="1420"/>
      <c r="D80" s="1420"/>
      <c r="E80" s="1419">
        <f t="shared" ref="E80:J80" si="29">E39+E54+E63</f>
        <v>0</v>
      </c>
      <c r="F80" s="1419">
        <f t="shared" si="29"/>
        <v>0</v>
      </c>
      <c r="G80" s="1419">
        <f t="shared" si="29"/>
        <v>0</v>
      </c>
      <c r="H80" s="1419">
        <f t="shared" si="29"/>
        <v>80140</v>
      </c>
      <c r="I80" s="1419">
        <f t="shared" si="29"/>
        <v>0</v>
      </c>
      <c r="J80" s="1489">
        <f t="shared" si="29"/>
        <v>0</v>
      </c>
    </row>
    <row r="81" spans="2:10">
      <c r="B81" s="1474" t="s">
        <v>1654</v>
      </c>
      <c r="E81" s="1418">
        <f>SUM(E78:E80)</f>
        <v>0</v>
      </c>
      <c r="F81" s="1418">
        <f t="shared" ref="F81:J81" si="30">SUM(F78:F80)</f>
        <v>0</v>
      </c>
      <c r="G81" s="1418">
        <f t="shared" si="30"/>
        <v>0</v>
      </c>
      <c r="H81" s="1418">
        <f t="shared" si="30"/>
        <v>80140</v>
      </c>
      <c r="I81" s="1418">
        <f t="shared" si="30"/>
        <v>0</v>
      </c>
      <c r="J81" s="1475">
        <f t="shared" si="30"/>
        <v>0</v>
      </c>
    </row>
    <row r="82" spans="2:10">
      <c r="B82" s="1474"/>
      <c r="J82" s="1462"/>
    </row>
    <row r="83" spans="2:10">
      <c r="B83" s="1454" t="s">
        <v>1653</v>
      </c>
      <c r="C83" s="1490" t="e">
        <f>IRR(E81:J81)</f>
        <v>#NUM!</v>
      </c>
      <c r="J83" s="1462"/>
    </row>
    <row r="84" spans="2:10" ht="16" thickBot="1">
      <c r="B84" s="1466" t="s">
        <v>1710</v>
      </c>
      <c r="C84" s="1491" t="e">
        <f>(SUM(F81:J81)/-SUM(E78:J78))</f>
        <v>#DIV/0!</v>
      </c>
      <c r="D84" s="1467"/>
      <c r="E84" s="1467"/>
      <c r="F84" s="1467"/>
      <c r="G84" s="1467"/>
      <c r="H84" s="1467"/>
      <c r="I84" s="1467"/>
      <c r="J84" s="1484"/>
    </row>
  </sheetData>
  <mergeCells count="1">
    <mergeCell ref="D8:E8"/>
  </mergeCells>
  <pageMargins left="0.75" right="0.75" top="1" bottom="1" header="0.5" footer="0.5"/>
  <pageSetup orientation="portrait" r:id="rId1"/>
  <legacy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1:S87"/>
  <sheetViews>
    <sheetView zoomScaleNormal="100" zoomScalePageLayoutView="150" workbookViewId="0">
      <selection activeCell="B1" sqref="B1"/>
    </sheetView>
  </sheetViews>
  <sheetFormatPr defaultColWidth="13.1796875" defaultRowHeight="15.5"/>
  <cols>
    <col min="1" max="1" width="6.453125" style="1416" customWidth="1"/>
    <col min="2" max="2" width="33.7265625" style="1416" customWidth="1"/>
    <col min="3" max="3" width="9.1796875" style="1416" customWidth="1"/>
    <col min="4" max="4" width="11.26953125" style="1416" customWidth="1"/>
    <col min="5" max="5" width="12.7265625" style="1416" customWidth="1"/>
    <col min="6" max="6" width="12.54296875" style="1416" customWidth="1"/>
    <col min="7" max="7" width="12.7265625" style="1416" customWidth="1"/>
    <col min="8" max="16384" width="13.1796875" style="1416"/>
  </cols>
  <sheetData>
    <row r="1" spans="2:8">
      <c r="B1" s="1441" t="s">
        <v>1712</v>
      </c>
    </row>
    <row r="2" spans="2:8">
      <c r="B2" s="1441" t="s">
        <v>1711</v>
      </c>
    </row>
    <row r="3" spans="2:8">
      <c r="B3" s="1437" t="s">
        <v>1695</v>
      </c>
      <c r="C3" s="1436"/>
      <c r="D3" s="1433" t="s">
        <v>1694</v>
      </c>
      <c r="E3" s="1432" t="s">
        <v>1693</v>
      </c>
    </row>
    <row r="4" spans="2:8">
      <c r="B4" s="1431" t="s">
        <v>1692</v>
      </c>
      <c r="C4" s="1417"/>
      <c r="D4" s="1442">
        <v>0</v>
      </c>
      <c r="E4" s="1425">
        <f>E6*D4</f>
        <v>0</v>
      </c>
    </row>
    <row r="5" spans="2:8">
      <c r="B5" s="1431" t="s">
        <v>1691</v>
      </c>
      <c r="C5" s="1417"/>
      <c r="D5" s="1443">
        <v>1</v>
      </c>
      <c r="E5" s="1438">
        <f>E6*D5</f>
        <v>1000000</v>
      </c>
    </row>
    <row r="6" spans="2:8">
      <c r="B6" s="1429" t="s">
        <v>120</v>
      </c>
      <c r="C6" s="1421"/>
      <c r="D6" s="1424">
        <f>D4+D5</f>
        <v>1</v>
      </c>
      <c r="E6" s="1444">
        <v>1000000</v>
      </c>
    </row>
    <row r="8" spans="2:8">
      <c r="D8" s="1768" t="s">
        <v>1713</v>
      </c>
      <c r="E8" s="1769"/>
    </row>
    <row r="9" spans="2:8">
      <c r="B9" s="1492" t="s">
        <v>1690</v>
      </c>
      <c r="C9" s="1493"/>
      <c r="D9" s="1494" t="s">
        <v>1689</v>
      </c>
      <c r="E9" s="1495" t="s">
        <v>1688</v>
      </c>
      <c r="F9" s="1496" t="s">
        <v>1687</v>
      </c>
      <c r="G9" s="1495" t="s">
        <v>1686</v>
      </c>
    </row>
    <row r="10" spans="2:8">
      <c r="B10" s="1497" t="s">
        <v>1697</v>
      </c>
      <c r="C10" s="1417"/>
      <c r="D10" s="1430">
        <v>0</v>
      </c>
      <c r="E10" s="1445">
        <v>0.1</v>
      </c>
      <c r="F10" s="1442">
        <v>0</v>
      </c>
      <c r="G10" s="1498">
        <f>1-F10</f>
        <v>1</v>
      </c>
      <c r="H10" s="1416" t="str">
        <f>IF(F10+G10&lt;&gt;1,"Error","")</f>
        <v/>
      </c>
    </row>
    <row r="11" spans="2:8">
      <c r="B11" s="1497" t="s">
        <v>1698</v>
      </c>
      <c r="C11" s="1417"/>
      <c r="D11" s="1430">
        <f>E10</f>
        <v>0.1</v>
      </c>
      <c r="E11" s="1445">
        <v>0.25</v>
      </c>
      <c r="F11" s="1442">
        <v>0.2</v>
      </c>
      <c r="G11" s="1498">
        <f t="shared" ref="G11:G12" si="0">1-F11</f>
        <v>0.8</v>
      </c>
      <c r="H11" s="1416" t="str">
        <f t="shared" ref="H11:H12" si="1">IF(F11+G11&lt;&gt;1,"Error","")</f>
        <v/>
      </c>
    </row>
    <row r="12" spans="2:8">
      <c r="B12" s="1499" t="s">
        <v>1699</v>
      </c>
      <c r="C12" s="1500"/>
      <c r="D12" s="1428">
        <f>E11</f>
        <v>0.25</v>
      </c>
      <c r="E12" s="1427"/>
      <c r="F12" s="1443">
        <v>0.4</v>
      </c>
      <c r="G12" s="1427">
        <f t="shared" si="0"/>
        <v>0.6</v>
      </c>
      <c r="H12" s="1416" t="str">
        <f t="shared" si="1"/>
        <v/>
      </c>
    </row>
    <row r="13" spans="2:8">
      <c r="D13" s="1426"/>
      <c r="E13" s="1426"/>
    </row>
    <row r="14" spans="2:8">
      <c r="D14" s="1426"/>
      <c r="E14" s="1426"/>
    </row>
    <row r="15" spans="2:8">
      <c r="D15" s="1426"/>
      <c r="E15" s="1426"/>
    </row>
    <row r="16" spans="2:8" ht="16" thickBot="1">
      <c r="D16" s="1426"/>
      <c r="E16" s="1426"/>
    </row>
    <row r="17" spans="2:11">
      <c r="B17" s="1449" t="s">
        <v>1700</v>
      </c>
      <c r="C17" s="1450"/>
      <c r="D17" s="1451"/>
      <c r="E17" s="1452" t="s">
        <v>1670</v>
      </c>
      <c r="F17" s="1452" t="s">
        <v>1669</v>
      </c>
      <c r="G17" s="1452" t="s">
        <v>1668</v>
      </c>
      <c r="H17" s="1452" t="s">
        <v>1667</v>
      </c>
      <c r="I17" s="1452" t="s">
        <v>1666</v>
      </c>
      <c r="J17" s="1453" t="s">
        <v>1665</v>
      </c>
    </row>
    <row r="18" spans="2:11">
      <c r="B18" s="1454" t="s">
        <v>1685</v>
      </c>
      <c r="C18" s="1455" t="s">
        <v>903</v>
      </c>
      <c r="D18" s="1456">
        <f>IRR(E18:J18)</f>
        <v>0.20652848341038044</v>
      </c>
      <c r="E18" s="1457">
        <f>-E6</f>
        <v>-1000000</v>
      </c>
      <c r="F18" s="1458">
        <v>70000</v>
      </c>
      <c r="G18" s="1458">
        <v>70000</v>
      </c>
      <c r="H18" s="1458">
        <v>1570000</v>
      </c>
      <c r="I18" s="1458"/>
      <c r="J18" s="1459"/>
    </row>
    <row r="19" spans="2:11">
      <c r="B19" s="1460"/>
      <c r="C19" s="1461"/>
      <c r="J19" s="1462"/>
    </row>
    <row r="20" spans="2:11">
      <c r="B20" s="1463" t="s">
        <v>1684</v>
      </c>
      <c r="C20" s="1464"/>
      <c r="D20" s="1426"/>
      <c r="E20" s="1457">
        <f t="shared" ref="E20:J20" si="2">IF(E18&gt;0,0,E18*$D$4)</f>
        <v>0</v>
      </c>
      <c r="F20" s="1457">
        <f t="shared" si="2"/>
        <v>0</v>
      </c>
      <c r="G20" s="1457">
        <f t="shared" si="2"/>
        <v>0</v>
      </c>
      <c r="H20" s="1457">
        <f t="shared" si="2"/>
        <v>0</v>
      </c>
      <c r="I20" s="1457">
        <f t="shared" si="2"/>
        <v>0</v>
      </c>
      <c r="J20" s="1465">
        <f t="shared" si="2"/>
        <v>0</v>
      </c>
    </row>
    <row r="21" spans="2:11">
      <c r="B21" s="1463" t="s">
        <v>1683</v>
      </c>
      <c r="C21" s="1464"/>
      <c r="D21" s="1426"/>
      <c r="E21" s="1457">
        <f t="shared" ref="E21:J21" si="3">IF(E18&gt;0,0,E18*$D$5)</f>
        <v>-1000000</v>
      </c>
      <c r="F21" s="1457">
        <f t="shared" si="3"/>
        <v>0</v>
      </c>
      <c r="G21" s="1457">
        <f t="shared" si="3"/>
        <v>0</v>
      </c>
      <c r="H21" s="1457">
        <f t="shared" si="3"/>
        <v>0</v>
      </c>
      <c r="I21" s="1457">
        <f t="shared" si="3"/>
        <v>0</v>
      </c>
      <c r="J21" s="1465">
        <f t="shared" si="3"/>
        <v>0</v>
      </c>
    </row>
    <row r="22" spans="2:11">
      <c r="B22" s="1454" t="s">
        <v>1682</v>
      </c>
      <c r="D22" s="1457"/>
      <c r="E22" s="1457">
        <f t="shared" ref="E22:J22" si="4">SUM(E20:E21)</f>
        <v>-1000000</v>
      </c>
      <c r="F22" s="1457">
        <f t="shared" si="4"/>
        <v>0</v>
      </c>
      <c r="G22" s="1457">
        <f t="shared" si="4"/>
        <v>0</v>
      </c>
      <c r="H22" s="1457">
        <f t="shared" si="4"/>
        <v>0</v>
      </c>
      <c r="I22" s="1457">
        <f t="shared" si="4"/>
        <v>0</v>
      </c>
      <c r="J22" s="1465">
        <f t="shared" si="4"/>
        <v>0</v>
      </c>
    </row>
    <row r="23" spans="2:11">
      <c r="B23" s="1460"/>
      <c r="C23" s="1461"/>
      <c r="J23" s="1462"/>
    </row>
    <row r="24" spans="2:11" ht="16" thickBot="1">
      <c r="B24" s="1466" t="s">
        <v>1681</v>
      </c>
      <c r="C24" s="1467"/>
      <c r="D24" s="1468"/>
      <c r="E24" s="1469">
        <f t="shared" ref="E24:J24" si="5">IF(E18&lt;0,0,E18)</f>
        <v>0</v>
      </c>
      <c r="F24" s="1470">
        <f t="shared" si="5"/>
        <v>70000</v>
      </c>
      <c r="G24" s="1470">
        <f t="shared" si="5"/>
        <v>70000</v>
      </c>
      <c r="H24" s="1470">
        <f t="shared" si="5"/>
        <v>1570000</v>
      </c>
      <c r="I24" s="1470">
        <f t="shared" si="5"/>
        <v>0</v>
      </c>
      <c r="J24" s="1471">
        <f t="shared" si="5"/>
        <v>0</v>
      </c>
    </row>
    <row r="27" spans="2:11" ht="16" thickBot="1"/>
    <row r="28" spans="2:11">
      <c r="B28" s="1472" t="s">
        <v>1701</v>
      </c>
      <c r="C28" s="1450"/>
      <c r="D28" s="1473">
        <f>E10</f>
        <v>0.1</v>
      </c>
      <c r="E28" s="1452" t="s">
        <v>1670</v>
      </c>
      <c r="F28" s="1452" t="s">
        <v>1669</v>
      </c>
      <c r="G28" s="1452" t="s">
        <v>1668</v>
      </c>
      <c r="H28" s="1452" t="s">
        <v>1667</v>
      </c>
      <c r="I28" s="1452" t="s">
        <v>1666</v>
      </c>
      <c r="J28" s="1453" t="s">
        <v>1665</v>
      </c>
      <c r="K28" s="1501"/>
    </row>
    <row r="29" spans="2:11">
      <c r="B29" s="1474" t="s">
        <v>1714</v>
      </c>
      <c r="E29" s="1418">
        <v>0</v>
      </c>
      <c r="F29" s="1418">
        <f>E33</f>
        <v>1000000</v>
      </c>
      <c r="G29" s="1418">
        <f>F33</f>
        <v>1030000</v>
      </c>
      <c r="H29" s="1418">
        <f>G33</f>
        <v>1063000</v>
      </c>
      <c r="I29" s="1418">
        <f>H33</f>
        <v>0</v>
      </c>
      <c r="J29" s="1475">
        <f>I33</f>
        <v>0</v>
      </c>
      <c r="K29" s="1501"/>
    </row>
    <row r="30" spans="2:11">
      <c r="B30" s="1474" t="s">
        <v>1677</v>
      </c>
      <c r="E30" s="1418">
        <f>-E22</f>
        <v>1000000</v>
      </c>
      <c r="F30" s="1418">
        <f t="shared" ref="F30:J30" si="6">-F22</f>
        <v>0</v>
      </c>
      <c r="G30" s="1418">
        <f t="shared" si="6"/>
        <v>0</v>
      </c>
      <c r="H30" s="1418">
        <f t="shared" si="6"/>
        <v>0</v>
      </c>
      <c r="I30" s="1418">
        <f t="shared" si="6"/>
        <v>0</v>
      </c>
      <c r="J30" s="1475">
        <f t="shared" si="6"/>
        <v>0</v>
      </c>
      <c r="K30" s="1501"/>
    </row>
    <row r="31" spans="2:11">
      <c r="B31" s="1474" t="s">
        <v>1680</v>
      </c>
      <c r="E31" s="1418">
        <f t="shared" ref="E31:J31" si="7">E29*$D$28</f>
        <v>0</v>
      </c>
      <c r="F31" s="1418">
        <f t="shared" si="7"/>
        <v>100000</v>
      </c>
      <c r="G31" s="1418">
        <f t="shared" si="7"/>
        <v>103000</v>
      </c>
      <c r="H31" s="1418">
        <f t="shared" si="7"/>
        <v>106300</v>
      </c>
      <c r="I31" s="1418">
        <f t="shared" si="7"/>
        <v>0</v>
      </c>
      <c r="J31" s="1475">
        <f t="shared" si="7"/>
        <v>0</v>
      </c>
      <c r="K31" s="1501"/>
    </row>
    <row r="32" spans="2:11">
      <c r="B32" s="1474" t="s">
        <v>1679</v>
      </c>
      <c r="E32" s="1476">
        <f>-MIN(E24*($G$10),SUM(E29:E31))</f>
        <v>0</v>
      </c>
      <c r="F32" s="1476">
        <f>-MIN(F24*($G$10),SUM(F29:F31))</f>
        <v>-70000</v>
      </c>
      <c r="G32" s="1476">
        <f t="shared" ref="G32:J32" si="8">-MIN(G24*($G$10),SUM(G29:G31))</f>
        <v>-70000</v>
      </c>
      <c r="H32" s="1476">
        <f t="shared" si="8"/>
        <v>-1169300</v>
      </c>
      <c r="I32" s="1476">
        <f t="shared" si="8"/>
        <v>0</v>
      </c>
      <c r="J32" s="1477">
        <f t="shared" si="8"/>
        <v>0</v>
      </c>
      <c r="K32" s="1501"/>
    </row>
    <row r="33" spans="2:19">
      <c r="B33" s="1474" t="s">
        <v>719</v>
      </c>
      <c r="E33" s="1418">
        <f>E29+E30+E31-E32</f>
        <v>1000000</v>
      </c>
      <c r="F33" s="1418">
        <f>F29+F30+F31+F32</f>
        <v>1030000</v>
      </c>
      <c r="G33" s="1418">
        <f>G29+G30+G31+G32</f>
        <v>1063000</v>
      </c>
      <c r="H33" s="1418">
        <f>H29+H30+H31+H32</f>
        <v>0</v>
      </c>
      <c r="I33" s="1418">
        <f>I29+I30+I31+I32</f>
        <v>0</v>
      </c>
      <c r="J33" s="1475">
        <f>J29+J30+J31+J32</f>
        <v>0</v>
      </c>
      <c r="K33" s="1501"/>
    </row>
    <row r="34" spans="2:19">
      <c r="B34" s="1474"/>
      <c r="E34" s="1418"/>
      <c r="F34" s="1418"/>
      <c r="G34" s="1418"/>
      <c r="H34" s="1418"/>
      <c r="I34" s="1418"/>
      <c r="J34" s="1475"/>
      <c r="K34" s="1501"/>
    </row>
    <row r="35" spans="2:19">
      <c r="B35" s="1502" t="s">
        <v>1715</v>
      </c>
      <c r="C35" s="1501"/>
      <c r="D35" s="1503">
        <f>IRR(E35:J35)</f>
        <v>0.10000000000000009</v>
      </c>
      <c r="E35" s="1418">
        <f>-E30+(-E32)</f>
        <v>-1000000</v>
      </c>
      <c r="F35" s="1418">
        <f t="shared" ref="F35:J35" si="9">-F30+(-F32)</f>
        <v>70000</v>
      </c>
      <c r="G35" s="1418">
        <f t="shared" si="9"/>
        <v>70000</v>
      </c>
      <c r="H35" s="1418">
        <f t="shared" si="9"/>
        <v>1169300</v>
      </c>
      <c r="I35" s="1418">
        <f t="shared" si="9"/>
        <v>0</v>
      </c>
      <c r="J35" s="1475">
        <f t="shared" si="9"/>
        <v>0</v>
      </c>
      <c r="K35" s="1501"/>
    </row>
    <row r="36" spans="2:19">
      <c r="B36" s="1502" t="s">
        <v>1703</v>
      </c>
      <c r="C36" s="1501"/>
      <c r="D36" s="1503"/>
      <c r="E36" s="1504">
        <f>MIN(E24,SUM(E29:E31))</f>
        <v>0</v>
      </c>
      <c r="F36" s="1504">
        <f>MIN(F24,SUM(F29:F31))</f>
        <v>70000</v>
      </c>
      <c r="G36" s="1504">
        <f t="shared" ref="G36:J36" si="10">MIN(G24,SUM(G29:G31))</f>
        <v>70000</v>
      </c>
      <c r="H36" s="1504">
        <f t="shared" si="10"/>
        <v>1169300</v>
      </c>
      <c r="I36" s="1504">
        <f t="shared" si="10"/>
        <v>0</v>
      </c>
      <c r="J36" s="1505">
        <f t="shared" si="10"/>
        <v>0</v>
      </c>
      <c r="K36" s="1501"/>
    </row>
    <row r="37" spans="2:19">
      <c r="B37" s="1474"/>
      <c r="J37" s="1462"/>
      <c r="K37" s="1501"/>
    </row>
    <row r="38" spans="2:19">
      <c r="B38" s="1506" t="s">
        <v>1704</v>
      </c>
      <c r="C38" s="1507"/>
      <c r="D38" s="1507"/>
      <c r="E38" s="1507"/>
      <c r="F38" s="1507"/>
      <c r="G38" s="1507"/>
      <c r="H38" s="1507"/>
      <c r="I38" s="1507"/>
      <c r="J38" s="1508"/>
      <c r="K38" s="1501"/>
    </row>
    <row r="39" spans="2:19">
      <c r="B39" s="1509" t="s">
        <v>1673</v>
      </c>
      <c r="C39" s="1510">
        <f>G10</f>
        <v>1</v>
      </c>
      <c r="D39" s="1507"/>
      <c r="E39" s="1511">
        <f>-E32</f>
        <v>0</v>
      </c>
      <c r="F39" s="1511">
        <f>-F32</f>
        <v>70000</v>
      </c>
      <c r="G39" s="1511">
        <f t="shared" ref="G39:J39" si="11">-G32</f>
        <v>70000</v>
      </c>
      <c r="H39" s="1511">
        <f t="shared" si="11"/>
        <v>1169300</v>
      </c>
      <c r="I39" s="1511">
        <f t="shared" si="11"/>
        <v>0</v>
      </c>
      <c r="J39" s="1512">
        <f t="shared" si="11"/>
        <v>0</v>
      </c>
      <c r="K39" s="1501"/>
      <c r="M39" s="1422"/>
      <c r="N39" s="1418"/>
      <c r="O39" s="1418"/>
      <c r="P39" s="1418"/>
      <c r="Q39" s="1418"/>
      <c r="R39" s="1418"/>
      <c r="S39" s="1418"/>
    </row>
    <row r="40" spans="2:19">
      <c r="B40" s="1509" t="s">
        <v>1672</v>
      </c>
      <c r="C40" s="1510">
        <f>F10</f>
        <v>0</v>
      </c>
      <c r="D40" s="1507"/>
      <c r="E40" s="1511">
        <f>E36*$F$10</f>
        <v>0</v>
      </c>
      <c r="F40" s="1511">
        <f t="shared" ref="F40:J40" si="12">F36*$F$10</f>
        <v>0</v>
      </c>
      <c r="G40" s="1511">
        <f t="shared" si="12"/>
        <v>0</v>
      </c>
      <c r="H40" s="1511">
        <f t="shared" si="12"/>
        <v>0</v>
      </c>
      <c r="I40" s="1511">
        <f t="shared" si="12"/>
        <v>0</v>
      </c>
      <c r="J40" s="1512">
        <f t="shared" si="12"/>
        <v>0</v>
      </c>
      <c r="K40" s="1501"/>
    </row>
    <row r="41" spans="2:19">
      <c r="B41" s="1474"/>
      <c r="J41" s="1462"/>
      <c r="K41" s="1501"/>
    </row>
    <row r="42" spans="2:19" ht="16" thickBot="1">
      <c r="B42" s="1466" t="s">
        <v>1705</v>
      </c>
      <c r="C42" s="1479"/>
      <c r="D42" s="1479"/>
      <c r="E42" s="1480">
        <f>E24-E36</f>
        <v>0</v>
      </c>
      <c r="F42" s="1480">
        <f>F24-F36</f>
        <v>0</v>
      </c>
      <c r="G42" s="1480">
        <f t="shared" ref="G42:J42" si="13">G24-G36</f>
        <v>0</v>
      </c>
      <c r="H42" s="1480">
        <f t="shared" si="13"/>
        <v>400700</v>
      </c>
      <c r="I42" s="1480">
        <f t="shared" si="13"/>
        <v>0</v>
      </c>
      <c r="J42" s="1481">
        <f t="shared" si="13"/>
        <v>0</v>
      </c>
      <c r="K42" s="1501"/>
    </row>
    <row r="43" spans="2:19" ht="16" thickBot="1">
      <c r="K43" s="1501"/>
    </row>
    <row r="44" spans="2:19">
      <c r="B44" s="1472" t="s">
        <v>1706</v>
      </c>
      <c r="C44" s="1450"/>
      <c r="D44" s="1473">
        <f>E11</f>
        <v>0.25</v>
      </c>
      <c r="E44" s="1452" t="s">
        <v>1670</v>
      </c>
      <c r="F44" s="1452" t="s">
        <v>1669</v>
      </c>
      <c r="G44" s="1452" t="s">
        <v>1668</v>
      </c>
      <c r="H44" s="1452" t="s">
        <v>1667</v>
      </c>
      <c r="I44" s="1452" t="s">
        <v>1666</v>
      </c>
      <c r="J44" s="1453" t="s">
        <v>1665</v>
      </c>
      <c r="K44" s="1501"/>
    </row>
    <row r="45" spans="2:19">
      <c r="B45" s="1474" t="s">
        <v>1678</v>
      </c>
      <c r="E45" s="1418">
        <v>0</v>
      </c>
      <c r="F45" s="1418">
        <f>E50</f>
        <v>1000000</v>
      </c>
      <c r="G45" s="1418">
        <f>F50</f>
        <v>1180000</v>
      </c>
      <c r="H45" s="1418">
        <f>G50</f>
        <v>1405000</v>
      </c>
      <c r="I45" s="1418">
        <f>H50</f>
        <v>266390</v>
      </c>
      <c r="J45" s="1475">
        <f>I50</f>
        <v>332987.5</v>
      </c>
      <c r="K45" s="1501"/>
    </row>
    <row r="46" spans="2:19">
      <c r="B46" s="1474" t="s">
        <v>1677</v>
      </c>
      <c r="E46" s="1418">
        <f>-E22</f>
        <v>1000000</v>
      </c>
      <c r="F46" s="1418">
        <f t="shared" ref="F46:J46" si="14">-F22</f>
        <v>0</v>
      </c>
      <c r="G46" s="1418">
        <f t="shared" si="14"/>
        <v>0</v>
      </c>
      <c r="H46" s="1418">
        <f t="shared" si="14"/>
        <v>0</v>
      </c>
      <c r="I46" s="1418">
        <f t="shared" si="14"/>
        <v>0</v>
      </c>
      <c r="J46" s="1475">
        <f t="shared" si="14"/>
        <v>0</v>
      </c>
      <c r="K46" s="1501"/>
    </row>
    <row r="47" spans="2:19">
      <c r="B47" s="1474" t="s">
        <v>1676</v>
      </c>
      <c r="E47" s="1418">
        <f t="shared" ref="E47:J47" si="15">E45*$D44</f>
        <v>0</v>
      </c>
      <c r="F47" s="1418">
        <f t="shared" si="15"/>
        <v>250000</v>
      </c>
      <c r="G47" s="1418">
        <f t="shared" si="15"/>
        <v>295000</v>
      </c>
      <c r="H47" s="1418">
        <f t="shared" si="15"/>
        <v>351250</v>
      </c>
      <c r="I47" s="1418">
        <f t="shared" si="15"/>
        <v>66597.5</v>
      </c>
      <c r="J47" s="1475">
        <f t="shared" si="15"/>
        <v>83246.875</v>
      </c>
      <c r="K47" s="1501"/>
    </row>
    <row r="48" spans="2:19">
      <c r="B48" s="1474" t="s">
        <v>1716</v>
      </c>
      <c r="E48" s="1418">
        <f>E32</f>
        <v>0</v>
      </c>
      <c r="F48" s="1418">
        <f t="shared" ref="F48:J48" si="16">F32</f>
        <v>-70000</v>
      </c>
      <c r="G48" s="1418">
        <f t="shared" si="16"/>
        <v>-70000</v>
      </c>
      <c r="H48" s="1418">
        <f t="shared" si="16"/>
        <v>-1169300</v>
      </c>
      <c r="I48" s="1418">
        <f t="shared" si="16"/>
        <v>0</v>
      </c>
      <c r="J48" s="1475">
        <f t="shared" si="16"/>
        <v>0</v>
      </c>
      <c r="K48" s="1501"/>
    </row>
    <row r="49" spans="2:19">
      <c r="B49" s="1474" t="s">
        <v>1675</v>
      </c>
      <c r="E49" s="1476">
        <f>-MIN(E42*$G$11,SUM(E45:E48))</f>
        <v>0</v>
      </c>
      <c r="F49" s="1476">
        <f t="shared" ref="F49:J49" si="17">-MIN(F42*$G$11,SUM(F45:F48))</f>
        <v>0</v>
      </c>
      <c r="G49" s="1476">
        <f t="shared" si="17"/>
        <v>0</v>
      </c>
      <c r="H49" s="1476">
        <f t="shared" si="17"/>
        <v>-320560</v>
      </c>
      <c r="I49" s="1476">
        <f t="shared" si="17"/>
        <v>0</v>
      </c>
      <c r="J49" s="1477">
        <f t="shared" si="17"/>
        <v>0</v>
      </c>
      <c r="K49" s="1501"/>
    </row>
    <row r="50" spans="2:19">
      <c r="B50" s="1474" t="s">
        <v>719</v>
      </c>
      <c r="E50" s="1418">
        <f>SUM(E45:E49)</f>
        <v>1000000</v>
      </c>
      <c r="F50" s="1418">
        <f t="shared" ref="F50:J50" si="18">SUM(F45:F49)</f>
        <v>1180000</v>
      </c>
      <c r="G50" s="1418">
        <f t="shared" si="18"/>
        <v>1405000</v>
      </c>
      <c r="H50" s="1418">
        <f t="shared" si="18"/>
        <v>266390</v>
      </c>
      <c r="I50" s="1418">
        <f t="shared" si="18"/>
        <v>332987.5</v>
      </c>
      <c r="J50" s="1475">
        <f t="shared" si="18"/>
        <v>416234.375</v>
      </c>
      <c r="K50" s="1501"/>
    </row>
    <row r="51" spans="2:19">
      <c r="B51" s="1474"/>
      <c r="E51" s="1418"/>
      <c r="F51" s="1418"/>
      <c r="G51" s="1418"/>
      <c r="H51" s="1418"/>
      <c r="I51" s="1418"/>
      <c r="J51" s="1475"/>
      <c r="K51" s="1501"/>
    </row>
    <row r="52" spans="2:19">
      <c r="B52" s="1502" t="s">
        <v>1715</v>
      </c>
      <c r="D52" s="1422">
        <f>IRR(E52:J52)</f>
        <v>0.18678236087129885</v>
      </c>
      <c r="E52" s="1418">
        <f>-E46-(E48+E49)</f>
        <v>-1000000</v>
      </c>
      <c r="F52" s="1418">
        <f t="shared" ref="F52:J52" si="19">-F46-(F48+F49)</f>
        <v>70000</v>
      </c>
      <c r="G52" s="1418">
        <f t="shared" si="19"/>
        <v>70000</v>
      </c>
      <c r="H52" s="1418">
        <f t="shared" si="19"/>
        <v>1489860</v>
      </c>
      <c r="I52" s="1418">
        <f t="shared" si="19"/>
        <v>0</v>
      </c>
      <c r="J52" s="1475">
        <f t="shared" si="19"/>
        <v>0</v>
      </c>
      <c r="K52" s="1501"/>
    </row>
    <row r="53" spans="2:19">
      <c r="B53" s="1502" t="s">
        <v>1703</v>
      </c>
      <c r="D53" s="1422"/>
      <c r="E53" s="1418">
        <f t="shared" ref="E53:I53" si="20">-E49/$G$11</f>
        <v>0</v>
      </c>
      <c r="F53" s="1418">
        <f t="shared" si="20"/>
        <v>0</v>
      </c>
      <c r="G53" s="1418">
        <f t="shared" si="20"/>
        <v>0</v>
      </c>
      <c r="H53" s="1418">
        <f t="shared" si="20"/>
        <v>400700</v>
      </c>
      <c r="I53" s="1418">
        <f t="shared" si="20"/>
        <v>0</v>
      </c>
      <c r="J53" s="1475">
        <f>-J49/$G$11</f>
        <v>0</v>
      </c>
      <c r="K53" s="1501"/>
    </row>
    <row r="54" spans="2:19">
      <c r="B54" s="1474"/>
      <c r="J54" s="1462"/>
      <c r="K54" s="1501"/>
      <c r="O54" s="1423"/>
      <c r="P54" s="1423"/>
      <c r="Q54" s="1423"/>
      <c r="R54" s="1423"/>
      <c r="S54" s="1423"/>
    </row>
    <row r="55" spans="2:19">
      <c r="B55" s="1478" t="s">
        <v>1704</v>
      </c>
      <c r="J55" s="1462"/>
      <c r="K55" s="1501"/>
      <c r="O55" s="1423"/>
      <c r="P55" s="1423"/>
      <c r="Q55" s="1423"/>
      <c r="R55" s="1423"/>
      <c r="S55" s="1423"/>
    </row>
    <row r="56" spans="2:19">
      <c r="B56" s="1474" t="s">
        <v>1673</v>
      </c>
      <c r="C56" s="1422">
        <f>G11</f>
        <v>0.8</v>
      </c>
      <c r="E56" s="1418">
        <f t="shared" ref="E56:I56" si="21">E53*$G$11</f>
        <v>0</v>
      </c>
      <c r="F56" s="1418">
        <f t="shared" si="21"/>
        <v>0</v>
      </c>
      <c r="G56" s="1418">
        <f t="shared" si="21"/>
        <v>0</v>
      </c>
      <c r="H56" s="1418">
        <f t="shared" si="21"/>
        <v>320560</v>
      </c>
      <c r="I56" s="1418">
        <f t="shared" si="21"/>
        <v>0</v>
      </c>
      <c r="J56" s="1475">
        <f>J53*$G$11</f>
        <v>0</v>
      </c>
      <c r="K56" s="1501"/>
      <c r="M56" s="1422"/>
      <c r="N56" s="1418"/>
      <c r="O56" s="1418"/>
      <c r="P56" s="1418"/>
      <c r="Q56" s="1418"/>
      <c r="R56" s="1418"/>
      <c r="S56" s="1418"/>
    </row>
    <row r="57" spans="2:19">
      <c r="B57" s="1474" t="s">
        <v>1672</v>
      </c>
      <c r="C57" s="1422">
        <f>F11</f>
        <v>0.2</v>
      </c>
      <c r="E57" s="1418">
        <f>E53*$F$11</f>
        <v>0</v>
      </c>
      <c r="F57" s="1418">
        <f t="shared" ref="F57:J57" si="22">F53*$F$11</f>
        <v>0</v>
      </c>
      <c r="G57" s="1418">
        <f t="shared" si="22"/>
        <v>0</v>
      </c>
      <c r="H57" s="1418">
        <f t="shared" si="22"/>
        <v>80140</v>
      </c>
      <c r="I57" s="1418">
        <f t="shared" si="22"/>
        <v>0</v>
      </c>
      <c r="J57" s="1475">
        <f t="shared" si="22"/>
        <v>0</v>
      </c>
      <c r="K57" s="1501"/>
    </row>
    <row r="58" spans="2:19">
      <c r="B58" s="1474"/>
      <c r="J58" s="1462"/>
      <c r="K58" s="1501"/>
    </row>
    <row r="59" spans="2:19" ht="16" thickBot="1">
      <c r="B59" s="1466" t="s">
        <v>1705</v>
      </c>
      <c r="C59" s="1467"/>
      <c r="D59" s="1467"/>
      <c r="E59" s="1480">
        <f t="shared" ref="E59:I59" si="23">E24-E36-E53</f>
        <v>0</v>
      </c>
      <c r="F59" s="1480">
        <f t="shared" si="23"/>
        <v>0</v>
      </c>
      <c r="G59" s="1480">
        <f t="shared" si="23"/>
        <v>0</v>
      </c>
      <c r="H59" s="1480">
        <f t="shared" si="23"/>
        <v>0</v>
      </c>
      <c r="I59" s="1480">
        <f t="shared" si="23"/>
        <v>0</v>
      </c>
      <c r="J59" s="1481">
        <f>J24-J36-J53</f>
        <v>0</v>
      </c>
      <c r="K59" s="1501"/>
    </row>
    <row r="60" spans="2:19" ht="16" thickBot="1">
      <c r="K60" s="1501"/>
    </row>
    <row r="61" spans="2:19">
      <c r="B61" s="1472" t="s">
        <v>1708</v>
      </c>
      <c r="C61" s="1482"/>
      <c r="D61" s="1450"/>
      <c r="E61" s="1452" t="s">
        <v>1670</v>
      </c>
      <c r="F61" s="1452" t="s">
        <v>1669</v>
      </c>
      <c r="G61" s="1452" t="s">
        <v>1668</v>
      </c>
      <c r="H61" s="1452" t="s">
        <v>1667</v>
      </c>
      <c r="I61" s="1452" t="s">
        <v>1666</v>
      </c>
      <c r="J61" s="1453" t="s">
        <v>1665</v>
      </c>
      <c r="K61" s="1501"/>
      <c r="N61" s="1423"/>
    </row>
    <row r="62" spans="2:19">
      <c r="B62" s="1474" t="s">
        <v>1674</v>
      </c>
      <c r="E62" s="1418">
        <f t="shared" ref="E62:J62" si="24">E59</f>
        <v>0</v>
      </c>
      <c r="F62" s="1418">
        <f t="shared" si="24"/>
        <v>0</v>
      </c>
      <c r="G62" s="1418">
        <f t="shared" si="24"/>
        <v>0</v>
      </c>
      <c r="H62" s="1418">
        <f t="shared" si="24"/>
        <v>0</v>
      </c>
      <c r="I62" s="1418">
        <f t="shared" si="24"/>
        <v>0</v>
      </c>
      <c r="J62" s="1475">
        <f t="shared" si="24"/>
        <v>0</v>
      </c>
      <c r="K62" s="1501"/>
      <c r="N62" s="1423"/>
    </row>
    <row r="63" spans="2:19">
      <c r="B63" s="1474"/>
      <c r="E63" s="1418"/>
      <c r="F63" s="1418"/>
      <c r="G63" s="1418"/>
      <c r="H63" s="1418"/>
      <c r="I63" s="1418"/>
      <c r="J63" s="1475"/>
      <c r="K63" s="1501"/>
      <c r="N63" s="1423"/>
    </row>
    <row r="64" spans="2:19">
      <c r="B64" s="1478" t="s">
        <v>1709</v>
      </c>
      <c r="E64" s="1418"/>
      <c r="F64" s="1418"/>
      <c r="G64" s="1418"/>
      <c r="H64" s="1418"/>
      <c r="I64" s="1418"/>
      <c r="J64" s="1475"/>
      <c r="K64" s="1501"/>
      <c r="N64" s="1423"/>
    </row>
    <row r="65" spans="2:11">
      <c r="B65" s="1474" t="s">
        <v>1673</v>
      </c>
      <c r="C65" s="1422">
        <f>G12</f>
        <v>0.6</v>
      </c>
      <c r="E65" s="1418">
        <f t="shared" ref="E65:J65" si="25">E62*$C$65</f>
        <v>0</v>
      </c>
      <c r="F65" s="1418">
        <f t="shared" si="25"/>
        <v>0</v>
      </c>
      <c r="G65" s="1418">
        <f t="shared" si="25"/>
        <v>0</v>
      </c>
      <c r="H65" s="1418">
        <f t="shared" si="25"/>
        <v>0</v>
      </c>
      <c r="I65" s="1418">
        <f t="shared" si="25"/>
        <v>0</v>
      </c>
      <c r="J65" s="1475">
        <f t="shared" si="25"/>
        <v>0</v>
      </c>
      <c r="K65" s="1501"/>
    </row>
    <row r="66" spans="2:11">
      <c r="B66" s="1474" t="s">
        <v>1672</v>
      </c>
      <c r="C66" s="1422">
        <f>F12</f>
        <v>0.4</v>
      </c>
      <c r="E66" s="1418">
        <f t="shared" ref="E66:J66" si="26">E62*$C$66</f>
        <v>0</v>
      </c>
      <c r="F66" s="1418">
        <f t="shared" si="26"/>
        <v>0</v>
      </c>
      <c r="G66" s="1418">
        <f t="shared" si="26"/>
        <v>0</v>
      </c>
      <c r="H66" s="1418">
        <f t="shared" si="26"/>
        <v>0</v>
      </c>
      <c r="I66" s="1418">
        <f t="shared" si="26"/>
        <v>0</v>
      </c>
      <c r="J66" s="1475">
        <f t="shared" si="26"/>
        <v>0</v>
      </c>
      <c r="K66" s="1501"/>
    </row>
    <row r="67" spans="2:11" ht="16" thickBot="1">
      <c r="B67" s="1483"/>
      <c r="C67" s="1467"/>
      <c r="D67" s="1467"/>
      <c r="E67" s="1467"/>
      <c r="F67" s="1467"/>
      <c r="G67" s="1467"/>
      <c r="H67" s="1467"/>
      <c r="I67" s="1467"/>
      <c r="J67" s="1484"/>
      <c r="K67" s="1501"/>
    </row>
    <row r="68" spans="2:11">
      <c r="K68" s="1501"/>
    </row>
    <row r="69" spans="2:11" ht="16" thickBot="1">
      <c r="K69" s="1501"/>
    </row>
    <row r="70" spans="2:11">
      <c r="B70" s="1472" t="s">
        <v>1671</v>
      </c>
      <c r="C70" s="1450"/>
      <c r="D70" s="1450"/>
      <c r="E70" s="1452" t="s">
        <v>1670</v>
      </c>
      <c r="F70" s="1452" t="s">
        <v>1669</v>
      </c>
      <c r="G70" s="1452" t="s">
        <v>1668</v>
      </c>
      <c r="H70" s="1452" t="s">
        <v>1667</v>
      </c>
      <c r="I70" s="1452" t="s">
        <v>1666</v>
      </c>
      <c r="J70" s="1453" t="s">
        <v>1665</v>
      </c>
      <c r="K70" s="1501"/>
    </row>
    <row r="71" spans="2:11">
      <c r="B71" s="1460"/>
      <c r="E71" s="1485"/>
      <c r="F71" s="1485"/>
      <c r="G71" s="1485"/>
      <c r="H71" s="1485"/>
      <c r="I71" s="1485"/>
      <c r="J71" s="1486"/>
      <c r="K71" s="1501"/>
    </row>
    <row r="72" spans="2:11">
      <c r="B72" s="1487" t="s">
        <v>1664</v>
      </c>
      <c r="J72" s="1462"/>
      <c r="K72" s="1501"/>
    </row>
    <row r="73" spans="2:11">
      <c r="B73" s="1474" t="s">
        <v>1663</v>
      </c>
      <c r="E73" s="1418">
        <f t="shared" ref="E73:J73" si="27">E21</f>
        <v>-1000000</v>
      </c>
      <c r="F73" s="1418">
        <f t="shared" si="27"/>
        <v>0</v>
      </c>
      <c r="G73" s="1418">
        <f t="shared" si="27"/>
        <v>0</v>
      </c>
      <c r="H73" s="1418">
        <f t="shared" si="27"/>
        <v>0</v>
      </c>
      <c r="I73" s="1418">
        <f t="shared" si="27"/>
        <v>0</v>
      </c>
      <c r="J73" s="1475">
        <f t="shared" si="27"/>
        <v>0</v>
      </c>
      <c r="K73" s="1501"/>
    </row>
    <row r="74" spans="2:11">
      <c r="B74" s="1488" t="s">
        <v>1662</v>
      </c>
      <c r="C74" s="1420"/>
      <c r="D74" s="1420"/>
      <c r="E74" s="1419">
        <f>$D$5*(E39+E56+E65)</f>
        <v>0</v>
      </c>
      <c r="F74" s="1419">
        <f t="shared" ref="F74:J74" si="28">$D$5*(F39+F56+F65)</f>
        <v>70000</v>
      </c>
      <c r="G74" s="1419">
        <f t="shared" si="28"/>
        <v>70000</v>
      </c>
      <c r="H74" s="1419">
        <f t="shared" si="28"/>
        <v>1489860</v>
      </c>
      <c r="I74" s="1419">
        <f t="shared" si="28"/>
        <v>0</v>
      </c>
      <c r="J74" s="1489">
        <f t="shared" si="28"/>
        <v>0</v>
      </c>
      <c r="K74" s="1501"/>
    </row>
    <row r="75" spans="2:11">
      <c r="B75" s="1474" t="s">
        <v>1661</v>
      </c>
      <c r="E75" s="1418">
        <f>SUM(E73:E74)</f>
        <v>-1000000</v>
      </c>
      <c r="F75" s="1418">
        <f t="shared" ref="F75:J75" si="29">SUM(F73:F74)</f>
        <v>70000</v>
      </c>
      <c r="G75" s="1418">
        <f t="shared" si="29"/>
        <v>70000</v>
      </c>
      <c r="H75" s="1418">
        <f t="shared" si="29"/>
        <v>1489860</v>
      </c>
      <c r="I75" s="1418">
        <f t="shared" si="29"/>
        <v>0</v>
      </c>
      <c r="J75" s="1475">
        <f t="shared" si="29"/>
        <v>0</v>
      </c>
      <c r="K75" s="1501"/>
    </row>
    <row r="76" spans="2:11">
      <c r="B76" s="1474"/>
      <c r="J76" s="1462"/>
      <c r="K76" s="1501"/>
    </row>
    <row r="77" spans="2:11">
      <c r="B77" s="1454" t="s">
        <v>1660</v>
      </c>
      <c r="C77" s="1440">
        <f>IRR(E75:J75)</f>
        <v>0.18678236087129885</v>
      </c>
      <c r="J77" s="1462"/>
      <c r="K77" s="1501"/>
    </row>
    <row r="78" spans="2:11">
      <c r="B78" s="1454" t="s">
        <v>1659</v>
      </c>
      <c r="C78" s="1439">
        <f>(SUM(F75:J75)/-SUM(E73:J73))</f>
        <v>1.6298600000000001</v>
      </c>
      <c r="J78" s="1462"/>
      <c r="K78" s="1501"/>
    </row>
    <row r="79" spans="2:11">
      <c r="B79" s="1474"/>
      <c r="J79" s="1462"/>
      <c r="K79" s="1501"/>
    </row>
    <row r="80" spans="2:11">
      <c r="B80" s="1487" t="s">
        <v>1658</v>
      </c>
      <c r="J80" s="1462"/>
      <c r="K80" s="1501"/>
    </row>
    <row r="81" spans="2:11">
      <c r="B81" s="1474" t="s">
        <v>1657</v>
      </c>
      <c r="E81" s="1418">
        <f t="shared" ref="E81:J81" si="30">E20</f>
        <v>0</v>
      </c>
      <c r="F81" s="1418">
        <f t="shared" si="30"/>
        <v>0</v>
      </c>
      <c r="G81" s="1418">
        <f t="shared" si="30"/>
        <v>0</v>
      </c>
      <c r="H81" s="1418">
        <f t="shared" si="30"/>
        <v>0</v>
      </c>
      <c r="I81" s="1418">
        <f t="shared" si="30"/>
        <v>0</v>
      </c>
      <c r="J81" s="1475">
        <f t="shared" si="30"/>
        <v>0</v>
      </c>
      <c r="K81" s="1501"/>
    </row>
    <row r="82" spans="2:11">
      <c r="B82" s="1474" t="s">
        <v>1656</v>
      </c>
      <c r="E82" s="1419">
        <f>$D$4*(E39+E56+E65)</f>
        <v>0</v>
      </c>
      <c r="F82" s="1419">
        <f t="shared" ref="F82:J82" si="31">$D$4*(F39+F56+F65)</f>
        <v>0</v>
      </c>
      <c r="G82" s="1419">
        <f t="shared" si="31"/>
        <v>0</v>
      </c>
      <c r="H82" s="1419">
        <f t="shared" si="31"/>
        <v>0</v>
      </c>
      <c r="I82" s="1419">
        <f t="shared" si="31"/>
        <v>0</v>
      </c>
      <c r="J82" s="1489">
        <f t="shared" si="31"/>
        <v>0</v>
      </c>
      <c r="K82" s="1501"/>
    </row>
    <row r="83" spans="2:11">
      <c r="B83" s="1488" t="s">
        <v>1655</v>
      </c>
      <c r="C83" s="1420"/>
      <c r="D83" s="1420"/>
      <c r="E83" s="1419">
        <f t="shared" ref="E83:J83" si="32">E40+E57+E66</f>
        <v>0</v>
      </c>
      <c r="F83" s="1419">
        <f t="shared" si="32"/>
        <v>0</v>
      </c>
      <c r="G83" s="1419">
        <f t="shared" si="32"/>
        <v>0</v>
      </c>
      <c r="H83" s="1419">
        <f t="shared" si="32"/>
        <v>80140</v>
      </c>
      <c r="I83" s="1419">
        <f t="shared" si="32"/>
        <v>0</v>
      </c>
      <c r="J83" s="1489">
        <f t="shared" si="32"/>
        <v>0</v>
      </c>
      <c r="K83" s="1501"/>
    </row>
    <row r="84" spans="2:11">
      <c r="B84" s="1474" t="s">
        <v>1654</v>
      </c>
      <c r="E84" s="1418">
        <f>SUM(E81:E83)</f>
        <v>0</v>
      </c>
      <c r="F84" s="1418">
        <f t="shared" ref="F84:J84" si="33">SUM(F81:F83)</f>
        <v>0</v>
      </c>
      <c r="G84" s="1418">
        <f t="shared" si="33"/>
        <v>0</v>
      </c>
      <c r="H84" s="1418">
        <f t="shared" si="33"/>
        <v>80140</v>
      </c>
      <c r="I84" s="1418">
        <f t="shared" si="33"/>
        <v>0</v>
      </c>
      <c r="J84" s="1475">
        <f t="shared" si="33"/>
        <v>0</v>
      </c>
      <c r="K84" s="1501"/>
    </row>
    <row r="85" spans="2:11">
      <c r="B85" s="1474"/>
      <c r="J85" s="1462"/>
      <c r="K85" s="1501"/>
    </row>
    <row r="86" spans="2:11">
      <c r="B86" s="1454" t="s">
        <v>1653</v>
      </c>
      <c r="C86" s="1490" t="e">
        <f>IRR(E84:J84)</f>
        <v>#NUM!</v>
      </c>
      <c r="J86" s="1462"/>
    </row>
    <row r="87" spans="2:11" ht="16" thickBot="1">
      <c r="B87" s="1466" t="s">
        <v>1710</v>
      </c>
      <c r="C87" s="1491" t="e">
        <f>(SUM(F84:J84)/-SUM(E81:J81))</f>
        <v>#DIV/0!</v>
      </c>
      <c r="D87" s="1467"/>
      <c r="E87" s="1467"/>
      <c r="F87" s="1467"/>
      <c r="G87" s="1467"/>
      <c r="H87" s="1467"/>
      <c r="I87" s="1467"/>
      <c r="J87" s="1484"/>
    </row>
  </sheetData>
  <mergeCells count="1">
    <mergeCell ref="D8:E8"/>
  </mergeCell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91"/>
  <sheetViews>
    <sheetView workbookViewId="0">
      <selection activeCell="F17" sqref="F17"/>
    </sheetView>
  </sheetViews>
  <sheetFormatPr defaultRowHeight="12.5"/>
  <cols>
    <col min="3" max="3" width="10.81640625" customWidth="1"/>
    <col min="5" max="5" width="12.7265625" customWidth="1"/>
    <col min="6" max="6" width="9.7265625" customWidth="1"/>
    <col min="7" max="7" width="11.26953125" customWidth="1"/>
    <col min="13" max="13" width="10.7265625" bestFit="1" customWidth="1"/>
    <col min="14" max="14" width="12.26953125" customWidth="1"/>
  </cols>
  <sheetData>
    <row r="1" spans="2:13" ht="13" thickBot="1"/>
    <row r="2" spans="2:13" ht="18.5" thickBot="1">
      <c r="B2" s="1525" t="s">
        <v>1004</v>
      </c>
      <c r="C2" s="1526"/>
      <c r="D2" s="1526"/>
      <c r="E2" s="1526"/>
      <c r="F2" s="1526"/>
      <c r="G2" s="1526"/>
      <c r="H2" s="1526"/>
      <c r="I2" s="1527"/>
    </row>
    <row r="3" spans="2:13" ht="16" thickBot="1">
      <c r="B3" s="1528" t="s">
        <v>1569</v>
      </c>
      <c r="C3" s="1529"/>
      <c r="D3" s="1529"/>
      <c r="E3" s="1529"/>
      <c r="F3" s="1529"/>
      <c r="G3" s="1529"/>
      <c r="H3" s="1529"/>
      <c r="I3" s="1530"/>
    </row>
    <row r="4" spans="2:13" ht="15.5">
      <c r="B4" s="124"/>
      <c r="E4" s="20"/>
      <c r="I4" s="126"/>
    </row>
    <row r="5" spans="2:13" ht="13" thickBot="1">
      <c r="B5" s="124"/>
      <c r="I5" s="126"/>
    </row>
    <row r="6" spans="2:13" ht="16" thickBot="1">
      <c r="B6" s="124"/>
      <c r="C6" s="1535" t="s">
        <v>943</v>
      </c>
      <c r="D6" s="1536"/>
      <c r="E6" s="1536"/>
      <c r="F6" s="1534"/>
      <c r="I6" s="126"/>
      <c r="J6" s="1"/>
    </row>
    <row r="7" spans="2:13">
      <c r="B7" s="124"/>
      <c r="C7" s="124" t="s">
        <v>774</v>
      </c>
      <c r="E7" s="150">
        <v>60000</v>
      </c>
      <c r="F7" s="126"/>
      <c r="I7" s="126"/>
      <c r="K7" s="87"/>
      <c r="L7" s="120"/>
      <c r="M7" s="87"/>
    </row>
    <row r="8" spans="2:13">
      <c r="B8" s="124"/>
      <c r="C8" s="124" t="s">
        <v>944</v>
      </c>
      <c r="E8" s="151">
        <v>0.08</v>
      </c>
      <c r="F8" s="126"/>
      <c r="I8" s="126"/>
      <c r="K8" s="87"/>
      <c r="L8" s="87"/>
      <c r="M8" s="87"/>
    </row>
    <row r="9" spans="2:13">
      <c r="B9" s="124"/>
      <c r="C9" s="124" t="s">
        <v>690</v>
      </c>
      <c r="E9" s="152">
        <v>30</v>
      </c>
      <c r="F9" s="126" t="s">
        <v>816</v>
      </c>
      <c r="I9" s="126"/>
      <c r="K9" s="87"/>
      <c r="L9" s="121"/>
      <c r="M9" s="87"/>
    </row>
    <row r="10" spans="2:13">
      <c r="B10" s="124"/>
      <c r="C10" s="124" t="s">
        <v>372</v>
      </c>
      <c r="E10" s="152">
        <v>12</v>
      </c>
      <c r="F10" s="126"/>
      <c r="I10" s="126"/>
      <c r="K10" s="87"/>
      <c r="L10" s="121"/>
      <c r="M10" s="87"/>
    </row>
    <row r="11" spans="2:13">
      <c r="B11" s="124"/>
      <c r="C11" s="124" t="s">
        <v>945</v>
      </c>
      <c r="E11" s="151">
        <v>0.02</v>
      </c>
      <c r="F11" s="126"/>
      <c r="I11" s="126"/>
      <c r="L11" s="40"/>
    </row>
    <row r="12" spans="2:13" ht="13" thickBot="1">
      <c r="B12" s="124"/>
      <c r="C12" s="134" t="s">
        <v>214</v>
      </c>
      <c r="D12" s="4"/>
      <c r="E12" s="201">
        <v>0.02</v>
      </c>
      <c r="F12" s="135"/>
      <c r="I12" s="126"/>
      <c r="L12" s="40"/>
    </row>
    <row r="13" spans="2:13" ht="13.5" thickBot="1">
      <c r="B13" s="124"/>
      <c r="I13" s="126"/>
      <c r="J13" s="44"/>
      <c r="K13" s="44"/>
      <c r="L13" s="1"/>
      <c r="M13" s="1"/>
    </row>
    <row r="14" spans="2:13" ht="16" thickBot="1">
      <c r="B14" s="1537" t="s">
        <v>946</v>
      </c>
      <c r="C14" s="1538"/>
      <c r="D14" s="1538"/>
      <c r="E14" s="1538"/>
      <c r="F14" s="1538"/>
      <c r="G14" s="1539"/>
      <c r="I14" s="126"/>
      <c r="K14" s="23"/>
      <c r="L14" s="12"/>
      <c r="M14" s="12"/>
    </row>
    <row r="15" spans="2:13" ht="13" thickBot="1">
      <c r="B15" s="124"/>
      <c r="G15" s="126"/>
      <c r="I15" s="126"/>
      <c r="K15" s="121"/>
      <c r="L15" s="12"/>
      <c r="M15" s="12"/>
    </row>
    <row r="16" spans="2:13" ht="14.5" thickBot="1">
      <c r="B16" s="202" t="s">
        <v>262</v>
      </c>
      <c r="C16" s="202" t="s">
        <v>947</v>
      </c>
      <c r="D16" s="202" t="s">
        <v>822</v>
      </c>
      <c r="E16" s="202" t="s">
        <v>209</v>
      </c>
      <c r="F16" s="202" t="s">
        <v>215</v>
      </c>
      <c r="G16" s="202" t="s">
        <v>824</v>
      </c>
      <c r="I16" s="126"/>
    </row>
    <row r="17" spans="2:9">
      <c r="B17" s="124">
        <v>0</v>
      </c>
      <c r="D17" s="600">
        <v>0.08</v>
      </c>
      <c r="F17" s="24">
        <f>E7</f>
        <v>60000</v>
      </c>
      <c r="G17" s="163">
        <f>-E7*(1-E12)</f>
        <v>-58800</v>
      </c>
      <c r="I17" s="126"/>
    </row>
    <row r="18" spans="2:9">
      <c r="B18" s="124">
        <v>1</v>
      </c>
      <c r="D18" s="23">
        <f>E8</f>
        <v>0.08</v>
      </c>
      <c r="E18" s="161">
        <f>PMT(D18/$E$10,($E$9-B18+1)*$E$10,-E7)</f>
        <v>440.25874432762572</v>
      </c>
      <c r="F18" s="24">
        <f>((E18)/PMT(D18/($E$10),(E$9-(B18-B$18+1))*$E$10,-1))</f>
        <v>59498.781611417617</v>
      </c>
      <c r="G18" s="163">
        <f>E18*12</f>
        <v>5283.1049319315089</v>
      </c>
      <c r="I18" s="126"/>
    </row>
    <row r="19" spans="2:9">
      <c r="B19" s="124">
        <f>B18+1</f>
        <v>2</v>
      </c>
      <c r="C19" s="23">
        <v>0.1</v>
      </c>
      <c r="D19" s="23">
        <f>C19+$E$11</f>
        <v>0.12000000000000001</v>
      </c>
      <c r="E19" s="161">
        <f>PMT(D19/$E$10,($E$9-B19+1)*$E$10,-F18)</f>
        <v>614.24091609587197</v>
      </c>
      <c r="F19" s="24">
        <f>((E19)/PMT(D19/($E$10),(E$9-(B19-B$18+1))*$E$10,-1))</f>
        <v>59254.60411288638</v>
      </c>
      <c r="G19" s="163">
        <f>E19*12</f>
        <v>7370.8909931504641</v>
      </c>
      <c r="I19" s="126"/>
    </row>
    <row r="20" spans="2:9">
      <c r="B20" s="124">
        <f>B19+1</f>
        <v>3</v>
      </c>
      <c r="C20" s="23">
        <v>0.13</v>
      </c>
      <c r="D20" s="23">
        <f>C20+$E$11</f>
        <v>0.15</v>
      </c>
      <c r="E20" s="161">
        <f>PMT(D20/$E$10,($E$9-B20+1)*$E$10,-F19)</f>
        <v>752.26066049624785</v>
      </c>
      <c r="F20" s="24">
        <f>((E20)/PMT(D20/($E$10),(E$9-(B20-B$18+1))*$E$10,-1))</f>
        <v>59105.705445515945</v>
      </c>
      <c r="G20" s="163">
        <f>E20*12</f>
        <v>9027.1279259549738</v>
      </c>
      <c r="I20" s="126"/>
    </row>
    <row r="21" spans="2:9">
      <c r="B21" s="124">
        <f>B20+1</f>
        <v>4</v>
      </c>
      <c r="C21" s="23">
        <v>0.15</v>
      </c>
      <c r="D21" s="23">
        <f>C21+$E$11</f>
        <v>0.16999999999999998</v>
      </c>
      <c r="E21" s="161">
        <f>PMT(D21/$E$10,($E$9-B21+1)*$E$10,-F20)</f>
        <v>846.20343230562139</v>
      </c>
      <c r="F21" s="24">
        <f>((E21)/PMT(D21/($E$10),(E$9-(B21-B$18+1))*$E$10,-1))</f>
        <v>58990.533772785573</v>
      </c>
      <c r="G21" s="163">
        <f>E21*12</f>
        <v>10154.441187667457</v>
      </c>
      <c r="I21" s="126"/>
    </row>
    <row r="22" spans="2:9">
      <c r="B22" s="124">
        <f>B21+1</f>
        <v>5</v>
      </c>
      <c r="C22" s="23">
        <v>0.1</v>
      </c>
      <c r="D22" s="23">
        <f>C22+$E$11</f>
        <v>0.12000000000000001</v>
      </c>
      <c r="E22" s="161">
        <f>PMT(D22/$E$10,($E$9-B22+1)*$E$10,-F21)</f>
        <v>617.60284384252645</v>
      </c>
      <c r="F22" s="24">
        <f>((E22)/PMT(D22/($E$10),(E$9-(B22-B$18+1))*$E$10,-1))</f>
        <v>58639.260068028234</v>
      </c>
      <c r="G22" s="163">
        <f>(E22*12)+F22</f>
        <v>66050.494194138548</v>
      </c>
      <c r="I22" s="126"/>
    </row>
    <row r="23" spans="2:9">
      <c r="B23" s="124"/>
      <c r="F23" s="79"/>
      <c r="G23" s="126"/>
      <c r="I23" s="126"/>
    </row>
    <row r="24" spans="2:9" ht="13">
      <c r="B24" s="124" t="s">
        <v>29</v>
      </c>
      <c r="F24" s="706" t="s">
        <v>949</v>
      </c>
      <c r="G24" s="707">
        <f>IRR(G17:G22)</f>
        <v>0.12991272883290472</v>
      </c>
      <c r="I24" s="126"/>
    </row>
    <row r="25" spans="2:9" ht="13" thickBot="1">
      <c r="B25" s="124"/>
      <c r="G25" s="126"/>
      <c r="I25" s="126"/>
    </row>
    <row r="26" spans="2:9" ht="13.5" thickBot="1">
      <c r="B26" s="705" t="s">
        <v>36</v>
      </c>
      <c r="F26" s="704" t="s">
        <v>949</v>
      </c>
      <c r="G26" s="169">
        <f>IRR(C30:C90,0.01)*12</f>
        <v>0.12975234971278571</v>
      </c>
      <c r="I26" s="126"/>
    </row>
    <row r="27" spans="2:9">
      <c r="B27" s="124"/>
      <c r="G27" s="126"/>
      <c r="I27" s="126"/>
    </row>
    <row r="28" spans="2:9" ht="13" thickBot="1">
      <c r="B28" s="124"/>
      <c r="G28" s="126"/>
      <c r="I28" s="126"/>
    </row>
    <row r="29" spans="2:9" ht="14.5" thickBot="1">
      <c r="B29" s="202" t="s">
        <v>216</v>
      </c>
      <c r="C29" s="202" t="s">
        <v>824</v>
      </c>
      <c r="G29" s="126"/>
      <c r="I29" s="126"/>
    </row>
    <row r="30" spans="2:9">
      <c r="B30" s="124">
        <v>0</v>
      </c>
      <c r="C30" s="24">
        <f>G17</f>
        <v>-58800</v>
      </c>
      <c r="G30" s="126"/>
      <c r="I30" s="126"/>
    </row>
    <row r="31" spans="2:9">
      <c r="B31" s="124">
        <f>+B30+1</f>
        <v>1</v>
      </c>
      <c r="C31" s="24">
        <f>$E$18</f>
        <v>440.25874432762572</v>
      </c>
      <c r="G31" s="126"/>
      <c r="I31" s="126"/>
    </row>
    <row r="32" spans="2:9">
      <c r="B32" s="124">
        <f t="shared" ref="B32:B90" si="0">+B31+1</f>
        <v>2</v>
      </c>
      <c r="C32" s="24">
        <f t="shared" ref="C32:C42" si="1">$E$18</f>
        <v>440.25874432762572</v>
      </c>
      <c r="G32" s="126"/>
      <c r="I32" s="126"/>
    </row>
    <row r="33" spans="2:9">
      <c r="B33" s="124">
        <f t="shared" si="0"/>
        <v>3</v>
      </c>
      <c r="C33" s="24">
        <f t="shared" si="1"/>
        <v>440.25874432762572</v>
      </c>
      <c r="G33" s="126"/>
      <c r="I33" s="126"/>
    </row>
    <row r="34" spans="2:9">
      <c r="B34" s="124">
        <f t="shared" si="0"/>
        <v>4</v>
      </c>
      <c r="C34" s="24">
        <f t="shared" si="1"/>
        <v>440.25874432762572</v>
      </c>
      <c r="G34" s="126"/>
      <c r="I34" s="126"/>
    </row>
    <row r="35" spans="2:9">
      <c r="B35" s="124">
        <f t="shared" si="0"/>
        <v>5</v>
      </c>
      <c r="C35" s="24">
        <f t="shared" si="1"/>
        <v>440.25874432762572</v>
      </c>
      <c r="G35" s="126"/>
      <c r="I35" s="126"/>
    </row>
    <row r="36" spans="2:9">
      <c r="B36" s="124">
        <f t="shared" si="0"/>
        <v>6</v>
      </c>
      <c r="C36" s="24">
        <f t="shared" si="1"/>
        <v>440.25874432762572</v>
      </c>
      <c r="G36" s="126"/>
      <c r="I36" s="126"/>
    </row>
    <row r="37" spans="2:9">
      <c r="B37" s="124">
        <f t="shared" si="0"/>
        <v>7</v>
      </c>
      <c r="C37" s="24">
        <f t="shared" si="1"/>
        <v>440.25874432762572</v>
      </c>
      <c r="G37" s="126"/>
      <c r="I37" s="126"/>
    </row>
    <row r="38" spans="2:9">
      <c r="B38" s="124">
        <f t="shared" si="0"/>
        <v>8</v>
      </c>
      <c r="C38" s="24">
        <f t="shared" si="1"/>
        <v>440.25874432762572</v>
      </c>
      <c r="G38" s="126"/>
      <c r="I38" s="126"/>
    </row>
    <row r="39" spans="2:9">
      <c r="B39" s="124">
        <f t="shared" si="0"/>
        <v>9</v>
      </c>
      <c r="C39" s="24">
        <f t="shared" si="1"/>
        <v>440.25874432762572</v>
      </c>
      <c r="G39" s="126"/>
      <c r="I39" s="126"/>
    </row>
    <row r="40" spans="2:9">
      <c r="B40" s="124">
        <f t="shared" si="0"/>
        <v>10</v>
      </c>
      <c r="C40" s="24">
        <f t="shared" si="1"/>
        <v>440.25874432762572</v>
      </c>
      <c r="G40" s="126"/>
      <c r="I40" s="126"/>
    </row>
    <row r="41" spans="2:9">
      <c r="B41" s="124">
        <f t="shared" si="0"/>
        <v>11</v>
      </c>
      <c r="C41" s="24">
        <f t="shared" si="1"/>
        <v>440.25874432762572</v>
      </c>
      <c r="G41" s="126"/>
      <c r="I41" s="126"/>
    </row>
    <row r="42" spans="2:9">
      <c r="B42" s="124">
        <f t="shared" si="0"/>
        <v>12</v>
      </c>
      <c r="C42" s="24">
        <f t="shared" si="1"/>
        <v>440.25874432762572</v>
      </c>
      <c r="G42" s="126"/>
      <c r="I42" s="126"/>
    </row>
    <row r="43" spans="2:9">
      <c r="B43" s="124">
        <f t="shared" si="0"/>
        <v>13</v>
      </c>
      <c r="C43" s="24">
        <f>$E$19</f>
        <v>614.24091609587197</v>
      </c>
      <c r="G43" s="126"/>
      <c r="I43" s="126"/>
    </row>
    <row r="44" spans="2:9">
      <c r="B44" s="124">
        <f t="shared" si="0"/>
        <v>14</v>
      </c>
      <c r="C44" s="24">
        <f t="shared" ref="C44:C54" si="2">$E$19</f>
        <v>614.24091609587197</v>
      </c>
      <c r="G44" s="126"/>
      <c r="I44" s="126"/>
    </row>
    <row r="45" spans="2:9">
      <c r="B45" s="124">
        <f t="shared" si="0"/>
        <v>15</v>
      </c>
      <c r="C45" s="24">
        <f t="shared" si="2"/>
        <v>614.24091609587197</v>
      </c>
      <c r="G45" s="126"/>
      <c r="I45" s="126"/>
    </row>
    <row r="46" spans="2:9">
      <c r="B46" s="124">
        <f t="shared" si="0"/>
        <v>16</v>
      </c>
      <c r="C46" s="24">
        <f t="shared" si="2"/>
        <v>614.24091609587197</v>
      </c>
      <c r="G46" s="126"/>
      <c r="I46" s="126"/>
    </row>
    <row r="47" spans="2:9">
      <c r="B47" s="124">
        <f t="shared" si="0"/>
        <v>17</v>
      </c>
      <c r="C47" s="24">
        <f t="shared" si="2"/>
        <v>614.24091609587197</v>
      </c>
      <c r="G47" s="126"/>
      <c r="I47" s="126"/>
    </row>
    <row r="48" spans="2:9">
      <c r="B48" s="124">
        <f t="shared" si="0"/>
        <v>18</v>
      </c>
      <c r="C48" s="24">
        <f t="shared" si="2"/>
        <v>614.24091609587197</v>
      </c>
      <c r="G48" s="126"/>
      <c r="I48" s="126"/>
    </row>
    <row r="49" spans="2:9">
      <c r="B49" s="124">
        <f t="shared" si="0"/>
        <v>19</v>
      </c>
      <c r="C49" s="24">
        <f t="shared" si="2"/>
        <v>614.24091609587197</v>
      </c>
      <c r="G49" s="126"/>
      <c r="I49" s="126"/>
    </row>
    <row r="50" spans="2:9">
      <c r="B50" s="124">
        <f t="shared" si="0"/>
        <v>20</v>
      </c>
      <c r="C50" s="24">
        <f t="shared" si="2"/>
        <v>614.24091609587197</v>
      </c>
      <c r="G50" s="126"/>
      <c r="I50" s="126"/>
    </row>
    <row r="51" spans="2:9">
      <c r="B51" s="124">
        <f t="shared" si="0"/>
        <v>21</v>
      </c>
      <c r="C51" s="24">
        <f t="shared" si="2"/>
        <v>614.24091609587197</v>
      </c>
      <c r="G51" s="126"/>
      <c r="I51" s="126"/>
    </row>
    <row r="52" spans="2:9">
      <c r="B52" s="124">
        <f t="shared" si="0"/>
        <v>22</v>
      </c>
      <c r="C52" s="24">
        <f t="shared" si="2"/>
        <v>614.24091609587197</v>
      </c>
      <c r="G52" s="126"/>
      <c r="I52" s="126"/>
    </row>
    <row r="53" spans="2:9">
      <c r="B53" s="124">
        <f t="shared" si="0"/>
        <v>23</v>
      </c>
      <c r="C53" s="24">
        <f t="shared" si="2"/>
        <v>614.24091609587197</v>
      </c>
      <c r="G53" s="126"/>
      <c r="I53" s="126"/>
    </row>
    <row r="54" spans="2:9">
      <c r="B54" s="124">
        <f t="shared" si="0"/>
        <v>24</v>
      </c>
      <c r="C54" s="24">
        <f t="shared" si="2"/>
        <v>614.24091609587197</v>
      </c>
      <c r="G54" s="126"/>
      <c r="I54" s="126"/>
    </row>
    <row r="55" spans="2:9">
      <c r="B55" s="124">
        <f t="shared" si="0"/>
        <v>25</v>
      </c>
      <c r="C55" s="24">
        <f>$E$20</f>
        <v>752.26066049624785</v>
      </c>
      <c r="G55" s="126"/>
      <c r="I55" s="126"/>
    </row>
    <row r="56" spans="2:9">
      <c r="B56" s="124">
        <f t="shared" si="0"/>
        <v>26</v>
      </c>
      <c r="C56" s="24">
        <f t="shared" ref="C56:C66" si="3">$E$20</f>
        <v>752.26066049624785</v>
      </c>
      <c r="G56" s="126"/>
      <c r="I56" s="126"/>
    </row>
    <row r="57" spans="2:9">
      <c r="B57" s="124">
        <f t="shared" si="0"/>
        <v>27</v>
      </c>
      <c r="C57" s="24">
        <f t="shared" si="3"/>
        <v>752.26066049624785</v>
      </c>
      <c r="G57" s="126"/>
      <c r="I57" s="126"/>
    </row>
    <row r="58" spans="2:9">
      <c r="B58" s="124">
        <f t="shared" si="0"/>
        <v>28</v>
      </c>
      <c r="C58" s="24">
        <f t="shared" si="3"/>
        <v>752.26066049624785</v>
      </c>
      <c r="G58" s="126"/>
      <c r="I58" s="126"/>
    </row>
    <row r="59" spans="2:9">
      <c r="B59" s="124">
        <f t="shared" si="0"/>
        <v>29</v>
      </c>
      <c r="C59" s="24">
        <f t="shared" si="3"/>
        <v>752.26066049624785</v>
      </c>
      <c r="G59" s="126"/>
      <c r="I59" s="126"/>
    </row>
    <row r="60" spans="2:9">
      <c r="B60" s="124">
        <f t="shared" si="0"/>
        <v>30</v>
      </c>
      <c r="C60" s="24">
        <f t="shared" si="3"/>
        <v>752.26066049624785</v>
      </c>
      <c r="G60" s="126"/>
      <c r="I60" s="126"/>
    </row>
    <row r="61" spans="2:9">
      <c r="B61" s="124">
        <f t="shared" si="0"/>
        <v>31</v>
      </c>
      <c r="C61" s="24">
        <f t="shared" si="3"/>
        <v>752.26066049624785</v>
      </c>
      <c r="G61" s="126"/>
      <c r="I61" s="126"/>
    </row>
    <row r="62" spans="2:9">
      <c r="B62" s="124">
        <f t="shared" si="0"/>
        <v>32</v>
      </c>
      <c r="C62" s="24">
        <f t="shared" si="3"/>
        <v>752.26066049624785</v>
      </c>
      <c r="G62" s="126"/>
      <c r="I62" s="126"/>
    </row>
    <row r="63" spans="2:9">
      <c r="B63" s="124">
        <f t="shared" si="0"/>
        <v>33</v>
      </c>
      <c r="C63" s="24">
        <f t="shared" si="3"/>
        <v>752.26066049624785</v>
      </c>
      <c r="G63" s="126"/>
      <c r="I63" s="126"/>
    </row>
    <row r="64" spans="2:9">
      <c r="B64" s="124">
        <f t="shared" si="0"/>
        <v>34</v>
      </c>
      <c r="C64" s="24">
        <f t="shared" si="3"/>
        <v>752.26066049624785</v>
      </c>
      <c r="G64" s="126"/>
      <c r="I64" s="126"/>
    </row>
    <row r="65" spans="2:9">
      <c r="B65" s="124">
        <f t="shared" si="0"/>
        <v>35</v>
      </c>
      <c r="C65" s="24">
        <f t="shared" si="3"/>
        <v>752.26066049624785</v>
      </c>
      <c r="G65" s="126"/>
      <c r="I65" s="126"/>
    </row>
    <row r="66" spans="2:9">
      <c r="B66" s="124">
        <f t="shared" si="0"/>
        <v>36</v>
      </c>
      <c r="C66" s="24">
        <f t="shared" si="3"/>
        <v>752.26066049624785</v>
      </c>
      <c r="G66" s="126"/>
      <c r="I66" s="126"/>
    </row>
    <row r="67" spans="2:9">
      <c r="B67" s="124">
        <f t="shared" si="0"/>
        <v>37</v>
      </c>
      <c r="C67" s="24">
        <f>$E$21</f>
        <v>846.20343230562139</v>
      </c>
      <c r="G67" s="126"/>
      <c r="I67" s="126"/>
    </row>
    <row r="68" spans="2:9">
      <c r="B68" s="124">
        <f t="shared" si="0"/>
        <v>38</v>
      </c>
      <c r="C68" s="24">
        <f t="shared" ref="C68:C78" si="4">$E$21</f>
        <v>846.20343230562139</v>
      </c>
      <c r="G68" s="126"/>
      <c r="I68" s="126"/>
    </row>
    <row r="69" spans="2:9">
      <c r="B69" s="124">
        <f t="shared" si="0"/>
        <v>39</v>
      </c>
      <c r="C69" s="24">
        <f t="shared" si="4"/>
        <v>846.20343230562139</v>
      </c>
      <c r="G69" s="126"/>
      <c r="I69" s="126"/>
    </row>
    <row r="70" spans="2:9">
      <c r="B70" s="124">
        <f t="shared" si="0"/>
        <v>40</v>
      </c>
      <c r="C70" s="24">
        <f t="shared" si="4"/>
        <v>846.20343230562139</v>
      </c>
      <c r="G70" s="126"/>
      <c r="I70" s="126"/>
    </row>
    <row r="71" spans="2:9">
      <c r="B71" s="124">
        <f t="shared" si="0"/>
        <v>41</v>
      </c>
      <c r="C71" s="24">
        <f t="shared" si="4"/>
        <v>846.20343230562139</v>
      </c>
      <c r="G71" s="126"/>
      <c r="I71" s="126"/>
    </row>
    <row r="72" spans="2:9">
      <c r="B72" s="124">
        <f t="shared" si="0"/>
        <v>42</v>
      </c>
      <c r="C72" s="24">
        <f t="shared" si="4"/>
        <v>846.20343230562139</v>
      </c>
      <c r="G72" s="126"/>
      <c r="I72" s="126"/>
    </row>
    <row r="73" spans="2:9">
      <c r="B73" s="124">
        <f t="shared" si="0"/>
        <v>43</v>
      </c>
      <c r="C73" s="24">
        <f t="shared" si="4"/>
        <v>846.20343230562139</v>
      </c>
      <c r="G73" s="126"/>
      <c r="I73" s="126"/>
    </row>
    <row r="74" spans="2:9">
      <c r="B74" s="124">
        <f t="shared" si="0"/>
        <v>44</v>
      </c>
      <c r="C74" s="24">
        <f t="shared" si="4"/>
        <v>846.20343230562139</v>
      </c>
      <c r="G74" s="126"/>
      <c r="I74" s="126"/>
    </row>
    <row r="75" spans="2:9">
      <c r="B75" s="124">
        <f t="shared" si="0"/>
        <v>45</v>
      </c>
      <c r="C75" s="24">
        <f t="shared" si="4"/>
        <v>846.20343230562139</v>
      </c>
      <c r="G75" s="126"/>
      <c r="I75" s="126"/>
    </row>
    <row r="76" spans="2:9">
      <c r="B76" s="124">
        <f t="shared" si="0"/>
        <v>46</v>
      </c>
      <c r="C76" s="24">
        <f t="shared" si="4"/>
        <v>846.20343230562139</v>
      </c>
      <c r="G76" s="126"/>
      <c r="I76" s="126"/>
    </row>
    <row r="77" spans="2:9">
      <c r="B77" s="124">
        <f t="shared" si="0"/>
        <v>47</v>
      </c>
      <c r="C77" s="24">
        <f t="shared" si="4"/>
        <v>846.20343230562139</v>
      </c>
      <c r="G77" s="126"/>
      <c r="I77" s="126"/>
    </row>
    <row r="78" spans="2:9">
      <c r="B78" s="124">
        <f t="shared" si="0"/>
        <v>48</v>
      </c>
      <c r="C78" s="24">
        <f t="shared" si="4"/>
        <v>846.20343230562139</v>
      </c>
      <c r="G78" s="126"/>
      <c r="I78" s="126"/>
    </row>
    <row r="79" spans="2:9">
      <c r="B79" s="124">
        <f t="shared" si="0"/>
        <v>49</v>
      </c>
      <c r="C79" s="24">
        <f>$E$22</f>
        <v>617.60284384252645</v>
      </c>
      <c r="G79" s="126"/>
      <c r="I79" s="126"/>
    </row>
    <row r="80" spans="2:9">
      <c r="B80" s="124">
        <f t="shared" si="0"/>
        <v>50</v>
      </c>
      <c r="C80" s="24">
        <f t="shared" ref="C80:C89" si="5">$E$22</f>
        <v>617.60284384252645</v>
      </c>
      <c r="G80" s="126"/>
      <c r="I80" s="126"/>
    </row>
    <row r="81" spans="2:9">
      <c r="B81" s="124">
        <f t="shared" si="0"/>
        <v>51</v>
      </c>
      <c r="C81" s="24">
        <f t="shared" si="5"/>
        <v>617.60284384252645</v>
      </c>
      <c r="G81" s="126"/>
      <c r="I81" s="126"/>
    </row>
    <row r="82" spans="2:9">
      <c r="B82" s="124">
        <f t="shared" si="0"/>
        <v>52</v>
      </c>
      <c r="C82" s="24">
        <f t="shared" si="5"/>
        <v>617.60284384252645</v>
      </c>
      <c r="G82" s="126"/>
      <c r="I82" s="126"/>
    </row>
    <row r="83" spans="2:9">
      <c r="B83" s="124">
        <f t="shared" si="0"/>
        <v>53</v>
      </c>
      <c r="C83" s="24">
        <f t="shared" si="5"/>
        <v>617.60284384252645</v>
      </c>
      <c r="G83" s="126"/>
      <c r="I83" s="126"/>
    </row>
    <row r="84" spans="2:9">
      <c r="B84" s="124">
        <f t="shared" si="0"/>
        <v>54</v>
      </c>
      <c r="C84" s="24">
        <f t="shared" si="5"/>
        <v>617.60284384252645</v>
      </c>
      <c r="G84" s="126"/>
      <c r="I84" s="126"/>
    </row>
    <row r="85" spans="2:9">
      <c r="B85" s="124">
        <f t="shared" si="0"/>
        <v>55</v>
      </c>
      <c r="C85" s="24">
        <f t="shared" si="5"/>
        <v>617.60284384252645</v>
      </c>
      <c r="G85" s="126"/>
      <c r="I85" s="126"/>
    </row>
    <row r="86" spans="2:9">
      <c r="B86" s="124">
        <f t="shared" si="0"/>
        <v>56</v>
      </c>
      <c r="C86" s="24">
        <f t="shared" si="5"/>
        <v>617.60284384252645</v>
      </c>
      <c r="G86" s="126"/>
      <c r="I86" s="126"/>
    </row>
    <row r="87" spans="2:9">
      <c r="B87" s="124">
        <f t="shared" si="0"/>
        <v>57</v>
      </c>
      <c r="C87" s="24">
        <f t="shared" si="5"/>
        <v>617.60284384252645</v>
      </c>
      <c r="G87" s="126"/>
      <c r="I87" s="126"/>
    </row>
    <row r="88" spans="2:9">
      <c r="B88" s="124">
        <f t="shared" si="0"/>
        <v>58</v>
      </c>
      <c r="C88" s="24">
        <f t="shared" si="5"/>
        <v>617.60284384252645</v>
      </c>
      <c r="G88" s="126"/>
      <c r="I88" s="126"/>
    </row>
    <row r="89" spans="2:9">
      <c r="B89" s="124">
        <f t="shared" si="0"/>
        <v>59</v>
      </c>
      <c r="C89" s="24">
        <f t="shared" si="5"/>
        <v>617.60284384252645</v>
      </c>
      <c r="G89" s="126"/>
      <c r="I89" s="126"/>
    </row>
    <row r="90" spans="2:9">
      <c r="B90" s="124">
        <f t="shared" si="0"/>
        <v>60</v>
      </c>
      <c r="C90" s="24">
        <f>$E$22+F22</f>
        <v>59256.862911870761</v>
      </c>
      <c r="G90" s="126"/>
      <c r="I90" s="126"/>
    </row>
    <row r="91" spans="2:9" ht="13" thickBot="1">
      <c r="B91" s="134"/>
      <c r="C91" s="4"/>
      <c r="D91" s="4"/>
      <c r="E91" s="4"/>
      <c r="F91" s="4"/>
      <c r="G91" s="135"/>
      <c r="H91" s="4"/>
      <c r="I91" s="135"/>
    </row>
  </sheetData>
  <mergeCells count="4">
    <mergeCell ref="B2:I2"/>
    <mergeCell ref="B3:I3"/>
    <mergeCell ref="C6:F6"/>
    <mergeCell ref="B14:G14"/>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BB901"/>
  </sheetPr>
  <dimension ref="B1:P93"/>
  <sheetViews>
    <sheetView workbookViewId="0">
      <selection activeCell="T36" sqref="T36"/>
    </sheetView>
  </sheetViews>
  <sheetFormatPr defaultRowHeight="12.5"/>
  <cols>
    <col min="3" max="3" width="18" bestFit="1" customWidth="1"/>
    <col min="4" max="4" width="12.26953125" customWidth="1"/>
    <col min="5" max="5" width="10.1796875" customWidth="1"/>
    <col min="9" max="9" width="5.26953125" customWidth="1"/>
    <col min="11" max="11" width="15.7265625" customWidth="1"/>
    <col min="12" max="12" width="11.26953125" customWidth="1"/>
  </cols>
  <sheetData>
    <row r="1" spans="2:16" ht="13" thickBot="1"/>
    <row r="2" spans="2:16" ht="18.5" thickBot="1">
      <c r="B2" s="1525" t="s">
        <v>1738</v>
      </c>
      <c r="C2" s="1526"/>
      <c r="D2" s="1526"/>
      <c r="E2" s="1526"/>
      <c r="F2" s="1526"/>
      <c r="G2" s="1526"/>
      <c r="H2" s="1527"/>
      <c r="J2" s="1525" t="s">
        <v>1737</v>
      </c>
      <c r="K2" s="1526"/>
      <c r="L2" s="1526"/>
      <c r="M2" s="1526"/>
      <c r="N2" s="1526"/>
      <c r="O2" s="1526"/>
      <c r="P2" s="1527"/>
    </row>
    <row r="3" spans="2:16" ht="16" thickBot="1">
      <c r="B3" s="1528" t="s">
        <v>1571</v>
      </c>
      <c r="C3" s="1540"/>
      <c r="D3" s="1540"/>
      <c r="E3" s="1540"/>
      <c r="F3" s="1540"/>
      <c r="G3" s="1540"/>
      <c r="H3" s="1541"/>
      <c r="J3" s="1528" t="s">
        <v>1571</v>
      </c>
      <c r="K3" s="1540"/>
      <c r="L3" s="1540"/>
      <c r="M3" s="1540"/>
      <c r="N3" s="1540"/>
      <c r="O3" s="1540"/>
      <c r="P3" s="1541"/>
    </row>
    <row r="4" spans="2:16" ht="15.5">
      <c r="B4" s="124" t="s">
        <v>1570</v>
      </c>
      <c r="D4" s="20"/>
      <c r="H4" s="126"/>
      <c r="J4" s="1133" t="s">
        <v>1739</v>
      </c>
      <c r="L4" s="20"/>
      <c r="P4" s="126"/>
    </row>
    <row r="5" spans="2:16" ht="13" thickBot="1">
      <c r="B5" s="124"/>
      <c r="H5" s="126"/>
      <c r="J5" s="124"/>
      <c r="P5" s="126"/>
    </row>
    <row r="6" spans="2:16" ht="16" thickBot="1">
      <c r="B6" s="1535" t="s">
        <v>943</v>
      </c>
      <c r="C6" s="1532"/>
      <c r="D6" s="1532"/>
      <c r="E6" s="1533"/>
      <c r="H6" s="126"/>
      <c r="J6" s="1535" t="s">
        <v>943</v>
      </c>
      <c r="K6" s="1532"/>
      <c r="L6" s="1532"/>
      <c r="M6" s="1533"/>
      <c r="P6" s="126"/>
    </row>
    <row r="7" spans="2:16">
      <c r="B7" s="124" t="s">
        <v>774</v>
      </c>
      <c r="D7" s="150">
        <v>60000</v>
      </c>
      <c r="E7" s="126"/>
      <c r="H7" s="126"/>
      <c r="J7" s="124" t="s">
        <v>774</v>
      </c>
      <c r="L7" s="150">
        <v>60000</v>
      </c>
      <c r="M7" s="126"/>
      <c r="P7" s="126"/>
    </row>
    <row r="8" spans="2:16">
      <c r="B8" s="124" t="s">
        <v>944</v>
      </c>
      <c r="D8" s="151">
        <v>0.11</v>
      </c>
      <c r="E8" s="126"/>
      <c r="H8" s="126"/>
      <c r="J8" s="124" t="s">
        <v>944</v>
      </c>
      <c r="L8" s="151">
        <v>0.05</v>
      </c>
      <c r="M8" s="126"/>
      <c r="P8" s="126"/>
    </row>
    <row r="9" spans="2:16">
      <c r="B9" s="124" t="s">
        <v>996</v>
      </c>
      <c r="D9" s="151">
        <v>0.02</v>
      </c>
      <c r="E9" s="126"/>
      <c r="H9" s="126"/>
      <c r="J9" s="124" t="s">
        <v>996</v>
      </c>
      <c r="L9" s="151">
        <v>0.02</v>
      </c>
      <c r="M9" s="126"/>
      <c r="P9" s="126"/>
    </row>
    <row r="10" spans="2:16">
      <c r="B10" s="124" t="s">
        <v>997</v>
      </c>
      <c r="D10" s="151">
        <v>0.05</v>
      </c>
      <c r="E10" s="126"/>
      <c r="H10" s="126"/>
      <c r="J10" s="124" t="s">
        <v>997</v>
      </c>
      <c r="L10" s="151">
        <v>0.05</v>
      </c>
      <c r="M10" s="126"/>
      <c r="P10" s="126"/>
    </row>
    <row r="11" spans="2:16">
      <c r="B11" s="124" t="s">
        <v>690</v>
      </c>
      <c r="D11" s="152">
        <v>30</v>
      </c>
      <c r="E11" s="126" t="s">
        <v>816</v>
      </c>
      <c r="H11" s="126"/>
      <c r="J11" s="124" t="s">
        <v>690</v>
      </c>
      <c r="L11" s="152">
        <v>30</v>
      </c>
      <c r="M11" s="126" t="s">
        <v>816</v>
      </c>
      <c r="P11" s="126"/>
    </row>
    <row r="12" spans="2:16">
      <c r="B12" s="124" t="s">
        <v>372</v>
      </c>
      <c r="D12" s="152">
        <v>12</v>
      </c>
      <c r="E12" s="126"/>
      <c r="H12" s="126"/>
      <c r="J12" s="124" t="s">
        <v>372</v>
      </c>
      <c r="L12" s="152">
        <v>12</v>
      </c>
      <c r="M12" s="126"/>
      <c r="P12" s="126"/>
    </row>
    <row r="13" spans="2:16">
      <c r="B13" s="124" t="s">
        <v>945</v>
      </c>
      <c r="D13" s="151">
        <v>0.02</v>
      </c>
      <c r="E13" s="126"/>
      <c r="H13" s="126"/>
      <c r="J13" s="124" t="s">
        <v>945</v>
      </c>
      <c r="L13" s="151">
        <v>0.02</v>
      </c>
      <c r="M13" s="126"/>
      <c r="P13" s="126"/>
    </row>
    <row r="14" spans="2:16" ht="13" thickBot="1">
      <c r="B14" s="134" t="s">
        <v>214</v>
      </c>
      <c r="C14" s="4"/>
      <c r="D14" s="201">
        <v>0.02</v>
      </c>
      <c r="E14" s="135"/>
      <c r="H14" s="126"/>
      <c r="J14" s="134" t="s">
        <v>214</v>
      </c>
      <c r="K14" s="4"/>
      <c r="L14" s="201">
        <v>0.02</v>
      </c>
      <c r="M14" s="135"/>
      <c r="P14" s="126"/>
    </row>
    <row r="15" spans="2:16" ht="13" thickBot="1">
      <c r="B15" s="124"/>
      <c r="H15" s="126"/>
      <c r="J15" s="124"/>
      <c r="P15" s="126"/>
    </row>
    <row r="16" spans="2:16" ht="16" thickBot="1">
      <c r="B16" s="1535" t="s">
        <v>946</v>
      </c>
      <c r="C16" s="1532"/>
      <c r="D16" s="1532"/>
      <c r="E16" s="1532"/>
      <c r="F16" s="1532"/>
      <c r="G16" s="1532"/>
      <c r="H16" s="1533"/>
      <c r="J16" s="1535" t="s">
        <v>946</v>
      </c>
      <c r="K16" s="1532"/>
      <c r="L16" s="1532"/>
      <c r="M16" s="1532"/>
      <c r="N16" s="1532"/>
      <c r="O16" s="1532"/>
      <c r="P16" s="1533"/>
    </row>
    <row r="17" spans="2:16" ht="13">
      <c r="B17" s="203"/>
      <c r="C17" s="203"/>
      <c r="D17" s="205" t="s">
        <v>998</v>
      </c>
      <c r="E17" s="205" t="s">
        <v>999</v>
      </c>
      <c r="F17" s="203"/>
      <c r="G17" s="203"/>
      <c r="H17" s="203"/>
      <c r="J17" s="203"/>
      <c r="K17" s="203"/>
      <c r="L17" s="205" t="s">
        <v>998</v>
      </c>
      <c r="M17" s="205" t="s">
        <v>999</v>
      </c>
      <c r="N17" s="203"/>
      <c r="O17" s="203"/>
      <c r="P17" s="203"/>
    </row>
    <row r="18" spans="2:16" ht="13.5" thickBot="1">
      <c r="B18" s="204" t="s">
        <v>262</v>
      </c>
      <c r="C18" s="204" t="s">
        <v>947</v>
      </c>
      <c r="D18" s="204" t="s">
        <v>822</v>
      </c>
      <c r="E18" s="204" t="s">
        <v>822</v>
      </c>
      <c r="F18" s="204" t="s">
        <v>209</v>
      </c>
      <c r="G18" s="204" t="s">
        <v>215</v>
      </c>
      <c r="H18" s="204" t="s">
        <v>824</v>
      </c>
      <c r="J18" s="204" t="s">
        <v>262</v>
      </c>
      <c r="K18" s="204" t="s">
        <v>947</v>
      </c>
      <c r="L18" s="204" t="s">
        <v>822</v>
      </c>
      <c r="M18" s="204" t="s">
        <v>822</v>
      </c>
      <c r="N18" s="204" t="s">
        <v>209</v>
      </c>
      <c r="O18" s="204" t="s">
        <v>215</v>
      </c>
      <c r="P18" s="204" t="s">
        <v>824</v>
      </c>
    </row>
    <row r="19" spans="2:16">
      <c r="B19" s="124"/>
      <c r="G19" s="24"/>
      <c r="H19" s="163">
        <f>-D7*(1-D14)</f>
        <v>-58800</v>
      </c>
      <c r="J19" s="124"/>
      <c r="O19" s="24"/>
      <c r="P19" s="163">
        <f>-L7*(1-L14)</f>
        <v>-58800</v>
      </c>
    </row>
    <row r="20" spans="2:16">
      <c r="B20" s="124">
        <v>1</v>
      </c>
      <c r="D20" s="23">
        <f>D8</f>
        <v>0.11</v>
      </c>
      <c r="E20" s="23">
        <f>D20</f>
        <v>0.11</v>
      </c>
      <c r="F20" s="161">
        <f>PMT(E20/$D$12,($D$11-B20+1)*$D$12,-D7)</f>
        <v>571.39403735363976</v>
      </c>
      <c r="G20" s="24">
        <f>((F20)/PMT(E20/($D$12),(D$11-(B20-B$20+1))*$D$12,-1))</f>
        <v>59729.924388645799</v>
      </c>
      <c r="H20" s="163">
        <f>F20*12</f>
        <v>6856.7284482436771</v>
      </c>
      <c r="J20" s="124">
        <v>1</v>
      </c>
      <c r="L20" s="23">
        <f>L8</f>
        <v>0.05</v>
      </c>
      <c r="M20" s="23">
        <f>L20</f>
        <v>0.05</v>
      </c>
      <c r="N20" s="161">
        <f>PMT(M20/$D$12,($D$11-J20+1)*$D$12,-L7)</f>
        <v>322.09297380728344</v>
      </c>
      <c r="O20" s="24">
        <f>((N20)/PMT(M20/($D$12),(L$11-(J20-J$20+1))*$D$12,-1))</f>
        <v>59114.78079265952</v>
      </c>
      <c r="P20" s="163">
        <f>N20*12</f>
        <v>3865.1156856874013</v>
      </c>
    </row>
    <row r="21" spans="2:16">
      <c r="B21" s="124">
        <f>B20+1</f>
        <v>2</v>
      </c>
      <c r="C21" s="23">
        <v>0.1</v>
      </c>
      <c r="D21" s="23">
        <f>C21+$D$13</f>
        <v>0.12000000000000001</v>
      </c>
      <c r="E21" s="23">
        <f>IF(D21-E20&gt;$D$9,   IF(E20+$D$9&gt;$D$8+$D$10,  $D$8+$D$10,E20+$D$9   ), IF( D21&gt;$D$8+$D$10, $D$8+$D$10,D21   )      )</f>
        <v>0.12000000000000001</v>
      </c>
      <c r="F21" s="161">
        <f>PMT(E21/$D$12,($D$11-B21+1)*$D$12,-G20)</f>
        <v>616.62713892915326</v>
      </c>
      <c r="G21" s="24">
        <f>((F21)/PMT(E21/($D$12),(D$11-(B21-B$20+1))*$D$12,-1))</f>
        <v>59484.798301528062</v>
      </c>
      <c r="H21" s="163">
        <f>F21*12</f>
        <v>7399.5256671498391</v>
      </c>
      <c r="J21" s="124">
        <f>J20+1</f>
        <v>2</v>
      </c>
      <c r="K21" s="23">
        <v>0.02</v>
      </c>
      <c r="L21" s="23">
        <f>K21+$D$13</f>
        <v>0.04</v>
      </c>
      <c r="M21" s="23">
        <f>IF(L21-M20&gt;$D$9,   IF(M20+$D$9&gt;$D$8+$D$10,  $D$8+$D$10,M20+$D$9   ), IF( L21&gt;$D$8+$D$10, $D$8+$D$10,L21   )      )</f>
        <v>0.04</v>
      </c>
      <c r="N21" s="161">
        <f>PMT(M21/$D$12,($D$11-J21+1)*$D$12,-O20)</f>
        <v>287.28214868968894</v>
      </c>
      <c r="O21" s="24">
        <f>((N21)/PMT(M21/($D$12),(L$11-(J21-J$20+1))*$D$12,-1))</f>
        <v>58011.91277423851</v>
      </c>
      <c r="P21" s="163">
        <f>N21*12</f>
        <v>3447.3857842762673</v>
      </c>
    </row>
    <row r="22" spans="2:16">
      <c r="B22" s="124">
        <f>B21+1</f>
        <v>3</v>
      </c>
      <c r="C22" s="23">
        <v>0.13</v>
      </c>
      <c r="D22" s="23">
        <f>C22+$D$13</f>
        <v>0.15</v>
      </c>
      <c r="E22" s="23">
        <f>IF(D22-E21&gt;$D$9,   IF(E21+$D$9&gt;$D$8+$D$10,  $D$8+$D$10,E21+$D$9   ), IF( D22&gt;$D$8+$D$10, $D$8+$D$10,D22   )      )</f>
        <v>0.14000000000000001</v>
      </c>
      <c r="F22" s="161">
        <f>PMT(E22/$D$12,($D$11-B22+1)*$D$12,-G21)</f>
        <v>708.36663638357697</v>
      </c>
      <c r="G22" s="24">
        <f>((F22)/PMT(E22/($D$12),(D$11-(B22-B$20+1))*$D$12,-1))</f>
        <v>59300.757852556286</v>
      </c>
      <c r="H22" s="163">
        <f>F22*12</f>
        <v>8500.3996366029241</v>
      </c>
      <c r="J22" s="124">
        <f>J21+1</f>
        <v>3</v>
      </c>
      <c r="K22" s="23">
        <v>0.03</v>
      </c>
      <c r="L22" s="23">
        <f>K22+$D$13</f>
        <v>0.05</v>
      </c>
      <c r="M22" s="23">
        <f>IF(L22-M21&gt;$D$9,   IF(M21+$D$9&gt;$D$8+$D$10,  $D$8+$D$10,M21+$D$9   ), IF( L22&gt;$D$8+$D$10, $D$8+$D$10,L22   )      )</f>
        <v>0.05</v>
      </c>
      <c r="N22" s="161">
        <f>PMT(M22/$D$12,($D$11-J22+1)*$D$12,-O21)</f>
        <v>321.13883752981155</v>
      </c>
      <c r="O22" s="24">
        <f>((N22)/PMT(M22/($D$12),(L$11-(J22-J$20+1))*$D$12,-1))</f>
        <v>57036.694952744023</v>
      </c>
      <c r="P22" s="163">
        <f>N22*12</f>
        <v>3853.6660503577386</v>
      </c>
    </row>
    <row r="23" spans="2:16">
      <c r="B23" s="124">
        <f>B22+1</f>
        <v>4</v>
      </c>
      <c r="C23" s="23">
        <v>0.15</v>
      </c>
      <c r="D23" s="23">
        <f>C23+$D$13</f>
        <v>0.16999999999999998</v>
      </c>
      <c r="E23" s="23">
        <f>IF(D23-E22&gt;$D$9,   IF(E22+$D$9&gt;$D$8+$D$10,  $D$8+$D$10,E22+$D$9   ), IF( D23&gt;$D$8+$D$10, $D$8+$D$10,D23   )      )</f>
        <v>0.16</v>
      </c>
      <c r="F23" s="161">
        <f>PMT(E23/$D$12,($D$11-B23+1)*$D$12,-G22)</f>
        <v>801.64733121614745</v>
      </c>
      <c r="G23" s="24">
        <f>((F23)/PMT(E23/($D$12),(D$11-(B23-B$20+1))*$D$12,-1))</f>
        <v>59159.014819869728</v>
      </c>
      <c r="H23" s="163">
        <f>F23*12</f>
        <v>9619.7679745937694</v>
      </c>
      <c r="J23" s="124">
        <f>J22+1</f>
        <v>4</v>
      </c>
      <c r="K23" s="23">
        <v>0.04</v>
      </c>
      <c r="L23" s="23">
        <f>K23+$D$13</f>
        <v>0.06</v>
      </c>
      <c r="M23" s="23">
        <f>IF(L23-M22&gt;$D$9,   IF(M22+$D$9&gt;$D$8+$D$10,  $D$8+$D$10,M22+$D$9   ), IF( L23&gt;$D$8+$D$10, $D$8+$D$10,L23   )      )</f>
        <v>0.06</v>
      </c>
      <c r="N23" s="161">
        <f>PMT(M23/$D$12,($D$11-J23+1)*$D$12,-O22)</f>
        <v>355.90062305529733</v>
      </c>
      <c r="O23" s="24">
        <f>((N23)/PMT(M23/($D$12),(L$11-(J23-J$20+1))*$D$12,-1))</f>
        <v>56164.359159159663</v>
      </c>
      <c r="P23" s="163">
        <f>N23*12</f>
        <v>4270.8074766635682</v>
      </c>
    </row>
    <row r="24" spans="2:16">
      <c r="B24" s="124">
        <f>B23+1</f>
        <v>5</v>
      </c>
      <c r="C24" s="23">
        <v>0.1</v>
      </c>
      <c r="D24" s="23">
        <f>C24+$D$13</f>
        <v>0.12000000000000001</v>
      </c>
      <c r="E24" s="23">
        <f>IF(D24-E23&gt;$D$9,   IF(E23+$D$9&gt;$D$8+$D$10,  $D$8+$D$10,E23+$D$9   ), IF( D24&gt;$D$8+$D$10, $D$8+$D$10,D24   )      )</f>
        <v>0.12000000000000001</v>
      </c>
      <c r="F24" s="161">
        <f>PMT(E24/$D$12,($D$11-B24+1)*$D$12,-G23)</f>
        <v>619.36676030772628</v>
      </c>
      <c r="G24" s="24">
        <f>((F24)/PMT(E24/($D$12),(D$11-(B24-B$20+1))*$D$12,-1))</f>
        <v>58806.737853100582</v>
      </c>
      <c r="H24" s="163">
        <f>(F24*12)+G24</f>
        <v>66239.1389767933</v>
      </c>
      <c r="J24" s="124">
        <f>J23+1</f>
        <v>5</v>
      </c>
      <c r="K24" s="23">
        <v>0.02</v>
      </c>
      <c r="L24" s="23">
        <f>K24+$D$13</f>
        <v>0.04</v>
      </c>
      <c r="M24" s="23">
        <f>IF(L24-M23&gt;$D$9,   IF(M23+$D$9&gt;$D$8+$D$10,  $D$8+$D$10,M23+$D$9   ), IF( L24&gt;$D$8+$D$10, $D$8+$D$10,L24   )      )</f>
        <v>0.04</v>
      </c>
      <c r="N24" s="161">
        <f>PMT(M24/$D$12,($D$11-J24+1)*$D$12,-O23)</f>
        <v>289.83561424461521</v>
      </c>
      <c r="O24" s="24">
        <f>((N24)/PMT(M24/($D$12),(L$11-(J24-J$20+1))*$D$12,-1))</f>
        <v>54910.076773175868</v>
      </c>
      <c r="P24" s="163">
        <f>(N24*12)+O24</f>
        <v>58388.104144111247</v>
      </c>
    </row>
    <row r="25" spans="2:16">
      <c r="B25" s="124"/>
      <c r="G25" s="79"/>
      <c r="H25" s="126"/>
      <c r="J25" s="124"/>
      <c r="O25" s="79"/>
      <c r="P25" s="126"/>
    </row>
    <row r="26" spans="2:16">
      <c r="B26" s="124"/>
      <c r="C26" s="124" t="s">
        <v>29</v>
      </c>
      <c r="G26" s="698" t="s">
        <v>949</v>
      </c>
      <c r="H26" s="699">
        <f>IRR(H19:H24)</f>
        <v>0.13385136949635279</v>
      </c>
      <c r="J26" s="124"/>
      <c r="K26" s="124" t="s">
        <v>29</v>
      </c>
      <c r="O26" s="698" t="s">
        <v>949</v>
      </c>
      <c r="P26" s="699">
        <f>IRR(P19:P24)</f>
        <v>5.2410188990411166E-2</v>
      </c>
    </row>
    <row r="27" spans="2:16" ht="13" thickBot="1">
      <c r="B27" s="134"/>
      <c r="C27" s="4"/>
      <c r="D27" s="4"/>
      <c r="E27" s="4"/>
      <c r="F27" s="4"/>
      <c r="G27" s="4"/>
      <c r="H27" s="135"/>
      <c r="J27" s="134"/>
      <c r="K27" s="4"/>
      <c r="L27" s="4"/>
      <c r="M27" s="4"/>
      <c r="N27" s="4"/>
      <c r="O27" s="4"/>
      <c r="P27" s="135"/>
    </row>
    <row r="28" spans="2:16" ht="13" thickBot="1">
      <c r="B28" s="124"/>
      <c r="H28" s="126"/>
      <c r="J28" s="124"/>
      <c r="P28" s="126"/>
    </row>
    <row r="29" spans="2:16" ht="13.5" thickBot="1">
      <c r="B29" s="227" t="s">
        <v>948</v>
      </c>
      <c r="C29" s="114"/>
      <c r="D29" s="114"/>
      <c r="F29" s="170" t="s">
        <v>949</v>
      </c>
      <c r="G29" s="169">
        <f>IRR(C32:C92,0.01)*12</f>
        <v>0.1337507270082865</v>
      </c>
      <c r="H29" s="126"/>
      <c r="J29" s="227" t="s">
        <v>948</v>
      </c>
      <c r="K29" s="114"/>
      <c r="L29" s="114"/>
      <c r="N29" s="170" t="s">
        <v>949</v>
      </c>
      <c r="O29" s="169">
        <f>IRR(K32:K92,0.01)*12</f>
        <v>0.12425050509037217</v>
      </c>
      <c r="P29" s="126"/>
    </row>
    <row r="30" spans="2:16" ht="13" thickBot="1">
      <c r="B30" s="124"/>
      <c r="H30" s="126"/>
      <c r="J30" s="124"/>
      <c r="P30" s="126"/>
    </row>
    <row r="31" spans="2:16" ht="14.5" thickBot="1">
      <c r="B31" s="202" t="s">
        <v>216</v>
      </c>
      <c r="C31" s="206" t="s">
        <v>824</v>
      </c>
      <c r="H31" s="126"/>
      <c r="J31" s="202" t="s">
        <v>216</v>
      </c>
      <c r="K31" s="206" t="s">
        <v>824</v>
      </c>
      <c r="P31" s="126"/>
    </row>
    <row r="32" spans="2:16">
      <c r="B32" s="124">
        <v>0</v>
      </c>
      <c r="C32" s="163">
        <f>H19</f>
        <v>-58800</v>
      </c>
      <c r="H32" s="126"/>
      <c r="J32" s="124">
        <v>0</v>
      </c>
      <c r="K32" s="163">
        <f>P19</f>
        <v>-58800</v>
      </c>
      <c r="P32" s="126"/>
    </row>
    <row r="33" spans="2:16">
      <c r="B33" s="124">
        <f t="shared" ref="B33:B64" si="0">+B32+1</f>
        <v>1</v>
      </c>
      <c r="C33" s="163">
        <f t="shared" ref="C33:C44" si="1">$F$20</f>
        <v>571.39403735363976</v>
      </c>
      <c r="H33" s="126"/>
      <c r="J33" s="124">
        <f t="shared" ref="J33:J92" si="2">+J32+1</f>
        <v>1</v>
      </c>
      <c r="K33" s="163">
        <f t="shared" ref="K33:K44" si="3">$F$20</f>
        <v>571.39403735363976</v>
      </c>
      <c r="P33" s="126"/>
    </row>
    <row r="34" spans="2:16">
      <c r="B34" s="124">
        <f t="shared" si="0"/>
        <v>2</v>
      </c>
      <c r="C34" s="163">
        <f t="shared" si="1"/>
        <v>571.39403735363976</v>
      </c>
      <c r="H34" s="126"/>
      <c r="J34" s="124">
        <f t="shared" si="2"/>
        <v>2</v>
      </c>
      <c r="K34" s="163">
        <f t="shared" si="3"/>
        <v>571.39403735363976</v>
      </c>
      <c r="P34" s="126"/>
    </row>
    <row r="35" spans="2:16">
      <c r="B35" s="124">
        <f t="shared" si="0"/>
        <v>3</v>
      </c>
      <c r="C35" s="163">
        <f t="shared" si="1"/>
        <v>571.39403735363976</v>
      </c>
      <c r="H35" s="126"/>
      <c r="J35" s="124">
        <f t="shared" si="2"/>
        <v>3</v>
      </c>
      <c r="K35" s="163">
        <f t="shared" si="3"/>
        <v>571.39403735363976</v>
      </c>
      <c r="P35" s="126"/>
    </row>
    <row r="36" spans="2:16">
      <c r="B36" s="124">
        <f t="shared" si="0"/>
        <v>4</v>
      </c>
      <c r="C36" s="163">
        <f t="shared" si="1"/>
        <v>571.39403735363976</v>
      </c>
      <c r="H36" s="126"/>
      <c r="J36" s="124">
        <f t="shared" si="2"/>
        <v>4</v>
      </c>
      <c r="K36" s="163">
        <f t="shared" si="3"/>
        <v>571.39403735363976</v>
      </c>
      <c r="P36" s="126"/>
    </row>
    <row r="37" spans="2:16">
      <c r="B37" s="124">
        <f t="shared" si="0"/>
        <v>5</v>
      </c>
      <c r="C37" s="163">
        <f t="shared" si="1"/>
        <v>571.39403735363976</v>
      </c>
      <c r="H37" s="126"/>
      <c r="J37" s="124">
        <f t="shared" si="2"/>
        <v>5</v>
      </c>
      <c r="K37" s="163">
        <f t="shared" si="3"/>
        <v>571.39403735363976</v>
      </c>
      <c r="P37" s="126"/>
    </row>
    <row r="38" spans="2:16">
      <c r="B38" s="124">
        <f t="shared" si="0"/>
        <v>6</v>
      </c>
      <c r="C38" s="163">
        <f t="shared" si="1"/>
        <v>571.39403735363976</v>
      </c>
      <c r="H38" s="126"/>
      <c r="J38" s="124">
        <f t="shared" si="2"/>
        <v>6</v>
      </c>
      <c r="K38" s="163">
        <f t="shared" si="3"/>
        <v>571.39403735363976</v>
      </c>
      <c r="P38" s="126"/>
    </row>
    <row r="39" spans="2:16">
      <c r="B39" s="124">
        <f t="shared" si="0"/>
        <v>7</v>
      </c>
      <c r="C39" s="163">
        <f t="shared" si="1"/>
        <v>571.39403735363976</v>
      </c>
      <c r="H39" s="126"/>
      <c r="J39" s="124">
        <f t="shared" si="2"/>
        <v>7</v>
      </c>
      <c r="K39" s="163">
        <f t="shared" si="3"/>
        <v>571.39403735363976</v>
      </c>
      <c r="P39" s="126"/>
    </row>
    <row r="40" spans="2:16">
      <c r="B40" s="124">
        <f t="shared" si="0"/>
        <v>8</v>
      </c>
      <c r="C40" s="163">
        <f t="shared" si="1"/>
        <v>571.39403735363976</v>
      </c>
      <c r="H40" s="126"/>
      <c r="J40" s="124">
        <f t="shared" si="2"/>
        <v>8</v>
      </c>
      <c r="K40" s="163">
        <f t="shared" si="3"/>
        <v>571.39403735363976</v>
      </c>
      <c r="P40" s="126"/>
    </row>
    <row r="41" spans="2:16">
      <c r="B41" s="124">
        <f t="shared" si="0"/>
        <v>9</v>
      </c>
      <c r="C41" s="163">
        <f t="shared" si="1"/>
        <v>571.39403735363976</v>
      </c>
      <c r="H41" s="126"/>
      <c r="J41" s="124">
        <f t="shared" si="2"/>
        <v>9</v>
      </c>
      <c r="K41" s="163">
        <f t="shared" si="3"/>
        <v>571.39403735363976</v>
      </c>
      <c r="P41" s="126"/>
    </row>
    <row r="42" spans="2:16">
      <c r="B42" s="124">
        <f t="shared" si="0"/>
        <v>10</v>
      </c>
      <c r="C42" s="163">
        <f t="shared" si="1"/>
        <v>571.39403735363976</v>
      </c>
      <c r="H42" s="126"/>
      <c r="J42" s="124">
        <f t="shared" si="2"/>
        <v>10</v>
      </c>
      <c r="K42" s="163">
        <f t="shared" si="3"/>
        <v>571.39403735363976</v>
      </c>
      <c r="P42" s="126"/>
    </row>
    <row r="43" spans="2:16">
      <c r="B43" s="124">
        <f t="shared" si="0"/>
        <v>11</v>
      </c>
      <c r="C43" s="163">
        <f t="shared" si="1"/>
        <v>571.39403735363976</v>
      </c>
      <c r="H43" s="126"/>
      <c r="J43" s="124">
        <f t="shared" si="2"/>
        <v>11</v>
      </c>
      <c r="K43" s="163">
        <f t="shared" si="3"/>
        <v>571.39403735363976</v>
      </c>
      <c r="P43" s="126"/>
    </row>
    <row r="44" spans="2:16">
      <c r="B44" s="124">
        <f t="shared" si="0"/>
        <v>12</v>
      </c>
      <c r="C44" s="163">
        <f t="shared" si="1"/>
        <v>571.39403735363976</v>
      </c>
      <c r="H44" s="126"/>
      <c r="J44" s="124">
        <f t="shared" si="2"/>
        <v>12</v>
      </c>
      <c r="K44" s="163">
        <f t="shared" si="3"/>
        <v>571.39403735363976</v>
      </c>
      <c r="P44" s="126"/>
    </row>
    <row r="45" spans="2:16">
      <c r="B45" s="124">
        <f t="shared" si="0"/>
        <v>13</v>
      </c>
      <c r="C45" s="163">
        <f t="shared" ref="C45:C56" si="4">$F$21</f>
        <v>616.62713892915326</v>
      </c>
      <c r="H45" s="126"/>
      <c r="J45" s="124">
        <f t="shared" si="2"/>
        <v>13</v>
      </c>
      <c r="K45" s="163">
        <f t="shared" ref="K45:K56" si="5">$F$21</f>
        <v>616.62713892915326</v>
      </c>
      <c r="P45" s="126"/>
    </row>
    <row r="46" spans="2:16">
      <c r="B46" s="124">
        <f t="shared" si="0"/>
        <v>14</v>
      </c>
      <c r="C46" s="163">
        <f t="shared" si="4"/>
        <v>616.62713892915326</v>
      </c>
      <c r="H46" s="126"/>
      <c r="J46" s="124">
        <f t="shared" si="2"/>
        <v>14</v>
      </c>
      <c r="K46" s="163">
        <f t="shared" si="5"/>
        <v>616.62713892915326</v>
      </c>
      <c r="P46" s="126"/>
    </row>
    <row r="47" spans="2:16">
      <c r="B47" s="124">
        <f t="shared" si="0"/>
        <v>15</v>
      </c>
      <c r="C47" s="163">
        <f t="shared" si="4"/>
        <v>616.62713892915326</v>
      </c>
      <c r="H47" s="126"/>
      <c r="J47" s="124">
        <f t="shared" si="2"/>
        <v>15</v>
      </c>
      <c r="K47" s="163">
        <f t="shared" si="5"/>
        <v>616.62713892915326</v>
      </c>
      <c r="P47" s="126"/>
    </row>
    <row r="48" spans="2:16">
      <c r="B48" s="124">
        <f t="shared" si="0"/>
        <v>16</v>
      </c>
      <c r="C48" s="163">
        <f t="shared" si="4"/>
        <v>616.62713892915326</v>
      </c>
      <c r="H48" s="126"/>
      <c r="J48" s="124">
        <f t="shared" si="2"/>
        <v>16</v>
      </c>
      <c r="K48" s="163">
        <f t="shared" si="5"/>
        <v>616.62713892915326</v>
      </c>
      <c r="P48" s="126"/>
    </row>
    <row r="49" spans="2:16">
      <c r="B49" s="124">
        <f t="shared" si="0"/>
        <v>17</v>
      </c>
      <c r="C49" s="163">
        <f t="shared" si="4"/>
        <v>616.62713892915326</v>
      </c>
      <c r="H49" s="126"/>
      <c r="J49" s="124">
        <f t="shared" si="2"/>
        <v>17</v>
      </c>
      <c r="K49" s="163">
        <f t="shared" si="5"/>
        <v>616.62713892915326</v>
      </c>
      <c r="P49" s="126"/>
    </row>
    <row r="50" spans="2:16">
      <c r="B50" s="124">
        <f t="shared" si="0"/>
        <v>18</v>
      </c>
      <c r="C50" s="163">
        <f t="shared" si="4"/>
        <v>616.62713892915326</v>
      </c>
      <c r="H50" s="126"/>
      <c r="J50" s="124">
        <f t="shared" si="2"/>
        <v>18</v>
      </c>
      <c r="K50" s="163">
        <f t="shared" si="5"/>
        <v>616.62713892915326</v>
      </c>
      <c r="P50" s="126"/>
    </row>
    <row r="51" spans="2:16">
      <c r="B51" s="124">
        <f t="shared" si="0"/>
        <v>19</v>
      </c>
      <c r="C51" s="163">
        <f t="shared" si="4"/>
        <v>616.62713892915326</v>
      </c>
      <c r="H51" s="126"/>
      <c r="J51" s="124">
        <f t="shared" si="2"/>
        <v>19</v>
      </c>
      <c r="K51" s="163">
        <f t="shared" si="5"/>
        <v>616.62713892915326</v>
      </c>
      <c r="P51" s="126"/>
    </row>
    <row r="52" spans="2:16">
      <c r="B52" s="124">
        <f t="shared" si="0"/>
        <v>20</v>
      </c>
      <c r="C52" s="163">
        <f t="shared" si="4"/>
        <v>616.62713892915326</v>
      </c>
      <c r="H52" s="126"/>
      <c r="J52" s="124">
        <f t="shared" si="2"/>
        <v>20</v>
      </c>
      <c r="K52" s="163">
        <f t="shared" si="5"/>
        <v>616.62713892915326</v>
      </c>
      <c r="P52" s="126"/>
    </row>
    <row r="53" spans="2:16">
      <c r="B53" s="124">
        <f t="shared" si="0"/>
        <v>21</v>
      </c>
      <c r="C53" s="163">
        <f t="shared" si="4"/>
        <v>616.62713892915326</v>
      </c>
      <c r="H53" s="126"/>
      <c r="J53" s="124">
        <f t="shared" si="2"/>
        <v>21</v>
      </c>
      <c r="K53" s="163">
        <f t="shared" si="5"/>
        <v>616.62713892915326</v>
      </c>
      <c r="P53" s="126"/>
    </row>
    <row r="54" spans="2:16">
      <c r="B54" s="124">
        <f t="shared" si="0"/>
        <v>22</v>
      </c>
      <c r="C54" s="163">
        <f t="shared" si="4"/>
        <v>616.62713892915326</v>
      </c>
      <c r="H54" s="126"/>
      <c r="J54" s="124">
        <f t="shared" si="2"/>
        <v>22</v>
      </c>
      <c r="K54" s="163">
        <f t="shared" si="5"/>
        <v>616.62713892915326</v>
      </c>
      <c r="P54" s="126"/>
    </row>
    <row r="55" spans="2:16">
      <c r="B55" s="124">
        <f t="shared" si="0"/>
        <v>23</v>
      </c>
      <c r="C55" s="163">
        <f t="shared" si="4"/>
        <v>616.62713892915326</v>
      </c>
      <c r="H55" s="126"/>
      <c r="J55" s="124">
        <f t="shared" si="2"/>
        <v>23</v>
      </c>
      <c r="K55" s="163">
        <f t="shared" si="5"/>
        <v>616.62713892915326</v>
      </c>
      <c r="P55" s="126"/>
    </row>
    <row r="56" spans="2:16">
      <c r="B56" s="124">
        <f t="shared" si="0"/>
        <v>24</v>
      </c>
      <c r="C56" s="163">
        <f t="shared" si="4"/>
        <v>616.62713892915326</v>
      </c>
      <c r="H56" s="126"/>
      <c r="J56" s="124">
        <f t="shared" si="2"/>
        <v>24</v>
      </c>
      <c r="K56" s="163">
        <f t="shared" si="5"/>
        <v>616.62713892915326</v>
      </c>
      <c r="P56" s="126"/>
    </row>
    <row r="57" spans="2:16">
      <c r="B57" s="124">
        <f t="shared" si="0"/>
        <v>25</v>
      </c>
      <c r="C57" s="163">
        <f t="shared" ref="C57:C68" si="6">$F$22</f>
        <v>708.36663638357697</v>
      </c>
      <c r="H57" s="126"/>
      <c r="J57" s="124">
        <f t="shared" si="2"/>
        <v>25</v>
      </c>
      <c r="K57" s="163">
        <f t="shared" ref="K57:K68" si="7">$F$22</f>
        <v>708.36663638357697</v>
      </c>
      <c r="P57" s="126"/>
    </row>
    <row r="58" spans="2:16">
      <c r="B58" s="124">
        <f t="shared" si="0"/>
        <v>26</v>
      </c>
      <c r="C58" s="163">
        <f t="shared" si="6"/>
        <v>708.36663638357697</v>
      </c>
      <c r="H58" s="126"/>
      <c r="J58" s="124">
        <f t="shared" si="2"/>
        <v>26</v>
      </c>
      <c r="K58" s="163">
        <f t="shared" si="7"/>
        <v>708.36663638357697</v>
      </c>
      <c r="P58" s="126"/>
    </row>
    <row r="59" spans="2:16">
      <c r="B59" s="124">
        <f t="shared" si="0"/>
        <v>27</v>
      </c>
      <c r="C59" s="163">
        <f t="shared" si="6"/>
        <v>708.36663638357697</v>
      </c>
      <c r="H59" s="126"/>
      <c r="J59" s="124">
        <f t="shared" si="2"/>
        <v>27</v>
      </c>
      <c r="K59" s="163">
        <f t="shared" si="7"/>
        <v>708.36663638357697</v>
      </c>
      <c r="P59" s="126"/>
    </row>
    <row r="60" spans="2:16">
      <c r="B60" s="124">
        <f t="shared" si="0"/>
        <v>28</v>
      </c>
      <c r="C60" s="163">
        <f t="shared" si="6"/>
        <v>708.36663638357697</v>
      </c>
      <c r="H60" s="126"/>
      <c r="J60" s="124">
        <f t="shared" si="2"/>
        <v>28</v>
      </c>
      <c r="K60" s="163">
        <f t="shared" si="7"/>
        <v>708.36663638357697</v>
      </c>
      <c r="P60" s="126"/>
    </row>
    <row r="61" spans="2:16">
      <c r="B61" s="124">
        <f t="shared" si="0"/>
        <v>29</v>
      </c>
      <c r="C61" s="163">
        <f t="shared" si="6"/>
        <v>708.36663638357697</v>
      </c>
      <c r="H61" s="126"/>
      <c r="J61" s="124">
        <f t="shared" si="2"/>
        <v>29</v>
      </c>
      <c r="K61" s="163">
        <f t="shared" si="7"/>
        <v>708.36663638357697</v>
      </c>
      <c r="P61" s="126"/>
    </row>
    <row r="62" spans="2:16">
      <c r="B62" s="124">
        <f t="shared" si="0"/>
        <v>30</v>
      </c>
      <c r="C62" s="163">
        <f t="shared" si="6"/>
        <v>708.36663638357697</v>
      </c>
      <c r="H62" s="126"/>
      <c r="J62" s="124">
        <f t="shared" si="2"/>
        <v>30</v>
      </c>
      <c r="K62" s="163">
        <f t="shared" si="7"/>
        <v>708.36663638357697</v>
      </c>
      <c r="P62" s="126"/>
    </row>
    <row r="63" spans="2:16">
      <c r="B63" s="124">
        <f t="shared" si="0"/>
        <v>31</v>
      </c>
      <c r="C63" s="163">
        <f t="shared" si="6"/>
        <v>708.36663638357697</v>
      </c>
      <c r="H63" s="126"/>
      <c r="J63" s="124">
        <f t="shared" si="2"/>
        <v>31</v>
      </c>
      <c r="K63" s="163">
        <f t="shared" si="7"/>
        <v>708.36663638357697</v>
      </c>
      <c r="P63" s="126"/>
    </row>
    <row r="64" spans="2:16">
      <c r="B64" s="124">
        <f t="shared" si="0"/>
        <v>32</v>
      </c>
      <c r="C64" s="163">
        <f t="shared" si="6"/>
        <v>708.36663638357697</v>
      </c>
      <c r="H64" s="126"/>
      <c r="J64" s="124">
        <f t="shared" si="2"/>
        <v>32</v>
      </c>
      <c r="K64" s="163">
        <f t="shared" si="7"/>
        <v>708.36663638357697</v>
      </c>
      <c r="P64" s="126"/>
    </row>
    <row r="65" spans="2:16">
      <c r="B65" s="124">
        <f t="shared" ref="B65:B92" si="8">+B64+1</f>
        <v>33</v>
      </c>
      <c r="C65" s="163">
        <f t="shared" si="6"/>
        <v>708.36663638357697</v>
      </c>
      <c r="H65" s="126"/>
      <c r="J65" s="124">
        <f t="shared" si="2"/>
        <v>33</v>
      </c>
      <c r="K65" s="163">
        <f t="shared" si="7"/>
        <v>708.36663638357697</v>
      </c>
      <c r="P65" s="126"/>
    </row>
    <row r="66" spans="2:16">
      <c r="B66" s="124">
        <f t="shared" si="8"/>
        <v>34</v>
      </c>
      <c r="C66" s="163">
        <f t="shared" si="6"/>
        <v>708.36663638357697</v>
      </c>
      <c r="H66" s="126"/>
      <c r="J66" s="124">
        <f t="shared" si="2"/>
        <v>34</v>
      </c>
      <c r="K66" s="163">
        <f t="shared" si="7"/>
        <v>708.36663638357697</v>
      </c>
      <c r="P66" s="126"/>
    </row>
    <row r="67" spans="2:16">
      <c r="B67" s="124">
        <f t="shared" si="8"/>
        <v>35</v>
      </c>
      <c r="C67" s="163">
        <f t="shared" si="6"/>
        <v>708.36663638357697</v>
      </c>
      <c r="H67" s="126"/>
      <c r="J67" s="124">
        <f t="shared" si="2"/>
        <v>35</v>
      </c>
      <c r="K67" s="163">
        <f t="shared" si="7"/>
        <v>708.36663638357697</v>
      </c>
      <c r="P67" s="126"/>
    </row>
    <row r="68" spans="2:16">
      <c r="B68" s="124">
        <f t="shared" si="8"/>
        <v>36</v>
      </c>
      <c r="C68" s="163">
        <f t="shared" si="6"/>
        <v>708.36663638357697</v>
      </c>
      <c r="H68" s="126"/>
      <c r="J68" s="124">
        <f t="shared" si="2"/>
        <v>36</v>
      </c>
      <c r="K68" s="163">
        <f t="shared" si="7"/>
        <v>708.36663638357697</v>
      </c>
      <c r="P68" s="126"/>
    </row>
    <row r="69" spans="2:16">
      <c r="B69" s="124">
        <f t="shared" si="8"/>
        <v>37</v>
      </c>
      <c r="C69" s="163">
        <f t="shared" ref="C69:C80" si="9">$F$23</f>
        <v>801.64733121614745</v>
      </c>
      <c r="H69" s="126"/>
      <c r="J69" s="124">
        <f t="shared" si="2"/>
        <v>37</v>
      </c>
      <c r="K69" s="163">
        <f t="shared" ref="K69:K80" si="10">$F$23</f>
        <v>801.64733121614745</v>
      </c>
      <c r="P69" s="126"/>
    </row>
    <row r="70" spans="2:16">
      <c r="B70" s="124">
        <f t="shared" si="8"/>
        <v>38</v>
      </c>
      <c r="C70" s="163">
        <f t="shared" si="9"/>
        <v>801.64733121614745</v>
      </c>
      <c r="H70" s="126"/>
      <c r="J70" s="124">
        <f t="shared" si="2"/>
        <v>38</v>
      </c>
      <c r="K70" s="163">
        <f t="shared" si="10"/>
        <v>801.64733121614745</v>
      </c>
      <c r="P70" s="126"/>
    </row>
    <row r="71" spans="2:16">
      <c r="B71" s="124">
        <f t="shared" si="8"/>
        <v>39</v>
      </c>
      <c r="C71" s="163">
        <f t="shared" si="9"/>
        <v>801.64733121614745</v>
      </c>
      <c r="H71" s="126"/>
      <c r="J71" s="124">
        <f t="shared" si="2"/>
        <v>39</v>
      </c>
      <c r="K71" s="163">
        <f t="shared" si="10"/>
        <v>801.64733121614745</v>
      </c>
      <c r="P71" s="126"/>
    </row>
    <row r="72" spans="2:16">
      <c r="B72" s="124">
        <f t="shared" si="8"/>
        <v>40</v>
      </c>
      <c r="C72" s="163">
        <f t="shared" si="9"/>
        <v>801.64733121614745</v>
      </c>
      <c r="H72" s="126"/>
      <c r="J72" s="124">
        <f t="shared" si="2"/>
        <v>40</v>
      </c>
      <c r="K72" s="163">
        <f t="shared" si="10"/>
        <v>801.64733121614745</v>
      </c>
      <c r="P72" s="126"/>
    </row>
    <row r="73" spans="2:16">
      <c r="B73" s="124">
        <f t="shared" si="8"/>
        <v>41</v>
      </c>
      <c r="C73" s="163">
        <f t="shared" si="9"/>
        <v>801.64733121614745</v>
      </c>
      <c r="H73" s="126"/>
      <c r="J73" s="124">
        <f t="shared" si="2"/>
        <v>41</v>
      </c>
      <c r="K73" s="163">
        <f t="shared" si="10"/>
        <v>801.64733121614745</v>
      </c>
      <c r="P73" s="126"/>
    </row>
    <row r="74" spans="2:16">
      <c r="B74" s="124">
        <f t="shared" si="8"/>
        <v>42</v>
      </c>
      <c r="C74" s="163">
        <f t="shared" si="9"/>
        <v>801.64733121614745</v>
      </c>
      <c r="H74" s="126"/>
      <c r="J74" s="124">
        <f t="shared" si="2"/>
        <v>42</v>
      </c>
      <c r="K74" s="163">
        <f t="shared" si="10"/>
        <v>801.64733121614745</v>
      </c>
      <c r="P74" s="126"/>
    </row>
    <row r="75" spans="2:16">
      <c r="B75" s="124">
        <f t="shared" si="8"/>
        <v>43</v>
      </c>
      <c r="C75" s="163">
        <f t="shared" si="9"/>
        <v>801.64733121614745</v>
      </c>
      <c r="H75" s="126"/>
      <c r="J75" s="124">
        <f t="shared" si="2"/>
        <v>43</v>
      </c>
      <c r="K75" s="163">
        <f t="shared" si="10"/>
        <v>801.64733121614745</v>
      </c>
      <c r="P75" s="126"/>
    </row>
    <row r="76" spans="2:16">
      <c r="B76" s="124">
        <f t="shared" si="8"/>
        <v>44</v>
      </c>
      <c r="C76" s="163">
        <f t="shared" si="9"/>
        <v>801.64733121614745</v>
      </c>
      <c r="H76" s="126"/>
      <c r="J76" s="124">
        <f t="shared" si="2"/>
        <v>44</v>
      </c>
      <c r="K76" s="163">
        <f t="shared" si="10"/>
        <v>801.64733121614745</v>
      </c>
      <c r="P76" s="126"/>
    </row>
    <row r="77" spans="2:16">
      <c r="B77" s="124">
        <f t="shared" si="8"/>
        <v>45</v>
      </c>
      <c r="C77" s="163">
        <f t="shared" si="9"/>
        <v>801.64733121614745</v>
      </c>
      <c r="H77" s="126"/>
      <c r="J77" s="124">
        <f t="shared" si="2"/>
        <v>45</v>
      </c>
      <c r="K77" s="163">
        <f t="shared" si="10"/>
        <v>801.64733121614745</v>
      </c>
      <c r="P77" s="126"/>
    </row>
    <row r="78" spans="2:16">
      <c r="B78" s="124">
        <f t="shared" si="8"/>
        <v>46</v>
      </c>
      <c r="C78" s="163">
        <f t="shared" si="9"/>
        <v>801.64733121614745</v>
      </c>
      <c r="H78" s="126"/>
      <c r="J78" s="124">
        <f t="shared" si="2"/>
        <v>46</v>
      </c>
      <c r="K78" s="163">
        <f t="shared" si="10"/>
        <v>801.64733121614745</v>
      </c>
      <c r="P78" s="126"/>
    </row>
    <row r="79" spans="2:16">
      <c r="B79" s="124">
        <f t="shared" si="8"/>
        <v>47</v>
      </c>
      <c r="C79" s="163">
        <f t="shared" si="9"/>
        <v>801.64733121614745</v>
      </c>
      <c r="H79" s="126"/>
      <c r="J79" s="124">
        <f t="shared" si="2"/>
        <v>47</v>
      </c>
      <c r="K79" s="163">
        <f t="shared" si="10"/>
        <v>801.64733121614745</v>
      </c>
      <c r="P79" s="126"/>
    </row>
    <row r="80" spans="2:16">
      <c r="B80" s="124">
        <f t="shared" si="8"/>
        <v>48</v>
      </c>
      <c r="C80" s="163">
        <f t="shared" si="9"/>
        <v>801.64733121614745</v>
      </c>
      <c r="H80" s="126"/>
      <c r="J80" s="124">
        <f t="shared" si="2"/>
        <v>48</v>
      </c>
      <c r="K80" s="163">
        <f t="shared" si="10"/>
        <v>801.64733121614745</v>
      </c>
      <c r="P80" s="126"/>
    </row>
    <row r="81" spans="2:16">
      <c r="B81" s="124">
        <f t="shared" si="8"/>
        <v>49</v>
      </c>
      <c r="C81" s="163">
        <f t="shared" ref="C81:C91" si="11">$F$24</f>
        <v>619.36676030772628</v>
      </c>
      <c r="H81" s="126"/>
      <c r="J81" s="124">
        <f t="shared" si="2"/>
        <v>49</v>
      </c>
      <c r="K81" s="163">
        <f t="shared" ref="K81:K91" si="12">$F$24</f>
        <v>619.36676030772628</v>
      </c>
      <c r="P81" s="126"/>
    </row>
    <row r="82" spans="2:16">
      <c r="B82" s="124">
        <f t="shared" si="8"/>
        <v>50</v>
      </c>
      <c r="C82" s="163">
        <f t="shared" si="11"/>
        <v>619.36676030772628</v>
      </c>
      <c r="H82" s="126"/>
      <c r="J82" s="124">
        <f t="shared" si="2"/>
        <v>50</v>
      </c>
      <c r="K82" s="163">
        <f t="shared" si="12"/>
        <v>619.36676030772628</v>
      </c>
      <c r="P82" s="126"/>
    </row>
    <row r="83" spans="2:16">
      <c r="B83" s="124">
        <f t="shared" si="8"/>
        <v>51</v>
      </c>
      <c r="C83" s="163">
        <f t="shared" si="11"/>
        <v>619.36676030772628</v>
      </c>
      <c r="H83" s="126"/>
      <c r="J83" s="124">
        <f t="shared" si="2"/>
        <v>51</v>
      </c>
      <c r="K83" s="163">
        <f t="shared" si="12"/>
        <v>619.36676030772628</v>
      </c>
      <c r="P83" s="126"/>
    </row>
    <row r="84" spans="2:16">
      <c r="B84" s="124">
        <f t="shared" si="8"/>
        <v>52</v>
      </c>
      <c r="C84" s="163">
        <f t="shared" si="11"/>
        <v>619.36676030772628</v>
      </c>
      <c r="H84" s="126"/>
      <c r="J84" s="124">
        <f t="shared" si="2"/>
        <v>52</v>
      </c>
      <c r="K84" s="163">
        <f t="shared" si="12"/>
        <v>619.36676030772628</v>
      </c>
      <c r="P84" s="126"/>
    </row>
    <row r="85" spans="2:16">
      <c r="B85" s="124">
        <f t="shared" si="8"/>
        <v>53</v>
      </c>
      <c r="C85" s="163">
        <f t="shared" si="11"/>
        <v>619.36676030772628</v>
      </c>
      <c r="H85" s="126"/>
      <c r="J85" s="124">
        <f t="shared" si="2"/>
        <v>53</v>
      </c>
      <c r="K85" s="163">
        <f t="shared" si="12"/>
        <v>619.36676030772628</v>
      </c>
      <c r="P85" s="126"/>
    </row>
    <row r="86" spans="2:16">
      <c r="B86" s="124">
        <f t="shared" si="8"/>
        <v>54</v>
      </c>
      <c r="C86" s="163">
        <f t="shared" si="11"/>
        <v>619.36676030772628</v>
      </c>
      <c r="H86" s="126"/>
      <c r="J86" s="124">
        <f t="shared" si="2"/>
        <v>54</v>
      </c>
      <c r="K86" s="163">
        <f t="shared" si="12"/>
        <v>619.36676030772628</v>
      </c>
      <c r="P86" s="126"/>
    </row>
    <row r="87" spans="2:16">
      <c r="B87" s="124">
        <f t="shared" si="8"/>
        <v>55</v>
      </c>
      <c r="C87" s="163">
        <f t="shared" si="11"/>
        <v>619.36676030772628</v>
      </c>
      <c r="H87" s="126"/>
      <c r="J87" s="124">
        <f t="shared" si="2"/>
        <v>55</v>
      </c>
      <c r="K87" s="163">
        <f t="shared" si="12"/>
        <v>619.36676030772628</v>
      </c>
      <c r="P87" s="126"/>
    </row>
    <row r="88" spans="2:16">
      <c r="B88" s="124">
        <f t="shared" si="8"/>
        <v>56</v>
      </c>
      <c r="C88" s="163">
        <f t="shared" si="11"/>
        <v>619.36676030772628</v>
      </c>
      <c r="H88" s="126"/>
      <c r="J88" s="124">
        <f t="shared" si="2"/>
        <v>56</v>
      </c>
      <c r="K88" s="163">
        <f t="shared" si="12"/>
        <v>619.36676030772628</v>
      </c>
      <c r="P88" s="126"/>
    </row>
    <row r="89" spans="2:16">
      <c r="B89" s="124">
        <f t="shared" si="8"/>
        <v>57</v>
      </c>
      <c r="C89" s="163">
        <f t="shared" si="11"/>
        <v>619.36676030772628</v>
      </c>
      <c r="H89" s="126"/>
      <c r="J89" s="124">
        <f t="shared" si="2"/>
        <v>57</v>
      </c>
      <c r="K89" s="163">
        <f t="shared" si="12"/>
        <v>619.36676030772628</v>
      </c>
      <c r="P89" s="126"/>
    </row>
    <row r="90" spans="2:16">
      <c r="B90" s="124">
        <f t="shared" si="8"/>
        <v>58</v>
      </c>
      <c r="C90" s="163">
        <f t="shared" si="11"/>
        <v>619.36676030772628</v>
      </c>
      <c r="H90" s="126"/>
      <c r="J90" s="124">
        <f t="shared" si="2"/>
        <v>58</v>
      </c>
      <c r="K90" s="163">
        <f t="shared" si="12"/>
        <v>619.36676030772628</v>
      </c>
      <c r="P90" s="126"/>
    </row>
    <row r="91" spans="2:16">
      <c r="B91" s="124">
        <f t="shared" si="8"/>
        <v>59</v>
      </c>
      <c r="C91" s="163">
        <f t="shared" si="11"/>
        <v>619.36676030772628</v>
      </c>
      <c r="H91" s="126"/>
      <c r="J91" s="124">
        <f t="shared" si="2"/>
        <v>59</v>
      </c>
      <c r="K91" s="163">
        <f t="shared" si="12"/>
        <v>619.36676030772628</v>
      </c>
      <c r="P91" s="126"/>
    </row>
    <row r="92" spans="2:16" ht="13" thickBot="1">
      <c r="B92" s="134">
        <f t="shared" si="8"/>
        <v>60</v>
      </c>
      <c r="C92" s="207">
        <f>$F$24+G24</f>
        <v>59426.104613408308</v>
      </c>
      <c r="H92" s="126"/>
      <c r="J92" s="134">
        <f t="shared" si="2"/>
        <v>60</v>
      </c>
      <c r="K92" s="207">
        <f>$F$24+O24</f>
        <v>55529.443533483594</v>
      </c>
      <c r="P92" s="126"/>
    </row>
    <row r="93" spans="2:16" ht="13" thickBot="1">
      <c r="B93" s="134"/>
      <c r="C93" s="4"/>
      <c r="D93" s="4"/>
      <c r="E93" s="4"/>
      <c r="F93" s="4"/>
      <c r="G93" s="4"/>
      <c r="H93" s="135"/>
      <c r="J93" s="134"/>
      <c r="K93" s="4"/>
      <c r="L93" s="4"/>
      <c r="M93" s="4"/>
      <c r="N93" s="4"/>
      <c r="O93" s="4"/>
      <c r="P93" s="135"/>
    </row>
  </sheetData>
  <mergeCells count="8">
    <mergeCell ref="B6:E6"/>
    <mergeCell ref="B16:H16"/>
    <mergeCell ref="B2:H2"/>
    <mergeCell ref="B3:H3"/>
    <mergeCell ref="J2:P2"/>
    <mergeCell ref="J3:P3"/>
    <mergeCell ref="J6:M6"/>
    <mergeCell ref="J16:P16"/>
  </mergeCells>
  <phoneticPr fontId="0" type="noConversion"/>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91"/>
  <sheetViews>
    <sheetView workbookViewId="0">
      <selection activeCell="N15" sqref="N15"/>
    </sheetView>
  </sheetViews>
  <sheetFormatPr defaultRowHeight="12.5"/>
  <cols>
    <col min="3" max="3" width="11" customWidth="1"/>
    <col min="4" max="4" width="14" customWidth="1"/>
    <col min="5" max="5" width="12.453125" customWidth="1"/>
  </cols>
  <sheetData>
    <row r="1" spans="2:8" ht="13" thickBot="1">
      <c r="C1" s="6"/>
      <c r="D1" s="6"/>
      <c r="E1" s="6"/>
      <c r="F1" s="6"/>
      <c r="G1" s="6"/>
      <c r="H1" s="6"/>
    </row>
    <row r="2" spans="2:8" ht="18.5" thickBot="1">
      <c r="B2" s="1525" t="s">
        <v>1004</v>
      </c>
      <c r="C2" s="1542"/>
      <c r="D2" s="1542"/>
      <c r="E2" s="1542"/>
      <c r="F2" s="1542"/>
      <c r="G2" s="1542"/>
      <c r="H2" s="1543"/>
    </row>
    <row r="3" spans="2:8" ht="16" thickBot="1">
      <c r="B3" s="1528" t="s">
        <v>1005</v>
      </c>
      <c r="C3" s="1536"/>
      <c r="D3" s="1536"/>
      <c r="E3" s="1536"/>
      <c r="F3" s="1536"/>
      <c r="G3" s="1536"/>
      <c r="H3" s="1534"/>
    </row>
    <row r="4" spans="2:8" ht="13" thickBot="1">
      <c r="B4" s="124"/>
      <c r="H4" s="126"/>
    </row>
    <row r="5" spans="2:8" ht="16" thickBot="1">
      <c r="B5" s="1535" t="s">
        <v>943</v>
      </c>
      <c r="C5" s="1532"/>
      <c r="D5" s="1532"/>
      <c r="E5" s="1533"/>
      <c r="H5" s="126"/>
    </row>
    <row r="6" spans="2:8">
      <c r="B6" s="124" t="s">
        <v>774</v>
      </c>
      <c r="D6" s="150">
        <v>60000</v>
      </c>
      <c r="E6" s="126"/>
      <c r="H6" s="126"/>
    </row>
    <row r="7" spans="2:8">
      <c r="B7" s="124" t="s">
        <v>944</v>
      </c>
      <c r="D7" s="151">
        <v>0.09</v>
      </c>
      <c r="E7" s="126"/>
      <c r="H7" s="126"/>
    </row>
    <row r="8" spans="2:8">
      <c r="B8" s="124" t="s">
        <v>1001</v>
      </c>
      <c r="D8" s="151">
        <v>7.4999999999999997E-2</v>
      </c>
      <c r="E8" s="126"/>
      <c r="H8" s="126"/>
    </row>
    <row r="9" spans="2:8">
      <c r="B9" s="124" t="s">
        <v>690</v>
      </c>
      <c r="D9" s="152">
        <v>30</v>
      </c>
      <c r="E9" s="126" t="s">
        <v>816</v>
      </c>
      <c r="H9" s="126"/>
    </row>
    <row r="10" spans="2:8">
      <c r="B10" s="124" t="s">
        <v>372</v>
      </c>
      <c r="D10" s="152">
        <v>12</v>
      </c>
      <c r="E10" s="126"/>
      <c r="H10" s="126"/>
    </row>
    <row r="11" spans="2:8">
      <c r="B11" s="124" t="s">
        <v>945</v>
      </c>
      <c r="D11" s="151">
        <v>0.02</v>
      </c>
      <c r="E11" s="126"/>
      <c r="H11" s="126"/>
    </row>
    <row r="12" spans="2:8" ht="13" thickBot="1">
      <c r="B12" s="134" t="s">
        <v>214</v>
      </c>
      <c r="C12" s="4"/>
      <c r="D12" s="201">
        <v>0.02</v>
      </c>
      <c r="E12" s="135"/>
      <c r="H12" s="126"/>
    </row>
    <row r="13" spans="2:8" ht="13" thickBot="1">
      <c r="B13" s="124"/>
      <c r="H13" s="126"/>
    </row>
    <row r="14" spans="2:8" ht="16" thickBot="1">
      <c r="B14" s="1535" t="s">
        <v>946</v>
      </c>
      <c r="C14" s="1532"/>
      <c r="D14" s="1532"/>
      <c r="E14" s="1532"/>
      <c r="F14" s="1532"/>
      <c r="G14" s="1532"/>
      <c r="H14" s="1533"/>
    </row>
    <row r="15" spans="2:8" ht="13">
      <c r="B15" s="203"/>
      <c r="C15" s="203"/>
      <c r="D15" s="203"/>
      <c r="E15" s="205" t="s">
        <v>998</v>
      </c>
      <c r="F15" s="205" t="s">
        <v>1000</v>
      </c>
      <c r="G15" s="203"/>
      <c r="H15" s="203"/>
    </row>
    <row r="16" spans="2:8" ht="13.5" thickBot="1">
      <c r="B16" s="204" t="s">
        <v>262</v>
      </c>
      <c r="C16" s="204" t="s">
        <v>947</v>
      </c>
      <c r="D16" s="204" t="s">
        <v>822</v>
      </c>
      <c r="E16" s="204" t="s">
        <v>209</v>
      </c>
      <c r="F16" s="204" t="s">
        <v>209</v>
      </c>
      <c r="G16" s="204" t="s">
        <v>215</v>
      </c>
      <c r="H16" s="204" t="s">
        <v>824</v>
      </c>
    </row>
    <row r="17" spans="2:8">
      <c r="B17" s="124"/>
      <c r="G17" s="24"/>
      <c r="H17" s="163">
        <f>-D6*(1-D12)</f>
        <v>-58800</v>
      </c>
    </row>
    <row r="18" spans="2:8">
      <c r="B18" s="124">
        <v>1</v>
      </c>
      <c r="D18" s="23">
        <f>D7</f>
        <v>0.09</v>
      </c>
      <c r="E18" s="161">
        <f>PMT(D18/$D$10,($D$9-B18+1)*$D$10,-D6)</f>
        <v>482.7735701668696</v>
      </c>
      <c r="F18" s="161">
        <f>E18</f>
        <v>482.7735701668696</v>
      </c>
      <c r="G18" s="24">
        <f>FV(D18/$D$10,$D$10,F18,-D6)</f>
        <v>59590.081740939146</v>
      </c>
      <c r="H18" s="163">
        <f>E18*12</f>
        <v>5793.2828420024352</v>
      </c>
    </row>
    <row r="19" spans="2:8">
      <c r="B19" s="124">
        <f>B18+1</f>
        <v>2</v>
      </c>
      <c r="C19" s="23">
        <v>0.1</v>
      </c>
      <c r="D19" s="23">
        <f>C19+$D$11</f>
        <v>0.12000000000000001</v>
      </c>
      <c r="E19" s="161">
        <f>PMT(D19/$D$10,($D$9-B19+1)*$D$10,-G18)</f>
        <v>615.18346103003944</v>
      </c>
      <c r="F19" s="208">
        <f>IF(E19/F18-1&gt;$D$8,F18*(1+$D$8),E19)</f>
        <v>518.98158792938477</v>
      </c>
      <c r="G19" s="24">
        <f>FV(D19/$D$10,$D$10,F19,-G18)</f>
        <v>60565.610100592115</v>
      </c>
      <c r="H19" s="163">
        <f>E19*12</f>
        <v>7382.2015323604737</v>
      </c>
    </row>
    <row r="20" spans="2:8">
      <c r="B20" s="124">
        <f>B19+1</f>
        <v>3</v>
      </c>
      <c r="C20" s="23">
        <v>0.13</v>
      </c>
      <c r="D20" s="23">
        <f>C20+$D$11</f>
        <v>0.15</v>
      </c>
      <c r="E20" s="161">
        <f>PMT(D20/$D$10,($D$9-B20+1)*$D$10,-G19)</f>
        <v>768.90440059021921</v>
      </c>
      <c r="F20" s="208">
        <f>IF(E20/F19-1&gt;$D$8,F19*(1+$D$8),E20)</f>
        <v>557.90520702408855</v>
      </c>
      <c r="G20" s="24">
        <f>FV(D20/$D$10,$D$10,F20,-G19)</f>
        <v>63126.942943687405</v>
      </c>
      <c r="H20" s="163">
        <f>E20*12</f>
        <v>9226.8528070826305</v>
      </c>
    </row>
    <row r="21" spans="2:8">
      <c r="B21" s="124">
        <f>B20+1</f>
        <v>4</v>
      </c>
      <c r="C21" s="23">
        <v>0.15</v>
      </c>
      <c r="D21" s="23">
        <f>C21+$D$11</f>
        <v>0.16999999999999998</v>
      </c>
      <c r="E21" s="161">
        <f>PMT(D21/$D$10,($D$9-B21+1)*$D$10,-G20)</f>
        <v>903.77460834387148</v>
      </c>
      <c r="F21" s="208">
        <f>IF(E21/F20-1&gt;$D$8,F20*(1+$D$8),E21)</f>
        <v>599.74809755089518</v>
      </c>
      <c r="G21" s="24">
        <f>FV(D21/$D$10,$D$10,F21,-G20)</f>
        <v>66950.379874185615</v>
      </c>
      <c r="H21" s="163">
        <f>E21*12</f>
        <v>10845.295300126458</v>
      </c>
    </row>
    <row r="22" spans="2:8">
      <c r="B22" s="124">
        <f>B21+1</f>
        <v>5</v>
      </c>
      <c r="C22" s="23">
        <v>0.1</v>
      </c>
      <c r="D22" s="23">
        <f>C22+$D$11</f>
        <v>0.12000000000000001</v>
      </c>
      <c r="E22" s="161">
        <f>PMT(D22/$D$10,($D$9-B22+1)*$D$10,-G21)</f>
        <v>700.93864832445593</v>
      </c>
      <c r="F22" s="208">
        <f>IF(E22/F21-1&gt;$D$8,F21*(1+$D$8),E22)</f>
        <v>644.72920486721227</v>
      </c>
      <c r="G22" s="24">
        <f>FV(D22/$D$10,$D$10,F22,-G21)</f>
        <v>67264.583735651511</v>
      </c>
      <c r="H22" s="163">
        <f>(E22*12)+G22</f>
        <v>75675.847515544985</v>
      </c>
    </row>
    <row r="23" spans="2:8">
      <c r="B23" s="124"/>
      <c r="G23" s="79"/>
      <c r="H23" s="126"/>
    </row>
    <row r="24" spans="2:8" ht="13" thickBot="1">
      <c r="B24" s="134"/>
      <c r="C24" s="4"/>
      <c r="D24" s="4"/>
      <c r="E24" s="4" t="s">
        <v>35</v>
      </c>
      <c r="F24" s="4"/>
      <c r="G24" s="698" t="s">
        <v>949</v>
      </c>
      <c r="H24" s="699">
        <f>IRR(H17:H22)</f>
        <v>0.15811423589981333</v>
      </c>
    </row>
    <row r="25" spans="2:8" ht="13" thickBot="1">
      <c r="B25" s="134"/>
      <c r="C25" s="4"/>
      <c r="D25" s="4"/>
      <c r="E25" s="4"/>
      <c r="F25" s="4"/>
      <c r="G25" s="4"/>
      <c r="H25" s="135"/>
    </row>
    <row r="26" spans="2:8" ht="13.5" thickBot="1">
      <c r="B26" s="227" t="s">
        <v>948</v>
      </c>
      <c r="F26" s="170" t="s">
        <v>949</v>
      </c>
      <c r="G26" s="169">
        <f>IRR(C30:C90,0.01)*12</f>
        <v>0.15601928481440819</v>
      </c>
      <c r="H26" s="126"/>
    </row>
    <row r="27" spans="2:8">
      <c r="B27" s="124"/>
      <c r="H27" s="126"/>
    </row>
    <row r="28" spans="2:8" ht="13" thickBot="1">
      <c r="B28" s="124"/>
      <c r="H28" s="126"/>
    </row>
    <row r="29" spans="2:8" ht="14.5" thickBot="1">
      <c r="B29" s="202" t="s">
        <v>216</v>
      </c>
      <c r="C29" s="206" t="s">
        <v>824</v>
      </c>
      <c r="H29" s="126"/>
    </row>
    <row r="30" spans="2:8">
      <c r="B30" s="124">
        <v>0</v>
      </c>
      <c r="C30" s="163">
        <f>H17</f>
        <v>-58800</v>
      </c>
      <c r="H30" s="126"/>
    </row>
    <row r="31" spans="2:8">
      <c r="B31" s="124">
        <f>+B30+1</f>
        <v>1</v>
      </c>
      <c r="C31" s="163">
        <f t="shared" ref="C31:C42" si="0">$E$18</f>
        <v>482.7735701668696</v>
      </c>
      <c r="H31" s="126"/>
    </row>
    <row r="32" spans="2:8">
      <c r="B32" s="124">
        <f t="shared" ref="B32:B90" si="1">+B31+1</f>
        <v>2</v>
      </c>
      <c r="C32" s="163">
        <f t="shared" si="0"/>
        <v>482.7735701668696</v>
      </c>
      <c r="H32" s="126"/>
    </row>
    <row r="33" spans="2:8">
      <c r="B33" s="124">
        <f t="shared" si="1"/>
        <v>3</v>
      </c>
      <c r="C33" s="163">
        <f t="shared" si="0"/>
        <v>482.7735701668696</v>
      </c>
      <c r="H33" s="126"/>
    </row>
    <row r="34" spans="2:8">
      <c r="B34" s="124">
        <f t="shared" si="1"/>
        <v>4</v>
      </c>
      <c r="C34" s="163">
        <f t="shared" si="0"/>
        <v>482.7735701668696</v>
      </c>
      <c r="H34" s="126"/>
    </row>
    <row r="35" spans="2:8">
      <c r="B35" s="124">
        <f t="shared" si="1"/>
        <v>5</v>
      </c>
      <c r="C35" s="163">
        <f t="shared" si="0"/>
        <v>482.7735701668696</v>
      </c>
      <c r="H35" s="126"/>
    </row>
    <row r="36" spans="2:8">
      <c r="B36" s="124">
        <f t="shared" si="1"/>
        <v>6</v>
      </c>
      <c r="C36" s="163">
        <f t="shared" si="0"/>
        <v>482.7735701668696</v>
      </c>
      <c r="H36" s="126"/>
    </row>
    <row r="37" spans="2:8">
      <c r="B37" s="124">
        <f t="shared" si="1"/>
        <v>7</v>
      </c>
      <c r="C37" s="163">
        <f t="shared" si="0"/>
        <v>482.7735701668696</v>
      </c>
      <c r="H37" s="126"/>
    </row>
    <row r="38" spans="2:8">
      <c r="B38" s="124">
        <f t="shared" si="1"/>
        <v>8</v>
      </c>
      <c r="C38" s="163">
        <f t="shared" si="0"/>
        <v>482.7735701668696</v>
      </c>
      <c r="H38" s="126"/>
    </row>
    <row r="39" spans="2:8">
      <c r="B39" s="124">
        <f t="shared" si="1"/>
        <v>9</v>
      </c>
      <c r="C39" s="163">
        <f t="shared" si="0"/>
        <v>482.7735701668696</v>
      </c>
      <c r="H39" s="126"/>
    </row>
    <row r="40" spans="2:8">
      <c r="B40" s="124">
        <f t="shared" si="1"/>
        <v>10</v>
      </c>
      <c r="C40" s="163">
        <f t="shared" si="0"/>
        <v>482.7735701668696</v>
      </c>
      <c r="H40" s="126"/>
    </row>
    <row r="41" spans="2:8">
      <c r="B41" s="124">
        <f t="shared" si="1"/>
        <v>11</v>
      </c>
      <c r="C41" s="163">
        <f t="shared" si="0"/>
        <v>482.7735701668696</v>
      </c>
      <c r="H41" s="126"/>
    </row>
    <row r="42" spans="2:8">
      <c r="B42" s="124">
        <f t="shared" si="1"/>
        <v>12</v>
      </c>
      <c r="C42" s="163">
        <f t="shared" si="0"/>
        <v>482.7735701668696</v>
      </c>
      <c r="H42" s="126"/>
    </row>
    <row r="43" spans="2:8">
      <c r="B43" s="124">
        <f t="shared" si="1"/>
        <v>13</v>
      </c>
      <c r="C43" s="163">
        <f t="shared" ref="C43:C54" si="2">$E$19</f>
        <v>615.18346103003944</v>
      </c>
      <c r="H43" s="126"/>
    </row>
    <row r="44" spans="2:8">
      <c r="B44" s="124">
        <f t="shared" si="1"/>
        <v>14</v>
      </c>
      <c r="C44" s="163">
        <f t="shared" si="2"/>
        <v>615.18346103003944</v>
      </c>
      <c r="H44" s="126"/>
    </row>
    <row r="45" spans="2:8">
      <c r="B45" s="124">
        <f t="shared" si="1"/>
        <v>15</v>
      </c>
      <c r="C45" s="163">
        <f t="shared" si="2"/>
        <v>615.18346103003944</v>
      </c>
      <c r="H45" s="126"/>
    </row>
    <row r="46" spans="2:8">
      <c r="B46" s="124">
        <f t="shared" si="1"/>
        <v>16</v>
      </c>
      <c r="C46" s="163">
        <f t="shared" si="2"/>
        <v>615.18346103003944</v>
      </c>
      <c r="H46" s="126"/>
    </row>
    <row r="47" spans="2:8">
      <c r="B47" s="124">
        <f t="shared" si="1"/>
        <v>17</v>
      </c>
      <c r="C47" s="163">
        <f t="shared" si="2"/>
        <v>615.18346103003944</v>
      </c>
      <c r="H47" s="126"/>
    </row>
    <row r="48" spans="2:8">
      <c r="B48" s="124">
        <f t="shared" si="1"/>
        <v>18</v>
      </c>
      <c r="C48" s="163">
        <f t="shared" si="2"/>
        <v>615.18346103003944</v>
      </c>
      <c r="H48" s="126"/>
    </row>
    <row r="49" spans="2:8">
      <c r="B49" s="124">
        <f t="shared" si="1"/>
        <v>19</v>
      </c>
      <c r="C49" s="163">
        <f t="shared" si="2"/>
        <v>615.18346103003944</v>
      </c>
      <c r="H49" s="126"/>
    </row>
    <row r="50" spans="2:8">
      <c r="B50" s="124">
        <f t="shared" si="1"/>
        <v>20</v>
      </c>
      <c r="C50" s="163">
        <f t="shared" si="2"/>
        <v>615.18346103003944</v>
      </c>
      <c r="H50" s="126"/>
    </row>
    <row r="51" spans="2:8">
      <c r="B51" s="124">
        <f t="shared" si="1"/>
        <v>21</v>
      </c>
      <c r="C51" s="163">
        <f t="shared" si="2"/>
        <v>615.18346103003944</v>
      </c>
      <c r="H51" s="126"/>
    </row>
    <row r="52" spans="2:8">
      <c r="B52" s="124">
        <f t="shared" si="1"/>
        <v>22</v>
      </c>
      <c r="C52" s="163">
        <f t="shared" si="2"/>
        <v>615.18346103003944</v>
      </c>
      <c r="H52" s="126"/>
    </row>
    <row r="53" spans="2:8">
      <c r="B53" s="124">
        <f t="shared" si="1"/>
        <v>23</v>
      </c>
      <c r="C53" s="163">
        <f t="shared" si="2"/>
        <v>615.18346103003944</v>
      </c>
      <c r="H53" s="126"/>
    </row>
    <row r="54" spans="2:8">
      <c r="B54" s="124">
        <f t="shared" si="1"/>
        <v>24</v>
      </c>
      <c r="C54" s="163">
        <f t="shared" si="2"/>
        <v>615.18346103003944</v>
      </c>
      <c r="H54" s="126"/>
    </row>
    <row r="55" spans="2:8">
      <c r="B55" s="124">
        <f t="shared" si="1"/>
        <v>25</v>
      </c>
      <c r="C55" s="163">
        <f t="shared" ref="C55:C66" si="3">$E$20</f>
        <v>768.90440059021921</v>
      </c>
      <c r="H55" s="126"/>
    </row>
    <row r="56" spans="2:8">
      <c r="B56" s="124">
        <f t="shared" si="1"/>
        <v>26</v>
      </c>
      <c r="C56" s="163">
        <f t="shared" si="3"/>
        <v>768.90440059021921</v>
      </c>
      <c r="H56" s="126"/>
    </row>
    <row r="57" spans="2:8">
      <c r="B57" s="124">
        <f t="shared" si="1"/>
        <v>27</v>
      </c>
      <c r="C57" s="163">
        <f t="shared" si="3"/>
        <v>768.90440059021921</v>
      </c>
      <c r="H57" s="126"/>
    </row>
    <row r="58" spans="2:8">
      <c r="B58" s="124">
        <f t="shared" si="1"/>
        <v>28</v>
      </c>
      <c r="C58" s="163">
        <f t="shared" si="3"/>
        <v>768.90440059021921</v>
      </c>
      <c r="H58" s="126"/>
    </row>
    <row r="59" spans="2:8">
      <c r="B59" s="124">
        <f t="shared" si="1"/>
        <v>29</v>
      </c>
      <c r="C59" s="163">
        <f t="shared" si="3"/>
        <v>768.90440059021921</v>
      </c>
      <c r="H59" s="126"/>
    </row>
    <row r="60" spans="2:8">
      <c r="B60" s="124">
        <f t="shared" si="1"/>
        <v>30</v>
      </c>
      <c r="C60" s="163">
        <f t="shared" si="3"/>
        <v>768.90440059021921</v>
      </c>
      <c r="H60" s="126"/>
    </row>
    <row r="61" spans="2:8">
      <c r="B61" s="124">
        <f t="shared" si="1"/>
        <v>31</v>
      </c>
      <c r="C61" s="163">
        <f t="shared" si="3"/>
        <v>768.90440059021921</v>
      </c>
      <c r="H61" s="126"/>
    </row>
    <row r="62" spans="2:8">
      <c r="B62" s="124">
        <f t="shared" si="1"/>
        <v>32</v>
      </c>
      <c r="C62" s="163">
        <f t="shared" si="3"/>
        <v>768.90440059021921</v>
      </c>
      <c r="H62" s="126"/>
    </row>
    <row r="63" spans="2:8">
      <c r="B63" s="124">
        <f t="shared" si="1"/>
        <v>33</v>
      </c>
      <c r="C63" s="163">
        <f t="shared" si="3"/>
        <v>768.90440059021921</v>
      </c>
      <c r="H63" s="126"/>
    </row>
    <row r="64" spans="2:8">
      <c r="B64" s="124">
        <f t="shared" si="1"/>
        <v>34</v>
      </c>
      <c r="C64" s="163">
        <f t="shared" si="3"/>
        <v>768.90440059021921</v>
      </c>
      <c r="H64" s="126"/>
    </row>
    <row r="65" spans="2:8">
      <c r="B65" s="124">
        <f t="shared" si="1"/>
        <v>35</v>
      </c>
      <c r="C65" s="163">
        <f t="shared" si="3"/>
        <v>768.90440059021921</v>
      </c>
      <c r="H65" s="126"/>
    </row>
    <row r="66" spans="2:8">
      <c r="B66" s="124">
        <f t="shared" si="1"/>
        <v>36</v>
      </c>
      <c r="C66" s="163">
        <f t="shared" si="3"/>
        <v>768.90440059021921</v>
      </c>
      <c r="H66" s="126"/>
    </row>
    <row r="67" spans="2:8">
      <c r="B67" s="124">
        <f t="shared" si="1"/>
        <v>37</v>
      </c>
      <c r="C67" s="163">
        <f t="shared" ref="C67:C78" si="4">$E$21</f>
        <v>903.77460834387148</v>
      </c>
      <c r="H67" s="126"/>
    </row>
    <row r="68" spans="2:8">
      <c r="B68" s="124">
        <f t="shared" si="1"/>
        <v>38</v>
      </c>
      <c r="C68" s="163">
        <f t="shared" si="4"/>
        <v>903.77460834387148</v>
      </c>
      <c r="H68" s="126"/>
    </row>
    <row r="69" spans="2:8">
      <c r="B69" s="124">
        <f t="shared" si="1"/>
        <v>39</v>
      </c>
      <c r="C69" s="163">
        <f t="shared" si="4"/>
        <v>903.77460834387148</v>
      </c>
      <c r="H69" s="126"/>
    </row>
    <row r="70" spans="2:8">
      <c r="B70" s="124">
        <f t="shared" si="1"/>
        <v>40</v>
      </c>
      <c r="C70" s="163">
        <f t="shared" si="4"/>
        <v>903.77460834387148</v>
      </c>
      <c r="H70" s="126"/>
    </row>
    <row r="71" spans="2:8">
      <c r="B71" s="124">
        <f t="shared" si="1"/>
        <v>41</v>
      </c>
      <c r="C71" s="163">
        <f t="shared" si="4"/>
        <v>903.77460834387148</v>
      </c>
      <c r="H71" s="126"/>
    </row>
    <row r="72" spans="2:8">
      <c r="B72" s="124">
        <f t="shared" si="1"/>
        <v>42</v>
      </c>
      <c r="C72" s="163">
        <f t="shared" si="4"/>
        <v>903.77460834387148</v>
      </c>
      <c r="H72" s="126"/>
    </row>
    <row r="73" spans="2:8">
      <c r="B73" s="124">
        <f t="shared" si="1"/>
        <v>43</v>
      </c>
      <c r="C73" s="163">
        <f t="shared" si="4"/>
        <v>903.77460834387148</v>
      </c>
      <c r="H73" s="126"/>
    </row>
    <row r="74" spans="2:8">
      <c r="B74" s="124">
        <f t="shared" si="1"/>
        <v>44</v>
      </c>
      <c r="C74" s="163">
        <f t="shared" si="4"/>
        <v>903.77460834387148</v>
      </c>
      <c r="H74" s="126"/>
    </row>
    <row r="75" spans="2:8">
      <c r="B75" s="124">
        <f t="shared" si="1"/>
        <v>45</v>
      </c>
      <c r="C75" s="163">
        <f t="shared" si="4"/>
        <v>903.77460834387148</v>
      </c>
      <c r="H75" s="126"/>
    </row>
    <row r="76" spans="2:8">
      <c r="B76" s="124">
        <f t="shared" si="1"/>
        <v>46</v>
      </c>
      <c r="C76" s="163">
        <f t="shared" si="4"/>
        <v>903.77460834387148</v>
      </c>
      <c r="H76" s="126"/>
    </row>
    <row r="77" spans="2:8">
      <c r="B77" s="124">
        <f t="shared" si="1"/>
        <v>47</v>
      </c>
      <c r="C77" s="163">
        <f t="shared" si="4"/>
        <v>903.77460834387148</v>
      </c>
      <c r="H77" s="126"/>
    </row>
    <row r="78" spans="2:8">
      <c r="B78" s="124">
        <f t="shared" si="1"/>
        <v>48</v>
      </c>
      <c r="C78" s="163">
        <f t="shared" si="4"/>
        <v>903.77460834387148</v>
      </c>
      <c r="H78" s="126"/>
    </row>
    <row r="79" spans="2:8">
      <c r="B79" s="124">
        <f t="shared" si="1"/>
        <v>49</v>
      </c>
      <c r="C79" s="163">
        <f t="shared" ref="C79:C89" si="5">$E$22</f>
        <v>700.93864832445593</v>
      </c>
      <c r="H79" s="126"/>
    </row>
    <row r="80" spans="2:8">
      <c r="B80" s="124">
        <f t="shared" si="1"/>
        <v>50</v>
      </c>
      <c r="C80" s="163">
        <f t="shared" si="5"/>
        <v>700.93864832445593</v>
      </c>
      <c r="H80" s="126"/>
    </row>
    <row r="81" spans="2:8">
      <c r="B81" s="124">
        <f t="shared" si="1"/>
        <v>51</v>
      </c>
      <c r="C81" s="163">
        <f t="shared" si="5"/>
        <v>700.93864832445593</v>
      </c>
      <c r="H81" s="126"/>
    </row>
    <row r="82" spans="2:8">
      <c r="B82" s="124">
        <f t="shared" si="1"/>
        <v>52</v>
      </c>
      <c r="C82" s="163">
        <f t="shared" si="5"/>
        <v>700.93864832445593</v>
      </c>
      <c r="H82" s="126"/>
    </row>
    <row r="83" spans="2:8">
      <c r="B83" s="124">
        <f t="shared" si="1"/>
        <v>53</v>
      </c>
      <c r="C83" s="163">
        <f t="shared" si="5"/>
        <v>700.93864832445593</v>
      </c>
      <c r="H83" s="126"/>
    </row>
    <row r="84" spans="2:8">
      <c r="B84" s="124">
        <f t="shared" si="1"/>
        <v>54</v>
      </c>
      <c r="C84" s="163">
        <f t="shared" si="5"/>
        <v>700.93864832445593</v>
      </c>
      <c r="H84" s="126"/>
    </row>
    <row r="85" spans="2:8">
      <c r="B85" s="124">
        <f t="shared" si="1"/>
        <v>55</v>
      </c>
      <c r="C85" s="163">
        <f t="shared" si="5"/>
        <v>700.93864832445593</v>
      </c>
      <c r="H85" s="126"/>
    </row>
    <row r="86" spans="2:8">
      <c r="B86" s="124">
        <f t="shared" si="1"/>
        <v>56</v>
      </c>
      <c r="C86" s="163">
        <f t="shared" si="5"/>
        <v>700.93864832445593</v>
      </c>
      <c r="H86" s="126"/>
    </row>
    <row r="87" spans="2:8">
      <c r="B87" s="124">
        <f t="shared" si="1"/>
        <v>57</v>
      </c>
      <c r="C87" s="163">
        <f t="shared" si="5"/>
        <v>700.93864832445593</v>
      </c>
      <c r="H87" s="126"/>
    </row>
    <row r="88" spans="2:8">
      <c r="B88" s="124">
        <f t="shared" si="1"/>
        <v>58</v>
      </c>
      <c r="C88" s="163">
        <f t="shared" si="5"/>
        <v>700.93864832445593</v>
      </c>
      <c r="H88" s="126"/>
    </row>
    <row r="89" spans="2:8">
      <c r="B89" s="124">
        <f t="shared" si="1"/>
        <v>59</v>
      </c>
      <c r="C89" s="163">
        <f t="shared" si="5"/>
        <v>700.93864832445593</v>
      </c>
      <c r="H89" s="126"/>
    </row>
    <row r="90" spans="2:8" ht="13" thickBot="1">
      <c r="B90" s="134">
        <f t="shared" si="1"/>
        <v>60</v>
      </c>
      <c r="C90" s="207">
        <f>$E$22+G22</f>
        <v>67965.522383975971</v>
      </c>
      <c r="H90" s="126"/>
    </row>
    <row r="91" spans="2:8" ht="13" thickBot="1">
      <c r="B91" s="134"/>
      <c r="C91" s="4"/>
      <c r="D91" s="4"/>
      <c r="E91" s="4"/>
      <c r="F91" s="4"/>
      <c r="G91" s="4"/>
      <c r="H91" s="135"/>
    </row>
  </sheetData>
  <mergeCells count="4">
    <mergeCell ref="B5:E5"/>
    <mergeCell ref="B2:H2"/>
    <mergeCell ref="B3:H3"/>
    <mergeCell ref="B14:H14"/>
  </mergeCells>
  <phoneticPr fontId="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L105"/>
  <sheetViews>
    <sheetView workbookViewId="0">
      <selection activeCell="M40" sqref="M40"/>
    </sheetView>
  </sheetViews>
  <sheetFormatPr defaultRowHeight="12.5"/>
  <cols>
    <col min="4" max="4" width="13.81640625" customWidth="1"/>
    <col min="5" max="5" width="11.81640625" customWidth="1"/>
    <col min="6" max="6" width="10.1796875" customWidth="1"/>
    <col min="7" max="7" width="9.7265625" customWidth="1"/>
    <col min="8" max="8" width="10" customWidth="1"/>
    <col min="9" max="9" width="13.1796875" customWidth="1"/>
    <col min="10" max="10" width="11.1796875" customWidth="1"/>
  </cols>
  <sheetData>
    <row r="1" spans="2:12" ht="13" thickBot="1"/>
    <row r="2" spans="2:12" ht="18.5" thickBot="1">
      <c r="B2" s="1525" t="s">
        <v>1004</v>
      </c>
      <c r="C2" s="1526"/>
      <c r="D2" s="1526"/>
      <c r="E2" s="1526"/>
      <c r="F2" s="1526"/>
      <c r="G2" s="1526"/>
      <c r="H2" s="1526"/>
      <c r="I2" s="1526"/>
      <c r="J2" s="1526"/>
      <c r="K2" s="1526"/>
      <c r="L2" s="1527"/>
    </row>
    <row r="3" spans="2:12" ht="16" thickBot="1">
      <c r="B3" s="1528" t="s">
        <v>32</v>
      </c>
      <c r="C3" s="1529"/>
      <c r="D3" s="1529"/>
      <c r="E3" s="1529"/>
      <c r="F3" s="1529"/>
      <c r="G3" s="1529"/>
      <c r="H3" s="1529"/>
      <c r="I3" s="1529"/>
      <c r="J3" s="1529"/>
      <c r="K3" s="1529"/>
      <c r="L3" s="1530"/>
    </row>
    <row r="4" spans="2:12">
      <c r="B4" s="124"/>
      <c r="C4" s="209"/>
      <c r="I4" s="209"/>
      <c r="L4" s="126"/>
    </row>
    <row r="5" spans="2:12" ht="13">
      <c r="B5" s="210" t="s">
        <v>1076</v>
      </c>
      <c r="C5" s="211"/>
      <c r="D5" s="211"/>
      <c r="E5" s="211"/>
      <c r="F5" s="211"/>
      <c r="G5" s="212"/>
      <c r="H5" s="212"/>
      <c r="I5" s="209"/>
      <c r="L5" s="126"/>
    </row>
    <row r="6" spans="2:12" ht="13" thickBot="1">
      <c r="B6" s="213"/>
      <c r="C6" s="22"/>
      <c r="D6" s="22"/>
      <c r="E6" s="22"/>
      <c r="F6" s="22"/>
      <c r="G6" s="22"/>
      <c r="L6" s="126"/>
    </row>
    <row r="7" spans="2:12" ht="13.5" thickBot="1">
      <c r="B7" s="213"/>
      <c r="C7" s="1531" t="s">
        <v>827</v>
      </c>
      <c r="D7" s="1532"/>
      <c r="E7" s="1532"/>
      <c r="F7" s="1532"/>
      <c r="G7" s="1533"/>
      <c r="H7" s="22"/>
      <c r="L7" s="126"/>
    </row>
    <row r="8" spans="2:12">
      <c r="B8" s="213"/>
      <c r="C8" s="124"/>
      <c r="G8" s="126"/>
      <c r="H8" s="22"/>
      <c r="L8" s="126"/>
    </row>
    <row r="9" spans="2:12">
      <c r="B9" s="213"/>
      <c r="C9" s="145" t="s">
        <v>460</v>
      </c>
      <c r="D9" s="39"/>
      <c r="E9" s="39"/>
      <c r="F9" s="150">
        <v>95000</v>
      </c>
      <c r="G9" s="146"/>
      <c r="H9" s="22"/>
      <c r="L9" s="126"/>
    </row>
    <row r="10" spans="2:12">
      <c r="B10" s="213"/>
      <c r="C10" s="145" t="s">
        <v>825</v>
      </c>
      <c r="D10" s="39"/>
      <c r="E10" s="39"/>
      <c r="F10" s="151">
        <v>0.04</v>
      </c>
      <c r="G10" s="146"/>
      <c r="H10" s="22"/>
      <c r="L10" s="126"/>
    </row>
    <row r="11" spans="2:12">
      <c r="B11" s="213"/>
      <c r="C11" s="145" t="s">
        <v>371</v>
      </c>
      <c r="D11" s="39"/>
      <c r="E11" s="39"/>
      <c r="F11" s="152">
        <v>30</v>
      </c>
      <c r="G11" s="147" t="s">
        <v>816</v>
      </c>
      <c r="H11" s="22"/>
      <c r="L11" s="126"/>
    </row>
    <row r="12" spans="2:12" ht="13" thickBot="1">
      <c r="B12" s="213"/>
      <c r="C12" s="148" t="s">
        <v>214</v>
      </c>
      <c r="D12" s="63"/>
      <c r="E12" s="63"/>
      <c r="F12" s="153">
        <v>6</v>
      </c>
      <c r="G12" s="149"/>
      <c r="H12" s="22"/>
      <c r="L12" s="126"/>
    </row>
    <row r="13" spans="2:12">
      <c r="B13" s="124"/>
      <c r="C13" s="39"/>
      <c r="D13" s="39"/>
      <c r="E13" s="39"/>
      <c r="F13" s="39"/>
      <c r="G13" s="39"/>
      <c r="L13" s="126"/>
    </row>
    <row r="14" spans="2:12">
      <c r="B14" s="124"/>
      <c r="C14" s="22" t="s">
        <v>30</v>
      </c>
      <c r="F14" s="214">
        <f>PMT(F10/12,F11*12,-F9)</f>
        <v>453.54453069218653</v>
      </c>
      <c r="L14" s="126"/>
    </row>
    <row r="15" spans="2:12">
      <c r="B15" s="124"/>
      <c r="C15" s="22" t="s">
        <v>819</v>
      </c>
      <c r="F15" s="214">
        <f>F14*12</f>
        <v>5442.5343683062383</v>
      </c>
      <c r="G15" s="22" t="s">
        <v>820</v>
      </c>
      <c r="L15" s="126"/>
    </row>
    <row r="16" spans="2:12">
      <c r="B16" s="124"/>
      <c r="C16" s="22" t="s">
        <v>818</v>
      </c>
      <c r="F16" s="215">
        <f>F15/F9</f>
        <v>5.7289835455855143E-2</v>
      </c>
      <c r="G16" s="22"/>
      <c r="H16" s="22"/>
      <c r="L16" s="126"/>
    </row>
    <row r="17" spans="2:12">
      <c r="B17" s="124"/>
      <c r="C17" s="22" t="s">
        <v>1002</v>
      </c>
      <c r="F17" s="215">
        <f>F84</f>
        <v>0.11111508948970883</v>
      </c>
      <c r="G17" s="22"/>
      <c r="H17" s="22"/>
      <c r="L17" s="126"/>
    </row>
    <row r="18" spans="2:12">
      <c r="B18" s="124"/>
      <c r="L18" s="126"/>
    </row>
    <row r="19" spans="2:12">
      <c r="B19" s="124"/>
      <c r="C19" t="s">
        <v>828</v>
      </c>
      <c r="D19" s="22"/>
      <c r="L19" s="126"/>
    </row>
    <row r="20" spans="2:12" ht="13" thickBot="1">
      <c r="B20" s="124"/>
      <c r="L20" s="126"/>
    </row>
    <row r="21" spans="2:12" ht="13.5" thickBot="1">
      <c r="B21" s="157" t="s">
        <v>262</v>
      </c>
      <c r="C21" s="157" t="s">
        <v>216</v>
      </c>
      <c r="D21" s="157" t="s">
        <v>821</v>
      </c>
      <c r="E21" s="157" t="s">
        <v>209</v>
      </c>
      <c r="F21" s="157" t="s">
        <v>822</v>
      </c>
      <c r="G21" s="157" t="s">
        <v>210</v>
      </c>
      <c r="H21" s="157" t="s">
        <v>387</v>
      </c>
      <c r="I21" s="157" t="s">
        <v>33</v>
      </c>
      <c r="J21" s="156" t="s">
        <v>824</v>
      </c>
      <c r="K21" s="700" t="s">
        <v>31</v>
      </c>
      <c r="L21" s="126"/>
    </row>
    <row r="22" spans="2:12">
      <c r="B22" s="124"/>
      <c r="C22">
        <v>0</v>
      </c>
      <c r="J22" s="158">
        <f>-(F9-F12/100*F9)</f>
        <v>-89300</v>
      </c>
      <c r="L22" s="126"/>
    </row>
    <row r="23" spans="2:12">
      <c r="B23" s="159" t="s">
        <v>815</v>
      </c>
      <c r="C23">
        <v>1</v>
      </c>
      <c r="D23" s="11">
        <f>F9</f>
        <v>95000</v>
      </c>
      <c r="E23" s="11">
        <f>F14</f>
        <v>453.54453069218653</v>
      </c>
      <c r="F23" s="23">
        <f>F10</f>
        <v>0.04</v>
      </c>
      <c r="G23" s="160">
        <f t="shared" ref="G23:G54" si="0">(F23/12)*D23</f>
        <v>316.66666666666669</v>
      </c>
      <c r="H23" s="160">
        <f t="shared" ref="H23:H54" si="1">E23-G23</f>
        <v>136.87786402551984</v>
      </c>
      <c r="I23" s="161">
        <f t="shared" ref="I23:I54" si="2">D23-H23</f>
        <v>94863.122135974481</v>
      </c>
      <c r="J23" s="162">
        <f t="shared" ref="J23:J54" si="3">E23</f>
        <v>453.54453069218653</v>
      </c>
      <c r="L23" s="126"/>
    </row>
    <row r="24" spans="2:12">
      <c r="B24" s="159"/>
      <c r="C24">
        <f t="shared" ref="C24:C34" si="4">1+C23</f>
        <v>2</v>
      </c>
      <c r="D24" s="161">
        <f t="shared" ref="D24:D55" si="5">I23</f>
        <v>94863.122135974481</v>
      </c>
      <c r="E24" s="161">
        <f t="shared" ref="E24:E55" si="6">E23</f>
        <v>453.54453069218653</v>
      </c>
      <c r="F24" s="23">
        <f t="shared" ref="F24:F55" si="7">F23</f>
        <v>0.04</v>
      </c>
      <c r="G24" s="160">
        <f t="shared" si="0"/>
        <v>316.21040711991498</v>
      </c>
      <c r="H24" s="160">
        <f t="shared" si="1"/>
        <v>137.33412357227155</v>
      </c>
      <c r="I24" s="161">
        <f t="shared" si="2"/>
        <v>94725.788012402205</v>
      </c>
      <c r="J24" s="162">
        <f t="shared" si="3"/>
        <v>453.54453069218653</v>
      </c>
      <c r="L24" s="126"/>
    </row>
    <row r="25" spans="2:12">
      <c r="B25" s="159"/>
      <c r="C25">
        <f t="shared" si="4"/>
        <v>3</v>
      </c>
      <c r="D25" s="161">
        <f t="shared" si="5"/>
        <v>94725.788012402205</v>
      </c>
      <c r="E25" s="161">
        <f t="shared" si="6"/>
        <v>453.54453069218653</v>
      </c>
      <c r="F25" s="23">
        <f t="shared" si="7"/>
        <v>0.04</v>
      </c>
      <c r="G25" s="160">
        <f t="shared" si="0"/>
        <v>315.75262670800737</v>
      </c>
      <c r="H25" s="160">
        <f t="shared" si="1"/>
        <v>137.79190398417916</v>
      </c>
      <c r="I25" s="161">
        <f t="shared" si="2"/>
        <v>94587.996108418025</v>
      </c>
      <c r="J25" s="162">
        <f t="shared" si="3"/>
        <v>453.54453069218653</v>
      </c>
      <c r="L25" s="126"/>
    </row>
    <row r="26" spans="2:12">
      <c r="B26" s="159"/>
      <c r="C26">
        <f t="shared" si="4"/>
        <v>4</v>
      </c>
      <c r="D26" s="161">
        <f t="shared" si="5"/>
        <v>94587.996108418025</v>
      </c>
      <c r="E26" s="161">
        <f t="shared" si="6"/>
        <v>453.54453069218653</v>
      </c>
      <c r="F26" s="23">
        <f t="shared" si="7"/>
        <v>0.04</v>
      </c>
      <c r="G26" s="160">
        <f t="shared" si="0"/>
        <v>315.29332036139346</v>
      </c>
      <c r="H26" s="160">
        <f t="shared" si="1"/>
        <v>138.25121033079307</v>
      </c>
      <c r="I26" s="161">
        <f t="shared" si="2"/>
        <v>94449.744898087229</v>
      </c>
      <c r="J26" s="162">
        <f t="shared" si="3"/>
        <v>453.54453069218653</v>
      </c>
      <c r="L26" s="126"/>
    </row>
    <row r="27" spans="2:12">
      <c r="B27" s="159"/>
      <c r="C27">
        <f t="shared" si="4"/>
        <v>5</v>
      </c>
      <c r="D27" s="161">
        <f t="shared" si="5"/>
        <v>94449.744898087229</v>
      </c>
      <c r="E27" s="161">
        <f t="shared" si="6"/>
        <v>453.54453069218653</v>
      </c>
      <c r="F27" s="23">
        <f t="shared" si="7"/>
        <v>0.04</v>
      </c>
      <c r="G27" s="160">
        <f t="shared" si="0"/>
        <v>314.83248299362413</v>
      </c>
      <c r="H27" s="160">
        <f t="shared" si="1"/>
        <v>138.7120476985624</v>
      </c>
      <c r="I27" s="161">
        <f t="shared" si="2"/>
        <v>94311.03285038867</v>
      </c>
      <c r="J27" s="162">
        <f t="shared" si="3"/>
        <v>453.54453069218653</v>
      </c>
      <c r="L27" s="126"/>
    </row>
    <row r="28" spans="2:12">
      <c r="B28" s="159"/>
      <c r="C28">
        <f t="shared" si="4"/>
        <v>6</v>
      </c>
      <c r="D28" s="161">
        <f t="shared" si="5"/>
        <v>94311.03285038867</v>
      </c>
      <c r="E28" s="161">
        <f t="shared" si="6"/>
        <v>453.54453069218653</v>
      </c>
      <c r="F28" s="23">
        <f t="shared" si="7"/>
        <v>0.04</v>
      </c>
      <c r="G28" s="160">
        <f t="shared" si="0"/>
        <v>314.37010950129559</v>
      </c>
      <c r="H28" s="160">
        <f t="shared" si="1"/>
        <v>139.17442119089094</v>
      </c>
      <c r="I28" s="161">
        <f t="shared" si="2"/>
        <v>94171.858429197775</v>
      </c>
      <c r="J28" s="162">
        <f t="shared" si="3"/>
        <v>453.54453069218653</v>
      </c>
      <c r="L28" s="126"/>
    </row>
    <row r="29" spans="2:12">
      <c r="B29" s="159"/>
      <c r="C29">
        <f t="shared" si="4"/>
        <v>7</v>
      </c>
      <c r="D29" s="161">
        <f t="shared" si="5"/>
        <v>94171.858429197775</v>
      </c>
      <c r="E29" s="161">
        <f t="shared" si="6"/>
        <v>453.54453069218653</v>
      </c>
      <c r="F29" s="23">
        <f t="shared" si="7"/>
        <v>0.04</v>
      </c>
      <c r="G29" s="160">
        <f t="shared" si="0"/>
        <v>313.90619476399263</v>
      </c>
      <c r="H29" s="160">
        <f t="shared" si="1"/>
        <v>139.6383359281939</v>
      </c>
      <c r="I29" s="161">
        <f t="shared" si="2"/>
        <v>94032.220093269585</v>
      </c>
      <c r="J29" s="162">
        <f t="shared" si="3"/>
        <v>453.54453069218653</v>
      </c>
      <c r="L29" s="126"/>
    </row>
    <row r="30" spans="2:12">
      <c r="B30" s="159"/>
      <c r="C30">
        <f t="shared" si="4"/>
        <v>8</v>
      </c>
      <c r="D30" s="161">
        <f t="shared" si="5"/>
        <v>94032.220093269585</v>
      </c>
      <c r="E30" s="161">
        <f t="shared" si="6"/>
        <v>453.54453069218653</v>
      </c>
      <c r="F30" s="23">
        <f t="shared" si="7"/>
        <v>0.04</v>
      </c>
      <c r="G30" s="160">
        <f t="shared" si="0"/>
        <v>313.44073364423195</v>
      </c>
      <c r="H30" s="160">
        <f t="shared" si="1"/>
        <v>140.10379704795457</v>
      </c>
      <c r="I30" s="161">
        <f t="shared" si="2"/>
        <v>93892.116296221633</v>
      </c>
      <c r="J30" s="162">
        <f t="shared" si="3"/>
        <v>453.54453069218653</v>
      </c>
      <c r="L30" s="126"/>
    </row>
    <row r="31" spans="2:12">
      <c r="B31" s="159"/>
      <c r="C31">
        <f t="shared" si="4"/>
        <v>9</v>
      </c>
      <c r="D31" s="161">
        <f t="shared" si="5"/>
        <v>93892.116296221633</v>
      </c>
      <c r="E31" s="161">
        <f t="shared" si="6"/>
        <v>453.54453069218653</v>
      </c>
      <c r="F31" s="23">
        <f t="shared" si="7"/>
        <v>0.04</v>
      </c>
      <c r="G31" s="160">
        <f t="shared" si="0"/>
        <v>312.97372098740544</v>
      </c>
      <c r="H31" s="160">
        <f t="shared" si="1"/>
        <v>140.57080970478108</v>
      </c>
      <c r="I31" s="161">
        <f t="shared" si="2"/>
        <v>93751.545486516858</v>
      </c>
      <c r="J31" s="162">
        <f t="shared" si="3"/>
        <v>453.54453069218653</v>
      </c>
      <c r="L31" s="126"/>
    </row>
    <row r="32" spans="2:12">
      <c r="B32" s="159"/>
      <c r="C32">
        <f t="shared" si="4"/>
        <v>10</v>
      </c>
      <c r="D32" s="161">
        <f t="shared" si="5"/>
        <v>93751.545486516858</v>
      </c>
      <c r="E32" s="161">
        <f t="shared" si="6"/>
        <v>453.54453069218653</v>
      </c>
      <c r="F32" s="23">
        <f t="shared" si="7"/>
        <v>0.04</v>
      </c>
      <c r="G32" s="160">
        <f t="shared" si="0"/>
        <v>312.50515162172286</v>
      </c>
      <c r="H32" s="160">
        <f t="shared" si="1"/>
        <v>141.03937907046367</v>
      </c>
      <c r="I32" s="161">
        <f t="shared" si="2"/>
        <v>93610.506107446388</v>
      </c>
      <c r="J32" s="162">
        <f t="shared" si="3"/>
        <v>453.54453069218653</v>
      </c>
      <c r="L32" s="126"/>
    </row>
    <row r="33" spans="2:12">
      <c r="B33" s="159"/>
      <c r="C33">
        <f t="shared" si="4"/>
        <v>11</v>
      </c>
      <c r="D33" s="161">
        <f t="shared" si="5"/>
        <v>93610.506107446388</v>
      </c>
      <c r="E33" s="161">
        <f t="shared" si="6"/>
        <v>453.54453069218653</v>
      </c>
      <c r="F33" s="23">
        <f t="shared" si="7"/>
        <v>0.04</v>
      </c>
      <c r="G33" s="160">
        <f t="shared" si="0"/>
        <v>312.03502035815467</v>
      </c>
      <c r="H33" s="160">
        <f t="shared" si="1"/>
        <v>141.50951033403186</v>
      </c>
      <c r="I33" s="161">
        <f t="shared" si="2"/>
        <v>93468.99659711236</v>
      </c>
      <c r="J33" s="162">
        <f t="shared" si="3"/>
        <v>453.54453069218653</v>
      </c>
      <c r="L33" s="126"/>
    </row>
    <row r="34" spans="2:12">
      <c r="B34" s="159"/>
      <c r="C34">
        <f t="shared" si="4"/>
        <v>12</v>
      </c>
      <c r="D34" s="161">
        <f t="shared" si="5"/>
        <v>93468.99659711236</v>
      </c>
      <c r="E34" s="161">
        <f t="shared" si="6"/>
        <v>453.54453069218653</v>
      </c>
      <c r="F34" s="23">
        <f t="shared" si="7"/>
        <v>0.04</v>
      </c>
      <c r="G34" s="160">
        <f t="shared" si="0"/>
        <v>311.56332199037456</v>
      </c>
      <c r="H34" s="160">
        <f t="shared" si="1"/>
        <v>141.98120870181197</v>
      </c>
      <c r="I34" s="701">
        <f>(D34-H34)*(1+K34)</f>
        <v>98926.636311715192</v>
      </c>
      <c r="J34" s="162">
        <f t="shared" si="3"/>
        <v>453.54453069218653</v>
      </c>
      <c r="K34" s="702">
        <v>0.06</v>
      </c>
      <c r="L34" s="126"/>
    </row>
    <row r="35" spans="2:12">
      <c r="B35" s="159">
        <v>2</v>
      </c>
      <c r="C35">
        <v>1</v>
      </c>
      <c r="D35" s="701">
        <f>I34</f>
        <v>98926.636311715192</v>
      </c>
      <c r="E35" s="161">
        <f>PMT(F35/12,($F$11-B35+1)*12,-D35)</f>
        <v>480.75720253371782</v>
      </c>
      <c r="F35" s="23">
        <f t="shared" si="7"/>
        <v>0.04</v>
      </c>
      <c r="G35" s="160">
        <f t="shared" si="0"/>
        <v>329.75545437238401</v>
      </c>
      <c r="H35" s="160">
        <f t="shared" si="1"/>
        <v>151.00174816133381</v>
      </c>
      <c r="I35" s="161">
        <f t="shared" si="2"/>
        <v>98775.63456355386</v>
      </c>
      <c r="J35" s="162">
        <f t="shared" si="3"/>
        <v>480.75720253371782</v>
      </c>
      <c r="L35" s="126"/>
    </row>
    <row r="36" spans="2:12">
      <c r="B36" s="159"/>
      <c r="C36">
        <f t="shared" ref="C36:C46" si="8">1+C35</f>
        <v>2</v>
      </c>
      <c r="D36" s="161">
        <f t="shared" si="5"/>
        <v>98775.63456355386</v>
      </c>
      <c r="E36" s="161">
        <f t="shared" si="6"/>
        <v>480.75720253371782</v>
      </c>
      <c r="F36" s="23">
        <f t="shared" si="7"/>
        <v>0.04</v>
      </c>
      <c r="G36" s="160">
        <f t="shared" si="0"/>
        <v>329.25211521184622</v>
      </c>
      <c r="H36" s="160">
        <f t="shared" si="1"/>
        <v>151.5050873218716</v>
      </c>
      <c r="I36" s="161">
        <f t="shared" si="2"/>
        <v>98624.129476231989</v>
      </c>
      <c r="J36" s="162">
        <f t="shared" si="3"/>
        <v>480.75720253371782</v>
      </c>
      <c r="L36" s="126"/>
    </row>
    <row r="37" spans="2:12">
      <c r="B37" s="159"/>
      <c r="C37">
        <f t="shared" si="8"/>
        <v>3</v>
      </c>
      <c r="D37" s="161">
        <f t="shared" si="5"/>
        <v>98624.129476231989</v>
      </c>
      <c r="E37" s="161">
        <f t="shared" si="6"/>
        <v>480.75720253371782</v>
      </c>
      <c r="F37" s="23">
        <f t="shared" si="7"/>
        <v>0.04</v>
      </c>
      <c r="G37" s="160">
        <f t="shared" si="0"/>
        <v>328.74709825410667</v>
      </c>
      <c r="H37" s="160">
        <f t="shared" si="1"/>
        <v>152.01010427961114</v>
      </c>
      <c r="I37" s="161">
        <f t="shared" si="2"/>
        <v>98472.119371952373</v>
      </c>
      <c r="J37" s="162">
        <f t="shared" si="3"/>
        <v>480.75720253371782</v>
      </c>
      <c r="L37" s="126"/>
    </row>
    <row r="38" spans="2:12">
      <c r="B38" s="159"/>
      <c r="C38">
        <f t="shared" si="8"/>
        <v>4</v>
      </c>
      <c r="D38" s="161">
        <f t="shared" si="5"/>
        <v>98472.119371952373</v>
      </c>
      <c r="E38" s="161">
        <f t="shared" si="6"/>
        <v>480.75720253371782</v>
      </c>
      <c r="F38" s="23">
        <f t="shared" si="7"/>
        <v>0.04</v>
      </c>
      <c r="G38" s="160">
        <f t="shared" si="0"/>
        <v>328.24039790650795</v>
      </c>
      <c r="H38" s="160">
        <f t="shared" si="1"/>
        <v>152.51680462720986</v>
      </c>
      <c r="I38" s="161">
        <f t="shared" si="2"/>
        <v>98319.602567325157</v>
      </c>
      <c r="J38" s="162">
        <f t="shared" si="3"/>
        <v>480.75720253371782</v>
      </c>
      <c r="L38" s="126"/>
    </row>
    <row r="39" spans="2:12">
      <c r="B39" s="159"/>
      <c r="C39">
        <f t="shared" si="8"/>
        <v>5</v>
      </c>
      <c r="D39" s="161">
        <f t="shared" si="5"/>
        <v>98319.602567325157</v>
      </c>
      <c r="E39" s="161">
        <f t="shared" si="6"/>
        <v>480.75720253371782</v>
      </c>
      <c r="F39" s="23">
        <f t="shared" si="7"/>
        <v>0.04</v>
      </c>
      <c r="G39" s="160">
        <f t="shared" si="0"/>
        <v>327.73200855775053</v>
      </c>
      <c r="H39" s="160">
        <f t="shared" si="1"/>
        <v>153.02519397596728</v>
      </c>
      <c r="I39" s="161">
        <f t="shared" si="2"/>
        <v>98166.577373349195</v>
      </c>
      <c r="J39" s="162">
        <f t="shared" si="3"/>
        <v>480.75720253371782</v>
      </c>
      <c r="L39" s="126"/>
    </row>
    <row r="40" spans="2:12">
      <c r="B40" s="159"/>
      <c r="C40">
        <f t="shared" si="8"/>
        <v>6</v>
      </c>
      <c r="D40" s="161">
        <f t="shared" si="5"/>
        <v>98166.577373349195</v>
      </c>
      <c r="E40" s="161">
        <f t="shared" si="6"/>
        <v>480.75720253371782</v>
      </c>
      <c r="F40" s="23">
        <f t="shared" si="7"/>
        <v>0.04</v>
      </c>
      <c r="G40" s="160">
        <f t="shared" si="0"/>
        <v>327.22192457783069</v>
      </c>
      <c r="H40" s="160">
        <f t="shared" si="1"/>
        <v>153.53527795588712</v>
      </c>
      <c r="I40" s="161">
        <f t="shared" si="2"/>
        <v>98013.042095393306</v>
      </c>
      <c r="J40" s="162">
        <f t="shared" si="3"/>
        <v>480.75720253371782</v>
      </c>
      <c r="L40" s="126"/>
    </row>
    <row r="41" spans="2:12">
      <c r="B41" s="159"/>
      <c r="C41">
        <f t="shared" si="8"/>
        <v>7</v>
      </c>
      <c r="D41" s="161">
        <f t="shared" si="5"/>
        <v>98013.042095393306</v>
      </c>
      <c r="E41" s="161">
        <f t="shared" si="6"/>
        <v>480.75720253371782</v>
      </c>
      <c r="F41" s="23">
        <f t="shared" si="7"/>
        <v>0.04</v>
      </c>
      <c r="G41" s="160">
        <f t="shared" si="0"/>
        <v>326.71014031797773</v>
      </c>
      <c r="H41" s="160">
        <f t="shared" si="1"/>
        <v>154.04706221574008</v>
      </c>
      <c r="I41" s="161">
        <f t="shared" si="2"/>
        <v>97858.995033177562</v>
      </c>
      <c r="J41" s="162">
        <f t="shared" si="3"/>
        <v>480.75720253371782</v>
      </c>
      <c r="L41" s="126"/>
    </row>
    <row r="42" spans="2:12">
      <c r="B42" s="159"/>
      <c r="C42">
        <f t="shared" si="8"/>
        <v>8</v>
      </c>
      <c r="D42" s="161">
        <f t="shared" si="5"/>
        <v>97858.995033177562</v>
      </c>
      <c r="E42" s="161">
        <f t="shared" si="6"/>
        <v>480.75720253371782</v>
      </c>
      <c r="F42" s="23">
        <f t="shared" si="7"/>
        <v>0.04</v>
      </c>
      <c r="G42" s="160">
        <f t="shared" si="0"/>
        <v>326.19665011059192</v>
      </c>
      <c r="H42" s="160">
        <f t="shared" si="1"/>
        <v>154.5605524231259</v>
      </c>
      <c r="I42" s="161">
        <f t="shared" si="2"/>
        <v>97704.43448075444</v>
      </c>
      <c r="J42" s="162">
        <f t="shared" si="3"/>
        <v>480.75720253371782</v>
      </c>
      <c r="L42" s="126"/>
    </row>
    <row r="43" spans="2:12">
      <c r="B43" s="159"/>
      <c r="C43">
        <f t="shared" si="8"/>
        <v>9</v>
      </c>
      <c r="D43" s="161">
        <f t="shared" si="5"/>
        <v>97704.43448075444</v>
      </c>
      <c r="E43" s="161">
        <f t="shared" si="6"/>
        <v>480.75720253371782</v>
      </c>
      <c r="F43" s="23">
        <f t="shared" si="7"/>
        <v>0.04</v>
      </c>
      <c r="G43" s="160">
        <f t="shared" si="0"/>
        <v>325.68144826918149</v>
      </c>
      <c r="H43" s="160">
        <f t="shared" si="1"/>
        <v>155.07575426453633</v>
      </c>
      <c r="I43" s="161">
        <f t="shared" si="2"/>
        <v>97549.358726489911</v>
      </c>
      <c r="J43" s="162">
        <f t="shared" si="3"/>
        <v>480.75720253371782</v>
      </c>
      <c r="L43" s="126"/>
    </row>
    <row r="44" spans="2:12">
      <c r="B44" s="159"/>
      <c r="C44">
        <f t="shared" si="8"/>
        <v>10</v>
      </c>
      <c r="D44" s="161">
        <f t="shared" si="5"/>
        <v>97549.358726489911</v>
      </c>
      <c r="E44" s="161">
        <f t="shared" si="6"/>
        <v>480.75720253371782</v>
      </c>
      <c r="F44" s="23">
        <f t="shared" si="7"/>
        <v>0.04</v>
      </c>
      <c r="G44" s="160">
        <f t="shared" si="0"/>
        <v>325.16452908829973</v>
      </c>
      <c r="H44" s="160">
        <f t="shared" si="1"/>
        <v>155.59267344541809</v>
      </c>
      <c r="I44" s="161">
        <f t="shared" si="2"/>
        <v>97393.766053044499</v>
      </c>
      <c r="J44" s="162">
        <f t="shared" si="3"/>
        <v>480.75720253371782</v>
      </c>
      <c r="L44" s="126"/>
    </row>
    <row r="45" spans="2:12">
      <c r="B45" s="159"/>
      <c r="C45">
        <f t="shared" si="8"/>
        <v>11</v>
      </c>
      <c r="D45" s="161">
        <f t="shared" si="5"/>
        <v>97393.766053044499</v>
      </c>
      <c r="E45" s="161">
        <f t="shared" si="6"/>
        <v>480.75720253371782</v>
      </c>
      <c r="F45" s="23">
        <f t="shared" si="7"/>
        <v>0.04</v>
      </c>
      <c r="G45" s="160">
        <f t="shared" si="0"/>
        <v>324.64588684348166</v>
      </c>
      <c r="H45" s="160">
        <f t="shared" si="1"/>
        <v>156.11131569023615</v>
      </c>
      <c r="I45" s="161">
        <f t="shared" si="2"/>
        <v>97237.654737354256</v>
      </c>
      <c r="J45" s="162">
        <f t="shared" si="3"/>
        <v>480.75720253371782</v>
      </c>
      <c r="L45" s="126"/>
    </row>
    <row r="46" spans="2:12">
      <c r="B46" s="159"/>
      <c r="C46">
        <f t="shared" si="8"/>
        <v>12</v>
      </c>
      <c r="D46" s="161">
        <f t="shared" si="5"/>
        <v>97237.654737354256</v>
      </c>
      <c r="E46" s="161">
        <f t="shared" si="6"/>
        <v>480.75720253371782</v>
      </c>
      <c r="F46" s="23">
        <f t="shared" si="7"/>
        <v>0.04</v>
      </c>
      <c r="G46" s="160">
        <f t="shared" si="0"/>
        <v>324.12551579118087</v>
      </c>
      <c r="H46" s="160">
        <f t="shared" si="1"/>
        <v>156.63168674253694</v>
      </c>
      <c r="I46" s="701">
        <f>(D46-H46)*(1+K46)</f>
        <v>102905.88443364843</v>
      </c>
      <c r="J46" s="162">
        <f t="shared" si="3"/>
        <v>480.75720253371782</v>
      </c>
      <c r="K46" s="702">
        <v>0.06</v>
      </c>
      <c r="L46" s="126"/>
    </row>
    <row r="47" spans="2:12">
      <c r="B47" s="159">
        <v>3</v>
      </c>
      <c r="C47">
        <v>1</v>
      </c>
      <c r="D47" s="701">
        <f>I46</f>
        <v>102905.88443364843</v>
      </c>
      <c r="E47" s="161">
        <f>PMT(F47/12,($F$11-B47+1)*12,-D47)</f>
        <v>509.60263468574095</v>
      </c>
      <c r="F47" s="23">
        <f>F46</f>
        <v>0.04</v>
      </c>
      <c r="G47" s="160">
        <f>(F47/12)*D47</f>
        <v>343.01961477882816</v>
      </c>
      <c r="H47" s="160">
        <f>E47-G47</f>
        <v>166.5830199069128</v>
      </c>
      <c r="I47" s="161">
        <f>D47-H47</f>
        <v>102739.30141374152</v>
      </c>
      <c r="J47" s="162">
        <f>E47</f>
        <v>509.60263468574095</v>
      </c>
      <c r="L47" s="126"/>
    </row>
    <row r="48" spans="2:12">
      <c r="B48" s="159"/>
      <c r="C48">
        <f t="shared" ref="C48:C58" si="9">1+C47</f>
        <v>2</v>
      </c>
      <c r="D48" s="161">
        <f t="shared" si="5"/>
        <v>102739.30141374152</v>
      </c>
      <c r="E48" s="161">
        <f t="shared" si="6"/>
        <v>509.60263468574095</v>
      </c>
      <c r="F48" s="23">
        <f t="shared" si="7"/>
        <v>0.04</v>
      </c>
      <c r="G48" s="160">
        <f t="shared" si="0"/>
        <v>342.46433804580505</v>
      </c>
      <c r="H48" s="160">
        <f t="shared" si="1"/>
        <v>167.1382966399359</v>
      </c>
      <c r="I48" s="161">
        <f t="shared" si="2"/>
        <v>102572.16311710158</v>
      </c>
      <c r="J48" s="162">
        <f t="shared" si="3"/>
        <v>509.60263468574095</v>
      </c>
      <c r="L48" s="126"/>
    </row>
    <row r="49" spans="2:12">
      <c r="B49" s="159"/>
      <c r="C49">
        <f t="shared" si="9"/>
        <v>3</v>
      </c>
      <c r="D49" s="161">
        <f t="shared" si="5"/>
        <v>102572.16311710158</v>
      </c>
      <c r="E49" s="161">
        <f t="shared" si="6"/>
        <v>509.60263468574095</v>
      </c>
      <c r="F49" s="23">
        <f t="shared" si="7"/>
        <v>0.04</v>
      </c>
      <c r="G49" s="160">
        <f t="shared" si="0"/>
        <v>341.90721039033861</v>
      </c>
      <c r="H49" s="160">
        <f t="shared" si="1"/>
        <v>167.69542429540235</v>
      </c>
      <c r="I49" s="161">
        <f t="shared" si="2"/>
        <v>102404.46769280617</v>
      </c>
      <c r="J49" s="162">
        <f t="shared" si="3"/>
        <v>509.60263468574095</v>
      </c>
      <c r="L49" s="126"/>
    </row>
    <row r="50" spans="2:12">
      <c r="B50" s="159"/>
      <c r="C50">
        <f t="shared" si="9"/>
        <v>4</v>
      </c>
      <c r="D50" s="161">
        <f t="shared" si="5"/>
        <v>102404.46769280617</v>
      </c>
      <c r="E50" s="161">
        <f t="shared" si="6"/>
        <v>509.60263468574095</v>
      </c>
      <c r="F50" s="23">
        <f t="shared" si="7"/>
        <v>0.04</v>
      </c>
      <c r="G50" s="160">
        <f t="shared" si="0"/>
        <v>341.34822564268723</v>
      </c>
      <c r="H50" s="160">
        <f t="shared" si="1"/>
        <v>168.25440904305373</v>
      </c>
      <c r="I50" s="161">
        <f t="shared" si="2"/>
        <v>102236.21328376311</v>
      </c>
      <c r="J50" s="162">
        <f t="shared" si="3"/>
        <v>509.60263468574095</v>
      </c>
      <c r="L50" s="126"/>
    </row>
    <row r="51" spans="2:12">
      <c r="B51" s="159"/>
      <c r="C51">
        <f t="shared" si="9"/>
        <v>5</v>
      </c>
      <c r="D51" s="161">
        <f t="shared" si="5"/>
        <v>102236.21328376311</v>
      </c>
      <c r="E51" s="161">
        <f t="shared" si="6"/>
        <v>509.60263468574095</v>
      </c>
      <c r="F51" s="23">
        <f t="shared" si="7"/>
        <v>0.04</v>
      </c>
      <c r="G51" s="160">
        <f t="shared" si="0"/>
        <v>340.78737761254371</v>
      </c>
      <c r="H51" s="160">
        <f t="shared" si="1"/>
        <v>168.81525707319724</v>
      </c>
      <c r="I51" s="161">
        <f t="shared" si="2"/>
        <v>102067.39802668992</v>
      </c>
      <c r="J51" s="162">
        <f t="shared" si="3"/>
        <v>509.60263468574095</v>
      </c>
      <c r="L51" s="126"/>
    </row>
    <row r="52" spans="2:12">
      <c r="B52" s="159"/>
      <c r="C52">
        <f t="shared" si="9"/>
        <v>6</v>
      </c>
      <c r="D52" s="161">
        <f t="shared" si="5"/>
        <v>102067.39802668992</v>
      </c>
      <c r="E52" s="161">
        <f t="shared" si="6"/>
        <v>509.60263468574095</v>
      </c>
      <c r="F52" s="23">
        <f t="shared" si="7"/>
        <v>0.04</v>
      </c>
      <c r="G52" s="160">
        <f t="shared" si="0"/>
        <v>340.2246600889664</v>
      </c>
      <c r="H52" s="160">
        <f t="shared" si="1"/>
        <v>169.37797459677455</v>
      </c>
      <c r="I52" s="161">
        <f t="shared" si="2"/>
        <v>101898.02005209314</v>
      </c>
      <c r="J52" s="162">
        <f t="shared" si="3"/>
        <v>509.60263468574095</v>
      </c>
      <c r="L52" s="126"/>
    </row>
    <row r="53" spans="2:12">
      <c r="B53" s="159"/>
      <c r="C53">
        <f t="shared" si="9"/>
        <v>7</v>
      </c>
      <c r="D53" s="161">
        <f t="shared" si="5"/>
        <v>101898.02005209314</v>
      </c>
      <c r="E53" s="161">
        <f t="shared" si="6"/>
        <v>509.60263468574095</v>
      </c>
      <c r="F53" s="23">
        <f t="shared" si="7"/>
        <v>0.04</v>
      </c>
      <c r="G53" s="160">
        <f t="shared" si="0"/>
        <v>339.66006684031049</v>
      </c>
      <c r="H53" s="160">
        <f t="shared" si="1"/>
        <v>169.94256784543046</v>
      </c>
      <c r="I53" s="161">
        <f t="shared" si="2"/>
        <v>101728.07748424771</v>
      </c>
      <c r="J53" s="162">
        <f t="shared" si="3"/>
        <v>509.60263468574095</v>
      </c>
      <c r="L53" s="126"/>
    </row>
    <row r="54" spans="2:12">
      <c r="B54" s="159"/>
      <c r="C54">
        <f t="shared" si="9"/>
        <v>8</v>
      </c>
      <c r="D54" s="161">
        <f t="shared" si="5"/>
        <v>101728.07748424771</v>
      </c>
      <c r="E54" s="161">
        <f t="shared" si="6"/>
        <v>509.60263468574095</v>
      </c>
      <c r="F54" s="23">
        <f t="shared" si="7"/>
        <v>0.04</v>
      </c>
      <c r="G54" s="160">
        <f t="shared" si="0"/>
        <v>339.09359161415904</v>
      </c>
      <c r="H54" s="160">
        <f t="shared" si="1"/>
        <v>170.50904307158191</v>
      </c>
      <c r="I54" s="161">
        <f t="shared" si="2"/>
        <v>101557.56844117613</v>
      </c>
      <c r="J54" s="162">
        <f t="shared" si="3"/>
        <v>509.60263468574095</v>
      </c>
      <c r="L54" s="126"/>
    </row>
    <row r="55" spans="2:12">
      <c r="B55" s="159"/>
      <c r="C55">
        <f t="shared" si="9"/>
        <v>9</v>
      </c>
      <c r="D55" s="161">
        <f t="shared" si="5"/>
        <v>101557.56844117613</v>
      </c>
      <c r="E55" s="161">
        <f t="shared" si="6"/>
        <v>509.60263468574095</v>
      </c>
      <c r="F55" s="23">
        <f t="shared" si="7"/>
        <v>0.04</v>
      </c>
      <c r="G55" s="160">
        <f t="shared" ref="G55:G82" si="10">(F55/12)*D55</f>
        <v>338.52522813725381</v>
      </c>
      <c r="H55" s="160">
        <f t="shared" ref="H55:H82" si="11">E55-G55</f>
        <v>171.07740654848715</v>
      </c>
      <c r="I55" s="161">
        <f t="shared" ref="I55:I81" si="12">D55-H55</f>
        <v>101386.49103462764</v>
      </c>
      <c r="J55" s="162">
        <f t="shared" ref="J55:J81" si="13">E55</f>
        <v>509.60263468574095</v>
      </c>
      <c r="L55" s="126"/>
    </row>
    <row r="56" spans="2:12">
      <c r="B56" s="159"/>
      <c r="C56">
        <f t="shared" si="9"/>
        <v>10</v>
      </c>
      <c r="D56" s="161">
        <f t="shared" ref="D56:D82" si="14">I55</f>
        <v>101386.49103462764</v>
      </c>
      <c r="E56" s="161">
        <f t="shared" ref="E56:E82" si="15">E55</f>
        <v>509.60263468574095</v>
      </c>
      <c r="F56" s="23">
        <f t="shared" ref="F56:F82" si="16">F55</f>
        <v>0.04</v>
      </c>
      <c r="G56" s="160">
        <f t="shared" si="10"/>
        <v>337.95497011542551</v>
      </c>
      <c r="H56" s="160">
        <f t="shared" si="11"/>
        <v>171.64766457031544</v>
      </c>
      <c r="I56" s="161">
        <f t="shared" si="12"/>
        <v>101214.84337005732</v>
      </c>
      <c r="J56" s="162">
        <f t="shared" si="13"/>
        <v>509.60263468574095</v>
      </c>
      <c r="L56" s="126"/>
    </row>
    <row r="57" spans="2:12">
      <c r="B57" s="159"/>
      <c r="C57">
        <f t="shared" si="9"/>
        <v>11</v>
      </c>
      <c r="D57" s="161">
        <f t="shared" si="14"/>
        <v>101214.84337005732</v>
      </c>
      <c r="E57" s="161">
        <f t="shared" si="15"/>
        <v>509.60263468574095</v>
      </c>
      <c r="F57" s="23">
        <f t="shared" si="16"/>
        <v>0.04</v>
      </c>
      <c r="G57" s="160">
        <f t="shared" si="10"/>
        <v>337.38281123352442</v>
      </c>
      <c r="H57" s="160">
        <f t="shared" si="11"/>
        <v>172.21982345221653</v>
      </c>
      <c r="I57" s="161">
        <f t="shared" si="12"/>
        <v>101042.6235466051</v>
      </c>
      <c r="J57" s="162">
        <f t="shared" si="13"/>
        <v>509.60263468574095</v>
      </c>
      <c r="L57" s="126"/>
    </row>
    <row r="58" spans="2:12">
      <c r="B58" s="159"/>
      <c r="C58">
        <f t="shared" si="9"/>
        <v>12</v>
      </c>
      <c r="D58" s="161">
        <f t="shared" si="14"/>
        <v>101042.6235466051</v>
      </c>
      <c r="E58" s="161">
        <f t="shared" si="15"/>
        <v>509.60263468574095</v>
      </c>
      <c r="F58" s="23">
        <f t="shared" si="16"/>
        <v>0.04</v>
      </c>
      <c r="G58" s="160">
        <f t="shared" si="10"/>
        <v>336.80874515535038</v>
      </c>
      <c r="H58" s="160">
        <f t="shared" si="11"/>
        <v>172.79388953039057</v>
      </c>
      <c r="I58" s="701">
        <f>(D58-H58)*(1+K58)</f>
        <v>106922.01943649919</v>
      </c>
      <c r="J58" s="162">
        <f t="shared" si="13"/>
        <v>509.60263468574095</v>
      </c>
      <c r="K58" s="702">
        <v>0.06</v>
      </c>
      <c r="L58" s="126"/>
    </row>
    <row r="59" spans="2:12">
      <c r="B59" s="159">
        <v>4</v>
      </c>
      <c r="C59">
        <v>1</v>
      </c>
      <c r="D59" s="701">
        <f>I58</f>
        <v>106922.01943649919</v>
      </c>
      <c r="E59" s="161">
        <f>PMT(F59/12,($F$11-B59+1)*12,-D59)</f>
        <v>540.17879276688529</v>
      </c>
      <c r="F59" s="23">
        <f t="shared" si="16"/>
        <v>0.04</v>
      </c>
      <c r="G59" s="160">
        <f t="shared" si="10"/>
        <v>356.40673145499733</v>
      </c>
      <c r="H59" s="160">
        <f t="shared" si="11"/>
        <v>183.77206131188797</v>
      </c>
      <c r="I59" s="161">
        <f t="shared" si="12"/>
        <v>106738.2473751873</v>
      </c>
      <c r="J59" s="162">
        <f t="shared" si="13"/>
        <v>540.17879276688529</v>
      </c>
      <c r="L59" s="126"/>
    </row>
    <row r="60" spans="2:12">
      <c r="B60" s="159"/>
      <c r="C60">
        <f t="shared" ref="C60:C70" si="17">1+C59</f>
        <v>2</v>
      </c>
      <c r="D60" s="161">
        <f t="shared" si="14"/>
        <v>106738.2473751873</v>
      </c>
      <c r="E60" s="161">
        <f t="shared" si="15"/>
        <v>540.17879276688529</v>
      </c>
      <c r="F60" s="23">
        <f t="shared" si="16"/>
        <v>0.04</v>
      </c>
      <c r="G60" s="160">
        <f t="shared" si="10"/>
        <v>355.79415791729105</v>
      </c>
      <c r="H60" s="160">
        <f t="shared" si="11"/>
        <v>184.38463484959425</v>
      </c>
      <c r="I60" s="161">
        <f t="shared" si="12"/>
        <v>106553.8627403377</v>
      </c>
      <c r="J60" s="162">
        <f t="shared" si="13"/>
        <v>540.17879276688529</v>
      </c>
      <c r="L60" s="126"/>
    </row>
    <row r="61" spans="2:12">
      <c r="B61" s="159"/>
      <c r="C61">
        <f t="shared" si="17"/>
        <v>3</v>
      </c>
      <c r="D61" s="161">
        <f t="shared" si="14"/>
        <v>106553.8627403377</v>
      </c>
      <c r="E61" s="161">
        <f t="shared" si="15"/>
        <v>540.17879276688529</v>
      </c>
      <c r="F61" s="23">
        <f t="shared" si="16"/>
        <v>0.04</v>
      </c>
      <c r="G61" s="160">
        <f t="shared" si="10"/>
        <v>355.17954246779237</v>
      </c>
      <c r="H61" s="160">
        <f t="shared" si="11"/>
        <v>184.99925029909292</v>
      </c>
      <c r="I61" s="161">
        <f t="shared" si="12"/>
        <v>106368.86349003861</v>
      </c>
      <c r="J61" s="162">
        <f t="shared" si="13"/>
        <v>540.17879276688529</v>
      </c>
      <c r="L61" s="126"/>
    </row>
    <row r="62" spans="2:12">
      <c r="B62" s="159"/>
      <c r="C62">
        <f t="shared" si="17"/>
        <v>4</v>
      </c>
      <c r="D62" s="161">
        <f t="shared" si="14"/>
        <v>106368.86349003861</v>
      </c>
      <c r="E62" s="161">
        <f t="shared" si="15"/>
        <v>540.17879276688529</v>
      </c>
      <c r="F62" s="23">
        <f t="shared" si="16"/>
        <v>0.04</v>
      </c>
      <c r="G62" s="160">
        <f t="shared" si="10"/>
        <v>354.56287830012872</v>
      </c>
      <c r="H62" s="160">
        <f t="shared" si="11"/>
        <v>185.61591446675658</v>
      </c>
      <c r="I62" s="161">
        <f t="shared" si="12"/>
        <v>106183.24757557185</v>
      </c>
      <c r="J62" s="162">
        <f t="shared" si="13"/>
        <v>540.17879276688529</v>
      </c>
      <c r="L62" s="126"/>
    </row>
    <row r="63" spans="2:12">
      <c r="B63" s="159"/>
      <c r="C63">
        <f t="shared" si="17"/>
        <v>5</v>
      </c>
      <c r="D63" s="161">
        <f t="shared" si="14"/>
        <v>106183.24757557185</v>
      </c>
      <c r="E63" s="161">
        <f t="shared" si="15"/>
        <v>540.17879276688529</v>
      </c>
      <c r="F63" s="23">
        <f t="shared" si="16"/>
        <v>0.04</v>
      </c>
      <c r="G63" s="160">
        <f t="shared" si="10"/>
        <v>353.94415858523951</v>
      </c>
      <c r="H63" s="160">
        <f t="shared" si="11"/>
        <v>186.23463418164579</v>
      </c>
      <c r="I63" s="161">
        <f t="shared" si="12"/>
        <v>105997.0129413902</v>
      </c>
      <c r="J63" s="162">
        <f t="shared" si="13"/>
        <v>540.17879276688529</v>
      </c>
      <c r="L63" s="126"/>
    </row>
    <row r="64" spans="2:12">
      <c r="B64" s="159"/>
      <c r="C64">
        <f t="shared" si="17"/>
        <v>6</v>
      </c>
      <c r="D64" s="161">
        <f t="shared" si="14"/>
        <v>105997.0129413902</v>
      </c>
      <c r="E64" s="161">
        <f t="shared" si="15"/>
        <v>540.17879276688529</v>
      </c>
      <c r="F64" s="23">
        <f t="shared" si="16"/>
        <v>0.04</v>
      </c>
      <c r="G64" s="160">
        <f t="shared" si="10"/>
        <v>353.32337647130072</v>
      </c>
      <c r="H64" s="160">
        <f t="shared" si="11"/>
        <v>186.85541629558458</v>
      </c>
      <c r="I64" s="161">
        <f t="shared" si="12"/>
        <v>105810.15752509462</v>
      </c>
      <c r="J64" s="162">
        <f t="shared" si="13"/>
        <v>540.17879276688529</v>
      </c>
      <c r="L64" s="126"/>
    </row>
    <row r="65" spans="2:12">
      <c r="B65" s="159"/>
      <c r="C65">
        <f t="shared" si="17"/>
        <v>7</v>
      </c>
      <c r="D65" s="161">
        <f t="shared" si="14"/>
        <v>105810.15752509462</v>
      </c>
      <c r="E65" s="161">
        <f t="shared" si="15"/>
        <v>540.17879276688529</v>
      </c>
      <c r="F65" s="23">
        <f t="shared" si="16"/>
        <v>0.04</v>
      </c>
      <c r="G65" s="160">
        <f t="shared" si="10"/>
        <v>352.70052508364876</v>
      </c>
      <c r="H65" s="160">
        <f t="shared" si="11"/>
        <v>187.47826768323654</v>
      </c>
      <c r="I65" s="161">
        <f t="shared" si="12"/>
        <v>105622.67925741138</v>
      </c>
      <c r="J65" s="162">
        <f t="shared" si="13"/>
        <v>540.17879276688529</v>
      </c>
      <c r="L65" s="126"/>
    </row>
    <row r="66" spans="2:12">
      <c r="B66" s="159"/>
      <c r="C66">
        <f t="shared" si="17"/>
        <v>8</v>
      </c>
      <c r="D66" s="161">
        <f t="shared" si="14"/>
        <v>105622.67925741138</v>
      </c>
      <c r="E66" s="161">
        <f t="shared" si="15"/>
        <v>540.17879276688529</v>
      </c>
      <c r="F66" s="23">
        <f t="shared" si="16"/>
        <v>0.04</v>
      </c>
      <c r="G66" s="160">
        <f t="shared" si="10"/>
        <v>352.07559752470462</v>
      </c>
      <c r="H66" s="160">
        <f t="shared" si="11"/>
        <v>188.10319524218067</v>
      </c>
      <c r="I66" s="161">
        <f t="shared" si="12"/>
        <v>105434.5760621692</v>
      </c>
      <c r="J66" s="162">
        <f t="shared" si="13"/>
        <v>540.17879276688529</v>
      </c>
      <c r="K66" s="11"/>
      <c r="L66" s="126"/>
    </row>
    <row r="67" spans="2:12">
      <c r="B67" s="159"/>
      <c r="C67">
        <f t="shared" si="17"/>
        <v>9</v>
      </c>
      <c r="D67" s="161">
        <f t="shared" si="14"/>
        <v>105434.5760621692</v>
      </c>
      <c r="E67" s="161">
        <f t="shared" si="15"/>
        <v>540.17879276688529</v>
      </c>
      <c r="F67" s="23">
        <f t="shared" si="16"/>
        <v>0.04</v>
      </c>
      <c r="G67" s="160">
        <f t="shared" si="10"/>
        <v>351.44858687389734</v>
      </c>
      <c r="H67" s="160">
        <f t="shared" si="11"/>
        <v>188.73020589298795</v>
      </c>
      <c r="I67" s="161">
        <f t="shared" si="12"/>
        <v>105245.84585627621</v>
      </c>
      <c r="J67" s="162">
        <f t="shared" si="13"/>
        <v>540.17879276688529</v>
      </c>
      <c r="L67" s="126"/>
    </row>
    <row r="68" spans="2:12">
      <c r="B68" s="159"/>
      <c r="C68">
        <f t="shared" si="17"/>
        <v>10</v>
      </c>
      <c r="D68" s="161">
        <f t="shared" si="14"/>
        <v>105245.84585627621</v>
      </c>
      <c r="E68" s="161">
        <f t="shared" si="15"/>
        <v>540.17879276688529</v>
      </c>
      <c r="F68" s="23">
        <f t="shared" si="16"/>
        <v>0.04</v>
      </c>
      <c r="G68" s="160">
        <f t="shared" si="10"/>
        <v>350.81948618758742</v>
      </c>
      <c r="H68" s="160">
        <f t="shared" si="11"/>
        <v>189.35930657929788</v>
      </c>
      <c r="I68" s="161">
        <f t="shared" si="12"/>
        <v>105056.48654969691</v>
      </c>
      <c r="J68" s="162">
        <f t="shared" si="13"/>
        <v>540.17879276688529</v>
      </c>
      <c r="L68" s="126"/>
    </row>
    <row r="69" spans="2:12">
      <c r="B69" s="159"/>
      <c r="C69">
        <f t="shared" si="17"/>
        <v>11</v>
      </c>
      <c r="D69" s="161">
        <f t="shared" si="14"/>
        <v>105056.48654969691</v>
      </c>
      <c r="E69" s="161">
        <f t="shared" si="15"/>
        <v>540.17879276688529</v>
      </c>
      <c r="F69" s="23">
        <f t="shared" si="16"/>
        <v>0.04</v>
      </c>
      <c r="G69" s="160">
        <f t="shared" si="10"/>
        <v>350.18828849898972</v>
      </c>
      <c r="H69" s="160">
        <f t="shared" si="11"/>
        <v>189.99050426789557</v>
      </c>
      <c r="I69" s="161">
        <f t="shared" si="12"/>
        <v>104866.49604542901</v>
      </c>
      <c r="J69" s="162">
        <f t="shared" si="13"/>
        <v>540.17879276688529</v>
      </c>
      <c r="L69" s="126"/>
    </row>
    <row r="70" spans="2:12">
      <c r="B70" s="159"/>
      <c r="C70">
        <f t="shared" si="17"/>
        <v>12</v>
      </c>
      <c r="D70" s="161">
        <f t="shared" si="14"/>
        <v>104866.49604542901</v>
      </c>
      <c r="E70" s="161">
        <f t="shared" si="15"/>
        <v>540.17879276688529</v>
      </c>
      <c r="F70" s="23">
        <f t="shared" si="16"/>
        <v>0.04</v>
      </c>
      <c r="G70" s="160">
        <f t="shared" si="10"/>
        <v>349.55498681809672</v>
      </c>
      <c r="H70" s="160">
        <f t="shared" si="11"/>
        <v>190.62380594878857</v>
      </c>
      <c r="I70" s="701">
        <f>(D70-H70)*(1+K70)</f>
        <v>110956.42457384904</v>
      </c>
      <c r="J70" s="162">
        <f t="shared" si="13"/>
        <v>540.17879276688529</v>
      </c>
      <c r="K70" s="702">
        <v>0.06</v>
      </c>
      <c r="L70" s="126"/>
    </row>
    <row r="71" spans="2:12">
      <c r="B71" s="159">
        <v>5</v>
      </c>
      <c r="C71">
        <v>1</v>
      </c>
      <c r="D71" s="701">
        <f>I70</f>
        <v>110956.42457384904</v>
      </c>
      <c r="E71" s="161">
        <f>PMT(F71/12,($F$11-B71+1)*12,-D71)</f>
        <v>572.58952033289825</v>
      </c>
      <c r="F71" s="23">
        <f t="shared" si="16"/>
        <v>0.04</v>
      </c>
      <c r="G71" s="160">
        <f t="shared" si="10"/>
        <v>369.85474857949686</v>
      </c>
      <c r="H71" s="160">
        <f t="shared" si="11"/>
        <v>202.73477175340139</v>
      </c>
      <c r="I71" s="161">
        <f t="shared" si="12"/>
        <v>110753.68980209564</v>
      </c>
      <c r="J71" s="162">
        <f t="shared" si="13"/>
        <v>572.58952033289825</v>
      </c>
      <c r="L71" s="126"/>
    </row>
    <row r="72" spans="2:12">
      <c r="B72" s="159"/>
      <c r="C72">
        <f t="shared" ref="C72:C82" si="18">1+C71</f>
        <v>2</v>
      </c>
      <c r="D72" s="161">
        <f t="shared" si="14"/>
        <v>110753.68980209564</v>
      </c>
      <c r="E72" s="161">
        <f t="shared" si="15"/>
        <v>572.58952033289825</v>
      </c>
      <c r="F72" s="23">
        <f t="shared" si="16"/>
        <v>0.04</v>
      </c>
      <c r="G72" s="160">
        <f t="shared" si="10"/>
        <v>369.17896600698549</v>
      </c>
      <c r="H72" s="160">
        <f t="shared" si="11"/>
        <v>203.41055432591276</v>
      </c>
      <c r="I72" s="161">
        <f t="shared" si="12"/>
        <v>110550.27924776974</v>
      </c>
      <c r="J72" s="162">
        <f t="shared" si="13"/>
        <v>572.58952033289825</v>
      </c>
      <c r="L72" s="126"/>
    </row>
    <row r="73" spans="2:12">
      <c r="B73" s="159"/>
      <c r="C73">
        <f t="shared" si="18"/>
        <v>3</v>
      </c>
      <c r="D73" s="161">
        <f t="shared" si="14"/>
        <v>110550.27924776974</v>
      </c>
      <c r="E73" s="161">
        <f t="shared" si="15"/>
        <v>572.58952033289825</v>
      </c>
      <c r="F73" s="23">
        <f t="shared" si="16"/>
        <v>0.04</v>
      </c>
      <c r="G73" s="160">
        <f t="shared" si="10"/>
        <v>368.50093082589916</v>
      </c>
      <c r="H73" s="160">
        <f t="shared" si="11"/>
        <v>204.08858950699909</v>
      </c>
      <c r="I73" s="161">
        <f t="shared" si="12"/>
        <v>110346.19065826274</v>
      </c>
      <c r="J73" s="162">
        <f t="shared" si="13"/>
        <v>572.58952033289825</v>
      </c>
      <c r="L73" s="126"/>
    </row>
    <row r="74" spans="2:12">
      <c r="B74" s="159"/>
      <c r="C74">
        <f t="shared" si="18"/>
        <v>4</v>
      </c>
      <c r="D74" s="161">
        <f t="shared" si="14"/>
        <v>110346.19065826274</v>
      </c>
      <c r="E74" s="161">
        <f t="shared" si="15"/>
        <v>572.58952033289825</v>
      </c>
      <c r="F74" s="23">
        <f t="shared" si="16"/>
        <v>0.04</v>
      </c>
      <c r="G74" s="160">
        <f t="shared" si="10"/>
        <v>367.82063552754249</v>
      </c>
      <c r="H74" s="160">
        <f t="shared" si="11"/>
        <v>204.76888480535575</v>
      </c>
      <c r="I74" s="161">
        <f t="shared" si="12"/>
        <v>110141.42177345739</v>
      </c>
      <c r="J74" s="162">
        <f t="shared" si="13"/>
        <v>572.58952033289825</v>
      </c>
      <c r="L74" s="126"/>
    </row>
    <row r="75" spans="2:12">
      <c r="B75" s="159"/>
      <c r="C75">
        <f t="shared" si="18"/>
        <v>5</v>
      </c>
      <c r="D75" s="161">
        <f t="shared" si="14"/>
        <v>110141.42177345739</v>
      </c>
      <c r="E75" s="161">
        <f t="shared" si="15"/>
        <v>572.58952033289825</v>
      </c>
      <c r="F75" s="23">
        <f t="shared" si="16"/>
        <v>0.04</v>
      </c>
      <c r="G75" s="160">
        <f t="shared" si="10"/>
        <v>367.13807257819133</v>
      </c>
      <c r="H75" s="160">
        <f t="shared" si="11"/>
        <v>205.45144775470692</v>
      </c>
      <c r="I75" s="161">
        <f t="shared" si="12"/>
        <v>109935.97032570268</v>
      </c>
      <c r="J75" s="162">
        <f t="shared" si="13"/>
        <v>572.58952033289825</v>
      </c>
      <c r="L75" s="126"/>
    </row>
    <row r="76" spans="2:12">
      <c r="B76" s="159"/>
      <c r="C76">
        <f t="shared" si="18"/>
        <v>6</v>
      </c>
      <c r="D76" s="161">
        <f t="shared" si="14"/>
        <v>109935.97032570268</v>
      </c>
      <c r="E76" s="161">
        <f t="shared" si="15"/>
        <v>572.58952033289825</v>
      </c>
      <c r="F76" s="23">
        <f t="shared" si="16"/>
        <v>0.04</v>
      </c>
      <c r="G76" s="160">
        <f t="shared" si="10"/>
        <v>366.45323441900899</v>
      </c>
      <c r="H76" s="160">
        <f t="shared" si="11"/>
        <v>206.13628591388925</v>
      </c>
      <c r="I76" s="161">
        <f t="shared" si="12"/>
        <v>109729.8340397888</v>
      </c>
      <c r="J76" s="162">
        <f t="shared" si="13"/>
        <v>572.58952033289825</v>
      </c>
      <c r="L76" s="126"/>
    </row>
    <row r="77" spans="2:12">
      <c r="B77" s="159"/>
      <c r="C77">
        <f t="shared" si="18"/>
        <v>7</v>
      </c>
      <c r="D77" s="161">
        <f t="shared" si="14"/>
        <v>109729.8340397888</v>
      </c>
      <c r="E77" s="161">
        <f t="shared" si="15"/>
        <v>572.58952033289825</v>
      </c>
      <c r="F77" s="23">
        <f t="shared" si="16"/>
        <v>0.04</v>
      </c>
      <c r="G77" s="160">
        <f t="shared" si="10"/>
        <v>365.76611346596269</v>
      </c>
      <c r="H77" s="160">
        <f t="shared" si="11"/>
        <v>206.82340686693556</v>
      </c>
      <c r="I77" s="161">
        <f t="shared" si="12"/>
        <v>109523.01063292185</v>
      </c>
      <c r="J77" s="162">
        <f t="shared" si="13"/>
        <v>572.58952033289825</v>
      </c>
      <c r="L77" s="126"/>
    </row>
    <row r="78" spans="2:12">
      <c r="B78" s="159"/>
      <c r="C78">
        <f t="shared" si="18"/>
        <v>8</v>
      </c>
      <c r="D78" s="161">
        <f t="shared" si="14"/>
        <v>109523.01063292185</v>
      </c>
      <c r="E78" s="161">
        <f t="shared" si="15"/>
        <v>572.58952033289825</v>
      </c>
      <c r="F78" s="23">
        <f t="shared" si="16"/>
        <v>0.04</v>
      </c>
      <c r="G78" s="160">
        <f t="shared" si="10"/>
        <v>365.07670210973953</v>
      </c>
      <c r="H78" s="160">
        <f t="shared" si="11"/>
        <v>207.51281822315872</v>
      </c>
      <c r="I78" s="161">
        <f t="shared" si="12"/>
        <v>109315.4978146987</v>
      </c>
      <c r="J78" s="162">
        <f t="shared" si="13"/>
        <v>572.58952033289825</v>
      </c>
      <c r="L78" s="126"/>
    </row>
    <row r="79" spans="2:12">
      <c r="B79" s="159"/>
      <c r="C79">
        <f t="shared" si="18"/>
        <v>9</v>
      </c>
      <c r="D79" s="161">
        <f t="shared" si="14"/>
        <v>109315.4978146987</v>
      </c>
      <c r="E79" s="161">
        <f t="shared" si="15"/>
        <v>572.58952033289825</v>
      </c>
      <c r="F79" s="23">
        <f t="shared" si="16"/>
        <v>0.04</v>
      </c>
      <c r="G79" s="160">
        <f t="shared" si="10"/>
        <v>364.38499271566235</v>
      </c>
      <c r="H79" s="160">
        <f t="shared" si="11"/>
        <v>208.2045276172359</v>
      </c>
      <c r="I79" s="161">
        <f t="shared" si="12"/>
        <v>109107.29328708145</v>
      </c>
      <c r="J79" s="162">
        <f t="shared" si="13"/>
        <v>572.58952033289825</v>
      </c>
      <c r="L79" s="126"/>
    </row>
    <row r="80" spans="2:12">
      <c r="B80" s="159"/>
      <c r="C80">
        <f t="shared" si="18"/>
        <v>10</v>
      </c>
      <c r="D80" s="161">
        <f t="shared" si="14"/>
        <v>109107.29328708145</v>
      </c>
      <c r="E80" s="161">
        <f t="shared" si="15"/>
        <v>572.58952033289825</v>
      </c>
      <c r="F80" s="23">
        <f t="shared" si="16"/>
        <v>0.04</v>
      </c>
      <c r="G80" s="160">
        <f t="shared" si="10"/>
        <v>363.69097762360485</v>
      </c>
      <c r="H80" s="160">
        <f t="shared" si="11"/>
        <v>208.89854270929339</v>
      </c>
      <c r="I80" s="161">
        <f t="shared" si="12"/>
        <v>108898.39474437216</v>
      </c>
      <c r="J80" s="162">
        <f t="shared" si="13"/>
        <v>572.58952033289825</v>
      </c>
      <c r="L80" s="126"/>
    </row>
    <row r="81" spans="2:12">
      <c r="B81" s="159"/>
      <c r="C81">
        <f t="shared" si="18"/>
        <v>11</v>
      </c>
      <c r="D81" s="161">
        <f t="shared" si="14"/>
        <v>108898.39474437216</v>
      </c>
      <c r="E81" s="161">
        <f t="shared" si="15"/>
        <v>572.58952033289825</v>
      </c>
      <c r="F81" s="23">
        <f t="shared" si="16"/>
        <v>0.04</v>
      </c>
      <c r="G81" s="160">
        <f t="shared" si="10"/>
        <v>362.99464914790718</v>
      </c>
      <c r="H81" s="160">
        <f t="shared" si="11"/>
        <v>209.59487118499106</v>
      </c>
      <c r="I81" s="161">
        <f t="shared" si="12"/>
        <v>108688.79987318716</v>
      </c>
      <c r="J81" s="162">
        <f t="shared" si="13"/>
        <v>572.58952033289825</v>
      </c>
      <c r="L81" s="126"/>
    </row>
    <row r="82" spans="2:12">
      <c r="B82" s="159"/>
      <c r="C82">
        <f t="shared" si="18"/>
        <v>12</v>
      </c>
      <c r="D82" s="161">
        <f t="shared" si="14"/>
        <v>108688.79987318716</v>
      </c>
      <c r="E82" s="161">
        <f t="shared" si="15"/>
        <v>572.58952033289825</v>
      </c>
      <c r="F82" s="23">
        <f t="shared" si="16"/>
        <v>0.04</v>
      </c>
      <c r="G82" s="160">
        <f t="shared" si="10"/>
        <v>362.29599957729056</v>
      </c>
      <c r="H82" s="160">
        <f t="shared" si="11"/>
        <v>210.29352075560769</v>
      </c>
      <c r="I82" s="161">
        <f>(D82-H82)*(1+K82)</f>
        <v>114987.21673357744</v>
      </c>
      <c r="J82" s="703">
        <f>E82+I82</f>
        <v>115559.80625391034</v>
      </c>
      <c r="K82" s="702">
        <v>0.06</v>
      </c>
      <c r="L82" s="126"/>
    </row>
    <row r="83" spans="2:12" ht="13" thickBot="1">
      <c r="B83" s="159"/>
      <c r="D83" s="160"/>
      <c r="E83" s="160"/>
      <c r="F83" s="23"/>
      <c r="G83" s="160"/>
      <c r="H83" s="160"/>
      <c r="I83" s="160"/>
      <c r="J83" s="126"/>
      <c r="L83" s="126"/>
    </row>
    <row r="84" spans="2:12" ht="13.5" thickBot="1">
      <c r="B84" s="159"/>
      <c r="D84" s="154" t="s">
        <v>826</v>
      </c>
      <c r="E84" s="164"/>
      <c r="F84" s="155">
        <f>IRR(J22:J82,+F10/12)*12</f>
        <v>0.11111508948970883</v>
      </c>
      <c r="G84" s="160"/>
      <c r="H84" s="160"/>
      <c r="I84" s="160"/>
      <c r="J84" s="126"/>
      <c r="L84" s="126"/>
    </row>
    <row r="85" spans="2:12" ht="13" thickBot="1">
      <c r="B85" s="165"/>
      <c r="C85" s="4"/>
      <c r="D85" s="166"/>
      <c r="E85" s="166"/>
      <c r="F85" s="142"/>
      <c r="G85" s="166"/>
      <c r="H85" s="166"/>
      <c r="I85" s="166"/>
      <c r="J85" s="135"/>
      <c r="L85" s="126"/>
    </row>
    <row r="86" spans="2:12" ht="13" thickBot="1">
      <c r="B86" s="165"/>
      <c r="C86" s="4"/>
      <c r="D86" s="166"/>
      <c r="E86" s="166"/>
      <c r="F86" s="142"/>
      <c r="G86" s="166"/>
      <c r="H86" s="166"/>
      <c r="I86" s="166"/>
      <c r="J86" s="4"/>
      <c r="K86" s="4"/>
      <c r="L86" s="135"/>
    </row>
    <row r="87" spans="2:12">
      <c r="B87" s="83"/>
    </row>
    <row r="88" spans="2:12" ht="13">
      <c r="B88" s="83"/>
      <c r="H88" s="218" t="s">
        <v>34</v>
      </c>
    </row>
    <row r="89" spans="2:12">
      <c r="B89" s="83"/>
    </row>
    <row r="90" spans="2:12">
      <c r="B90" s="83"/>
    </row>
    <row r="91" spans="2:12">
      <c r="B91" s="83"/>
    </row>
    <row r="92" spans="2:12">
      <c r="B92" s="83"/>
    </row>
    <row r="93" spans="2:12">
      <c r="B93" s="83"/>
    </row>
    <row r="94" spans="2:12" ht="13">
      <c r="B94" s="83"/>
      <c r="C94" s="1"/>
      <c r="D94" s="1"/>
      <c r="E94" s="1"/>
    </row>
    <row r="95" spans="2:12">
      <c r="B95" s="83"/>
      <c r="D95" s="43"/>
      <c r="E95" s="11"/>
    </row>
    <row r="96" spans="2:12">
      <c r="B96" s="83"/>
      <c r="D96" s="43"/>
      <c r="E96" s="161"/>
    </row>
    <row r="97" spans="2:5">
      <c r="B97" s="83"/>
      <c r="D97" s="43"/>
      <c r="E97" s="161"/>
    </row>
    <row r="98" spans="2:5">
      <c r="B98" s="83"/>
      <c r="D98" s="43"/>
      <c r="E98" s="161"/>
    </row>
    <row r="99" spans="2:5">
      <c r="B99" s="83"/>
      <c r="D99" s="43"/>
      <c r="E99" s="161"/>
    </row>
    <row r="100" spans="2:5">
      <c r="B100" s="83"/>
      <c r="D100" s="43"/>
    </row>
    <row r="101" spans="2:5">
      <c r="B101" s="83"/>
    </row>
    <row r="102" spans="2:5">
      <c r="B102" s="83"/>
    </row>
    <row r="103" spans="2:5">
      <c r="B103" s="83"/>
    </row>
    <row r="104" spans="2:5">
      <c r="B104" s="83"/>
    </row>
    <row r="105" spans="2:5">
      <c r="B105" s="83"/>
    </row>
  </sheetData>
  <mergeCells count="3">
    <mergeCell ref="B2:L2"/>
    <mergeCell ref="B3:L3"/>
    <mergeCell ref="C7:G7"/>
  </mergeCells>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F608558CD3404D91C1E4208169651A" ma:contentTypeVersion="10" ma:contentTypeDescription="Create a new document." ma:contentTypeScope="" ma:versionID="aafffc6bc7660a511f55d4555ba4bc3d">
  <xsd:schema xmlns:xsd="http://www.w3.org/2001/XMLSchema" xmlns:xs="http://www.w3.org/2001/XMLSchema" xmlns:p="http://schemas.microsoft.com/office/2006/metadata/properties" xmlns:ns3="3cf71462-6136-44ad-8b3d-fcb57c93a90a" targetNamespace="http://schemas.microsoft.com/office/2006/metadata/properties" ma:root="true" ma:fieldsID="599bbec11a91a74b6b845d0ce182f9aa" ns3:_="">
    <xsd:import namespace="3cf71462-6136-44ad-8b3d-fcb57c93a90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f71462-6136-44ad-8b3d-fcb57c93a9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C6D6B3-E259-4DBE-A5FF-1E6B97324399}">
  <ds:schemaRefs>
    <ds:schemaRef ds:uri="http://schemas.microsoft.com/sharepoint/v3/contenttype/forms"/>
  </ds:schemaRefs>
</ds:datastoreItem>
</file>

<file path=customXml/itemProps2.xml><?xml version="1.0" encoding="utf-8"?>
<ds:datastoreItem xmlns:ds="http://schemas.openxmlformats.org/officeDocument/2006/customXml" ds:itemID="{395E1AAD-C31A-4F7A-988E-92F9D1A36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f71462-6136-44ad-8b3d-fcb57c93a9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6E9A25-6D12-449F-B6BC-570D8B50D228}">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3cf71462-6136-44ad-8b3d-fcb57c93a90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10</vt:i4>
      </vt:variant>
    </vt:vector>
  </HeadingPairs>
  <TitlesOfParts>
    <vt:vector size="68" baseType="lpstr">
      <vt:lpstr>Introduction</vt:lpstr>
      <vt:lpstr>Ch4 Eff Cost</vt:lpstr>
      <vt:lpstr>Ch4 Eff Cost-Pts-Payoff</vt:lpstr>
      <vt:lpstr>Ch4 CAM</vt:lpstr>
      <vt:lpstr>Ch4 GPM</vt:lpstr>
      <vt:lpstr>Ch5 ARM No Caps</vt:lpstr>
      <vt:lpstr>Ch5 ARM Int Cap</vt:lpstr>
      <vt:lpstr>Ch5 ARM Pmt Cap</vt:lpstr>
      <vt:lpstr>Ch5 PLAM</vt:lpstr>
      <vt:lpstr>Ch5 PLAM Graphs</vt:lpstr>
      <vt:lpstr>Ch5 SAM</vt:lpstr>
      <vt:lpstr>Ch6 Incremental Cost</vt:lpstr>
      <vt:lpstr>Ch6 Combined Cost 2 loans</vt:lpstr>
      <vt:lpstr>Ch7 Rent vs Own</vt:lpstr>
      <vt:lpstr>Ch9 Eff.Rents</vt:lpstr>
      <vt:lpstr>Ch10 H&amp;BU</vt:lpstr>
      <vt:lpstr>Ch10 Mort Eq Cap</vt:lpstr>
      <vt:lpstr>Ch 10 Oakwood 14e</vt:lpstr>
      <vt:lpstr>Ch 10 Oakwood 15,16,17e</vt:lpstr>
      <vt:lpstr>Ch11 Market Analysis</vt:lpstr>
      <vt:lpstr>Ch11 Lease 14e (Monument 1of3)</vt:lpstr>
      <vt:lpstr>Ch11 Unlev 14e Monument 2of3</vt:lpstr>
      <vt:lpstr>Ch11 14e Lev &amp; Tax 3of3</vt:lpstr>
      <vt:lpstr>Ch11 Lease (Monument) 15&amp;16e </vt:lpstr>
      <vt:lpstr>Ch11 Lease (Monument) 17e</vt:lpstr>
      <vt:lpstr>Ch12 Leverage</vt:lpstr>
      <vt:lpstr>Ch12 Participation (16e)</vt:lpstr>
      <vt:lpstr>Ch12 Participation (17e)</vt:lpstr>
      <vt:lpstr>Ch12 Sale Leaseback of Land</vt:lpstr>
      <vt:lpstr>Ch12 Accrual Loan</vt:lpstr>
      <vt:lpstr>Ch12 Convertible Mortgage</vt:lpstr>
      <vt:lpstr>Ch13 Risk IRR Partition</vt:lpstr>
      <vt:lpstr>Ch13 Risk Std.Dev.</vt:lpstr>
      <vt:lpstr>Ch 13 Risk and Leverage</vt:lpstr>
      <vt:lpstr>Ch13 Retail</vt:lpstr>
      <vt:lpstr>Ch13 Industrial</vt:lpstr>
      <vt:lpstr>Ch14 Return if Held</vt:lpstr>
      <vt:lpstr>Ch14 MRR</vt:lpstr>
      <vt:lpstr>Ch14 Return with Refinancing</vt:lpstr>
      <vt:lpstr>Ch14 Renovation</vt:lpstr>
      <vt:lpstr>Ch14 Installment Sale</vt:lpstr>
      <vt:lpstr>Ch 14 Exchange</vt:lpstr>
      <vt:lpstr>Ch15 Lease_Own</vt:lpstr>
      <vt:lpstr>Ch15 Prob. 1</vt:lpstr>
      <vt:lpstr>Ch16 Const (16e)</vt:lpstr>
      <vt:lpstr>Ch16 Const (17e)</vt:lpstr>
      <vt:lpstr>Ch17 Land Dev</vt:lpstr>
      <vt:lpstr>Ch18 IRR Pref WF(g)</vt:lpstr>
      <vt:lpstr>Ch18 IRR Lookback</vt:lpstr>
      <vt:lpstr>Ch18 Partners (Tax) 16e</vt:lpstr>
      <vt:lpstr>Ch19 MPS</vt:lpstr>
      <vt:lpstr>Ch20 CMO</vt:lpstr>
      <vt:lpstr>Ch20 Floater</vt:lpstr>
      <vt:lpstr>CH20 IO_PO</vt:lpstr>
      <vt:lpstr>Ch20 CMBS</vt:lpstr>
      <vt:lpstr>Ch22_Frontier</vt:lpstr>
      <vt:lpstr>Ch23_Waterfall 3 Tier_ToDeal_g</vt:lpstr>
      <vt:lpstr>Ch23_Waterfall 3 Tier_ToMoney_g</vt:lpstr>
      <vt:lpstr>Class_A</vt:lpstr>
      <vt:lpstr>Class_B</vt:lpstr>
      <vt:lpstr>ClassA_Coupon</vt:lpstr>
      <vt:lpstr>ClassB_Coupon</vt:lpstr>
      <vt:lpstr>Default_property_Price</vt:lpstr>
      <vt:lpstr>Interest_rate</vt:lpstr>
      <vt:lpstr>Maturity</vt:lpstr>
      <vt:lpstr>Mortgages</vt:lpstr>
      <vt:lpstr>Residual</vt:lpstr>
      <vt:lpstr>Total_Asset</vt:lpstr>
    </vt:vector>
  </TitlesOfParts>
  <Company>CRES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modified by GDC</dc:creator>
  <cp:lastModifiedBy>Rahul Kotian</cp:lastModifiedBy>
  <cp:lastPrinted>2011-07-26T15:06:10Z</cp:lastPrinted>
  <dcterms:created xsi:type="dcterms:W3CDTF">2001-08-24T01:04:19Z</dcterms:created>
  <dcterms:modified xsi:type="dcterms:W3CDTF">2024-06-11T04:03:54Z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0x01010040F608558CD3404D91C1E4208169651A</vt:lpwstr>
  </property>
</Properties>
</file>