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Exam 1 Practice/"/>
    </mc:Choice>
  </mc:AlternateContent>
  <xr:revisionPtr revIDLastSave="915" documentId="11_F25DC773A252ABDACC1048F6399F61A85BDE58EF" xr6:coauthVersionLast="47" xr6:coauthVersionMax="47" xr10:uidLastSave="{5EBE8BE9-CDBE-40B2-BA5F-2116D0A1D19C}"/>
  <bookViews>
    <workbookView xWindow="28680" yWindow="-120" windowWidth="29040" windowHeight="17520" activeTab="7" xr2:uid="{00000000-000D-0000-FFFF-FFFF00000000}"/>
  </bookViews>
  <sheets>
    <sheet name="Practice test" sheetId="1" r:id="rId1"/>
    <sheet name="Chpt 3 " sheetId="2" r:id="rId2"/>
    <sheet name="Chpt 4" sheetId="3" r:id="rId3"/>
    <sheet name="Full Amoritization" sheetId="5" r:id="rId4"/>
    <sheet name="Pay off" sheetId="6" r:id="rId5"/>
    <sheet name="Effective Interest Rate" sheetId="7" r:id="rId6"/>
    <sheet name="Chpt 5" sheetId="4" r:id="rId7"/>
    <sheet name="Exam 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" i="8" l="1"/>
  <c r="D121" i="8"/>
  <c r="H108" i="8"/>
  <c r="J106" i="8"/>
  <c r="J105" i="8"/>
  <c r="C109" i="8"/>
  <c r="C107" i="8"/>
  <c r="C110" i="8" l="1"/>
  <c r="C97" i="8" l="1"/>
  <c r="M98" i="8"/>
  <c r="M97" i="8"/>
  <c r="M96" i="8"/>
  <c r="E96" i="8"/>
  <c r="E95" i="8"/>
  <c r="E88" i="8"/>
  <c r="E89" i="8"/>
  <c r="C90" i="8" l="1"/>
  <c r="B40" i="2" l="1"/>
  <c r="C80" i="8"/>
  <c r="C78" i="8"/>
  <c r="C79" i="8" s="1"/>
  <c r="C73" i="8"/>
  <c r="C81" i="8" s="1"/>
  <c r="C71" i="8"/>
  <c r="E60" i="8"/>
  <c r="C60" i="8"/>
  <c r="E56" i="8"/>
  <c r="E51" i="8"/>
  <c r="C50" i="8"/>
  <c r="E50" i="8" s="1"/>
  <c r="D39" i="8"/>
  <c r="D26" i="8"/>
  <c r="D27" i="8" s="1"/>
  <c r="D17" i="8"/>
  <c r="D11" i="8"/>
  <c r="E9" i="8"/>
  <c r="D8" i="8"/>
  <c r="D12" i="8" s="1"/>
  <c r="D28" i="8" s="1"/>
  <c r="D136" i="7"/>
  <c r="D137" i="7" s="1"/>
  <c r="H127" i="7"/>
  <c r="D127" i="7"/>
  <c r="D119" i="7"/>
  <c r="D118" i="7"/>
  <c r="D109" i="7"/>
  <c r="D103" i="7"/>
  <c r="E101" i="7"/>
  <c r="D110" i="7" s="1"/>
  <c r="D100" i="7"/>
  <c r="D89" i="7"/>
  <c r="D90" i="7" s="1"/>
  <c r="H80" i="7"/>
  <c r="D80" i="7"/>
  <c r="D71" i="7"/>
  <c r="D72" i="7" s="1"/>
  <c r="D62" i="7"/>
  <c r="D57" i="7"/>
  <c r="D73" i="7" s="1"/>
  <c r="D79" i="7" s="1"/>
  <c r="D56" i="7"/>
  <c r="E54" i="7"/>
  <c r="D53" i="7"/>
  <c r="D81" i="7" s="1"/>
  <c r="D87" i="7" s="1"/>
  <c r="E51" i="7"/>
  <c r="D42" i="7"/>
  <c r="D43" i="7" s="1"/>
  <c r="H33" i="7"/>
  <c r="D33" i="7" s="1"/>
  <c r="D25" i="7"/>
  <c r="D24" i="7"/>
  <c r="D15" i="7"/>
  <c r="D10" i="7"/>
  <c r="D41" i="7" s="1"/>
  <c r="D9" i="7"/>
  <c r="E7" i="7"/>
  <c r="D6" i="7"/>
  <c r="E4" i="7"/>
  <c r="C22" i="6"/>
  <c r="C20" i="6"/>
  <c r="C21" i="6" s="1"/>
  <c r="C15" i="6"/>
  <c r="C23" i="6" s="1"/>
  <c r="C13" i="6"/>
  <c r="C6" i="6"/>
  <c r="C7" i="6" s="1"/>
  <c r="C5" i="6"/>
  <c r="L7" i="5"/>
  <c r="L8" i="5" s="1"/>
  <c r="M10" i="5" s="1"/>
  <c r="C7" i="5"/>
  <c r="E10" i="5" s="1"/>
  <c r="L5" i="5"/>
  <c r="C5" i="5"/>
  <c r="C74" i="8" l="1"/>
  <c r="C77" i="8" s="1"/>
  <c r="C82" i="8" s="1"/>
  <c r="C53" i="8"/>
  <c r="C57" i="8" s="1"/>
  <c r="C61" i="8" s="1"/>
  <c r="C63" i="8" s="1"/>
  <c r="D18" i="8"/>
  <c r="D19" i="8" s="1"/>
  <c r="E25" i="8" s="1"/>
  <c r="D29" i="8" s="1"/>
  <c r="G29" i="8" s="1"/>
  <c r="D104" i="7"/>
  <c r="D120" i="7" s="1"/>
  <c r="D126" i="7" s="1"/>
  <c r="D128" i="7" s="1"/>
  <c r="D134" i="7" s="1"/>
  <c r="D111" i="7"/>
  <c r="E117" i="7" s="1"/>
  <c r="D17" i="7"/>
  <c r="D88" i="7"/>
  <c r="D16" i="7"/>
  <c r="D26" i="7"/>
  <c r="D63" i="7"/>
  <c r="D64" i="7" s="1"/>
  <c r="C16" i="6"/>
  <c r="C19" i="6" s="1"/>
  <c r="C24" i="6" s="1"/>
  <c r="C8" i="5"/>
  <c r="D13" i="5" s="1"/>
  <c r="D135" i="7" l="1"/>
  <c r="D121" i="7"/>
  <c r="G121" i="7" s="1"/>
  <c r="D133" i="7"/>
  <c r="E70" i="7"/>
  <c r="D74" i="7" s="1"/>
  <c r="G74" i="7" s="1"/>
  <c r="D86" i="7"/>
  <c r="D91" i="7" s="1"/>
  <c r="G91" i="7" s="1"/>
  <c r="D39" i="7"/>
  <c r="E23" i="7"/>
  <c r="D27" i="7" s="1"/>
  <c r="G27" i="7" s="1"/>
  <c r="D32" i="7"/>
  <c r="D34" i="7" s="1"/>
  <c r="D40" i="7" s="1"/>
  <c r="E11" i="5"/>
  <c r="D138" i="7" l="1"/>
  <c r="G138" i="7" s="1"/>
  <c r="D44" i="7"/>
  <c r="G44" i="7" s="1"/>
  <c r="B16" i="4" l="1"/>
  <c r="D16" i="4" s="1"/>
  <c r="D12" i="4"/>
  <c r="D7" i="4"/>
  <c r="B6" i="4"/>
  <c r="D6" i="4" s="1"/>
  <c r="B9" i="4" s="1"/>
  <c r="B13" i="4" s="1"/>
  <c r="D68" i="3"/>
  <c r="B68" i="3"/>
  <c r="D67" i="3"/>
  <c r="B61" i="3"/>
  <c r="D59" i="3"/>
  <c r="B63" i="3" s="1"/>
  <c r="D58" i="3"/>
  <c r="D57" i="3"/>
  <c r="D48" i="3"/>
  <c r="D50" i="3"/>
  <c r="B50" i="3"/>
  <c r="D41" i="3"/>
  <c r="D40" i="3"/>
  <c r="B44" i="3" s="1"/>
  <c r="D39" i="3"/>
  <c r="B42" i="3" s="1"/>
  <c r="B33" i="3"/>
  <c r="D33" i="3" s="1"/>
  <c r="D30" i="3"/>
  <c r="D29" i="3"/>
  <c r="D14" i="3"/>
  <c r="D13" i="3"/>
  <c r="B15" i="3" s="1"/>
  <c r="B22" i="3" s="1"/>
  <c r="B24" i="3" s="1"/>
  <c r="D6" i="3"/>
  <c r="D5" i="3"/>
  <c r="C9" i="3" s="1"/>
  <c r="D82" i="1"/>
  <c r="B83" i="1" s="1"/>
  <c r="B84" i="1" s="1"/>
  <c r="B80" i="1"/>
  <c r="D79" i="1"/>
  <c r="B79" i="1"/>
  <c r="B77" i="1"/>
  <c r="D76" i="1"/>
  <c r="D74" i="1"/>
  <c r="D62" i="1"/>
  <c r="B62" i="1"/>
  <c r="B61" i="1"/>
  <c r="B60" i="1"/>
  <c r="B59" i="1"/>
  <c r="D58" i="1"/>
  <c r="B54" i="1"/>
  <c r="B52" i="1"/>
  <c r="D51" i="1"/>
  <c r="B51" i="1"/>
  <c r="D49" i="1"/>
  <c r="D46" i="1"/>
  <c r="B46" i="1"/>
  <c r="B45" i="1"/>
  <c r="B17" i="4" l="1"/>
  <c r="B19" i="4" s="1"/>
  <c r="B65" i="3"/>
  <c r="D65" i="3" s="1"/>
  <c r="B45" i="3"/>
  <c r="D45" i="3" s="1"/>
  <c r="B51" i="3"/>
  <c r="B52" i="3" s="1"/>
  <c r="B53" i="3" s="1"/>
  <c r="D53" i="3" s="1"/>
  <c r="B69" i="3"/>
  <c r="B70" i="3" s="1"/>
  <c r="B71" i="3" s="1"/>
  <c r="D71" i="3" s="1"/>
  <c r="B34" i="3"/>
  <c r="B7" i="3"/>
  <c r="D10" i="3" s="1"/>
  <c r="B44" i="1" l="1"/>
  <c r="C43" i="1"/>
  <c r="B40" i="1"/>
  <c r="D36" i="1"/>
  <c r="D38" i="1"/>
  <c r="E29" i="1"/>
  <c r="E30" i="1"/>
  <c r="E31" i="1"/>
  <c r="E28" i="1"/>
  <c r="D28" i="1"/>
  <c r="D31" i="1"/>
  <c r="D30" i="1"/>
  <c r="D29" i="1"/>
  <c r="D22" i="1"/>
  <c r="D21" i="1"/>
  <c r="B23" i="1" s="1"/>
  <c r="B16" i="1"/>
  <c r="B87" i="2"/>
  <c r="D84" i="2"/>
  <c r="D86" i="2"/>
  <c r="B81" i="2"/>
  <c r="B75" i="2"/>
  <c r="D73" i="2"/>
  <c r="D71" i="2"/>
  <c r="B69" i="2"/>
  <c r="B63" i="2"/>
  <c r="C55" i="2"/>
  <c r="E54" i="2"/>
  <c r="E53" i="2"/>
  <c r="C52" i="2"/>
  <c r="C48" i="2"/>
  <c r="E47" i="2"/>
  <c r="E46" i="2"/>
  <c r="D39" i="2"/>
  <c r="D38" i="2"/>
  <c r="H31" i="2"/>
  <c r="J31" i="2" s="1"/>
  <c r="J29" i="2"/>
  <c r="B31" i="2"/>
  <c r="D31" i="2" s="1"/>
  <c r="D29" i="2"/>
  <c r="G23" i="2"/>
  <c r="G22" i="2"/>
  <c r="G21" i="2"/>
  <c r="E23" i="2"/>
  <c r="B23" i="2"/>
  <c r="M14" i="2"/>
  <c r="M13" i="2"/>
  <c r="M12" i="2"/>
  <c r="M6" i="2"/>
  <c r="M5" i="2"/>
  <c r="M4" i="2"/>
  <c r="G6" i="2"/>
  <c r="G5" i="2"/>
  <c r="G4" i="2"/>
  <c r="G3" i="2"/>
  <c r="B14" i="2"/>
  <c r="E10" i="2"/>
  <c r="B13" i="2"/>
  <c r="B6" i="2"/>
</calcChain>
</file>

<file path=xl/sharedStrings.xml><?xml version="1.0" encoding="utf-8"?>
<sst xmlns="http://schemas.openxmlformats.org/spreadsheetml/2006/main" count="613" uniqueCount="125">
  <si>
    <t>Question</t>
  </si>
  <si>
    <t>Answer</t>
  </si>
  <si>
    <t>A</t>
  </si>
  <si>
    <t>D</t>
  </si>
  <si>
    <t>B</t>
  </si>
  <si>
    <t>C</t>
  </si>
  <si>
    <t>FV</t>
  </si>
  <si>
    <t>year</t>
  </si>
  <si>
    <t>PV</t>
  </si>
  <si>
    <t>i</t>
  </si>
  <si>
    <t>Compounded annually</t>
  </si>
  <si>
    <t xml:space="preserve">FV </t>
  </si>
  <si>
    <t>Compunded monthly</t>
  </si>
  <si>
    <t>Annual i</t>
  </si>
  <si>
    <t>n</t>
  </si>
  <si>
    <t>PV compounded annually</t>
  </si>
  <si>
    <t>N</t>
  </si>
  <si>
    <t>I</t>
  </si>
  <si>
    <t>PV compounded monthly</t>
  </si>
  <si>
    <t>PMT</t>
  </si>
  <si>
    <t>pmt</t>
  </si>
  <si>
    <t>Monthly</t>
  </si>
  <si>
    <t>Annual interest rate</t>
  </si>
  <si>
    <t>fully amoritized</t>
  </si>
  <si>
    <t>Payment</t>
  </si>
  <si>
    <t>Semi-annual</t>
  </si>
  <si>
    <t>Bidding</t>
  </si>
  <si>
    <t>Step 1</t>
  </si>
  <si>
    <t xml:space="preserve">Calculate payment </t>
  </si>
  <si>
    <t>Step 2</t>
  </si>
  <si>
    <t>Whats the PV of the future cash flows based on desired yield</t>
  </si>
  <si>
    <t>Chpter 3 quiz</t>
  </si>
  <si>
    <t>Actual loan</t>
  </si>
  <si>
    <t>Points</t>
  </si>
  <si>
    <t>After 4 years</t>
  </si>
  <si>
    <t>Remaining N</t>
  </si>
  <si>
    <t>Teaser rate</t>
  </si>
  <si>
    <t>Remaining years</t>
  </si>
  <si>
    <t>New interest rate</t>
  </si>
  <si>
    <t>Increase</t>
  </si>
  <si>
    <t>pay-off amount</t>
  </si>
  <si>
    <t>Mortgage Payment</t>
  </si>
  <si>
    <t>Interest paid</t>
  </si>
  <si>
    <t>Principal paid in 1st month</t>
  </si>
  <si>
    <t>Mortgage “Constant”</t>
  </si>
  <si>
    <t>= Monthly Payment / Loan Amount</t>
  </si>
  <si>
    <t>loan amounts given a max</t>
  </si>
  <si>
    <t>monthly payment (Pymt / factor)</t>
  </si>
  <si>
    <t>=Pymt / factor</t>
  </si>
  <si>
    <t>Factor</t>
  </si>
  <si>
    <t>Afford monthly</t>
  </si>
  <si>
    <t>Mortgage that can be afforded</t>
  </si>
  <si>
    <t>Loan Balance</t>
  </si>
  <si>
    <t>After 8 years</t>
  </si>
  <si>
    <t>Remaining</t>
  </si>
  <si>
    <t>Effective Interest Rates</t>
  </si>
  <si>
    <t>p</t>
  </si>
  <si>
    <t>Actual PV</t>
  </si>
  <si>
    <t>Effective interest rate</t>
  </si>
  <si>
    <t>If loan repaid after</t>
  </si>
  <si>
    <t>years</t>
  </si>
  <si>
    <t>Remaining payments</t>
  </si>
  <si>
    <t>Mpnthly payment</t>
  </si>
  <si>
    <t xml:space="preserve">Net proceeds </t>
  </si>
  <si>
    <t>Effective Interest rate (APR)</t>
  </si>
  <si>
    <t>If repaid after years</t>
  </si>
  <si>
    <t>Remainig years</t>
  </si>
  <si>
    <t>Remaining balance</t>
  </si>
  <si>
    <t>-------------------------------</t>
  </si>
  <si>
    <t>ARM</t>
  </si>
  <si>
    <t>LIBOR</t>
  </si>
  <si>
    <t>Margin</t>
  </si>
  <si>
    <t>Starting rate</t>
  </si>
  <si>
    <t xml:space="preserve">After </t>
  </si>
  <si>
    <t>1 year</t>
  </si>
  <si>
    <t xml:space="preserve">New Interest </t>
  </si>
  <si>
    <t>Increase by</t>
  </si>
  <si>
    <t>Annuity Present Value</t>
  </si>
  <si>
    <t>Payoff</t>
  </si>
  <si>
    <t>Years</t>
  </si>
  <si>
    <t>Ann interest</t>
  </si>
  <si>
    <t>Interest paid in 1st month</t>
  </si>
  <si>
    <t>Mortgage Constant</t>
  </si>
  <si>
    <t>Principal</t>
  </si>
  <si>
    <t>Annual interest</t>
  </si>
  <si>
    <t>Calculate PV of remaining payments</t>
  </si>
  <si>
    <t>Rate</t>
  </si>
  <si>
    <t>Payoff after</t>
  </si>
  <si>
    <t>Step 1:</t>
  </si>
  <si>
    <t xml:space="preserve">Home </t>
  </si>
  <si>
    <t>LTV</t>
  </si>
  <si>
    <t>payment using face value</t>
  </si>
  <si>
    <t>Step 2:</t>
  </si>
  <si>
    <t>Actual Loan "proceeds"</t>
  </si>
  <si>
    <t>Loan Amount</t>
  </si>
  <si>
    <t>- points paid</t>
  </si>
  <si>
    <t>Amount received</t>
  </si>
  <si>
    <t>Step 3:</t>
  </si>
  <si>
    <t>Computeeffective interest rate</t>
  </si>
  <si>
    <t>Loan</t>
  </si>
  <si>
    <t>Term</t>
  </si>
  <si>
    <t>Annual int</t>
  </si>
  <si>
    <t>disclosed by lender as APR)</t>
  </si>
  <si>
    <t>Step 4:</t>
  </si>
  <si>
    <t>Effective rate if loan repaid after 8 years</t>
  </si>
  <si>
    <t>n=</t>
  </si>
  <si>
    <t>Use initial contracted rate</t>
  </si>
  <si>
    <t>Step 5:</t>
  </si>
  <si>
    <t>Effective intersst cost</t>
  </si>
  <si>
    <t>PV=</t>
  </si>
  <si>
    <t>Payment after</t>
  </si>
  <si>
    <t>--------------------------------------------------------------------------------------------------------------------------------------------------------------------------</t>
  </si>
  <si>
    <t>Without LTV</t>
  </si>
  <si>
    <t>-----------------------------------------------------------------------------------------------------------------------------------------</t>
  </si>
  <si>
    <t>Effective rate if loan repaid after 5 years</t>
  </si>
  <si>
    <t>Q4</t>
  </si>
  <si>
    <t>irr</t>
  </si>
  <si>
    <t>Year</t>
  </si>
  <si>
    <t>Q 17</t>
  </si>
  <si>
    <t>Q21</t>
  </si>
  <si>
    <t>Q29</t>
  </si>
  <si>
    <t>Q33</t>
  </si>
  <si>
    <t> $4,200,000</t>
  </si>
  <si>
    <t>Q36</t>
  </si>
  <si>
    <t>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</si>
</sst>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0" fontId="0" fillId="2" borderId="0" xfId="0" applyFill="1"/>
    <xf numFmtId="164" fontId="0" fillId="0" borderId="0" xfId="0" applyNumberFormat="1"/>
    <xf numFmtId="10" fontId="2" fillId="0" borderId="0" xfId="2" applyNumberFormat="1" applyFont="1"/>
    <xf numFmtId="44" fontId="0" fillId="0" borderId="0" xfId="1" applyFont="1"/>
    <xf numFmtId="8" fontId="0" fillId="2" borderId="0" xfId="0" applyNumberFormat="1" applyFill="1"/>
    <xf numFmtId="9" fontId="3" fillId="0" borderId="0" xfId="3" applyNumberFormat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2" applyNumberFormat="1" applyFont="1"/>
    <xf numFmtId="165" fontId="0" fillId="0" borderId="0" xfId="2" applyNumberFormat="1" applyFont="1"/>
    <xf numFmtId="6" fontId="0" fillId="0" borderId="0" xfId="0" applyNumberFormat="1"/>
    <xf numFmtId="164" fontId="0" fillId="2" borderId="0" xfId="2" applyNumberFormat="1" applyFont="1" applyFill="1"/>
    <xf numFmtId="2" fontId="0" fillId="0" borderId="0" xfId="0" applyNumberFormat="1"/>
    <xf numFmtId="166" fontId="0" fillId="0" borderId="0" xfId="2" applyNumberFormat="1" applyFont="1"/>
    <xf numFmtId="3" fontId="0" fillId="0" borderId="0" xfId="0" applyNumberFormat="1"/>
    <xf numFmtId="0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7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opLeftCell="A74" workbookViewId="0">
      <selection activeCell="B89" sqref="B89"/>
    </sheetView>
  </sheetViews>
  <sheetFormatPr defaultRowHeight="14.5" x14ac:dyDescent="0.35"/>
  <cols>
    <col min="1" max="1" width="14.54296875" bestFit="1" customWidth="1"/>
    <col min="2" max="2" width="14.26953125" bestFit="1" customWidth="1"/>
    <col min="4" max="4" width="10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4</v>
      </c>
    </row>
    <row r="4" spans="1:2" x14ac:dyDescent="0.35">
      <c r="A4">
        <v>3</v>
      </c>
      <c r="B4" t="s">
        <v>3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4</v>
      </c>
    </row>
    <row r="7" spans="1:2" x14ac:dyDescent="0.35">
      <c r="A7">
        <v>6</v>
      </c>
      <c r="B7" t="s">
        <v>3</v>
      </c>
    </row>
    <row r="8" spans="1:2" x14ac:dyDescent="0.35">
      <c r="A8">
        <v>7</v>
      </c>
      <c r="B8" t="s">
        <v>4</v>
      </c>
    </row>
    <row r="9" spans="1:2" x14ac:dyDescent="0.35">
      <c r="A9">
        <v>8</v>
      </c>
      <c r="B9" t="s">
        <v>4</v>
      </c>
    </row>
    <row r="10" spans="1:2" x14ac:dyDescent="0.35">
      <c r="A10">
        <v>9</v>
      </c>
      <c r="B10" t="s">
        <v>4</v>
      </c>
    </row>
    <row r="11" spans="1:2" x14ac:dyDescent="0.35">
      <c r="A11">
        <v>10</v>
      </c>
      <c r="B11" t="s">
        <v>2</v>
      </c>
    </row>
    <row r="12" spans="1:2" x14ac:dyDescent="0.35">
      <c r="A12">
        <v>11</v>
      </c>
      <c r="B12" t="s">
        <v>3</v>
      </c>
    </row>
    <row r="13" spans="1:2" x14ac:dyDescent="0.35">
      <c r="A13" t="s">
        <v>8</v>
      </c>
      <c r="B13" s="8">
        <v>-3000000</v>
      </c>
    </row>
    <row r="14" spans="1:2" x14ac:dyDescent="0.35">
      <c r="A14" t="s">
        <v>16</v>
      </c>
      <c r="B14">
        <v>6</v>
      </c>
    </row>
    <row r="15" spans="1:2" x14ac:dyDescent="0.35">
      <c r="A15" t="s">
        <v>17</v>
      </c>
      <c r="B15" s="1">
        <v>0.08</v>
      </c>
    </row>
    <row r="16" spans="1:2" x14ac:dyDescent="0.35">
      <c r="A16" t="s">
        <v>6</v>
      </c>
      <c r="B16" s="2">
        <f>FV(B15,B14,0,B13,0)</f>
        <v>4760622.968832002</v>
      </c>
    </row>
    <row r="18" spans="1:5" x14ac:dyDescent="0.35">
      <c r="A18">
        <v>12</v>
      </c>
      <c r="B18" t="s">
        <v>2</v>
      </c>
    </row>
    <row r="19" spans="1:5" x14ac:dyDescent="0.35">
      <c r="A19">
        <v>13</v>
      </c>
      <c r="B19" t="s">
        <v>4</v>
      </c>
    </row>
    <row r="20" spans="1:5" x14ac:dyDescent="0.35">
      <c r="A20" t="s">
        <v>8</v>
      </c>
      <c r="B20">
        <v>6000000</v>
      </c>
    </row>
    <row r="21" spans="1:5" x14ac:dyDescent="0.35">
      <c r="A21" t="s">
        <v>17</v>
      </c>
      <c r="B21" s="1">
        <v>0.09</v>
      </c>
      <c r="C21" t="s">
        <v>9</v>
      </c>
      <c r="D21">
        <f>B21/12</f>
        <v>7.4999999999999997E-3</v>
      </c>
    </row>
    <row r="22" spans="1:5" x14ac:dyDescent="0.35">
      <c r="A22" t="s">
        <v>16</v>
      </c>
      <c r="B22">
        <v>30</v>
      </c>
      <c r="C22" t="s">
        <v>14</v>
      </c>
      <c r="D22">
        <f>12*B22</f>
        <v>360</v>
      </c>
    </row>
    <row r="23" spans="1:5" x14ac:dyDescent="0.35">
      <c r="A23" t="s">
        <v>19</v>
      </c>
      <c r="B23" s="2">
        <f>PMT(D21,D22,B20,0,0)</f>
        <v>-48277.357016686961</v>
      </c>
    </row>
    <row r="25" spans="1:5" x14ac:dyDescent="0.35">
      <c r="A25">
        <v>14</v>
      </c>
      <c r="B25" t="s">
        <v>3</v>
      </c>
    </row>
    <row r="26" spans="1:5" x14ac:dyDescent="0.35">
      <c r="A26" t="s">
        <v>8</v>
      </c>
      <c r="B26">
        <v>100</v>
      </c>
    </row>
    <row r="27" spans="1:5" x14ac:dyDescent="0.35">
      <c r="B27" t="s">
        <v>16</v>
      </c>
      <c r="C27" t="s">
        <v>17</v>
      </c>
      <c r="D27" t="s">
        <v>9</v>
      </c>
      <c r="E27" t="s">
        <v>6</v>
      </c>
    </row>
    <row r="28" spans="1:5" x14ac:dyDescent="0.35">
      <c r="A28" t="s">
        <v>16</v>
      </c>
      <c r="B28">
        <v>1</v>
      </c>
      <c r="C28" s="3">
        <v>6.6000000000000003E-2</v>
      </c>
      <c r="D28" s="3">
        <f>C28</f>
        <v>6.6000000000000003E-2</v>
      </c>
      <c r="E28" s="2">
        <f>FV(D28,B28,0,$B$26,0)</f>
        <v>-106.60000000000001</v>
      </c>
    </row>
    <row r="29" spans="1:5" x14ac:dyDescent="0.35">
      <c r="A29" t="s">
        <v>6</v>
      </c>
      <c r="B29">
        <v>12</v>
      </c>
      <c r="C29" s="1">
        <v>0.06</v>
      </c>
      <c r="D29" s="1">
        <f>C29/B29</f>
        <v>5.0000000000000001E-3</v>
      </c>
      <c r="E29" s="2">
        <f t="shared" ref="E29:E31" si="0">FV(D29,B29,0,$B$26,0)</f>
        <v>-106.16778118644976</v>
      </c>
    </row>
    <row r="30" spans="1:5" x14ac:dyDescent="0.35">
      <c r="B30">
        <v>3</v>
      </c>
      <c r="C30" s="3">
        <v>6.2E-2</v>
      </c>
      <c r="D30" s="3">
        <f>C30/B30</f>
        <v>2.0666666666666667E-2</v>
      </c>
      <c r="E30" s="2">
        <f t="shared" si="0"/>
        <v>-106.32901602962961</v>
      </c>
    </row>
    <row r="31" spans="1:5" x14ac:dyDescent="0.35">
      <c r="B31">
        <v>2</v>
      </c>
      <c r="C31" s="3">
        <v>6.4000000000000001E-2</v>
      </c>
      <c r="D31" s="3">
        <f>C31/B31</f>
        <v>3.2000000000000001E-2</v>
      </c>
      <c r="E31" s="2">
        <f t="shared" si="0"/>
        <v>-106.50239999999999</v>
      </c>
    </row>
    <row r="32" spans="1:5" x14ac:dyDescent="0.35">
      <c r="A32">
        <v>15</v>
      </c>
      <c r="B32" t="s">
        <v>5</v>
      </c>
    </row>
    <row r="33" spans="1:4" x14ac:dyDescent="0.35">
      <c r="A33">
        <v>16</v>
      </c>
      <c r="B33" t="s">
        <v>4</v>
      </c>
    </row>
    <row r="34" spans="1:4" x14ac:dyDescent="0.35">
      <c r="A34">
        <v>17</v>
      </c>
      <c r="B34" t="s">
        <v>2</v>
      </c>
    </row>
    <row r="35" spans="1:4" x14ac:dyDescent="0.35">
      <c r="A35">
        <v>18</v>
      </c>
      <c r="B35" t="s">
        <v>3</v>
      </c>
    </row>
    <row r="36" spans="1:4" x14ac:dyDescent="0.35">
      <c r="A36" t="s">
        <v>16</v>
      </c>
      <c r="B36">
        <v>30</v>
      </c>
      <c r="C36" t="s">
        <v>14</v>
      </c>
      <c r="D36">
        <f>12*B36</f>
        <v>360</v>
      </c>
    </row>
    <row r="37" spans="1:4" x14ac:dyDescent="0.35">
      <c r="A37" t="s">
        <v>8</v>
      </c>
      <c r="B37">
        <v>300000</v>
      </c>
    </row>
    <row r="38" spans="1:4" x14ac:dyDescent="0.35">
      <c r="A38" t="s">
        <v>17</v>
      </c>
      <c r="B38" s="1">
        <v>7.0000000000000007E-2</v>
      </c>
      <c r="C38" t="s">
        <v>9</v>
      </c>
      <c r="D38">
        <f>B38/12</f>
        <v>5.8333333333333336E-3</v>
      </c>
    </row>
    <row r="39" spans="1:4" x14ac:dyDescent="0.35">
      <c r="A39" t="s">
        <v>6</v>
      </c>
      <c r="B39">
        <v>0</v>
      </c>
    </row>
    <row r="40" spans="1:4" x14ac:dyDescent="0.35">
      <c r="A40" t="s">
        <v>19</v>
      </c>
      <c r="B40" s="2">
        <f>PMT(D38,D36,B37,B39,0)</f>
        <v>-1995.9074855375497</v>
      </c>
    </row>
    <row r="42" spans="1:4" x14ac:dyDescent="0.35">
      <c r="A42">
        <v>19</v>
      </c>
      <c r="B42" t="s">
        <v>5</v>
      </c>
    </row>
    <row r="43" spans="1:4" x14ac:dyDescent="0.35">
      <c r="A43" t="s">
        <v>33</v>
      </c>
      <c r="B43">
        <v>3</v>
      </c>
      <c r="C43">
        <f>B43/100</f>
        <v>0.03</v>
      </c>
    </row>
    <row r="44" spans="1:4" x14ac:dyDescent="0.35">
      <c r="A44" t="s">
        <v>32</v>
      </c>
      <c r="B44">
        <f>B37-(B37*C43)</f>
        <v>291000</v>
      </c>
    </row>
    <row r="45" spans="1:4" x14ac:dyDescent="0.35">
      <c r="A45" t="s">
        <v>8</v>
      </c>
      <c r="B45">
        <f>B44</f>
        <v>291000</v>
      </c>
    </row>
    <row r="46" spans="1:4" x14ac:dyDescent="0.35">
      <c r="A46" t="s">
        <v>17</v>
      </c>
      <c r="B46" s="3">
        <f>RATE(D36,B40,B45,0,0)</f>
        <v>6.0871089941770132E-3</v>
      </c>
      <c r="C46" t="s">
        <v>17</v>
      </c>
      <c r="D46" s="4">
        <f>B46*12</f>
        <v>7.3045307930124162E-2</v>
      </c>
    </row>
    <row r="48" spans="1:4" x14ac:dyDescent="0.35">
      <c r="A48">
        <v>20</v>
      </c>
      <c r="B48" t="s">
        <v>3</v>
      </c>
    </row>
    <row r="49" spans="1:4" x14ac:dyDescent="0.35">
      <c r="A49" t="s">
        <v>17</v>
      </c>
      <c r="B49" s="10">
        <v>7.0000000000000007E-2</v>
      </c>
      <c r="C49" t="s">
        <v>9</v>
      </c>
      <c r="D49" s="4">
        <f>B49/12</f>
        <v>5.8333333333333336E-3</v>
      </c>
    </row>
    <row r="50" spans="1:4" x14ac:dyDescent="0.35">
      <c r="A50" t="s">
        <v>34</v>
      </c>
    </row>
    <row r="51" spans="1:4" x14ac:dyDescent="0.35">
      <c r="A51" t="s">
        <v>35</v>
      </c>
      <c r="B51">
        <f>B36-4</f>
        <v>26</v>
      </c>
      <c r="C51" t="s">
        <v>14</v>
      </c>
      <c r="D51">
        <f>B51*12</f>
        <v>312</v>
      </c>
    </row>
    <row r="52" spans="1:4" x14ac:dyDescent="0.35">
      <c r="A52" t="s">
        <v>19</v>
      </c>
      <c r="B52" s="2">
        <f>B40</f>
        <v>-1995.9074855375497</v>
      </c>
    </row>
    <row r="53" spans="1:4" x14ac:dyDescent="0.35">
      <c r="A53" t="s">
        <v>6</v>
      </c>
      <c r="B53">
        <v>0</v>
      </c>
    </row>
    <row r="54" spans="1:4" x14ac:dyDescent="0.35">
      <c r="A54" t="s">
        <v>8</v>
      </c>
      <c r="B54" s="2">
        <f>PV(D49,D51,B52,B53,0)</f>
        <v>286423.63554541662</v>
      </c>
    </row>
    <row r="56" spans="1:4" x14ac:dyDescent="0.35">
      <c r="A56">
        <v>21</v>
      </c>
      <c r="B56" t="s">
        <v>5</v>
      </c>
    </row>
    <row r="58" spans="1:4" x14ac:dyDescent="0.35">
      <c r="A58" t="s">
        <v>16</v>
      </c>
      <c r="B58">
        <v>4</v>
      </c>
      <c r="C58" t="s">
        <v>14</v>
      </c>
      <c r="D58">
        <f>B58*12</f>
        <v>48</v>
      </c>
    </row>
    <row r="59" spans="1:4" x14ac:dyDescent="0.35">
      <c r="A59" t="s">
        <v>8</v>
      </c>
      <c r="B59">
        <f>B45</f>
        <v>291000</v>
      </c>
    </row>
    <row r="60" spans="1:4" x14ac:dyDescent="0.35">
      <c r="A60" t="s">
        <v>6</v>
      </c>
      <c r="B60" s="2">
        <f>-B54</f>
        <v>-286423.63554541662</v>
      </c>
    </row>
    <row r="61" spans="1:4" x14ac:dyDescent="0.35">
      <c r="A61" t="s">
        <v>19</v>
      </c>
      <c r="B61" s="2">
        <f>B52</f>
        <v>-1995.9074855375497</v>
      </c>
    </row>
    <row r="62" spans="1:4" x14ac:dyDescent="0.35">
      <c r="A62" t="s">
        <v>17</v>
      </c>
      <c r="B62" s="1">
        <f>RATE(D58,B61,B59,B60,0)</f>
        <v>6.5791031335116377E-3</v>
      </c>
      <c r="C62" t="s">
        <v>17</v>
      </c>
      <c r="D62" s="4">
        <f>12*B62</f>
        <v>7.8949237602139649E-2</v>
      </c>
    </row>
    <row r="64" spans="1:4" x14ac:dyDescent="0.35">
      <c r="A64">
        <v>22</v>
      </c>
      <c r="B64" t="s">
        <v>5</v>
      </c>
    </row>
    <row r="66" spans="1:4" x14ac:dyDescent="0.35">
      <c r="A66">
        <v>23</v>
      </c>
      <c r="B66" t="s">
        <v>2</v>
      </c>
    </row>
    <row r="68" spans="1:4" x14ac:dyDescent="0.35">
      <c r="A68">
        <v>24</v>
      </c>
      <c r="B68" t="s">
        <v>4</v>
      </c>
    </row>
    <row r="70" spans="1:4" x14ac:dyDescent="0.35">
      <c r="A70">
        <v>25</v>
      </c>
      <c r="B70" t="s">
        <v>2</v>
      </c>
    </row>
    <row r="72" spans="1:4" x14ac:dyDescent="0.35">
      <c r="A72">
        <v>26</v>
      </c>
      <c r="B72" t="s">
        <v>4</v>
      </c>
    </row>
    <row r="74" spans="1:4" x14ac:dyDescent="0.35">
      <c r="A74" t="s">
        <v>16</v>
      </c>
      <c r="B74">
        <v>30</v>
      </c>
      <c r="C74" t="s">
        <v>14</v>
      </c>
      <c r="D74">
        <f>12*B74</f>
        <v>360</v>
      </c>
    </row>
    <row r="75" spans="1:4" x14ac:dyDescent="0.35">
      <c r="A75" t="s">
        <v>8</v>
      </c>
      <c r="B75">
        <v>300000</v>
      </c>
    </row>
    <row r="76" spans="1:4" x14ac:dyDescent="0.35">
      <c r="A76" t="s">
        <v>36</v>
      </c>
      <c r="B76" s="1">
        <v>0.03</v>
      </c>
      <c r="C76" t="s">
        <v>9</v>
      </c>
      <c r="D76">
        <f>B76/12</f>
        <v>2.5000000000000001E-3</v>
      </c>
    </row>
    <row r="77" spans="1:4" x14ac:dyDescent="0.35">
      <c r="A77" t="s">
        <v>19</v>
      </c>
      <c r="B77" s="2">
        <f>PMT(D76,D74,B75)</f>
        <v>-1264.8121011883513</v>
      </c>
    </row>
    <row r="79" spans="1:4" x14ac:dyDescent="0.35">
      <c r="A79" t="s">
        <v>37</v>
      </c>
      <c r="B79">
        <f>B74-1</f>
        <v>29</v>
      </c>
      <c r="C79" t="s">
        <v>14</v>
      </c>
      <c r="D79">
        <f>12*B79</f>
        <v>348</v>
      </c>
    </row>
    <row r="80" spans="1:4" x14ac:dyDescent="0.35">
      <c r="A80" t="s">
        <v>8</v>
      </c>
      <c r="B80" s="2">
        <f>PV(D76,D79,B77)</f>
        <v>293736.59892467782</v>
      </c>
      <c r="C80" t="s">
        <v>40</v>
      </c>
    </row>
    <row r="82" spans="1:4" x14ac:dyDescent="0.35">
      <c r="A82" t="s">
        <v>38</v>
      </c>
      <c r="B82" s="1">
        <v>0.05</v>
      </c>
      <c r="C82" t="s">
        <v>9</v>
      </c>
      <c r="D82" s="4">
        <f>B82/12</f>
        <v>4.1666666666666666E-3</v>
      </c>
    </row>
    <row r="83" spans="1:4" x14ac:dyDescent="0.35">
      <c r="A83" t="s">
        <v>19</v>
      </c>
      <c r="B83" s="2">
        <f>PMT(D82,D79,B80)</f>
        <v>-1600.454123234013</v>
      </c>
    </row>
    <row r="84" spans="1:4" x14ac:dyDescent="0.35">
      <c r="A84" t="s">
        <v>39</v>
      </c>
      <c r="B84" s="2">
        <f>B83-B77</f>
        <v>-335.64202204566163</v>
      </c>
    </row>
    <row r="87" spans="1:4" x14ac:dyDescent="0.35">
      <c r="A87">
        <v>27</v>
      </c>
      <c r="B87" t="s">
        <v>5</v>
      </c>
    </row>
    <row r="89" spans="1:4" x14ac:dyDescent="0.35">
      <c r="A89">
        <v>28</v>
      </c>
      <c r="B89" t="s">
        <v>3</v>
      </c>
    </row>
  </sheetData>
  <hyperlinks>
    <hyperlink ref="B49" r:id="rId1" display="7@" xr:uid="{FE4C30C1-3514-4E32-8CF4-543FA168EE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FD5E-3210-48EB-8519-6AD71838D154}">
  <dimension ref="A2:M87"/>
  <sheetViews>
    <sheetView topLeftCell="A31" workbookViewId="0">
      <selection activeCell="J10" sqref="J10:N15"/>
    </sheetView>
  </sheetViews>
  <sheetFormatPr defaultRowHeight="14.5" x14ac:dyDescent="0.35"/>
  <cols>
    <col min="2" max="2" width="14.6328125" bestFit="1" customWidth="1"/>
    <col min="3" max="3" width="13" bestFit="1" customWidth="1"/>
    <col min="5" max="5" width="10.08984375" bestFit="1" customWidth="1"/>
    <col min="7" max="7" width="10.08984375" bestFit="1" customWidth="1"/>
    <col min="13" max="13" width="10.08984375" bestFit="1" customWidth="1"/>
  </cols>
  <sheetData>
    <row r="2" spans="1:13" x14ac:dyDescent="0.35">
      <c r="A2" s="5" t="s">
        <v>6</v>
      </c>
      <c r="B2" s="5" t="s">
        <v>10</v>
      </c>
      <c r="C2" s="5"/>
      <c r="J2" s="5" t="s">
        <v>15</v>
      </c>
      <c r="K2" s="5"/>
    </row>
    <row r="3" spans="1:13" x14ac:dyDescent="0.35">
      <c r="A3" t="s">
        <v>7</v>
      </c>
      <c r="B3">
        <v>5</v>
      </c>
      <c r="G3" s="4">
        <f>EFFECT(6%,1)</f>
        <v>6.0000000000000053E-2</v>
      </c>
      <c r="J3" t="s">
        <v>6</v>
      </c>
      <c r="K3">
        <v>2000</v>
      </c>
    </row>
    <row r="4" spans="1:13" x14ac:dyDescent="0.35">
      <c r="A4" t="s">
        <v>8</v>
      </c>
      <c r="B4">
        <v>-100</v>
      </c>
      <c r="G4" s="4">
        <f>EFFECT(6%,2)</f>
        <v>6.0899999999999954E-2</v>
      </c>
      <c r="J4" t="s">
        <v>16</v>
      </c>
      <c r="K4">
        <v>3</v>
      </c>
      <c r="L4" t="s">
        <v>14</v>
      </c>
      <c r="M4">
        <f>12*K4</f>
        <v>36</v>
      </c>
    </row>
    <row r="5" spans="1:13" x14ac:dyDescent="0.35">
      <c r="A5" t="s">
        <v>9</v>
      </c>
      <c r="B5" s="1">
        <v>0.1</v>
      </c>
      <c r="G5" s="4">
        <f>EFFECT(6%,12)</f>
        <v>6.1677811864497611E-2</v>
      </c>
      <c r="J5" t="s">
        <v>17</v>
      </c>
      <c r="K5" s="1">
        <v>0.08</v>
      </c>
      <c r="L5" t="s">
        <v>9</v>
      </c>
      <c r="M5">
        <f>K5/12</f>
        <v>6.6666666666666671E-3</v>
      </c>
    </row>
    <row r="6" spans="1:13" x14ac:dyDescent="0.35">
      <c r="A6" t="s">
        <v>6</v>
      </c>
      <c r="B6" s="2">
        <f>FV(B5,B3,0,B4,0)</f>
        <v>161.05100000000004</v>
      </c>
      <c r="G6" s="4">
        <f>EFFECT(6%,365)</f>
        <v>6.1831310677866957E-2</v>
      </c>
      <c r="J6" t="s">
        <v>15</v>
      </c>
      <c r="M6" s="2">
        <f>PV(K5,K4,0,K3,0)</f>
        <v>-1587.6644820403392</v>
      </c>
    </row>
    <row r="8" spans="1:13" x14ac:dyDescent="0.35">
      <c r="A8" s="5" t="s">
        <v>11</v>
      </c>
      <c r="B8" s="5" t="s">
        <v>12</v>
      </c>
      <c r="C8" s="5"/>
    </row>
    <row r="10" spans="1:13" x14ac:dyDescent="0.35">
      <c r="A10" t="s">
        <v>7</v>
      </c>
      <c r="B10">
        <v>5</v>
      </c>
      <c r="D10" t="s">
        <v>14</v>
      </c>
      <c r="E10">
        <f>B10*12</f>
        <v>60</v>
      </c>
      <c r="J10" s="5" t="s">
        <v>18</v>
      </c>
      <c r="K10" s="5"/>
    </row>
    <row r="11" spans="1:13" x14ac:dyDescent="0.35">
      <c r="A11" t="s">
        <v>8</v>
      </c>
      <c r="B11">
        <v>-100</v>
      </c>
      <c r="J11" t="s">
        <v>6</v>
      </c>
      <c r="K11">
        <v>2000</v>
      </c>
    </row>
    <row r="12" spans="1:13" x14ac:dyDescent="0.35">
      <c r="A12" t="s">
        <v>13</v>
      </c>
      <c r="B12" s="1">
        <v>0.1</v>
      </c>
      <c r="J12" t="s">
        <v>16</v>
      </c>
      <c r="K12">
        <v>3</v>
      </c>
      <c r="L12" t="s">
        <v>14</v>
      </c>
      <c r="M12">
        <f>12*K12</f>
        <v>36</v>
      </c>
    </row>
    <row r="13" spans="1:13" x14ac:dyDescent="0.35">
      <c r="A13" t="s">
        <v>9</v>
      </c>
      <c r="B13" s="3">
        <f>B12/12</f>
        <v>8.3333333333333332E-3</v>
      </c>
      <c r="J13" t="s">
        <v>17</v>
      </c>
      <c r="K13" s="1">
        <v>0.08</v>
      </c>
      <c r="L13" t="s">
        <v>9</v>
      </c>
      <c r="M13" s="4">
        <f>K13/12</f>
        <v>6.6666666666666671E-3</v>
      </c>
    </row>
    <row r="14" spans="1:13" x14ac:dyDescent="0.35">
      <c r="A14" t="s">
        <v>6</v>
      </c>
      <c r="B14" s="2">
        <f>FV(B13,E10,0,B11,0)</f>
        <v>164.53089347785848</v>
      </c>
      <c r="J14" t="s">
        <v>18</v>
      </c>
      <c r="M14" s="2">
        <f>PV(M13,M12,0,K11,0)</f>
        <v>-1574.5092598647393</v>
      </c>
    </row>
    <row r="17" spans="1:10" x14ac:dyDescent="0.35">
      <c r="A17" s="5" t="s">
        <v>77</v>
      </c>
      <c r="B17" s="5"/>
    </row>
    <row r="19" spans="1:10" x14ac:dyDescent="0.35">
      <c r="A19" t="s">
        <v>6</v>
      </c>
      <c r="B19">
        <v>0</v>
      </c>
      <c r="D19" t="s">
        <v>6</v>
      </c>
      <c r="E19">
        <v>0</v>
      </c>
      <c r="G19" s="5" t="s">
        <v>21</v>
      </c>
    </row>
    <row r="20" spans="1:10" x14ac:dyDescent="0.35">
      <c r="A20" t="s">
        <v>19</v>
      </c>
      <c r="B20">
        <v>1200</v>
      </c>
      <c r="D20" t="s">
        <v>19</v>
      </c>
      <c r="E20">
        <v>1200</v>
      </c>
      <c r="F20" t="s">
        <v>20</v>
      </c>
      <c r="G20">
        <v>100</v>
      </c>
    </row>
    <row r="21" spans="1:10" x14ac:dyDescent="0.35">
      <c r="A21" t="s">
        <v>16</v>
      </c>
      <c r="B21">
        <v>10</v>
      </c>
      <c r="D21" t="s">
        <v>16</v>
      </c>
      <c r="E21">
        <v>10</v>
      </c>
      <c r="F21" t="s">
        <v>14</v>
      </c>
      <c r="G21">
        <f>12*E21</f>
        <v>120</v>
      </c>
    </row>
    <row r="22" spans="1:10" x14ac:dyDescent="0.35">
      <c r="A22" t="s">
        <v>17</v>
      </c>
      <c r="B22" s="1">
        <v>0.08</v>
      </c>
      <c r="D22" t="s">
        <v>17</v>
      </c>
      <c r="E22" s="1">
        <v>0.08</v>
      </c>
      <c r="F22" t="s">
        <v>9</v>
      </c>
      <c r="G22">
        <f>E22/12</f>
        <v>6.6666666666666671E-3</v>
      </c>
    </row>
    <row r="23" spans="1:10" x14ac:dyDescent="0.35">
      <c r="A23" t="s">
        <v>8</v>
      </c>
      <c r="B23" s="2">
        <f>PV(B22,B21,B20,B19,0)</f>
        <v>-8052.0976787297359</v>
      </c>
      <c r="D23" t="s">
        <v>8</v>
      </c>
      <c r="E23" s="2">
        <f>PV(E22,E21,E20,E19,0)</f>
        <v>-8052.0976787297359</v>
      </c>
      <c r="F23" t="s">
        <v>8</v>
      </c>
      <c r="G23" s="2">
        <f>PV(G22,G21,G20,E19,0)</f>
        <v>-8242.1480893381122</v>
      </c>
    </row>
    <row r="26" spans="1:10" x14ac:dyDescent="0.35">
      <c r="A26" s="5" t="s">
        <v>22</v>
      </c>
      <c r="B26" s="5"/>
      <c r="G26" s="5" t="s">
        <v>22</v>
      </c>
      <c r="H26" s="5"/>
    </row>
    <row r="27" spans="1:10" x14ac:dyDescent="0.35">
      <c r="A27" t="s">
        <v>6</v>
      </c>
      <c r="B27">
        <v>0</v>
      </c>
      <c r="C27" t="s">
        <v>23</v>
      </c>
      <c r="G27" t="s">
        <v>6</v>
      </c>
      <c r="H27">
        <v>0</v>
      </c>
      <c r="I27" t="s">
        <v>23</v>
      </c>
    </row>
    <row r="28" spans="1:10" x14ac:dyDescent="0.35">
      <c r="A28" t="s">
        <v>8</v>
      </c>
      <c r="B28">
        <v>1000000</v>
      </c>
      <c r="G28" t="s">
        <v>8</v>
      </c>
      <c r="H28">
        <v>-100000</v>
      </c>
    </row>
    <row r="29" spans="1:10" x14ac:dyDescent="0.35">
      <c r="A29" t="s">
        <v>16</v>
      </c>
      <c r="B29">
        <v>30</v>
      </c>
      <c r="C29" t="s">
        <v>14</v>
      </c>
      <c r="D29">
        <f>12*B29</f>
        <v>360</v>
      </c>
      <c r="G29" t="s">
        <v>16</v>
      </c>
      <c r="H29">
        <v>30</v>
      </c>
      <c r="I29" t="s">
        <v>14</v>
      </c>
      <c r="J29">
        <f>12*H29</f>
        <v>360</v>
      </c>
    </row>
    <row r="30" spans="1:10" x14ac:dyDescent="0.35">
      <c r="A30" t="s">
        <v>19</v>
      </c>
      <c r="B30" s="2">
        <v>-7337.65</v>
      </c>
      <c r="G30" t="s">
        <v>19</v>
      </c>
      <c r="H30" s="2">
        <v>805</v>
      </c>
    </row>
    <row r="31" spans="1:10" x14ac:dyDescent="0.35">
      <c r="A31" t="s">
        <v>9</v>
      </c>
      <c r="B31" s="6">
        <f>RATE(D29,B30,B28,B27,0)</f>
        <v>6.6666717604906859E-3</v>
      </c>
      <c r="C31" t="s">
        <v>17</v>
      </c>
      <c r="D31" s="7">
        <f>12*B31</f>
        <v>8.0000061125888228E-2</v>
      </c>
      <c r="G31" t="s">
        <v>9</v>
      </c>
      <c r="H31" s="6">
        <f>RATE(J29,H30,H28,H27,0)</f>
        <v>7.5043703709586143E-3</v>
      </c>
      <c r="I31" t="s">
        <v>17</v>
      </c>
      <c r="J31" s="7">
        <f>12*H31</f>
        <v>9.0052444451503372E-2</v>
      </c>
    </row>
    <row r="35" spans="1:5" x14ac:dyDescent="0.35">
      <c r="A35" t="s">
        <v>24</v>
      </c>
      <c r="B35" t="s">
        <v>25</v>
      </c>
    </row>
    <row r="36" spans="1:5" x14ac:dyDescent="0.35">
      <c r="A36" t="s">
        <v>6</v>
      </c>
      <c r="B36" s="8">
        <v>10000000</v>
      </c>
    </row>
    <row r="37" spans="1:5" x14ac:dyDescent="0.35">
      <c r="A37" t="s">
        <v>8</v>
      </c>
      <c r="B37">
        <v>0</v>
      </c>
    </row>
    <row r="38" spans="1:5" x14ac:dyDescent="0.35">
      <c r="A38" s="8" t="s">
        <v>16</v>
      </c>
      <c r="B38">
        <v>15</v>
      </c>
      <c r="C38" t="s">
        <v>14</v>
      </c>
      <c r="D38">
        <f>2*B38</f>
        <v>30</v>
      </c>
    </row>
    <row r="39" spans="1:5" x14ac:dyDescent="0.35">
      <c r="A39" t="s">
        <v>17</v>
      </c>
      <c r="B39" s="1">
        <v>7.0000000000000007E-2</v>
      </c>
      <c r="C39" t="s">
        <v>9</v>
      </c>
      <c r="D39" s="4">
        <f>B39/2</f>
        <v>3.5000000000000003E-2</v>
      </c>
    </row>
    <row r="40" spans="1:5" x14ac:dyDescent="0.35">
      <c r="A40" t="s">
        <v>19</v>
      </c>
      <c r="B40" s="2">
        <f>PMT(D39,D38,B37,B36,0)</f>
        <v>-193713.31607423542</v>
      </c>
    </row>
    <row r="44" spans="1:5" x14ac:dyDescent="0.35">
      <c r="A44" s="5" t="s">
        <v>26</v>
      </c>
      <c r="B44" t="s">
        <v>27</v>
      </c>
      <c r="C44" t="s">
        <v>28</v>
      </c>
    </row>
    <row r="45" spans="1:5" x14ac:dyDescent="0.35">
      <c r="B45" t="s">
        <v>8</v>
      </c>
      <c r="C45">
        <v>10000000</v>
      </c>
      <c r="D45" t="s">
        <v>6</v>
      </c>
      <c r="E45">
        <v>0</v>
      </c>
    </row>
    <row r="46" spans="1:5" x14ac:dyDescent="0.35">
      <c r="B46" t="s">
        <v>17</v>
      </c>
      <c r="C46" s="1">
        <v>7.0000000000000007E-2</v>
      </c>
      <c r="D46" t="s">
        <v>9</v>
      </c>
      <c r="E46" s="4">
        <f>C46/12</f>
        <v>5.8333333333333336E-3</v>
      </c>
    </row>
    <row r="47" spans="1:5" x14ac:dyDescent="0.35">
      <c r="B47" t="s">
        <v>16</v>
      </c>
      <c r="C47">
        <v>30</v>
      </c>
      <c r="D47" t="s">
        <v>14</v>
      </c>
      <c r="E47">
        <f>12*C47</f>
        <v>360</v>
      </c>
    </row>
    <row r="48" spans="1:5" x14ac:dyDescent="0.35">
      <c r="B48" t="s">
        <v>19</v>
      </c>
      <c r="C48" s="2">
        <f>PMT(E46,E47,C45,E45,0)</f>
        <v>-66530.249517918317</v>
      </c>
    </row>
    <row r="50" spans="1:5" x14ac:dyDescent="0.35">
      <c r="B50" t="s">
        <v>29</v>
      </c>
      <c r="C50" t="s">
        <v>30</v>
      </c>
    </row>
    <row r="51" spans="1:5" x14ac:dyDescent="0.35">
      <c r="B51" t="s">
        <v>6</v>
      </c>
      <c r="C51">
        <v>0</v>
      </c>
    </row>
    <row r="52" spans="1:5" x14ac:dyDescent="0.35">
      <c r="B52" t="s">
        <v>19</v>
      </c>
      <c r="C52" s="2">
        <f>C48</f>
        <v>-66530.249517918317</v>
      </c>
    </row>
    <row r="53" spans="1:5" x14ac:dyDescent="0.35">
      <c r="B53" t="s">
        <v>17</v>
      </c>
      <c r="C53" s="3">
        <v>7.4999999999999997E-2</v>
      </c>
      <c r="D53" t="s">
        <v>9</v>
      </c>
      <c r="E53">
        <f>C53/12</f>
        <v>6.2499999999999995E-3</v>
      </c>
    </row>
    <row r="54" spans="1:5" x14ac:dyDescent="0.35">
      <c r="B54" t="s">
        <v>16</v>
      </c>
      <c r="C54">
        <v>30</v>
      </c>
      <c r="D54" t="s">
        <v>14</v>
      </c>
      <c r="E54">
        <f>12*C54</f>
        <v>360</v>
      </c>
    </row>
    <row r="55" spans="1:5" x14ac:dyDescent="0.35">
      <c r="B55" t="s">
        <v>8</v>
      </c>
      <c r="C55" s="9">
        <f>PV(E53,E54,C52,C51,0)</f>
        <v>9514998.4309709929</v>
      </c>
    </row>
    <row r="58" spans="1:5" x14ac:dyDescent="0.35">
      <c r="A58" t="s">
        <v>31</v>
      </c>
    </row>
    <row r="60" spans="1:5" x14ac:dyDescent="0.35">
      <c r="A60" t="s">
        <v>8</v>
      </c>
      <c r="B60">
        <v>-100000</v>
      </c>
    </row>
    <row r="61" spans="1:5" x14ac:dyDescent="0.35">
      <c r="A61" t="s">
        <v>19</v>
      </c>
      <c r="B61">
        <v>10000</v>
      </c>
    </row>
    <row r="62" spans="1:5" x14ac:dyDescent="0.35">
      <c r="A62" t="s">
        <v>16</v>
      </c>
      <c r="B62">
        <v>15</v>
      </c>
    </row>
    <row r="63" spans="1:5" x14ac:dyDescent="0.35">
      <c r="A63" t="s">
        <v>17</v>
      </c>
      <c r="B63" s="3">
        <f>RATE(B62,B61,B60)</f>
        <v>5.5564974703630463E-2</v>
      </c>
    </row>
    <row r="65" spans="1:4" x14ac:dyDescent="0.35">
      <c r="A65" t="s">
        <v>19</v>
      </c>
      <c r="B65">
        <v>0</v>
      </c>
    </row>
    <row r="66" spans="1:4" x14ac:dyDescent="0.35">
      <c r="A66" t="s">
        <v>8</v>
      </c>
      <c r="B66">
        <v>-100000</v>
      </c>
    </row>
    <row r="67" spans="1:4" x14ac:dyDescent="0.35">
      <c r="A67" t="s">
        <v>6</v>
      </c>
      <c r="B67">
        <v>300000</v>
      </c>
    </row>
    <row r="68" spans="1:4" x14ac:dyDescent="0.35">
      <c r="A68" t="s">
        <v>16</v>
      </c>
      <c r="B68">
        <v>15</v>
      </c>
    </row>
    <row r="69" spans="1:4" x14ac:dyDescent="0.35">
      <c r="A69" t="s">
        <v>17</v>
      </c>
      <c r="B69" s="3">
        <f>RATE(B68,B65,B66,B67,0)</f>
        <v>7.5989624725345845E-2</v>
      </c>
    </row>
    <row r="71" spans="1:4" x14ac:dyDescent="0.35">
      <c r="A71" t="s">
        <v>16</v>
      </c>
      <c r="B71">
        <v>5</v>
      </c>
      <c r="C71" t="s">
        <v>14</v>
      </c>
      <c r="D71">
        <f>12*B71</f>
        <v>60</v>
      </c>
    </row>
    <row r="72" spans="1:4" x14ac:dyDescent="0.35">
      <c r="A72" t="s">
        <v>8</v>
      </c>
      <c r="B72">
        <v>0</v>
      </c>
    </row>
    <row r="73" spans="1:4" x14ac:dyDescent="0.35">
      <c r="A73" t="s">
        <v>17</v>
      </c>
      <c r="B73" s="1">
        <v>0.06</v>
      </c>
      <c r="C73" t="s">
        <v>9</v>
      </c>
      <c r="D73">
        <f>B73/12</f>
        <v>5.0000000000000001E-3</v>
      </c>
    </row>
    <row r="74" spans="1:4" x14ac:dyDescent="0.35">
      <c r="A74" t="s">
        <v>6</v>
      </c>
      <c r="B74" s="2">
        <v>100000</v>
      </c>
    </row>
    <row r="75" spans="1:4" x14ac:dyDescent="0.35">
      <c r="A75" t="s">
        <v>19</v>
      </c>
      <c r="B75" s="2">
        <f>PMT(D73,D71,B72,B74,0)</f>
        <v>-1433.2801529427916</v>
      </c>
    </row>
    <row r="78" spans="1:4" x14ac:dyDescent="0.35">
      <c r="A78" t="s">
        <v>19</v>
      </c>
      <c r="B78">
        <v>100000</v>
      </c>
    </row>
    <row r="79" spans="1:4" x14ac:dyDescent="0.35">
      <c r="A79" t="s">
        <v>16</v>
      </c>
      <c r="B79">
        <v>8</v>
      </c>
    </row>
    <row r="80" spans="1:4" x14ac:dyDescent="0.35">
      <c r="A80" t="s">
        <v>17</v>
      </c>
      <c r="B80" s="1">
        <v>0.06</v>
      </c>
      <c r="D80" s="4"/>
    </row>
    <row r="81" spans="1:4" x14ac:dyDescent="0.35">
      <c r="A81" t="s">
        <v>8</v>
      </c>
      <c r="B81" s="2">
        <f>PV(B80,B79,B78)</f>
        <v>-620979.38109695585</v>
      </c>
    </row>
    <row r="84" spans="1:4" x14ac:dyDescent="0.35">
      <c r="A84" t="s">
        <v>16</v>
      </c>
      <c r="B84">
        <v>10</v>
      </c>
      <c r="C84" t="s">
        <v>14</v>
      </c>
      <c r="D84">
        <f>B84*12</f>
        <v>120</v>
      </c>
    </row>
    <row r="85" spans="1:4" x14ac:dyDescent="0.35">
      <c r="A85" t="s">
        <v>6</v>
      </c>
      <c r="B85" s="8">
        <v>5000000</v>
      </c>
    </row>
    <row r="86" spans="1:4" x14ac:dyDescent="0.35">
      <c r="A86" t="s">
        <v>17</v>
      </c>
      <c r="B86" s="1">
        <v>0.06</v>
      </c>
      <c r="C86" t="s">
        <v>9</v>
      </c>
      <c r="D86" s="4">
        <f>B86/12</f>
        <v>5.0000000000000001E-3</v>
      </c>
    </row>
    <row r="87" spans="1:4" x14ac:dyDescent="0.35">
      <c r="A87" t="s">
        <v>8</v>
      </c>
      <c r="B87" s="2">
        <f>PV(B86,B84,0,B85,0)</f>
        <v>-2791973.8845755896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F498-B45B-47B7-AFA6-2C6C2CF0DB76}">
  <dimension ref="A2:D71"/>
  <sheetViews>
    <sheetView topLeftCell="A51" workbookViewId="0">
      <selection activeCell="B35" sqref="B35"/>
    </sheetView>
  </sheetViews>
  <sheetFormatPr defaultRowHeight="14.5" x14ac:dyDescent="0.35"/>
  <cols>
    <col min="1" max="1" width="24.1796875" customWidth="1"/>
    <col min="2" max="2" width="11.453125" bestFit="1" customWidth="1"/>
  </cols>
  <sheetData>
    <row r="2" spans="1:4" x14ac:dyDescent="0.35">
      <c r="A2" s="5" t="s">
        <v>41</v>
      </c>
      <c r="B2" s="5"/>
    </row>
    <row r="4" spans="1:4" x14ac:dyDescent="0.35">
      <c r="A4" t="s">
        <v>8</v>
      </c>
      <c r="B4">
        <v>100000</v>
      </c>
    </row>
    <row r="5" spans="1:4" x14ac:dyDescent="0.35">
      <c r="A5" t="s">
        <v>17</v>
      </c>
      <c r="B5" s="1">
        <v>7.0000000000000007E-2</v>
      </c>
      <c r="C5" t="s">
        <v>9</v>
      </c>
      <c r="D5" s="4">
        <f>B5/12</f>
        <v>5.8333333333333336E-3</v>
      </c>
    </row>
    <row r="6" spans="1:4" x14ac:dyDescent="0.35">
      <c r="A6" t="s">
        <v>16</v>
      </c>
      <c r="B6">
        <v>30</v>
      </c>
      <c r="C6" t="s">
        <v>14</v>
      </c>
      <c r="D6">
        <f>12*B6</f>
        <v>360</v>
      </c>
    </row>
    <row r="7" spans="1:4" x14ac:dyDescent="0.35">
      <c r="A7" t="s">
        <v>19</v>
      </c>
      <c r="B7" s="2">
        <f>PMT(D5,D6,B4)</f>
        <v>-665.30249517918321</v>
      </c>
    </row>
    <row r="9" spans="1:4" x14ac:dyDescent="0.35">
      <c r="A9" t="s">
        <v>42</v>
      </c>
      <c r="C9">
        <f>D5*B4</f>
        <v>583.33333333333337</v>
      </c>
    </row>
    <row r="10" spans="1:4" x14ac:dyDescent="0.35">
      <c r="A10" t="s">
        <v>43</v>
      </c>
      <c r="D10" s="2">
        <f>B7+C9</f>
        <v>-81.96916184584984</v>
      </c>
    </row>
    <row r="12" spans="1:4" x14ac:dyDescent="0.35">
      <c r="A12" t="s">
        <v>8</v>
      </c>
      <c r="B12">
        <v>60000</v>
      </c>
    </row>
    <row r="13" spans="1:4" x14ac:dyDescent="0.35">
      <c r="A13" t="s">
        <v>17</v>
      </c>
      <c r="B13" s="1">
        <v>0.12</v>
      </c>
      <c r="C13" t="s">
        <v>9</v>
      </c>
      <c r="D13" s="4">
        <f>B13/12</f>
        <v>0.01</v>
      </c>
    </row>
    <row r="14" spans="1:4" x14ac:dyDescent="0.35">
      <c r="A14" t="s">
        <v>16</v>
      </c>
      <c r="B14">
        <v>30</v>
      </c>
      <c r="C14" t="s">
        <v>14</v>
      </c>
      <c r="D14">
        <f>12*B14</f>
        <v>360</v>
      </c>
    </row>
    <row r="15" spans="1:4" x14ac:dyDescent="0.35">
      <c r="A15" t="s">
        <v>19</v>
      </c>
      <c r="B15" s="2">
        <f>PMT(D13,D14,B12)</f>
        <v>-617.16755815530257</v>
      </c>
    </row>
    <row r="17" spans="1:4" x14ac:dyDescent="0.35">
      <c r="A17" s="5" t="s">
        <v>44</v>
      </c>
      <c r="C17" s="11" t="s">
        <v>45</v>
      </c>
    </row>
    <row r="19" spans="1:4" ht="58" x14ac:dyDescent="0.35">
      <c r="A19" s="12" t="s">
        <v>46</v>
      </c>
      <c r="B19" s="11" t="s">
        <v>48</v>
      </c>
    </row>
    <row r="20" spans="1:4" x14ac:dyDescent="0.35">
      <c r="A20" t="s">
        <v>47</v>
      </c>
    </row>
    <row r="22" spans="1:4" x14ac:dyDescent="0.35">
      <c r="A22" t="s">
        <v>49</v>
      </c>
      <c r="B22" s="14">
        <f>-B15/B12</f>
        <v>1.0286125969255043E-2</v>
      </c>
    </row>
    <row r="23" spans="1:4" x14ac:dyDescent="0.35">
      <c r="A23" t="s">
        <v>50</v>
      </c>
      <c r="B23" s="15">
        <v>800</v>
      </c>
    </row>
    <row r="24" spans="1:4" x14ac:dyDescent="0.35">
      <c r="A24" t="s">
        <v>51</v>
      </c>
      <c r="B24" s="2">
        <f>B23/B22</f>
        <v>77774.664863251601</v>
      </c>
    </row>
    <row r="26" spans="1:4" x14ac:dyDescent="0.35">
      <c r="A26" s="5" t="s">
        <v>52</v>
      </c>
      <c r="B26" t="s">
        <v>78</v>
      </c>
    </row>
    <row r="28" spans="1:4" x14ac:dyDescent="0.35">
      <c r="A28" t="s">
        <v>8</v>
      </c>
      <c r="B28">
        <v>100000</v>
      </c>
    </row>
    <row r="29" spans="1:4" x14ac:dyDescent="0.35">
      <c r="A29" t="s">
        <v>16</v>
      </c>
      <c r="B29">
        <v>30</v>
      </c>
      <c r="C29" t="s">
        <v>14</v>
      </c>
      <c r="D29">
        <f>B29*12</f>
        <v>360</v>
      </c>
    </row>
    <row r="30" spans="1:4" x14ac:dyDescent="0.35">
      <c r="A30" t="s">
        <v>17</v>
      </c>
      <c r="B30" s="1">
        <v>7.0000000000000007E-2</v>
      </c>
      <c r="C30" t="s">
        <v>9</v>
      </c>
      <c r="D30">
        <f>B30/12</f>
        <v>5.8333333333333336E-3</v>
      </c>
    </row>
    <row r="31" spans="1:4" x14ac:dyDescent="0.35">
      <c r="A31" t="s">
        <v>19</v>
      </c>
      <c r="B31">
        <v>665.3</v>
      </c>
    </row>
    <row r="32" spans="1:4" x14ac:dyDescent="0.35">
      <c r="A32" t="s">
        <v>53</v>
      </c>
      <c r="B32">
        <v>8</v>
      </c>
    </row>
    <row r="33" spans="1:4" x14ac:dyDescent="0.35">
      <c r="A33" t="s">
        <v>54</v>
      </c>
      <c r="B33">
        <f>B29-B32</f>
        <v>22</v>
      </c>
      <c r="C33" t="s">
        <v>14</v>
      </c>
      <c r="D33">
        <f>12*B33</f>
        <v>264</v>
      </c>
    </row>
    <row r="34" spans="1:4" x14ac:dyDescent="0.35">
      <c r="A34" t="s">
        <v>8</v>
      </c>
      <c r="B34" s="2">
        <f>PV(D30,D33,B31)</f>
        <v>-89491.31445687075</v>
      </c>
    </row>
    <row r="36" spans="1:4" x14ac:dyDescent="0.35">
      <c r="A36" s="5" t="s">
        <v>55</v>
      </c>
    </row>
    <row r="38" spans="1:4" x14ac:dyDescent="0.35">
      <c r="A38" t="s">
        <v>8</v>
      </c>
      <c r="B38">
        <v>200000</v>
      </c>
    </row>
    <row r="39" spans="1:4" x14ac:dyDescent="0.35">
      <c r="A39" t="s">
        <v>17</v>
      </c>
      <c r="B39" s="1">
        <v>0.08</v>
      </c>
      <c r="C39" t="s">
        <v>9</v>
      </c>
      <c r="D39" s="4">
        <f>B39/12</f>
        <v>6.6666666666666671E-3</v>
      </c>
    </row>
    <row r="40" spans="1:4" x14ac:dyDescent="0.35">
      <c r="A40" t="s">
        <v>33</v>
      </c>
      <c r="B40">
        <v>4</v>
      </c>
      <c r="C40" t="s">
        <v>56</v>
      </c>
      <c r="D40">
        <f>B40/100</f>
        <v>0.04</v>
      </c>
    </row>
    <row r="41" spans="1:4" x14ac:dyDescent="0.35">
      <c r="A41" t="s">
        <v>16</v>
      </c>
      <c r="B41">
        <v>30</v>
      </c>
      <c r="C41" t="s">
        <v>14</v>
      </c>
      <c r="D41">
        <f>12*B41</f>
        <v>360</v>
      </c>
    </row>
    <row r="42" spans="1:4" x14ac:dyDescent="0.35">
      <c r="A42" t="s">
        <v>19</v>
      </c>
      <c r="B42" s="2">
        <f>PMT(D39,D41,B38)</f>
        <v>-1467.5291477587523</v>
      </c>
    </row>
    <row r="44" spans="1:4" x14ac:dyDescent="0.35">
      <c r="A44" t="s">
        <v>57</v>
      </c>
      <c r="B44">
        <f>B38-(B38*D40)</f>
        <v>192000</v>
      </c>
    </row>
    <row r="45" spans="1:4" x14ac:dyDescent="0.35">
      <c r="A45" t="s">
        <v>58</v>
      </c>
      <c r="B45" s="4">
        <f>RATE(D41,B42,B44)</f>
        <v>7.0294785358284021E-3</v>
      </c>
      <c r="C45" t="s">
        <v>17</v>
      </c>
      <c r="D45" s="4">
        <f>12*B45</f>
        <v>8.4353742429940828E-2</v>
      </c>
    </row>
    <row r="48" spans="1:4" x14ac:dyDescent="0.35">
      <c r="A48" t="s">
        <v>59</v>
      </c>
      <c r="B48">
        <v>8</v>
      </c>
      <c r="C48" t="s">
        <v>60</v>
      </c>
      <c r="D48">
        <f>12*B48</f>
        <v>96</v>
      </c>
    </row>
    <row r="49" spans="1:4" x14ac:dyDescent="0.35">
      <c r="A49" t="s">
        <v>61</v>
      </c>
    </row>
    <row r="50" spans="1:4" x14ac:dyDescent="0.35">
      <c r="A50" t="s">
        <v>37</v>
      </c>
      <c r="B50">
        <f>B41-B48</f>
        <v>22</v>
      </c>
      <c r="C50" t="s">
        <v>14</v>
      </c>
      <c r="D50">
        <f>12*B50</f>
        <v>264</v>
      </c>
    </row>
    <row r="51" spans="1:4" x14ac:dyDescent="0.35">
      <c r="A51" t="s">
        <v>8</v>
      </c>
      <c r="B51" s="2">
        <f>PV(D39,D50,B42)</f>
        <v>182035.3964806984</v>
      </c>
    </row>
    <row r="52" spans="1:4" x14ac:dyDescent="0.35">
      <c r="A52" t="s">
        <v>6</v>
      </c>
      <c r="B52" s="2">
        <f>B51</f>
        <v>182035.3964806984</v>
      </c>
    </row>
    <row r="53" spans="1:4" x14ac:dyDescent="0.35">
      <c r="A53" t="s">
        <v>58</v>
      </c>
      <c r="B53" s="6">
        <f>RATE(D48,B42,B44,-B52)</f>
        <v>7.267721106293955E-3</v>
      </c>
      <c r="D53" s="13">
        <f>12*B53</f>
        <v>8.7212653275527463E-2</v>
      </c>
    </row>
    <row r="55" spans="1:4" x14ac:dyDescent="0.35">
      <c r="A55" s="11" t="s">
        <v>68</v>
      </c>
    </row>
    <row r="56" spans="1:4" x14ac:dyDescent="0.35">
      <c r="A56" t="s">
        <v>8</v>
      </c>
      <c r="B56">
        <v>100000</v>
      </c>
    </row>
    <row r="57" spans="1:4" x14ac:dyDescent="0.35">
      <c r="A57" t="s">
        <v>16</v>
      </c>
      <c r="B57">
        <v>30</v>
      </c>
      <c r="C57" t="s">
        <v>14</v>
      </c>
      <c r="D57">
        <f>12*B57</f>
        <v>360</v>
      </c>
    </row>
    <row r="58" spans="1:4" x14ac:dyDescent="0.35">
      <c r="A58" t="s">
        <v>17</v>
      </c>
      <c r="B58" s="1">
        <v>0.12</v>
      </c>
      <c r="C58" t="s">
        <v>9</v>
      </c>
      <c r="D58">
        <f>B58/12</f>
        <v>0.01</v>
      </c>
    </row>
    <row r="59" spans="1:4" x14ac:dyDescent="0.35">
      <c r="A59" t="s">
        <v>33</v>
      </c>
      <c r="B59">
        <v>3</v>
      </c>
      <c r="C59" t="s">
        <v>56</v>
      </c>
      <c r="D59">
        <f>B59/100</f>
        <v>0.03</v>
      </c>
    </row>
    <row r="61" spans="1:4" x14ac:dyDescent="0.35">
      <c r="A61" t="s">
        <v>62</v>
      </c>
      <c r="B61" s="2">
        <f>PMT(D58,D57,B56)</f>
        <v>-1028.6125969255042</v>
      </c>
    </row>
    <row r="63" spans="1:4" x14ac:dyDescent="0.35">
      <c r="A63" t="s">
        <v>63</v>
      </c>
      <c r="B63">
        <f>B56-(B56*D59)</f>
        <v>97000</v>
      </c>
    </row>
    <row r="65" spans="1:4" x14ac:dyDescent="0.35">
      <c r="A65" t="s">
        <v>64</v>
      </c>
      <c r="B65" s="3">
        <f>RATE(D57,B61,B63)</f>
        <v>1.0343240931398231E-2</v>
      </c>
      <c r="C65" t="s">
        <v>17</v>
      </c>
      <c r="D65" s="16">
        <f>12*B65</f>
        <v>0.12411889117677877</v>
      </c>
    </row>
    <row r="67" spans="1:4" x14ac:dyDescent="0.35">
      <c r="A67" t="s">
        <v>65</v>
      </c>
      <c r="B67">
        <v>5</v>
      </c>
      <c r="C67" t="s">
        <v>14</v>
      </c>
      <c r="D67">
        <f>12*B67</f>
        <v>60</v>
      </c>
    </row>
    <row r="68" spans="1:4" x14ac:dyDescent="0.35">
      <c r="A68" t="s">
        <v>66</v>
      </c>
      <c r="B68">
        <f>B57-B67</f>
        <v>25</v>
      </c>
      <c r="C68" t="s">
        <v>14</v>
      </c>
      <c r="D68">
        <f>12*B68</f>
        <v>300</v>
      </c>
    </row>
    <row r="69" spans="1:4" x14ac:dyDescent="0.35">
      <c r="A69" t="s">
        <v>67</v>
      </c>
      <c r="B69" s="2">
        <f>PV(D58,D68,B61)</f>
        <v>97663.218655359538</v>
      </c>
    </row>
    <row r="70" spans="1:4" x14ac:dyDescent="0.35">
      <c r="A70" t="s">
        <v>6</v>
      </c>
      <c r="B70" s="2">
        <f>B69</f>
        <v>97663.218655359538</v>
      </c>
    </row>
    <row r="71" spans="1:4" x14ac:dyDescent="0.35">
      <c r="A71" t="s">
        <v>58</v>
      </c>
      <c r="B71" s="3">
        <f>RATE(D67,B61,B63,-B70)</f>
        <v>1.0686141355683869E-2</v>
      </c>
      <c r="C71" t="s">
        <v>17</v>
      </c>
      <c r="D71" s="16">
        <f>12*B71</f>
        <v>0.12823369626820644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218D-2755-4A0B-AB93-8D4B80BF592D}">
  <dimension ref="B2:M13"/>
  <sheetViews>
    <sheetView workbookViewId="0">
      <selection activeCell="B2" sqref="B2:N13"/>
    </sheetView>
  </sheetViews>
  <sheetFormatPr defaultRowHeight="14.5" x14ac:dyDescent="0.35"/>
  <sheetData>
    <row r="2" spans="2:13" x14ac:dyDescent="0.35">
      <c r="B2" t="s">
        <v>6</v>
      </c>
      <c r="C2">
        <v>0</v>
      </c>
      <c r="K2" t="s">
        <v>6</v>
      </c>
      <c r="L2">
        <v>0</v>
      </c>
    </row>
    <row r="3" spans="2:13" x14ac:dyDescent="0.35">
      <c r="B3" t="s">
        <v>8</v>
      </c>
      <c r="C3">
        <v>100000</v>
      </c>
      <c r="K3" t="s">
        <v>8</v>
      </c>
      <c r="L3">
        <v>60000</v>
      </c>
    </row>
    <row r="4" spans="2:13" x14ac:dyDescent="0.35">
      <c r="B4" t="s">
        <v>79</v>
      </c>
      <c r="C4">
        <v>30</v>
      </c>
      <c r="K4" t="s">
        <v>79</v>
      </c>
      <c r="L4">
        <v>30</v>
      </c>
    </row>
    <row r="5" spans="2:13" x14ac:dyDescent="0.35">
      <c r="B5" t="s">
        <v>16</v>
      </c>
      <c r="C5">
        <f>C4*12</f>
        <v>360</v>
      </c>
      <c r="K5" t="s">
        <v>16</v>
      </c>
      <c r="L5">
        <f>L4*12</f>
        <v>360</v>
      </c>
    </row>
    <row r="6" spans="2:13" x14ac:dyDescent="0.35">
      <c r="B6" t="s">
        <v>80</v>
      </c>
      <c r="C6" s="1">
        <v>7.0000000000000007E-2</v>
      </c>
      <c r="K6" t="s">
        <v>80</v>
      </c>
      <c r="L6" s="1">
        <v>0.12</v>
      </c>
    </row>
    <row r="7" spans="2:13" x14ac:dyDescent="0.35">
      <c r="B7" t="s">
        <v>9</v>
      </c>
      <c r="C7" s="4">
        <f>C6/12</f>
        <v>5.8333333333333336E-3</v>
      </c>
      <c r="K7" t="s">
        <v>9</v>
      </c>
      <c r="L7" s="4">
        <f>L6/12</f>
        <v>0.01</v>
      </c>
    </row>
    <row r="8" spans="2:13" x14ac:dyDescent="0.35">
      <c r="B8" t="s">
        <v>19</v>
      </c>
      <c r="C8" s="2">
        <f>PMT(C7,C5,C3,C2,0)</f>
        <v>-665.30249517918321</v>
      </c>
      <c r="K8" t="s">
        <v>19</v>
      </c>
      <c r="L8" s="2">
        <f>PMT(L7,L5,L3,L2,0)</f>
        <v>-617.16755815530257</v>
      </c>
    </row>
    <row r="10" spans="2:13" x14ac:dyDescent="0.35">
      <c r="B10" t="s">
        <v>81</v>
      </c>
      <c r="E10">
        <f>C7*C3</f>
        <v>583.33333333333337</v>
      </c>
      <c r="K10" t="s">
        <v>82</v>
      </c>
      <c r="M10" s="18">
        <f>L8/L3</f>
        <v>-1.0286125969255043E-2</v>
      </c>
    </row>
    <row r="11" spans="2:13" x14ac:dyDescent="0.35">
      <c r="B11" t="s">
        <v>83</v>
      </c>
      <c r="E11" s="2">
        <f>E10+C8</f>
        <v>-81.96916184584984</v>
      </c>
    </row>
    <row r="13" spans="2:13" x14ac:dyDescent="0.35">
      <c r="B13" t="s">
        <v>82</v>
      </c>
      <c r="D13" s="18">
        <f>C8/C3</f>
        <v>-6.6530249517918324E-3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57D0-8190-4567-9BF3-0B2A6015D48A}">
  <dimension ref="B3:F24"/>
  <sheetViews>
    <sheetView workbookViewId="0">
      <selection activeCell="B9" sqref="B9:F24"/>
    </sheetView>
  </sheetViews>
  <sheetFormatPr defaultRowHeight="14.5" x14ac:dyDescent="0.35"/>
  <cols>
    <col min="3" max="3" width="11.453125" bestFit="1" customWidth="1"/>
  </cols>
  <sheetData>
    <row r="3" spans="2:6" x14ac:dyDescent="0.35">
      <c r="B3" t="s">
        <v>19</v>
      </c>
      <c r="C3">
        <v>-665.3</v>
      </c>
    </row>
    <row r="4" spans="2:6" x14ac:dyDescent="0.35">
      <c r="B4" t="s">
        <v>6</v>
      </c>
      <c r="C4">
        <v>0</v>
      </c>
    </row>
    <row r="5" spans="2:6" x14ac:dyDescent="0.35">
      <c r="B5" t="s">
        <v>16</v>
      </c>
      <c r="C5">
        <f>12*F5</f>
        <v>264</v>
      </c>
      <c r="E5" t="s">
        <v>79</v>
      </c>
      <c r="F5">
        <v>22</v>
      </c>
    </row>
    <row r="6" spans="2:6" x14ac:dyDescent="0.35">
      <c r="B6" t="s">
        <v>9</v>
      </c>
      <c r="C6" s="3">
        <f>F6/12</f>
        <v>5.8333333333333336E-3</v>
      </c>
      <c r="E6" t="s">
        <v>84</v>
      </c>
      <c r="F6" s="1">
        <v>7.0000000000000007E-2</v>
      </c>
    </row>
    <row r="7" spans="2:6" x14ac:dyDescent="0.35">
      <c r="B7" t="s">
        <v>8</v>
      </c>
      <c r="C7" s="2">
        <f>PV(C6,C5,C3,C4,0)</f>
        <v>89491.31445687075</v>
      </c>
    </row>
    <row r="9" spans="2:6" x14ac:dyDescent="0.35">
      <c r="B9" t="s">
        <v>85</v>
      </c>
    </row>
    <row r="11" spans="2:6" x14ac:dyDescent="0.35">
      <c r="B11" t="s">
        <v>8</v>
      </c>
      <c r="C11">
        <v>200000</v>
      </c>
    </row>
    <row r="12" spans="2:6" x14ac:dyDescent="0.35">
      <c r="B12" t="s">
        <v>16</v>
      </c>
      <c r="C12">
        <v>30</v>
      </c>
      <c r="D12" t="s">
        <v>60</v>
      </c>
    </row>
    <row r="13" spans="2:6" x14ac:dyDescent="0.35">
      <c r="B13" t="s">
        <v>14</v>
      </c>
      <c r="C13">
        <f>12*C12</f>
        <v>360</v>
      </c>
    </row>
    <row r="14" spans="2:6" x14ac:dyDescent="0.35">
      <c r="B14" t="s">
        <v>86</v>
      </c>
      <c r="C14" s="1">
        <v>0.06</v>
      </c>
    </row>
    <row r="15" spans="2:6" x14ac:dyDescent="0.35">
      <c r="B15" t="s">
        <v>9</v>
      </c>
      <c r="C15" s="4">
        <f>C14/12</f>
        <v>5.0000000000000001E-3</v>
      </c>
    </row>
    <row r="16" spans="2:6" x14ac:dyDescent="0.35">
      <c r="B16" t="s">
        <v>19</v>
      </c>
      <c r="C16" s="2">
        <f>PMT(C15,C13,C11)</f>
        <v>-1199.1010503055047</v>
      </c>
    </row>
    <row r="18" spans="2:4" x14ac:dyDescent="0.35">
      <c r="B18" t="s">
        <v>87</v>
      </c>
      <c r="C18">
        <v>5</v>
      </c>
      <c r="D18" t="s">
        <v>60</v>
      </c>
    </row>
    <row r="19" spans="2:4" x14ac:dyDescent="0.35">
      <c r="B19" t="s">
        <v>19</v>
      </c>
      <c r="C19" s="2">
        <f>C16</f>
        <v>-1199.1010503055047</v>
      </c>
    </row>
    <row r="20" spans="2:4" x14ac:dyDescent="0.35">
      <c r="B20" t="s">
        <v>16</v>
      </c>
      <c r="C20">
        <f>C12-C18</f>
        <v>25</v>
      </c>
    </row>
    <row r="21" spans="2:4" x14ac:dyDescent="0.35">
      <c r="B21" t="s">
        <v>14</v>
      </c>
      <c r="C21">
        <f>12*C20</f>
        <v>300</v>
      </c>
    </row>
    <row r="22" spans="2:4" x14ac:dyDescent="0.35">
      <c r="B22" t="s">
        <v>86</v>
      </c>
      <c r="C22" s="1">
        <f>C14</f>
        <v>0.06</v>
      </c>
    </row>
    <row r="23" spans="2:4" x14ac:dyDescent="0.35">
      <c r="B23" t="s">
        <v>9</v>
      </c>
      <c r="C23" s="3">
        <f>C15</f>
        <v>5.0000000000000001E-3</v>
      </c>
    </row>
    <row r="24" spans="2:4" x14ac:dyDescent="0.35">
      <c r="B24" t="s">
        <v>8</v>
      </c>
      <c r="C24" s="2">
        <f>PV(C23,C21,C19)</f>
        <v>186108.71364563669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2B37-67D1-4269-B2ED-327751DA86E8}">
  <dimension ref="B2:I138"/>
  <sheetViews>
    <sheetView workbookViewId="0">
      <selection activeCell="B94" sqref="B94:M121"/>
    </sheetView>
  </sheetViews>
  <sheetFormatPr defaultRowHeight="14.5" x14ac:dyDescent="0.35"/>
  <cols>
    <col min="4" max="4" width="12.08984375" bestFit="1" customWidth="1"/>
  </cols>
  <sheetData>
    <row r="2" spans="2:6" x14ac:dyDescent="0.35">
      <c r="B2" t="s">
        <v>88</v>
      </c>
      <c r="C2" t="s">
        <v>6</v>
      </c>
      <c r="D2">
        <v>0</v>
      </c>
    </row>
    <row r="3" spans="2:6" x14ac:dyDescent="0.35">
      <c r="C3" t="s">
        <v>89</v>
      </c>
      <c r="D3">
        <v>250000</v>
      </c>
    </row>
    <row r="4" spans="2:6" x14ac:dyDescent="0.35">
      <c r="B4" t="s">
        <v>8</v>
      </c>
      <c r="C4" t="s">
        <v>90</v>
      </c>
      <c r="D4" s="1">
        <v>0.8</v>
      </c>
      <c r="E4">
        <f>D4*D3</f>
        <v>200000</v>
      </c>
    </row>
    <row r="5" spans="2:6" x14ac:dyDescent="0.35">
      <c r="C5" t="s">
        <v>84</v>
      </c>
      <c r="D5" s="1">
        <v>0.08</v>
      </c>
    </row>
    <row r="6" spans="2:6" x14ac:dyDescent="0.35">
      <c r="C6" t="s">
        <v>9</v>
      </c>
      <c r="D6" s="3">
        <f>D5/12</f>
        <v>6.6666666666666671E-3</v>
      </c>
    </row>
    <row r="7" spans="2:6" x14ac:dyDescent="0.35">
      <c r="C7" t="s">
        <v>33</v>
      </c>
      <c r="D7">
        <v>4</v>
      </c>
      <c r="E7">
        <f>D7/100</f>
        <v>0.04</v>
      </c>
    </row>
    <row r="8" spans="2:6" x14ac:dyDescent="0.35">
      <c r="C8" t="s">
        <v>79</v>
      </c>
      <c r="D8">
        <v>30</v>
      </c>
    </row>
    <row r="9" spans="2:6" x14ac:dyDescent="0.35">
      <c r="C9" t="s">
        <v>16</v>
      </c>
      <c r="D9">
        <f>12*D8</f>
        <v>360</v>
      </c>
    </row>
    <row r="10" spans="2:6" x14ac:dyDescent="0.35">
      <c r="C10" t="s">
        <v>19</v>
      </c>
      <c r="D10" s="2">
        <f>PMT(D6,D9,E4,D2,0)</f>
        <v>-1467.5291477587523</v>
      </c>
      <c r="F10" t="s">
        <v>91</v>
      </c>
    </row>
    <row r="13" spans="2:6" x14ac:dyDescent="0.35">
      <c r="B13" t="s">
        <v>92</v>
      </c>
      <c r="C13" t="s">
        <v>93</v>
      </c>
    </row>
    <row r="15" spans="2:6" x14ac:dyDescent="0.35">
      <c r="C15" t="s">
        <v>94</v>
      </c>
      <c r="D15">
        <f>E4</f>
        <v>200000</v>
      </c>
    </row>
    <row r="16" spans="2:6" x14ac:dyDescent="0.35">
      <c r="C16" s="11" t="s">
        <v>95</v>
      </c>
      <c r="D16">
        <f>-E7*D15</f>
        <v>-8000</v>
      </c>
    </row>
    <row r="17" spans="2:9" x14ac:dyDescent="0.35">
      <c r="C17" t="s">
        <v>96</v>
      </c>
      <c r="D17">
        <f>D15+D16</f>
        <v>192000</v>
      </c>
    </row>
    <row r="20" spans="2:9" x14ac:dyDescent="0.35">
      <c r="B20" t="s">
        <v>97</v>
      </c>
      <c r="C20" t="s">
        <v>98</v>
      </c>
    </row>
    <row r="22" spans="2:9" x14ac:dyDescent="0.35">
      <c r="C22" t="s">
        <v>6</v>
      </c>
      <c r="D22">
        <v>0</v>
      </c>
    </row>
    <row r="23" spans="2:9" x14ac:dyDescent="0.35">
      <c r="C23" t="s">
        <v>99</v>
      </c>
      <c r="D23" t="s">
        <v>8</v>
      </c>
      <c r="E23">
        <f>D17</f>
        <v>192000</v>
      </c>
    </row>
    <row r="24" spans="2:9" x14ac:dyDescent="0.35">
      <c r="C24" t="s">
        <v>100</v>
      </c>
      <c r="D24">
        <f>D8</f>
        <v>30</v>
      </c>
      <c r="E24" t="s">
        <v>60</v>
      </c>
    </row>
    <row r="25" spans="2:9" x14ac:dyDescent="0.35">
      <c r="C25" t="s">
        <v>14</v>
      </c>
      <c r="D25">
        <f>12*D24</f>
        <v>360</v>
      </c>
    </row>
    <row r="26" spans="2:9" x14ac:dyDescent="0.35">
      <c r="C26" t="s">
        <v>19</v>
      </c>
      <c r="D26" s="2">
        <f>D10</f>
        <v>-1467.5291477587523</v>
      </c>
    </row>
    <row r="27" spans="2:9" x14ac:dyDescent="0.35">
      <c r="C27" t="s">
        <v>9</v>
      </c>
      <c r="D27" s="3">
        <f>RATE(D25,D26,E23,D22,0)</f>
        <v>7.0294785358284021E-3</v>
      </c>
      <c r="F27" t="s">
        <v>101</v>
      </c>
      <c r="G27" s="7">
        <f>12*D27</f>
        <v>8.4353742429940828E-2</v>
      </c>
      <c r="I27" t="s">
        <v>102</v>
      </c>
    </row>
    <row r="30" spans="2:9" x14ac:dyDescent="0.35">
      <c r="B30" t="s">
        <v>103</v>
      </c>
      <c r="C30" t="s">
        <v>104</v>
      </c>
    </row>
    <row r="32" spans="2:9" x14ac:dyDescent="0.35">
      <c r="C32" t="s">
        <v>19</v>
      </c>
      <c r="D32" s="2">
        <f>D26</f>
        <v>-1467.5291477587523</v>
      </c>
      <c r="G32" t="s">
        <v>73</v>
      </c>
      <c r="H32">
        <v>8</v>
      </c>
      <c r="I32" t="s">
        <v>60</v>
      </c>
    </row>
    <row r="33" spans="2:9" x14ac:dyDescent="0.35">
      <c r="C33" t="s">
        <v>105</v>
      </c>
      <c r="D33">
        <f>H33*12</f>
        <v>264</v>
      </c>
      <c r="G33" t="s">
        <v>54</v>
      </c>
      <c r="H33">
        <f>D8-H32</f>
        <v>22</v>
      </c>
      <c r="I33" t="s">
        <v>60</v>
      </c>
    </row>
    <row r="34" spans="2:9" x14ac:dyDescent="0.35">
      <c r="C34" t="s">
        <v>8</v>
      </c>
      <c r="D34" s="2">
        <f>PV(D6,D33,D32,0,0)</f>
        <v>182035.3964806984</v>
      </c>
      <c r="G34" t="s">
        <v>106</v>
      </c>
    </row>
    <row r="37" spans="2:9" x14ac:dyDescent="0.35">
      <c r="B37" t="s">
        <v>107</v>
      </c>
      <c r="C37" t="s">
        <v>108</v>
      </c>
    </row>
    <row r="39" spans="2:9" x14ac:dyDescent="0.35">
      <c r="C39" t="s">
        <v>109</v>
      </c>
      <c r="D39">
        <f>D17</f>
        <v>192000</v>
      </c>
    </row>
    <row r="40" spans="2:9" x14ac:dyDescent="0.35">
      <c r="C40" t="s">
        <v>6</v>
      </c>
      <c r="D40" s="2">
        <f>-D34</f>
        <v>-182035.3964806984</v>
      </c>
    </row>
    <row r="41" spans="2:9" x14ac:dyDescent="0.35">
      <c r="C41" t="s">
        <v>19</v>
      </c>
      <c r="D41" s="2">
        <f>D10</f>
        <v>-1467.5291477587523</v>
      </c>
    </row>
    <row r="42" spans="2:9" x14ac:dyDescent="0.35">
      <c r="C42" t="s">
        <v>110</v>
      </c>
      <c r="D42">
        <f>H32</f>
        <v>8</v>
      </c>
      <c r="E42" t="s">
        <v>60</v>
      </c>
    </row>
    <row r="43" spans="2:9" x14ac:dyDescent="0.35">
      <c r="C43" t="s">
        <v>14</v>
      </c>
      <c r="D43">
        <f>D42*12</f>
        <v>96</v>
      </c>
    </row>
    <row r="44" spans="2:9" x14ac:dyDescent="0.35">
      <c r="C44" t="s">
        <v>9</v>
      </c>
      <c r="D44" s="6">
        <f>RATE(D43,D41,D39,D40,0)</f>
        <v>7.267721106293955E-3</v>
      </c>
      <c r="F44" t="s">
        <v>86</v>
      </c>
      <c r="G44" s="4">
        <f>12*D44</f>
        <v>8.7212653275527463E-2</v>
      </c>
    </row>
    <row r="46" spans="2:9" x14ac:dyDescent="0.35">
      <c r="B46" s="11" t="s">
        <v>111</v>
      </c>
    </row>
    <row r="47" spans="2:9" x14ac:dyDescent="0.35">
      <c r="B47" t="s">
        <v>112</v>
      </c>
    </row>
    <row r="49" spans="2:6" x14ac:dyDescent="0.35">
      <c r="B49" t="s">
        <v>88</v>
      </c>
      <c r="C49" t="s">
        <v>6</v>
      </c>
      <c r="D49">
        <v>0</v>
      </c>
    </row>
    <row r="50" spans="2:6" x14ac:dyDescent="0.35">
      <c r="C50" t="s">
        <v>89</v>
      </c>
      <c r="D50">
        <v>200000</v>
      </c>
    </row>
    <row r="51" spans="2:6" x14ac:dyDescent="0.35">
      <c r="B51" t="s">
        <v>8</v>
      </c>
      <c r="C51" t="s">
        <v>90</v>
      </c>
      <c r="D51" s="1">
        <v>0.8</v>
      </c>
      <c r="E51">
        <f>D51*D50</f>
        <v>160000</v>
      </c>
    </row>
    <row r="52" spans="2:6" x14ac:dyDescent="0.35">
      <c r="C52" t="s">
        <v>84</v>
      </c>
      <c r="D52" s="1">
        <v>0.06</v>
      </c>
    </row>
    <row r="53" spans="2:6" x14ac:dyDescent="0.35">
      <c r="C53" t="s">
        <v>9</v>
      </c>
      <c r="D53" s="3">
        <f>D52/12</f>
        <v>5.0000000000000001E-3</v>
      </c>
    </row>
    <row r="54" spans="2:6" x14ac:dyDescent="0.35">
      <c r="C54" t="s">
        <v>33</v>
      </c>
      <c r="D54">
        <v>2</v>
      </c>
      <c r="E54">
        <f>D54/100</f>
        <v>0.02</v>
      </c>
    </row>
    <row r="55" spans="2:6" x14ac:dyDescent="0.35">
      <c r="C55" t="s">
        <v>79</v>
      </c>
      <c r="D55">
        <v>30</v>
      </c>
    </row>
    <row r="56" spans="2:6" x14ac:dyDescent="0.35">
      <c r="C56" t="s">
        <v>16</v>
      </c>
      <c r="D56">
        <f>12*D55</f>
        <v>360</v>
      </c>
    </row>
    <row r="57" spans="2:6" x14ac:dyDescent="0.35">
      <c r="C57" t="s">
        <v>19</v>
      </c>
      <c r="D57" s="2">
        <f>PMT(D53,D56,D50,D49,0)</f>
        <v>-1199.1010503055047</v>
      </c>
      <c r="F57" t="s">
        <v>91</v>
      </c>
    </row>
    <row r="60" spans="2:6" x14ac:dyDescent="0.35">
      <c r="B60" t="s">
        <v>92</v>
      </c>
      <c r="C60" t="s">
        <v>93</v>
      </c>
    </row>
    <row r="62" spans="2:6" x14ac:dyDescent="0.35">
      <c r="C62" t="s">
        <v>94</v>
      </c>
      <c r="D62">
        <f>D50</f>
        <v>200000</v>
      </c>
    </row>
    <row r="63" spans="2:6" x14ac:dyDescent="0.35">
      <c r="C63" s="11" t="s">
        <v>95</v>
      </c>
      <c r="D63">
        <f>-E54*D62</f>
        <v>-4000</v>
      </c>
    </row>
    <row r="64" spans="2:6" x14ac:dyDescent="0.35">
      <c r="C64" t="s">
        <v>96</v>
      </c>
      <c r="D64">
        <f>D62+D63</f>
        <v>196000</v>
      </c>
    </row>
    <row r="67" spans="2:9" x14ac:dyDescent="0.35">
      <c r="B67" t="s">
        <v>97</v>
      </c>
      <c r="C67" t="s">
        <v>98</v>
      </c>
    </row>
    <row r="69" spans="2:9" x14ac:dyDescent="0.35">
      <c r="C69" t="s">
        <v>6</v>
      </c>
      <c r="D69">
        <v>0</v>
      </c>
    </row>
    <row r="70" spans="2:9" x14ac:dyDescent="0.35">
      <c r="C70" t="s">
        <v>99</v>
      </c>
      <c r="D70" t="s">
        <v>8</v>
      </c>
      <c r="E70">
        <f>D64</f>
        <v>196000</v>
      </c>
    </row>
    <row r="71" spans="2:9" x14ac:dyDescent="0.35">
      <c r="C71" t="s">
        <v>100</v>
      </c>
      <c r="D71">
        <f>D55</f>
        <v>30</v>
      </c>
      <c r="E71" t="s">
        <v>60</v>
      </c>
    </row>
    <row r="72" spans="2:9" x14ac:dyDescent="0.35">
      <c r="C72" t="s">
        <v>14</v>
      </c>
      <c r="D72">
        <f>12*D71</f>
        <v>360</v>
      </c>
    </row>
    <row r="73" spans="2:9" x14ac:dyDescent="0.35">
      <c r="C73" t="s">
        <v>19</v>
      </c>
      <c r="D73" s="2">
        <f>D57</f>
        <v>-1199.1010503055047</v>
      </c>
    </row>
    <row r="74" spans="2:9" x14ac:dyDescent="0.35">
      <c r="C74" t="s">
        <v>9</v>
      </c>
      <c r="D74" s="3">
        <f>RATE(D72,D73,E70,D69,0)</f>
        <v>5.1578968809357041E-3</v>
      </c>
      <c r="F74" t="s">
        <v>101</v>
      </c>
      <c r="G74" s="7">
        <f>12*D74</f>
        <v>6.1894762571228445E-2</v>
      </c>
      <c r="I74" t="s">
        <v>102</v>
      </c>
    </row>
    <row r="77" spans="2:9" x14ac:dyDescent="0.35">
      <c r="B77" t="s">
        <v>103</v>
      </c>
      <c r="C77" t="s">
        <v>104</v>
      </c>
    </row>
    <row r="79" spans="2:9" x14ac:dyDescent="0.35">
      <c r="C79" t="s">
        <v>19</v>
      </c>
      <c r="D79" s="2">
        <f>D73</f>
        <v>-1199.1010503055047</v>
      </c>
      <c r="G79" t="s">
        <v>73</v>
      </c>
      <c r="H79">
        <v>5</v>
      </c>
      <c r="I79" t="s">
        <v>60</v>
      </c>
    </row>
    <row r="80" spans="2:9" x14ac:dyDescent="0.35">
      <c r="C80" t="s">
        <v>105</v>
      </c>
      <c r="D80">
        <f>H80*12</f>
        <v>300</v>
      </c>
      <c r="G80" t="s">
        <v>54</v>
      </c>
      <c r="H80">
        <f>D55-H79</f>
        <v>25</v>
      </c>
      <c r="I80" t="s">
        <v>60</v>
      </c>
    </row>
    <row r="81" spans="2:7" x14ac:dyDescent="0.35">
      <c r="C81" t="s">
        <v>8</v>
      </c>
      <c r="D81" s="2">
        <f>PV(D53,D80,D79,0,0)</f>
        <v>186108.71364563669</v>
      </c>
      <c r="G81" t="s">
        <v>106</v>
      </c>
    </row>
    <row r="84" spans="2:7" x14ac:dyDescent="0.35">
      <c r="B84" t="s">
        <v>107</v>
      </c>
      <c r="C84" t="s">
        <v>108</v>
      </c>
    </row>
    <row r="86" spans="2:7" x14ac:dyDescent="0.35">
      <c r="C86" t="s">
        <v>109</v>
      </c>
      <c r="D86">
        <f>D64</f>
        <v>196000</v>
      </c>
    </row>
    <row r="87" spans="2:7" x14ac:dyDescent="0.35">
      <c r="C87" t="s">
        <v>6</v>
      </c>
      <c r="D87" s="2">
        <f>-D81</f>
        <v>-186108.71364563669</v>
      </c>
    </row>
    <row r="88" spans="2:7" x14ac:dyDescent="0.35">
      <c r="C88" t="s">
        <v>19</v>
      </c>
      <c r="D88" s="2">
        <f>D57</f>
        <v>-1199.1010503055047</v>
      </c>
    </row>
    <row r="89" spans="2:7" x14ac:dyDescent="0.35">
      <c r="C89" t="s">
        <v>110</v>
      </c>
      <c r="D89">
        <f>H79</f>
        <v>5</v>
      </c>
      <c r="E89" t="s">
        <v>60</v>
      </c>
    </row>
    <row r="90" spans="2:7" x14ac:dyDescent="0.35">
      <c r="C90" t="s">
        <v>14</v>
      </c>
      <c r="D90">
        <f>D89*12</f>
        <v>60</v>
      </c>
    </row>
    <row r="91" spans="2:7" x14ac:dyDescent="0.35">
      <c r="C91" t="s">
        <v>9</v>
      </c>
      <c r="D91" s="6">
        <f>RATE(D90,D88,D86,D87,0)</f>
        <v>5.4035074879608021E-3</v>
      </c>
      <c r="F91" t="s">
        <v>86</v>
      </c>
      <c r="G91" s="4">
        <f>12*D91</f>
        <v>6.4842089855529625E-2</v>
      </c>
    </row>
    <row r="93" spans="2:7" x14ac:dyDescent="0.35">
      <c r="B93" s="11" t="s">
        <v>113</v>
      </c>
    </row>
    <row r="96" spans="2:7" x14ac:dyDescent="0.35">
      <c r="B96" t="s">
        <v>88</v>
      </c>
      <c r="C96" t="s">
        <v>6</v>
      </c>
      <c r="D96">
        <v>0</v>
      </c>
    </row>
    <row r="97" spans="2:6" x14ac:dyDescent="0.35">
      <c r="C97" t="s">
        <v>89</v>
      </c>
      <c r="D97">
        <v>100000</v>
      </c>
    </row>
    <row r="98" spans="2:6" x14ac:dyDescent="0.35">
      <c r="D98" s="1"/>
    </row>
    <row r="99" spans="2:6" x14ac:dyDescent="0.35">
      <c r="C99" t="s">
        <v>84</v>
      </c>
      <c r="D99" s="1">
        <v>0.12</v>
      </c>
    </row>
    <row r="100" spans="2:6" x14ac:dyDescent="0.35">
      <c r="C100" t="s">
        <v>9</v>
      </c>
      <c r="D100" s="3">
        <f>D99/12</f>
        <v>0.01</v>
      </c>
    </row>
    <row r="101" spans="2:6" x14ac:dyDescent="0.35">
      <c r="C101" t="s">
        <v>33</v>
      </c>
      <c r="D101">
        <v>3</v>
      </c>
      <c r="E101">
        <f>D101/100</f>
        <v>0.03</v>
      </c>
    </row>
    <row r="102" spans="2:6" x14ac:dyDescent="0.35">
      <c r="C102" t="s">
        <v>79</v>
      </c>
      <c r="D102">
        <v>30</v>
      </c>
    </row>
    <row r="103" spans="2:6" x14ac:dyDescent="0.35">
      <c r="C103" t="s">
        <v>16</v>
      </c>
      <c r="D103">
        <f>12*D102</f>
        <v>360</v>
      </c>
    </row>
    <row r="104" spans="2:6" x14ac:dyDescent="0.35">
      <c r="C104" t="s">
        <v>19</v>
      </c>
      <c r="D104" s="2">
        <f>PMT(D100,D103,D97,D96,0)</f>
        <v>-1028.6125969255042</v>
      </c>
      <c r="F104" t="s">
        <v>91</v>
      </c>
    </row>
    <row r="107" spans="2:6" x14ac:dyDescent="0.35">
      <c r="B107" t="s">
        <v>92</v>
      </c>
      <c r="C107" t="s">
        <v>93</v>
      </c>
    </row>
    <row r="109" spans="2:6" x14ac:dyDescent="0.35">
      <c r="C109" t="s">
        <v>94</v>
      </c>
      <c r="D109">
        <f>D97</f>
        <v>100000</v>
      </c>
    </row>
    <row r="110" spans="2:6" x14ac:dyDescent="0.35">
      <c r="C110" s="11" t="s">
        <v>95</v>
      </c>
      <c r="D110">
        <f>-E101*D109</f>
        <v>-3000</v>
      </c>
    </row>
    <row r="111" spans="2:6" x14ac:dyDescent="0.35">
      <c r="C111" t="s">
        <v>96</v>
      </c>
      <c r="D111">
        <f>D109+D110</f>
        <v>97000</v>
      </c>
    </row>
    <row r="114" spans="2:9" x14ac:dyDescent="0.35">
      <c r="B114" t="s">
        <v>97</v>
      </c>
      <c r="C114" t="s">
        <v>98</v>
      </c>
    </row>
    <row r="116" spans="2:9" x14ac:dyDescent="0.35">
      <c r="C116" t="s">
        <v>6</v>
      </c>
      <c r="D116">
        <v>0</v>
      </c>
    </row>
    <row r="117" spans="2:9" x14ac:dyDescent="0.35">
      <c r="C117" t="s">
        <v>99</v>
      </c>
      <c r="D117" t="s">
        <v>8</v>
      </c>
      <c r="E117">
        <f>D111</f>
        <v>97000</v>
      </c>
    </row>
    <row r="118" spans="2:9" x14ac:dyDescent="0.35">
      <c r="C118" t="s">
        <v>100</v>
      </c>
      <c r="D118">
        <f>D102</f>
        <v>30</v>
      </c>
      <c r="E118" t="s">
        <v>60</v>
      </c>
    </row>
    <row r="119" spans="2:9" x14ac:dyDescent="0.35">
      <c r="C119" t="s">
        <v>14</v>
      </c>
      <c r="D119">
        <f>12*D118</f>
        <v>360</v>
      </c>
    </row>
    <row r="120" spans="2:9" x14ac:dyDescent="0.35">
      <c r="C120" t="s">
        <v>19</v>
      </c>
      <c r="D120" s="2">
        <f>D104</f>
        <v>-1028.6125969255042</v>
      </c>
    </row>
    <row r="121" spans="2:9" x14ac:dyDescent="0.35">
      <c r="C121" t="s">
        <v>9</v>
      </c>
      <c r="D121" s="3">
        <f>RATE(D119,D120,E117,D116,0)</f>
        <v>1.0343240931398231E-2</v>
      </c>
      <c r="F121" t="s">
        <v>101</v>
      </c>
      <c r="G121" s="7">
        <f>12*D121</f>
        <v>0.12411889117677877</v>
      </c>
      <c r="I121" t="s">
        <v>102</v>
      </c>
    </row>
    <row r="124" spans="2:9" x14ac:dyDescent="0.35">
      <c r="B124" t="s">
        <v>103</v>
      </c>
      <c r="C124" t="s">
        <v>114</v>
      </c>
    </row>
    <row r="126" spans="2:9" x14ac:dyDescent="0.35">
      <c r="C126" t="s">
        <v>19</v>
      </c>
      <c r="D126" s="2">
        <f>D120</f>
        <v>-1028.6125969255042</v>
      </c>
      <c r="G126" t="s">
        <v>73</v>
      </c>
      <c r="H126">
        <v>5</v>
      </c>
      <c r="I126" t="s">
        <v>60</v>
      </c>
    </row>
    <row r="127" spans="2:9" x14ac:dyDescent="0.35">
      <c r="C127" t="s">
        <v>105</v>
      </c>
      <c r="D127">
        <f>H127*12</f>
        <v>300</v>
      </c>
      <c r="G127" t="s">
        <v>54</v>
      </c>
      <c r="H127">
        <f>D102-H126</f>
        <v>25</v>
      </c>
      <c r="I127" t="s">
        <v>60</v>
      </c>
    </row>
    <row r="128" spans="2:9" x14ac:dyDescent="0.35">
      <c r="C128" t="s">
        <v>8</v>
      </c>
      <c r="D128" s="2">
        <f>PV(D100,D127,D126,0,0)</f>
        <v>97663.218655359538</v>
      </c>
      <c r="G128" t="s">
        <v>106</v>
      </c>
    </row>
    <row r="131" spans="2:7" x14ac:dyDescent="0.35">
      <c r="B131" t="s">
        <v>107</v>
      </c>
      <c r="C131" t="s">
        <v>108</v>
      </c>
    </row>
    <row r="133" spans="2:7" x14ac:dyDescent="0.35">
      <c r="C133" t="s">
        <v>109</v>
      </c>
      <c r="D133">
        <f>D111</f>
        <v>97000</v>
      </c>
    </row>
    <row r="134" spans="2:7" x14ac:dyDescent="0.35">
      <c r="C134" t="s">
        <v>6</v>
      </c>
      <c r="D134" s="2">
        <f>-D128</f>
        <v>-97663.218655359538</v>
      </c>
    </row>
    <row r="135" spans="2:7" x14ac:dyDescent="0.35">
      <c r="C135" t="s">
        <v>19</v>
      </c>
      <c r="D135" s="2">
        <f>D104</f>
        <v>-1028.6125969255042</v>
      </c>
    </row>
    <row r="136" spans="2:7" x14ac:dyDescent="0.35">
      <c r="C136" t="s">
        <v>110</v>
      </c>
      <c r="D136">
        <f>H126</f>
        <v>5</v>
      </c>
      <c r="E136" t="s">
        <v>60</v>
      </c>
    </row>
    <row r="137" spans="2:7" x14ac:dyDescent="0.35">
      <c r="C137" t="s">
        <v>14</v>
      </c>
      <c r="D137">
        <f>D136*12</f>
        <v>60</v>
      </c>
    </row>
    <row r="138" spans="2:7" x14ac:dyDescent="0.35">
      <c r="C138" t="s">
        <v>9</v>
      </c>
      <c r="D138" s="6">
        <f>RATE(D137,D135,D133,D134,0)</f>
        <v>1.0686141355683869E-2</v>
      </c>
      <c r="F138" t="s">
        <v>86</v>
      </c>
      <c r="G138" s="4">
        <f>12*D138</f>
        <v>0.12823369626820644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68B6-513D-4597-91D1-209E182779CA}">
  <dimension ref="A1:D19"/>
  <sheetViews>
    <sheetView workbookViewId="0">
      <selection activeCell="E22" sqref="A1:E22"/>
    </sheetView>
  </sheetViews>
  <sheetFormatPr defaultRowHeight="14.5" x14ac:dyDescent="0.35"/>
  <cols>
    <col min="1" max="1" width="11" bestFit="1" customWidth="1"/>
    <col min="2" max="2" width="20.81640625" customWidth="1"/>
  </cols>
  <sheetData>
    <row r="1" spans="1:4" x14ac:dyDescent="0.35">
      <c r="A1" t="s">
        <v>69</v>
      </c>
    </row>
    <row r="3" spans="1:4" x14ac:dyDescent="0.35">
      <c r="A3" t="s">
        <v>8</v>
      </c>
      <c r="B3">
        <v>260000</v>
      </c>
    </row>
    <row r="4" spans="1:4" x14ac:dyDescent="0.35">
      <c r="A4" t="s">
        <v>70</v>
      </c>
      <c r="B4" s="1">
        <v>0</v>
      </c>
    </row>
    <row r="5" spans="1:4" x14ac:dyDescent="0.35">
      <c r="A5" t="s">
        <v>71</v>
      </c>
      <c r="B5" s="3">
        <v>2.1999999999999999E-2</v>
      </c>
    </row>
    <row r="6" spans="1:4" x14ac:dyDescent="0.35">
      <c r="A6" t="s">
        <v>72</v>
      </c>
      <c r="B6" s="3">
        <f>B4+B5</f>
        <v>2.1999999999999999E-2</v>
      </c>
      <c r="C6" t="s">
        <v>9</v>
      </c>
      <c r="D6" s="13">
        <f>B6/12</f>
        <v>1.8333333333333333E-3</v>
      </c>
    </row>
    <row r="7" spans="1:4" x14ac:dyDescent="0.35">
      <c r="A7" t="s">
        <v>16</v>
      </c>
      <c r="B7" s="17">
        <v>30</v>
      </c>
      <c r="C7" t="s">
        <v>14</v>
      </c>
      <c r="D7">
        <f>12*B7</f>
        <v>360</v>
      </c>
    </row>
    <row r="9" spans="1:4" x14ac:dyDescent="0.35">
      <c r="A9" t="s">
        <v>19</v>
      </c>
      <c r="B9" s="2">
        <f>PMT(D6,D7,B3)</f>
        <v>-987.22218771871076</v>
      </c>
    </row>
    <row r="11" spans="1:4" x14ac:dyDescent="0.35">
      <c r="A11" t="s">
        <v>73</v>
      </c>
      <c r="B11" t="s">
        <v>74</v>
      </c>
    </row>
    <row r="12" spans="1:4" x14ac:dyDescent="0.35">
      <c r="A12" t="s">
        <v>16</v>
      </c>
      <c r="B12">
        <v>29</v>
      </c>
      <c r="C12" t="s">
        <v>14</v>
      </c>
      <c r="D12">
        <f>12*B12</f>
        <v>348</v>
      </c>
    </row>
    <row r="13" spans="1:4" x14ac:dyDescent="0.35">
      <c r="A13" t="s">
        <v>8</v>
      </c>
      <c r="B13" s="2">
        <f>PV(D6,D12,B9)</f>
        <v>253811.17744001054</v>
      </c>
    </row>
    <row r="15" spans="1:4" x14ac:dyDescent="0.35">
      <c r="A15" t="s">
        <v>70</v>
      </c>
      <c r="B15" s="1">
        <v>0.02</v>
      </c>
    </row>
    <row r="16" spans="1:4" x14ac:dyDescent="0.35">
      <c r="A16" t="s">
        <v>75</v>
      </c>
      <c r="B16" s="1">
        <f>B15+B5</f>
        <v>4.1999999999999996E-2</v>
      </c>
      <c r="C16" t="s">
        <v>9</v>
      </c>
      <c r="D16" s="13">
        <f>B16/12</f>
        <v>3.4999999999999996E-3</v>
      </c>
    </row>
    <row r="17" spans="1:2" x14ac:dyDescent="0.35">
      <c r="A17" t="s">
        <v>19</v>
      </c>
      <c r="B17" s="2">
        <f>PMT(D16,D12,B13)</f>
        <v>-1262.6541638028405</v>
      </c>
    </row>
    <row r="19" spans="1:2" x14ac:dyDescent="0.35">
      <c r="A19" t="s">
        <v>76</v>
      </c>
      <c r="B19" s="2">
        <f>-B17+B9</f>
        <v>275.4319760841297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4136-E893-4435-9876-C38FBD437130}">
  <dimension ref="A4:W126"/>
  <sheetViews>
    <sheetView tabSelected="1" topLeftCell="A91" workbookViewId="0">
      <selection activeCell="H127" sqref="H127"/>
    </sheetView>
  </sheetViews>
  <sheetFormatPr defaultRowHeight="14.5" x14ac:dyDescent="0.35"/>
  <cols>
    <col min="3" max="3" width="15.1796875" customWidth="1"/>
    <col min="4" max="4" width="16" customWidth="1"/>
    <col min="8" max="8" width="23.90625" customWidth="1"/>
  </cols>
  <sheetData>
    <row r="4" spans="2:6" x14ac:dyDescent="0.35">
      <c r="B4" t="s">
        <v>88</v>
      </c>
      <c r="C4" t="s">
        <v>6</v>
      </c>
      <c r="D4">
        <v>0</v>
      </c>
    </row>
    <row r="5" spans="2:6" x14ac:dyDescent="0.35">
      <c r="C5" t="s">
        <v>89</v>
      </c>
      <c r="D5">
        <v>250000</v>
      </c>
    </row>
    <row r="6" spans="2:6" x14ac:dyDescent="0.35">
      <c r="D6" s="1"/>
    </row>
    <row r="7" spans="2:6" x14ac:dyDescent="0.35">
      <c r="C7" t="s">
        <v>84</v>
      </c>
      <c r="D7" s="1">
        <v>4.4999999999999998E-2</v>
      </c>
    </row>
    <row r="8" spans="2:6" x14ac:dyDescent="0.35">
      <c r="C8" t="s">
        <v>9</v>
      </c>
      <c r="D8" s="3">
        <f>D7/12</f>
        <v>3.7499999999999999E-3</v>
      </c>
    </row>
    <row r="9" spans="2:6" x14ac:dyDescent="0.35">
      <c r="C9" t="s">
        <v>33</v>
      </c>
      <c r="D9">
        <v>2</v>
      </c>
      <c r="E9">
        <f>D9/100</f>
        <v>0.02</v>
      </c>
    </row>
    <row r="10" spans="2:6" x14ac:dyDescent="0.35">
      <c r="C10" t="s">
        <v>79</v>
      </c>
      <c r="D10">
        <v>30</v>
      </c>
    </row>
    <row r="11" spans="2:6" x14ac:dyDescent="0.35">
      <c r="C11" t="s">
        <v>16</v>
      </c>
      <c r="D11">
        <f>12*D10</f>
        <v>360</v>
      </c>
    </row>
    <row r="12" spans="2:6" x14ac:dyDescent="0.35">
      <c r="C12" t="s">
        <v>19</v>
      </c>
      <c r="D12" s="2">
        <f>PMT(D8,D11,D5,D4,0)</f>
        <v>-1266.7132745647018</v>
      </c>
      <c r="F12" t="s">
        <v>91</v>
      </c>
    </row>
    <row r="15" spans="2:6" x14ac:dyDescent="0.35">
      <c r="B15" t="s">
        <v>92</v>
      </c>
      <c r="C15" t="s">
        <v>93</v>
      </c>
    </row>
    <row r="17" spans="2:9" x14ac:dyDescent="0.35">
      <c r="C17" t="s">
        <v>94</v>
      </c>
      <c r="D17">
        <f>D5</f>
        <v>250000</v>
      </c>
    </row>
    <row r="18" spans="2:9" x14ac:dyDescent="0.35">
      <c r="C18" s="11" t="s">
        <v>95</v>
      </c>
      <c r="D18">
        <f>-E9*D17</f>
        <v>-5000</v>
      </c>
    </row>
    <row r="19" spans="2:9" x14ac:dyDescent="0.35">
      <c r="C19" t="s">
        <v>96</v>
      </c>
      <c r="D19">
        <f>D17+D18</f>
        <v>245000</v>
      </c>
    </row>
    <row r="22" spans="2:9" x14ac:dyDescent="0.35">
      <c r="B22" t="s">
        <v>97</v>
      </c>
      <c r="C22" t="s">
        <v>98</v>
      </c>
    </row>
    <row r="24" spans="2:9" x14ac:dyDescent="0.35">
      <c r="C24" t="s">
        <v>6</v>
      </c>
      <c r="D24">
        <v>0</v>
      </c>
    </row>
    <row r="25" spans="2:9" x14ac:dyDescent="0.35">
      <c r="C25" t="s">
        <v>99</v>
      </c>
      <c r="D25" t="s">
        <v>8</v>
      </c>
      <c r="E25">
        <f>D19</f>
        <v>245000</v>
      </c>
    </row>
    <row r="26" spans="2:9" x14ac:dyDescent="0.35">
      <c r="C26" t="s">
        <v>100</v>
      </c>
      <c r="D26">
        <f>D10</f>
        <v>30</v>
      </c>
      <c r="E26" t="s">
        <v>60</v>
      </c>
    </row>
    <row r="27" spans="2:9" x14ac:dyDescent="0.35">
      <c r="C27" t="s">
        <v>14</v>
      </c>
      <c r="D27">
        <f>12*D26</f>
        <v>360</v>
      </c>
    </row>
    <row r="28" spans="2:9" x14ac:dyDescent="0.35">
      <c r="C28" t="s">
        <v>19</v>
      </c>
      <c r="D28" s="2">
        <f>D12</f>
        <v>-1266.7132745647018</v>
      </c>
    </row>
    <row r="29" spans="2:9" x14ac:dyDescent="0.35">
      <c r="C29" t="s">
        <v>9</v>
      </c>
      <c r="D29" s="3">
        <f>RATE(D27,D28,E25,D24,0)</f>
        <v>3.8943002292346133E-3</v>
      </c>
      <c r="F29" t="s">
        <v>101</v>
      </c>
      <c r="G29" s="7">
        <f>12*D29</f>
        <v>4.6731602750815358E-2</v>
      </c>
      <c r="I29" t="s">
        <v>102</v>
      </c>
    </row>
    <row r="33" spans="1:23" x14ac:dyDescent="0.35">
      <c r="A33" t="s">
        <v>115</v>
      </c>
    </row>
    <row r="34" spans="1:23" x14ac:dyDescent="0.35">
      <c r="C34" t="s">
        <v>6</v>
      </c>
      <c r="D34">
        <v>1000000</v>
      </c>
    </row>
    <row r="35" spans="1:23" x14ac:dyDescent="0.35">
      <c r="C35" t="s">
        <v>16</v>
      </c>
      <c r="D35">
        <v>20</v>
      </c>
    </row>
    <row r="36" spans="1:23" x14ac:dyDescent="0.35">
      <c r="C36" t="s">
        <v>19</v>
      </c>
      <c r="D36">
        <v>50000</v>
      </c>
      <c r="E36">
        <v>50000</v>
      </c>
      <c r="F36">
        <v>50000</v>
      </c>
      <c r="G36">
        <v>50000</v>
      </c>
      <c r="H36">
        <v>50000</v>
      </c>
      <c r="I36">
        <v>50000</v>
      </c>
      <c r="J36">
        <v>50000</v>
      </c>
      <c r="K36">
        <v>50000</v>
      </c>
      <c r="L36">
        <v>50000</v>
      </c>
      <c r="M36">
        <v>50000</v>
      </c>
      <c r="N36">
        <v>50000</v>
      </c>
      <c r="O36">
        <v>50000</v>
      </c>
      <c r="P36">
        <v>50000</v>
      </c>
      <c r="Q36">
        <v>50000</v>
      </c>
      <c r="R36">
        <v>50000</v>
      </c>
      <c r="S36">
        <v>50000</v>
      </c>
      <c r="T36">
        <v>50000</v>
      </c>
      <c r="U36">
        <v>50000</v>
      </c>
      <c r="V36">
        <v>50000</v>
      </c>
      <c r="W36">
        <v>50000</v>
      </c>
    </row>
    <row r="37" spans="1:23" x14ac:dyDescent="0.35">
      <c r="C37" t="s">
        <v>117</v>
      </c>
      <c r="D37" s="20">
        <v>1</v>
      </c>
      <c r="E37" s="20">
        <v>2</v>
      </c>
      <c r="F37" s="20">
        <v>3</v>
      </c>
      <c r="G37" s="20">
        <v>4</v>
      </c>
      <c r="H37" s="20">
        <v>5</v>
      </c>
      <c r="I37" s="20">
        <v>6</v>
      </c>
      <c r="J37" s="20">
        <v>7</v>
      </c>
      <c r="K37" s="20">
        <v>8</v>
      </c>
      <c r="L37" s="20">
        <v>9</v>
      </c>
      <c r="M37" s="20">
        <v>10</v>
      </c>
      <c r="N37" s="20">
        <v>11</v>
      </c>
      <c r="O37" s="20">
        <v>12</v>
      </c>
      <c r="P37" s="20">
        <v>13</v>
      </c>
      <c r="Q37" s="20">
        <v>14</v>
      </c>
      <c r="R37" s="20">
        <v>15</v>
      </c>
      <c r="S37" s="20">
        <v>16</v>
      </c>
      <c r="T37" s="20">
        <v>17</v>
      </c>
      <c r="U37" s="20">
        <v>18</v>
      </c>
      <c r="V37" s="20">
        <v>19</v>
      </c>
      <c r="W37" s="20">
        <v>20</v>
      </c>
    </row>
    <row r="38" spans="1:23" x14ac:dyDescent="0.35">
      <c r="C38" t="s">
        <v>8</v>
      </c>
    </row>
    <row r="39" spans="1:23" x14ac:dyDescent="0.35">
      <c r="C39" t="s">
        <v>116</v>
      </c>
      <c r="D39" s="1" t="e">
        <f>IRR(D36:W36)</f>
        <v>#NUM!</v>
      </c>
    </row>
    <row r="41" spans="1:23" x14ac:dyDescent="0.35">
      <c r="C41" t="s">
        <v>8</v>
      </c>
      <c r="D41" s="19">
        <v>695680</v>
      </c>
    </row>
    <row r="42" spans="1:23" x14ac:dyDescent="0.35">
      <c r="C42" t="s">
        <v>86</v>
      </c>
      <c r="D42" s="1"/>
    </row>
    <row r="44" spans="1:23" x14ac:dyDescent="0.35">
      <c r="A44" t="s">
        <v>118</v>
      </c>
    </row>
    <row r="45" spans="1:23" x14ac:dyDescent="0.35">
      <c r="B45" t="s">
        <v>69</v>
      </c>
    </row>
    <row r="47" spans="1:23" x14ac:dyDescent="0.35">
      <c r="B47" t="s">
        <v>8</v>
      </c>
      <c r="C47">
        <v>260000</v>
      </c>
    </row>
    <row r="48" spans="1:23" x14ac:dyDescent="0.35">
      <c r="B48" t="s">
        <v>70</v>
      </c>
      <c r="C48" s="1">
        <v>0</v>
      </c>
    </row>
    <row r="49" spans="2:5" x14ac:dyDescent="0.35">
      <c r="B49" t="s">
        <v>71</v>
      </c>
      <c r="C49" s="3">
        <v>2.1999999999999999E-2</v>
      </c>
    </row>
    <row r="50" spans="2:5" x14ac:dyDescent="0.35">
      <c r="B50" t="s">
        <v>72</v>
      </c>
      <c r="C50" s="3">
        <f>C48+C49</f>
        <v>2.1999999999999999E-2</v>
      </c>
      <c r="D50" t="s">
        <v>9</v>
      </c>
      <c r="E50" s="13">
        <f>C50/12</f>
        <v>1.8333333333333333E-3</v>
      </c>
    </row>
    <row r="51" spans="2:5" x14ac:dyDescent="0.35">
      <c r="B51" t="s">
        <v>16</v>
      </c>
      <c r="C51" s="17">
        <v>30</v>
      </c>
      <c r="D51" t="s">
        <v>14</v>
      </c>
      <c r="E51">
        <f>12*C51</f>
        <v>360</v>
      </c>
    </row>
    <row r="53" spans="2:5" x14ac:dyDescent="0.35">
      <c r="B53" t="s">
        <v>19</v>
      </c>
      <c r="C53" s="2">
        <f>PMT(E50,E51,C47)</f>
        <v>-987.22218771871076</v>
      </c>
    </row>
    <row r="55" spans="2:5" x14ac:dyDescent="0.35">
      <c r="B55" t="s">
        <v>73</v>
      </c>
      <c r="C55" t="s">
        <v>74</v>
      </c>
    </row>
    <row r="56" spans="2:5" x14ac:dyDescent="0.35">
      <c r="B56" t="s">
        <v>16</v>
      </c>
      <c r="C56">
        <v>29</v>
      </c>
      <c r="D56" t="s">
        <v>14</v>
      </c>
      <c r="E56">
        <f>12*C56</f>
        <v>348</v>
      </c>
    </row>
    <row r="57" spans="2:5" x14ac:dyDescent="0.35">
      <c r="B57" t="s">
        <v>8</v>
      </c>
      <c r="C57" s="2">
        <f>PV(E50,E56,C53)</f>
        <v>253811.17744001054</v>
      </c>
    </row>
    <row r="59" spans="2:5" x14ac:dyDescent="0.35">
      <c r="B59" t="s">
        <v>70</v>
      </c>
      <c r="C59" s="1">
        <v>0.02</v>
      </c>
    </row>
    <row r="60" spans="2:5" x14ac:dyDescent="0.35">
      <c r="B60" t="s">
        <v>75</v>
      </c>
      <c r="C60" s="1">
        <f>C59+C49</f>
        <v>4.1999999999999996E-2</v>
      </c>
      <c r="D60" t="s">
        <v>9</v>
      </c>
      <c r="E60" s="13">
        <f>C60/12</f>
        <v>3.4999999999999996E-3</v>
      </c>
    </row>
    <row r="61" spans="2:5" x14ac:dyDescent="0.35">
      <c r="B61" t="s">
        <v>19</v>
      </c>
      <c r="C61" s="2">
        <f>PMT(E60,E56,C57)</f>
        <v>-1262.6541638028405</v>
      </c>
    </row>
    <row r="63" spans="2:5" x14ac:dyDescent="0.35">
      <c r="B63" t="s">
        <v>76</v>
      </c>
      <c r="C63" s="2">
        <f>-C61+C53</f>
        <v>275.4319760841297</v>
      </c>
    </row>
    <row r="66" spans="1:4" x14ac:dyDescent="0.35">
      <c r="A66" t="s">
        <v>119</v>
      </c>
    </row>
    <row r="67" spans="1:4" x14ac:dyDescent="0.35">
      <c r="B67" t="s">
        <v>85</v>
      </c>
    </row>
    <row r="69" spans="1:4" x14ac:dyDescent="0.35">
      <c r="B69" t="s">
        <v>8</v>
      </c>
      <c r="C69">
        <v>250000</v>
      </c>
    </row>
    <row r="70" spans="1:4" x14ac:dyDescent="0.35">
      <c r="B70" t="s">
        <v>16</v>
      </c>
      <c r="C70">
        <v>30</v>
      </c>
      <c r="D70" t="s">
        <v>60</v>
      </c>
    </row>
    <row r="71" spans="1:4" x14ac:dyDescent="0.35">
      <c r="B71" t="s">
        <v>14</v>
      </c>
      <c r="C71">
        <f>12*C70</f>
        <v>360</v>
      </c>
    </row>
    <row r="72" spans="1:4" x14ac:dyDescent="0.35">
      <c r="B72" t="s">
        <v>86</v>
      </c>
      <c r="C72" s="3">
        <v>4.4999999999999998E-2</v>
      </c>
    </row>
    <row r="73" spans="1:4" x14ac:dyDescent="0.35">
      <c r="B73" t="s">
        <v>9</v>
      </c>
      <c r="C73" s="4">
        <f>C72/12</f>
        <v>3.7499999999999999E-3</v>
      </c>
    </row>
    <row r="74" spans="1:4" x14ac:dyDescent="0.35">
      <c r="B74" t="s">
        <v>19</v>
      </c>
      <c r="C74" s="2">
        <f>PMT(C73,C71,C69)</f>
        <v>-1266.7132745647018</v>
      </c>
    </row>
    <row r="76" spans="1:4" x14ac:dyDescent="0.35">
      <c r="B76" t="s">
        <v>87</v>
      </c>
      <c r="C76">
        <v>4</v>
      </c>
      <c r="D76" t="s">
        <v>60</v>
      </c>
    </row>
    <row r="77" spans="1:4" x14ac:dyDescent="0.35">
      <c r="B77" t="s">
        <v>19</v>
      </c>
      <c r="C77" s="2">
        <f>C74</f>
        <v>-1266.7132745647018</v>
      </c>
    </row>
    <row r="78" spans="1:4" x14ac:dyDescent="0.35">
      <c r="B78" t="s">
        <v>16</v>
      </c>
      <c r="C78">
        <f>C70-C76</f>
        <v>26</v>
      </c>
    </row>
    <row r="79" spans="1:4" x14ac:dyDescent="0.35">
      <c r="B79" t="s">
        <v>14</v>
      </c>
      <c r="C79">
        <f>12*C78</f>
        <v>312</v>
      </c>
    </row>
    <row r="80" spans="1:4" x14ac:dyDescent="0.35">
      <c r="B80" t="s">
        <v>86</v>
      </c>
      <c r="C80" s="1">
        <f>C72</f>
        <v>4.4999999999999998E-2</v>
      </c>
    </row>
    <row r="81" spans="1:13" x14ac:dyDescent="0.35">
      <c r="B81" t="s">
        <v>9</v>
      </c>
      <c r="C81" s="3">
        <f>C73</f>
        <v>3.7499999999999999E-3</v>
      </c>
    </row>
    <row r="82" spans="1:13" x14ac:dyDescent="0.35">
      <c r="B82" t="s">
        <v>8</v>
      </c>
      <c r="C82" s="2">
        <f>PV(C81,C79,C77)</f>
        <v>232721.62515421779</v>
      </c>
    </row>
    <row r="84" spans="1:13" x14ac:dyDescent="0.35">
      <c r="A84" t="s">
        <v>120</v>
      </c>
    </row>
    <row r="85" spans="1:13" x14ac:dyDescent="0.35">
      <c r="B85" t="s">
        <v>24</v>
      </c>
      <c r="C85" t="s">
        <v>25</v>
      </c>
    </row>
    <row r="86" spans="1:13" x14ac:dyDescent="0.35">
      <c r="B86" t="s">
        <v>6</v>
      </c>
      <c r="C86" s="8">
        <v>35000000</v>
      </c>
    </row>
    <row r="87" spans="1:13" x14ac:dyDescent="0.35">
      <c r="B87" t="s">
        <v>8</v>
      </c>
      <c r="C87">
        <v>0</v>
      </c>
    </row>
    <row r="88" spans="1:13" x14ac:dyDescent="0.35">
      <c r="B88" s="8" t="s">
        <v>16</v>
      </c>
      <c r="C88">
        <v>20</v>
      </c>
      <c r="D88" t="s">
        <v>14</v>
      </c>
      <c r="E88">
        <f>12*C88</f>
        <v>240</v>
      </c>
    </row>
    <row r="89" spans="1:13" x14ac:dyDescent="0.35">
      <c r="B89" t="s">
        <v>17</v>
      </c>
      <c r="C89" s="1">
        <v>0.05</v>
      </c>
      <c r="D89" t="s">
        <v>9</v>
      </c>
      <c r="E89" s="4">
        <f>C89/12</f>
        <v>4.1666666666666666E-3</v>
      </c>
    </row>
    <row r="90" spans="1:13" x14ac:dyDescent="0.35">
      <c r="B90" t="s">
        <v>19</v>
      </c>
      <c r="C90" s="2">
        <f>PMT(E89,E88,C87,C86,0)</f>
        <v>-85151.175392496778</v>
      </c>
    </row>
    <row r="93" spans="1:13" x14ac:dyDescent="0.35">
      <c r="A93" t="s">
        <v>121</v>
      </c>
    </row>
    <row r="94" spans="1:13" x14ac:dyDescent="0.35">
      <c r="B94" t="s">
        <v>6</v>
      </c>
      <c r="C94">
        <v>4200000</v>
      </c>
      <c r="J94" s="5" t="s">
        <v>18</v>
      </c>
      <c r="K94" s="5"/>
    </row>
    <row r="95" spans="1:13" x14ac:dyDescent="0.35">
      <c r="B95" t="s">
        <v>16</v>
      </c>
      <c r="C95">
        <v>5</v>
      </c>
      <c r="D95" t="s">
        <v>14</v>
      </c>
      <c r="E95">
        <f>12*C95</f>
        <v>60</v>
      </c>
      <c r="J95" t="s">
        <v>6</v>
      </c>
      <c r="K95" t="s">
        <v>122</v>
      </c>
    </row>
    <row r="96" spans="1:13" x14ac:dyDescent="0.35">
      <c r="B96" t="s">
        <v>17</v>
      </c>
      <c r="C96" s="1">
        <v>0.04</v>
      </c>
      <c r="D96" t="s">
        <v>9</v>
      </c>
      <c r="E96">
        <f>C96/12</f>
        <v>3.3333333333333335E-3</v>
      </c>
      <c r="J96" t="s">
        <v>16</v>
      </c>
      <c r="K96">
        <v>5</v>
      </c>
      <c r="L96" t="s">
        <v>14</v>
      </c>
      <c r="M96">
        <f>12*K96</f>
        <v>60</v>
      </c>
    </row>
    <row r="97" spans="1:13" x14ac:dyDescent="0.35">
      <c r="B97" t="s">
        <v>8</v>
      </c>
      <c r="C97" s="2">
        <f>PV(C96,C95,0,C94,0)</f>
        <v>-3452093.8483892763</v>
      </c>
      <c r="J97" t="s">
        <v>17</v>
      </c>
      <c r="K97" s="1">
        <v>0.04</v>
      </c>
      <c r="L97" t="s">
        <v>9</v>
      </c>
      <c r="M97" s="4">
        <f>K97/12</f>
        <v>3.3333333333333335E-3</v>
      </c>
    </row>
    <row r="98" spans="1:13" x14ac:dyDescent="0.35">
      <c r="J98" t="s">
        <v>18</v>
      </c>
      <c r="M98" s="2" t="e">
        <f>PV(M97,M96,0,K95,0)</f>
        <v>#VALUE!</v>
      </c>
    </row>
    <row r="101" spans="1:13" x14ac:dyDescent="0.35">
      <c r="A101" t="s">
        <v>123</v>
      </c>
    </row>
    <row r="104" spans="1:13" x14ac:dyDescent="0.35">
      <c r="B104" t="s">
        <v>6</v>
      </c>
      <c r="C104">
        <v>5500000</v>
      </c>
      <c r="G104" t="s">
        <v>8</v>
      </c>
      <c r="H104" s="8">
        <v>5500000</v>
      </c>
    </row>
    <row r="105" spans="1:13" x14ac:dyDescent="0.35">
      <c r="B105" t="s">
        <v>8</v>
      </c>
      <c r="C105">
        <v>0</v>
      </c>
      <c r="G105" t="s">
        <v>17</v>
      </c>
      <c r="H105" s="1">
        <v>7.0000000000000007E-2</v>
      </c>
      <c r="I105" t="s">
        <v>9</v>
      </c>
      <c r="J105">
        <f>H105/12</f>
        <v>5.8333333333333336E-3</v>
      </c>
    </row>
    <row r="106" spans="1:13" x14ac:dyDescent="0.35">
      <c r="B106" t="s">
        <v>79</v>
      </c>
      <c r="C106">
        <v>30</v>
      </c>
      <c r="G106" t="s">
        <v>16</v>
      </c>
      <c r="H106">
        <v>30</v>
      </c>
      <c r="I106" t="s">
        <v>14</v>
      </c>
      <c r="J106">
        <f>12*H106</f>
        <v>360</v>
      </c>
    </row>
    <row r="107" spans="1:13" x14ac:dyDescent="0.35">
      <c r="B107" t="s">
        <v>16</v>
      </c>
      <c r="C107">
        <f>C106*12</f>
        <v>360</v>
      </c>
      <c r="G107" t="s">
        <v>6</v>
      </c>
      <c r="H107">
        <v>0</v>
      </c>
    </row>
    <row r="108" spans="1:13" x14ac:dyDescent="0.35">
      <c r="B108" t="s">
        <v>80</v>
      </c>
      <c r="C108" s="1">
        <v>7.0000000000000007E-2</v>
      </c>
      <c r="G108" t="s">
        <v>19</v>
      </c>
      <c r="H108" s="2">
        <f>PMT(J105,J106,H104,H107,0)</f>
        <v>-36591.637234855072</v>
      </c>
    </row>
    <row r="109" spans="1:13" x14ac:dyDescent="0.35">
      <c r="B109" t="s">
        <v>9</v>
      </c>
      <c r="C109" s="4">
        <f>C108/12</f>
        <v>5.8333333333333336E-3</v>
      </c>
    </row>
    <row r="110" spans="1:13" x14ac:dyDescent="0.35">
      <c r="B110" t="s">
        <v>19</v>
      </c>
      <c r="C110" s="2">
        <f>PMT(C109,C107,C105,C104,0)</f>
        <v>-4508.3039015217382</v>
      </c>
    </row>
    <row r="113" spans="1:23" x14ac:dyDescent="0.35">
      <c r="A113" t="s">
        <v>115</v>
      </c>
    </row>
    <row r="114" spans="1:23" x14ac:dyDescent="0.35">
      <c r="C114" t="s">
        <v>124</v>
      </c>
      <c r="D114">
        <v>1000000</v>
      </c>
    </row>
    <row r="116" spans="1:23" x14ac:dyDescent="0.35">
      <c r="C116" t="s">
        <v>6</v>
      </c>
      <c r="D116">
        <v>1000000</v>
      </c>
    </row>
    <row r="117" spans="1:23" x14ac:dyDescent="0.35">
      <c r="C117" t="s">
        <v>16</v>
      </c>
      <c r="D117">
        <v>20</v>
      </c>
    </row>
    <row r="118" spans="1:23" x14ac:dyDescent="0.35">
      <c r="C118" t="s">
        <v>19</v>
      </c>
      <c r="D118">
        <v>50000</v>
      </c>
      <c r="E118">
        <v>50000</v>
      </c>
      <c r="F118">
        <v>50000</v>
      </c>
      <c r="G118">
        <v>50000</v>
      </c>
      <c r="H118">
        <v>50000</v>
      </c>
      <c r="I118">
        <v>50000</v>
      </c>
      <c r="J118">
        <v>50000</v>
      </c>
      <c r="K118">
        <v>50000</v>
      </c>
      <c r="L118">
        <v>50000</v>
      </c>
      <c r="M118">
        <v>50000</v>
      </c>
      <c r="N118">
        <v>50000</v>
      </c>
      <c r="O118">
        <v>50000</v>
      </c>
      <c r="P118">
        <v>50000</v>
      </c>
      <c r="Q118">
        <v>50000</v>
      </c>
      <c r="R118">
        <v>50000</v>
      </c>
      <c r="S118">
        <v>50000</v>
      </c>
      <c r="T118">
        <v>50000</v>
      </c>
      <c r="U118">
        <v>50000</v>
      </c>
      <c r="V118">
        <v>50000</v>
      </c>
      <c r="W118">
        <v>50000</v>
      </c>
    </row>
    <row r="119" spans="1:23" x14ac:dyDescent="0.35">
      <c r="C119" t="s">
        <v>117</v>
      </c>
      <c r="D119" s="20">
        <v>1</v>
      </c>
      <c r="E119" s="20">
        <v>2</v>
      </c>
      <c r="F119" s="20">
        <v>3</v>
      </c>
      <c r="G119" s="20">
        <v>4</v>
      </c>
      <c r="H119" s="20">
        <v>5</v>
      </c>
      <c r="I119" s="20">
        <v>6</v>
      </c>
      <c r="J119" s="20">
        <v>7</v>
      </c>
      <c r="K119" s="20">
        <v>8</v>
      </c>
      <c r="L119" s="20">
        <v>9</v>
      </c>
      <c r="M119" s="20">
        <v>10</v>
      </c>
      <c r="N119" s="20">
        <v>11</v>
      </c>
      <c r="O119" s="20">
        <v>12</v>
      </c>
      <c r="P119" s="20">
        <v>13</v>
      </c>
      <c r="Q119" s="20">
        <v>14</v>
      </c>
      <c r="R119" s="20">
        <v>15</v>
      </c>
      <c r="S119" s="20">
        <v>16</v>
      </c>
      <c r="T119" s="20">
        <v>17</v>
      </c>
      <c r="U119" s="20">
        <v>18</v>
      </c>
      <c r="V119" s="20">
        <v>19</v>
      </c>
      <c r="W119" s="20">
        <v>20</v>
      </c>
    </row>
    <row r="120" spans="1:23" x14ac:dyDescent="0.35">
      <c r="C120" t="s">
        <v>8</v>
      </c>
    </row>
    <row r="121" spans="1:23" x14ac:dyDescent="0.35">
      <c r="C121" t="s">
        <v>116</v>
      </c>
      <c r="D121" s="1" t="e">
        <f>IRR(D118:W118)</f>
        <v>#NUM!</v>
      </c>
    </row>
    <row r="123" spans="1:23" x14ac:dyDescent="0.35">
      <c r="C123" t="s">
        <v>16</v>
      </c>
      <c r="D123">
        <v>20</v>
      </c>
    </row>
    <row r="124" spans="1:23" x14ac:dyDescent="0.35">
      <c r="C124" t="s">
        <v>8</v>
      </c>
      <c r="D124" s="19">
        <v>695680</v>
      </c>
    </row>
    <row r="125" spans="1:23" x14ac:dyDescent="0.35">
      <c r="C125" t="s">
        <v>19</v>
      </c>
      <c r="D125">
        <v>-50000</v>
      </c>
    </row>
    <row r="126" spans="1:23" x14ac:dyDescent="0.35">
      <c r="C126" t="s">
        <v>86</v>
      </c>
      <c r="D126" s="6">
        <f>RATE(D123,D125,D124)</f>
        <v>3.7360278488810308E-2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Practice test</vt:lpstr>
      <vt:lpstr>Chpt 3 </vt:lpstr>
      <vt:lpstr>Chpt 4</vt:lpstr>
      <vt:lpstr>Full Amoritization</vt:lpstr>
      <vt:lpstr>Pay off</vt:lpstr>
      <vt:lpstr>Effective Interest Rate</vt:lpstr>
      <vt:lpstr>Chpt 5</vt:lpstr>
      <vt:lpstr>Exam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Kotian</dc:creator>
  <cp:lastModifiedBy>Rahul Kotian</cp:lastModifiedBy>
  <dcterms:created xsi:type="dcterms:W3CDTF">2015-06-05T18:17:20Z</dcterms:created>
  <dcterms:modified xsi:type="dcterms:W3CDTF">2024-06-16T21:26:17Z</dcterms:modified>
</cp:coreProperties>
</file>