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odegrees1-my.sharepoint.com/personal/rahul_kotian_slalom_com/Documents/Documents/Personal/UTD/Fall - 23/"/>
    </mc:Choice>
  </mc:AlternateContent>
  <xr:revisionPtr revIDLastSave="2" documentId="8_{F3C844F2-B58D-4B37-BD6E-B056F96D0390}" xr6:coauthVersionLast="47" xr6:coauthVersionMax="47" xr10:uidLastSave="{94D833CE-7206-4F40-A47E-0631BA1699BC}"/>
  <bookViews>
    <workbookView xWindow="-110" yWindow="-110" windowWidth="19420" windowHeight="10300" activeTab="1" xr2:uid="{B484AC64-5681-4F67-AB9F-929646790744}"/>
  </bookViews>
  <sheets>
    <sheet name="Assumptions" sheetId="11" r:id="rId1"/>
    <sheet name="Timeline" sheetId="1" r:id="rId2"/>
    <sheet name="Pro Forma Income Statement" sheetId="2" r:id="rId3"/>
    <sheet name="Break-Even Analysis" sheetId="4" r:id="rId4"/>
    <sheet name="Start-Up Budget" sheetId="5" r:id="rId5"/>
    <sheet name="Sources &amp; Usage of Funds" sheetId="6" r:id="rId6"/>
    <sheet name="Investment Offer &amp; Return" sheetId="9" r:id="rId7"/>
    <sheet name="Simple Income Statement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2" l="1"/>
  <c r="D31" i="2" s="1"/>
  <c r="F17" i="10"/>
  <c r="F19" i="10" s="1"/>
  <c r="F7" i="10"/>
  <c r="F8" i="10" s="1"/>
  <c r="F9" i="10" s="1"/>
  <c r="F17" i="9"/>
  <c r="F19" i="9" s="1"/>
  <c r="F7" i="9"/>
  <c r="F8" i="9" s="1"/>
  <c r="F9" i="9" s="1"/>
  <c r="F17" i="4"/>
  <c r="F19" i="4" s="1"/>
  <c r="F8" i="4"/>
  <c r="F9" i="4" s="1"/>
  <c r="F7" i="4"/>
  <c r="I65" i="10" l="1"/>
  <c r="J60" i="10"/>
  <c r="J65" i="10" s="1"/>
  <c r="B59" i="10"/>
  <c r="I58" i="10"/>
  <c r="J58" i="10" s="1"/>
  <c r="C58" i="10"/>
  <c r="D58" i="10" s="1"/>
  <c r="E58" i="10" s="1"/>
  <c r="D57" i="10"/>
  <c r="C57" i="10"/>
  <c r="B48" i="10"/>
  <c r="C45" i="10"/>
  <c r="L75" i="10" s="1"/>
  <c r="B45" i="10"/>
  <c r="C43" i="10"/>
  <c r="D43" i="10" s="1"/>
  <c r="D44" i="10" s="1"/>
  <c r="I74" i="10" s="1"/>
  <c r="J74" i="10" s="1"/>
  <c r="K74" i="10" s="1"/>
  <c r="L74" i="10" s="1"/>
  <c r="C41" i="10"/>
  <c r="B72" i="10" s="1"/>
  <c r="C72" i="10" s="1"/>
  <c r="D72" i="10" s="1"/>
  <c r="E72" i="10" s="1"/>
  <c r="B32" i="10"/>
  <c r="C32" i="10" s="1"/>
  <c r="C46" i="10" s="1"/>
  <c r="D31" i="10"/>
  <c r="D45" i="10" s="1"/>
  <c r="C31" i="10"/>
  <c r="B31" i="10"/>
  <c r="C62" i="10" s="1"/>
  <c r="D62" i="10" s="1"/>
  <c r="E62" i="10" s="1"/>
  <c r="F62" i="10" s="1"/>
  <c r="G62" i="10" s="1"/>
  <c r="H62" i="10" s="1"/>
  <c r="I62" i="10" s="1"/>
  <c r="J62" i="10" s="1"/>
  <c r="K62" i="10" s="1"/>
  <c r="L62" i="10" s="1"/>
  <c r="M62" i="10" s="1"/>
  <c r="C29" i="10"/>
  <c r="D27" i="10"/>
  <c r="D41" i="10" s="1"/>
  <c r="I72" i="10" s="1"/>
  <c r="J72" i="10" s="1"/>
  <c r="K72" i="10" s="1"/>
  <c r="L72" i="10" s="1"/>
  <c r="I30" i="10"/>
  <c r="D133" i="9"/>
  <c r="D131" i="9"/>
  <c r="D132" i="9"/>
  <c r="C132" i="9"/>
  <c r="E132" i="9" s="1"/>
  <c r="C131" i="9"/>
  <c r="E131" i="9" s="1"/>
  <c r="C130" i="9"/>
  <c r="E130" i="9" s="1"/>
  <c r="B133" i="9"/>
  <c r="D130" i="9" s="1"/>
  <c r="B102" i="9"/>
  <c r="C102" i="9" s="1"/>
  <c r="B61" i="9"/>
  <c r="J59" i="9"/>
  <c r="K59" i="9" s="1"/>
  <c r="B58" i="9"/>
  <c r="I57" i="9"/>
  <c r="B57" i="9"/>
  <c r="M56" i="9"/>
  <c r="L56" i="9"/>
  <c r="K56" i="9"/>
  <c r="J56" i="9"/>
  <c r="I56" i="9"/>
  <c r="H56" i="9"/>
  <c r="G56" i="9"/>
  <c r="F56" i="9"/>
  <c r="E56" i="9"/>
  <c r="B56" i="9"/>
  <c r="C43" i="9"/>
  <c r="D43" i="9" s="1"/>
  <c r="E43" i="9" s="1"/>
  <c r="F43" i="9" s="1"/>
  <c r="B36" i="9"/>
  <c r="B48" i="9" s="1"/>
  <c r="B32" i="9"/>
  <c r="C32" i="9" s="1"/>
  <c r="D31" i="9"/>
  <c r="D45" i="9" s="1"/>
  <c r="E45" i="9" s="1"/>
  <c r="F45" i="9" s="1"/>
  <c r="B118" i="9" s="1"/>
  <c r="C118" i="9" s="1"/>
  <c r="D118" i="9" s="1"/>
  <c r="E118" i="9" s="1"/>
  <c r="F118" i="9" s="1"/>
  <c r="G118" i="9" s="1"/>
  <c r="H118" i="9" s="1"/>
  <c r="I118" i="9" s="1"/>
  <c r="J118" i="9" s="1"/>
  <c r="K118" i="9" s="1"/>
  <c r="L118" i="9" s="1"/>
  <c r="M118" i="9" s="1"/>
  <c r="C31" i="9"/>
  <c r="C45" i="9" s="1"/>
  <c r="C29" i="9"/>
  <c r="B73" i="9" s="1"/>
  <c r="C27" i="9"/>
  <c r="C41" i="9" s="1"/>
  <c r="I31" i="9"/>
  <c r="B72" i="2"/>
  <c r="B62" i="4"/>
  <c r="E57" i="4"/>
  <c r="F57" i="4"/>
  <c r="G57" i="4"/>
  <c r="H57" i="4"/>
  <c r="I57" i="4"/>
  <c r="J57" i="4"/>
  <c r="K57" i="4"/>
  <c r="L57" i="4"/>
  <c r="M57" i="4"/>
  <c r="B57" i="4"/>
  <c r="C57" i="2"/>
  <c r="C57" i="4" s="1"/>
  <c r="B31" i="2"/>
  <c r="B9" i="5" s="1"/>
  <c r="C45" i="2"/>
  <c r="D5" i="5"/>
  <c r="D4" i="5"/>
  <c r="B58" i="4"/>
  <c r="C27" i="4"/>
  <c r="C41" i="4" s="1"/>
  <c r="C41" i="2"/>
  <c r="D27" i="2"/>
  <c r="D27" i="4" s="1"/>
  <c r="D41" i="4" s="1"/>
  <c r="I58" i="2"/>
  <c r="B4" i="5"/>
  <c r="B5" i="5"/>
  <c r="B32" i="4"/>
  <c r="C32" i="4" s="1"/>
  <c r="B36" i="4"/>
  <c r="B31" i="9" l="1"/>
  <c r="B45" i="9" s="1"/>
  <c r="C56" i="9"/>
  <c r="D27" i="9"/>
  <c r="K58" i="10"/>
  <c r="L58" i="10" s="1"/>
  <c r="M58" i="10" s="1"/>
  <c r="B41" i="10"/>
  <c r="B27" i="10"/>
  <c r="F58" i="10"/>
  <c r="B44" i="10"/>
  <c r="B30" i="10"/>
  <c r="B35" i="10"/>
  <c r="C30" i="10"/>
  <c r="C33" i="10" s="1"/>
  <c r="L76" i="10"/>
  <c r="D76" i="10"/>
  <c r="K76" i="10"/>
  <c r="J76" i="10"/>
  <c r="I76" i="10"/>
  <c r="E76" i="10"/>
  <c r="C76" i="10"/>
  <c r="B76" i="10"/>
  <c r="C44" i="10"/>
  <c r="D32" i="10"/>
  <c r="D46" i="10" s="1"/>
  <c r="B46" i="10"/>
  <c r="K60" i="10"/>
  <c r="D47" i="10"/>
  <c r="B73" i="10"/>
  <c r="B75" i="10"/>
  <c r="D29" i="10"/>
  <c r="C75" i="10"/>
  <c r="C48" i="10"/>
  <c r="D75" i="10"/>
  <c r="D48" i="10"/>
  <c r="E75" i="10"/>
  <c r="I73" i="10"/>
  <c r="I75" i="10"/>
  <c r="J75" i="10"/>
  <c r="K75" i="10"/>
  <c r="F44" i="9"/>
  <c r="B116" i="9"/>
  <c r="B104" i="9"/>
  <c r="C104" i="9" s="1"/>
  <c r="D104" i="9" s="1"/>
  <c r="E104" i="9" s="1"/>
  <c r="F104" i="9" s="1"/>
  <c r="G104" i="9" s="1"/>
  <c r="H104" i="9" s="1"/>
  <c r="I104" i="9" s="1"/>
  <c r="J104" i="9" s="1"/>
  <c r="K104" i="9" s="1"/>
  <c r="L104" i="9" s="1"/>
  <c r="M104" i="9" s="1"/>
  <c r="B72" i="9"/>
  <c r="C72" i="9" s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I64" i="9"/>
  <c r="B121" i="9"/>
  <c r="F48" i="9"/>
  <c r="D32" i="4"/>
  <c r="B73" i="4"/>
  <c r="B88" i="4"/>
  <c r="E44" i="9"/>
  <c r="E48" i="9"/>
  <c r="C48" i="9"/>
  <c r="B107" i="9"/>
  <c r="D102" i="9"/>
  <c r="C107" i="9"/>
  <c r="B75" i="9"/>
  <c r="C75" i="9" s="1"/>
  <c r="D75" i="9" s="1"/>
  <c r="E75" i="9" s="1"/>
  <c r="F75" i="9" s="1"/>
  <c r="G75" i="9" s="1"/>
  <c r="H75" i="9" s="1"/>
  <c r="I75" i="9" s="1"/>
  <c r="J75" i="9" s="1"/>
  <c r="K75" i="9" s="1"/>
  <c r="L75" i="9" s="1"/>
  <c r="M75" i="9" s="1"/>
  <c r="B90" i="9"/>
  <c r="C90" i="9" s="1"/>
  <c r="D90" i="9" s="1"/>
  <c r="E90" i="9" s="1"/>
  <c r="F90" i="9" s="1"/>
  <c r="G90" i="9" s="1"/>
  <c r="H90" i="9" s="1"/>
  <c r="I90" i="9" s="1"/>
  <c r="J90" i="9" s="1"/>
  <c r="K90" i="9" s="1"/>
  <c r="L90" i="9" s="1"/>
  <c r="M90" i="9" s="1"/>
  <c r="D29" i="9"/>
  <c r="D44" i="9"/>
  <c r="C44" i="9"/>
  <c r="B44" i="9"/>
  <c r="C30" i="9"/>
  <c r="C33" i="9" s="1"/>
  <c r="B30" i="9"/>
  <c r="L59" i="9"/>
  <c r="K64" i="9"/>
  <c r="B78" i="9"/>
  <c r="C73" i="9"/>
  <c r="D32" i="9"/>
  <c r="B88" i="9"/>
  <c r="D48" i="9"/>
  <c r="J64" i="9"/>
  <c r="C62" i="2"/>
  <c r="I58" i="4"/>
  <c r="B31" i="4"/>
  <c r="B113" i="4" s="1"/>
  <c r="C113" i="4" s="1"/>
  <c r="D41" i="2"/>
  <c r="C31" i="4"/>
  <c r="C45" i="4" s="1"/>
  <c r="D112" i="4"/>
  <c r="D110" i="4"/>
  <c r="J60" i="4"/>
  <c r="B59" i="4"/>
  <c r="C43" i="4"/>
  <c r="C29" i="4"/>
  <c r="B74" i="4" s="1"/>
  <c r="I31" i="4"/>
  <c r="B90" i="2"/>
  <c r="C90" i="2" s="1"/>
  <c r="D89" i="2"/>
  <c r="D87" i="2"/>
  <c r="B45" i="2"/>
  <c r="J60" i="2"/>
  <c r="K60" i="2" s="1"/>
  <c r="B59" i="2"/>
  <c r="C58" i="2"/>
  <c r="D57" i="2"/>
  <c r="C43" i="2"/>
  <c r="B73" i="2" s="1"/>
  <c r="C75" i="2"/>
  <c r="I72" i="2"/>
  <c r="J72" i="2" s="1"/>
  <c r="K72" i="2" s="1"/>
  <c r="C29" i="2"/>
  <c r="D29" i="2" s="1"/>
  <c r="B32" i="2"/>
  <c r="C9" i="5"/>
  <c r="F17" i="2"/>
  <c r="F19" i="2" s="1"/>
  <c r="D7" i="5"/>
  <c r="C7" i="5"/>
  <c r="F7" i="2"/>
  <c r="F8" i="2" s="1"/>
  <c r="D56" i="9" l="1"/>
  <c r="D57" i="4"/>
  <c r="C58" i="4"/>
  <c r="C57" i="9"/>
  <c r="D41" i="9"/>
  <c r="E41" i="9" s="1"/>
  <c r="F41" i="9" s="1"/>
  <c r="B87" i="9"/>
  <c r="C87" i="9" s="1"/>
  <c r="D87" i="9" s="1"/>
  <c r="E87" i="9" s="1"/>
  <c r="F87" i="9" s="1"/>
  <c r="G87" i="9" s="1"/>
  <c r="H87" i="9" s="1"/>
  <c r="I87" i="9" s="1"/>
  <c r="J87" i="9" s="1"/>
  <c r="K87" i="9" s="1"/>
  <c r="L87" i="9" s="1"/>
  <c r="M87" i="9" s="1"/>
  <c r="F9" i="2"/>
  <c r="I30" i="2" s="1"/>
  <c r="D62" i="2"/>
  <c r="C62" i="4"/>
  <c r="C61" i="9"/>
  <c r="B35" i="2"/>
  <c r="D30" i="10"/>
  <c r="D33" i="10"/>
  <c r="I61" i="10"/>
  <c r="C73" i="10"/>
  <c r="K65" i="10"/>
  <c r="L60" i="10"/>
  <c r="K63" i="10"/>
  <c r="L63" i="10"/>
  <c r="J63" i="10"/>
  <c r="I63" i="10"/>
  <c r="H63" i="10"/>
  <c r="G63" i="10"/>
  <c r="F63" i="10"/>
  <c r="F64" i="10" s="1"/>
  <c r="F66" i="10" s="1"/>
  <c r="F68" i="10" s="1"/>
  <c r="E63" i="10"/>
  <c r="E64" i="10" s="1"/>
  <c r="E66" i="10" s="1"/>
  <c r="E68" i="10" s="1"/>
  <c r="D63" i="10"/>
  <c r="D64" i="10" s="1"/>
  <c r="D66" i="10" s="1"/>
  <c r="D68" i="10" s="1"/>
  <c r="C63" i="10"/>
  <c r="C64" i="10" s="1"/>
  <c r="C66" i="10" s="1"/>
  <c r="C68" i="10" s="1"/>
  <c r="B63" i="10"/>
  <c r="B64" i="10" s="1"/>
  <c r="B66" i="10" s="1"/>
  <c r="B68" i="10" s="1"/>
  <c r="M63" i="10"/>
  <c r="J73" i="10"/>
  <c r="I77" i="10"/>
  <c r="D49" i="10"/>
  <c r="I78" i="10"/>
  <c r="J78" i="10" s="1"/>
  <c r="K78" i="10" s="1"/>
  <c r="L78" i="10" s="1"/>
  <c r="B74" i="10"/>
  <c r="C74" i="10" s="1"/>
  <c r="D74" i="10" s="1"/>
  <c r="E74" i="10" s="1"/>
  <c r="C47" i="10"/>
  <c r="C49" i="10" s="1"/>
  <c r="G58" i="10"/>
  <c r="B33" i="10"/>
  <c r="B47" i="10"/>
  <c r="B49" i="10" s="1"/>
  <c r="E78" i="10"/>
  <c r="D78" i="10"/>
  <c r="C78" i="10"/>
  <c r="B78" i="10"/>
  <c r="C116" i="9"/>
  <c r="B45" i="4"/>
  <c r="D30" i="9"/>
  <c r="D33" i="9" s="1"/>
  <c r="E102" i="9"/>
  <c r="D107" i="9"/>
  <c r="C78" i="9"/>
  <c r="D73" i="9"/>
  <c r="C88" i="9"/>
  <c r="B93" i="9"/>
  <c r="L64" i="9"/>
  <c r="M59" i="9"/>
  <c r="B10" i="5"/>
  <c r="B46" i="2"/>
  <c r="B46" i="9" s="1"/>
  <c r="C32" i="2"/>
  <c r="D32" i="2"/>
  <c r="D9" i="5"/>
  <c r="D45" i="2"/>
  <c r="D31" i="4"/>
  <c r="D45" i="4" s="1"/>
  <c r="B76" i="4" s="1"/>
  <c r="C76" i="4" s="1"/>
  <c r="D76" i="4" s="1"/>
  <c r="E76" i="4" s="1"/>
  <c r="F76" i="4" s="1"/>
  <c r="G76" i="4" s="1"/>
  <c r="H76" i="4" s="1"/>
  <c r="I76" i="4" s="1"/>
  <c r="J76" i="4" s="1"/>
  <c r="K76" i="4" s="1"/>
  <c r="L76" i="4" s="1"/>
  <c r="M76" i="4" s="1"/>
  <c r="B91" i="4"/>
  <c r="C91" i="4" s="1"/>
  <c r="D91" i="4" s="1"/>
  <c r="E91" i="4" s="1"/>
  <c r="F91" i="4" s="1"/>
  <c r="G91" i="4" s="1"/>
  <c r="H91" i="4" s="1"/>
  <c r="I91" i="4" s="1"/>
  <c r="J91" i="4" s="1"/>
  <c r="K91" i="4" s="1"/>
  <c r="L91" i="4" s="1"/>
  <c r="M91" i="4" s="1"/>
  <c r="C74" i="4"/>
  <c r="D115" i="4"/>
  <c r="C88" i="4"/>
  <c r="D88" i="4" s="1"/>
  <c r="E88" i="4" s="1"/>
  <c r="B44" i="4"/>
  <c r="B30" i="4"/>
  <c r="C30" i="4"/>
  <c r="C33" i="4" s="1"/>
  <c r="C44" i="4"/>
  <c r="K60" i="4"/>
  <c r="B114" i="4"/>
  <c r="C114" i="4" s="1"/>
  <c r="D29" i="4"/>
  <c r="D43" i="4"/>
  <c r="B89" i="4" s="1"/>
  <c r="I75" i="2"/>
  <c r="D92" i="2"/>
  <c r="J75" i="2"/>
  <c r="K75" i="2"/>
  <c r="L75" i="2"/>
  <c r="B91" i="2"/>
  <c r="C91" i="2" s="1"/>
  <c r="C44" i="2"/>
  <c r="B74" i="2" s="1"/>
  <c r="C74" i="2" s="1"/>
  <c r="D74" i="2" s="1"/>
  <c r="E74" i="2" s="1"/>
  <c r="B75" i="2"/>
  <c r="E75" i="2"/>
  <c r="D75" i="2"/>
  <c r="C73" i="2"/>
  <c r="L72" i="2"/>
  <c r="L60" i="2"/>
  <c r="C63" i="2"/>
  <c r="D58" i="2"/>
  <c r="B63" i="2"/>
  <c r="M63" i="2"/>
  <c r="L63" i="2"/>
  <c r="K63" i="2"/>
  <c r="J63" i="2"/>
  <c r="I63" i="2"/>
  <c r="H63" i="2"/>
  <c r="G63" i="2"/>
  <c r="F63" i="2"/>
  <c r="E63" i="2"/>
  <c r="D30" i="2"/>
  <c r="B30" i="2"/>
  <c r="C30" i="2"/>
  <c r="C8" i="5" s="1"/>
  <c r="B44" i="2"/>
  <c r="D43" i="2"/>
  <c r="I73" i="2" s="1"/>
  <c r="J73" i="2" s="1"/>
  <c r="K73" i="2" s="1"/>
  <c r="L73" i="2" s="1"/>
  <c r="E62" i="2" l="1"/>
  <c r="D62" i="4"/>
  <c r="D61" i="9"/>
  <c r="B115" i="9"/>
  <c r="C115" i="9" s="1"/>
  <c r="D115" i="9" s="1"/>
  <c r="E115" i="9" s="1"/>
  <c r="F115" i="9" s="1"/>
  <c r="G115" i="9" s="1"/>
  <c r="H115" i="9" s="1"/>
  <c r="I115" i="9" s="1"/>
  <c r="J115" i="9" s="1"/>
  <c r="K115" i="9" s="1"/>
  <c r="L115" i="9" s="1"/>
  <c r="M115" i="9" s="1"/>
  <c r="B101" i="9"/>
  <c r="C101" i="9" s="1"/>
  <c r="D101" i="9" s="1"/>
  <c r="E101" i="9" s="1"/>
  <c r="F101" i="9" s="1"/>
  <c r="G101" i="9" s="1"/>
  <c r="H101" i="9" s="1"/>
  <c r="I101" i="9" s="1"/>
  <c r="J101" i="9" s="1"/>
  <c r="K101" i="9" s="1"/>
  <c r="L101" i="9" s="1"/>
  <c r="M101" i="9" s="1"/>
  <c r="D58" i="4"/>
  <c r="D57" i="9"/>
  <c r="I62" i="9"/>
  <c r="E62" i="9"/>
  <c r="F62" i="9"/>
  <c r="K62" i="9"/>
  <c r="M62" i="9"/>
  <c r="G62" i="9"/>
  <c r="C62" i="9"/>
  <c r="C63" i="9" s="1"/>
  <c r="C65" i="9" s="1"/>
  <c r="C67" i="9" s="1"/>
  <c r="B62" i="9"/>
  <c r="B63" i="9" s="1"/>
  <c r="B65" i="9" s="1"/>
  <c r="B67" i="9" s="1"/>
  <c r="B68" i="9" s="1"/>
  <c r="C68" i="9" s="1"/>
  <c r="L62" i="9"/>
  <c r="H62" i="9"/>
  <c r="J62" i="9"/>
  <c r="D62" i="9"/>
  <c r="B35" i="4"/>
  <c r="I61" i="4" s="1"/>
  <c r="B35" i="9"/>
  <c r="B94" i="2"/>
  <c r="I60" i="9"/>
  <c r="B103" i="9"/>
  <c r="J60" i="9"/>
  <c r="K60" i="9"/>
  <c r="B74" i="9"/>
  <c r="C50" i="10"/>
  <c r="C51" i="10"/>
  <c r="K73" i="10"/>
  <c r="J77" i="10"/>
  <c r="J79" i="10" s="1"/>
  <c r="B77" i="10"/>
  <c r="B79" i="10" s="1"/>
  <c r="D73" i="10"/>
  <c r="C77" i="10"/>
  <c r="C79" i="10" s="1"/>
  <c r="J61" i="10"/>
  <c r="I64" i="10"/>
  <c r="I66" i="10" s="1"/>
  <c r="M60" i="10"/>
  <c r="L65" i="10"/>
  <c r="I79" i="10"/>
  <c r="H58" i="10"/>
  <c r="H64" i="10" s="1"/>
  <c r="H66" i="10" s="1"/>
  <c r="H68" i="10" s="1"/>
  <c r="G64" i="10"/>
  <c r="G66" i="10" s="1"/>
  <c r="G68" i="10" s="1"/>
  <c r="D50" i="10"/>
  <c r="D51" i="10" s="1"/>
  <c r="C121" i="9"/>
  <c r="D116" i="9"/>
  <c r="C89" i="4"/>
  <c r="B94" i="4"/>
  <c r="F102" i="9"/>
  <c r="E107" i="9"/>
  <c r="M64" i="9"/>
  <c r="M60" i="9"/>
  <c r="D88" i="9"/>
  <c r="C93" i="9"/>
  <c r="E73" i="9"/>
  <c r="D78" i="9"/>
  <c r="D10" i="5"/>
  <c r="D46" i="2"/>
  <c r="C10" i="5"/>
  <c r="C46" i="2"/>
  <c r="E76" i="2" s="1"/>
  <c r="B46" i="4"/>
  <c r="D63" i="2"/>
  <c r="D64" i="2" s="1"/>
  <c r="D66" i="2" s="1"/>
  <c r="D68" i="2" s="1"/>
  <c r="B8" i="5"/>
  <c r="D33" i="2"/>
  <c r="D8" i="5"/>
  <c r="F88" i="4"/>
  <c r="C73" i="4"/>
  <c r="D74" i="4"/>
  <c r="K61" i="4"/>
  <c r="L60" i="4"/>
  <c r="D44" i="4"/>
  <c r="D30" i="4"/>
  <c r="D33" i="4"/>
  <c r="C79" i="4"/>
  <c r="B117" i="4"/>
  <c r="D73" i="2"/>
  <c r="I61" i="2"/>
  <c r="J61" i="2" s="1"/>
  <c r="K61" i="2" s="1"/>
  <c r="L61" i="2" s="1"/>
  <c r="M61" i="2" s="1"/>
  <c r="B64" i="2"/>
  <c r="M60" i="2"/>
  <c r="E58" i="2"/>
  <c r="C64" i="2"/>
  <c r="C66" i="2" s="1"/>
  <c r="C68" i="2" s="1"/>
  <c r="C33" i="2"/>
  <c r="D44" i="2"/>
  <c r="D46" i="4" l="1"/>
  <c r="D47" i="4" s="1"/>
  <c r="D46" i="9"/>
  <c r="D68" i="9"/>
  <c r="E58" i="4"/>
  <c r="E57" i="9"/>
  <c r="E63" i="9" s="1"/>
  <c r="E65" i="9" s="1"/>
  <c r="E67" i="9" s="1"/>
  <c r="B76" i="2"/>
  <c r="C46" i="9"/>
  <c r="C47" i="9" s="1"/>
  <c r="C49" i="9" s="1"/>
  <c r="C50" i="9" s="1"/>
  <c r="C51" i="9" s="1"/>
  <c r="B90" i="4"/>
  <c r="C90" i="4" s="1"/>
  <c r="D90" i="4" s="1"/>
  <c r="E90" i="4" s="1"/>
  <c r="F90" i="4" s="1"/>
  <c r="G90" i="4" s="1"/>
  <c r="H90" i="4" s="1"/>
  <c r="I90" i="4" s="1"/>
  <c r="J90" i="4" s="1"/>
  <c r="K90" i="4" s="1"/>
  <c r="L90" i="4" s="1"/>
  <c r="M90" i="4" s="1"/>
  <c r="D76" i="2"/>
  <c r="C76" i="2"/>
  <c r="D63" i="9"/>
  <c r="D65" i="9" s="1"/>
  <c r="D67" i="9" s="1"/>
  <c r="I76" i="2"/>
  <c r="J76" i="2"/>
  <c r="F62" i="2"/>
  <c r="E61" i="9"/>
  <c r="E62" i="4"/>
  <c r="B89" i="9"/>
  <c r="L60" i="9"/>
  <c r="B117" i="9"/>
  <c r="B75" i="4"/>
  <c r="C75" i="4" s="1"/>
  <c r="D75" i="4" s="1"/>
  <c r="E75" i="4" s="1"/>
  <c r="F75" i="4" s="1"/>
  <c r="G75" i="4" s="1"/>
  <c r="H75" i="4" s="1"/>
  <c r="I75" i="4" s="1"/>
  <c r="J75" i="4" s="1"/>
  <c r="K75" i="4" s="1"/>
  <c r="L75" i="4" s="1"/>
  <c r="M75" i="4" s="1"/>
  <c r="J61" i="4"/>
  <c r="C74" i="9"/>
  <c r="C103" i="9"/>
  <c r="C80" i="10"/>
  <c r="C81" i="10" s="1"/>
  <c r="E73" i="10"/>
  <c r="E77" i="10" s="1"/>
  <c r="E79" i="10" s="1"/>
  <c r="D77" i="10"/>
  <c r="D79" i="10" s="1"/>
  <c r="I67" i="10"/>
  <c r="I68" i="10" s="1"/>
  <c r="B80" i="10"/>
  <c r="B81" i="10" s="1"/>
  <c r="I80" i="10"/>
  <c r="I81" i="10" s="1"/>
  <c r="K61" i="10"/>
  <c r="J64" i="10"/>
  <c r="J66" i="10" s="1"/>
  <c r="J80" i="10"/>
  <c r="J81" i="10" s="1"/>
  <c r="L73" i="10"/>
  <c r="L77" i="10" s="1"/>
  <c r="L79" i="10" s="1"/>
  <c r="K77" i="10"/>
  <c r="K79" i="10" s="1"/>
  <c r="M65" i="10"/>
  <c r="E116" i="9"/>
  <c r="D121" i="9"/>
  <c r="D89" i="4"/>
  <c r="C94" i="4"/>
  <c r="G102" i="9"/>
  <c r="F107" i="9"/>
  <c r="F73" i="9"/>
  <c r="E78" i="9"/>
  <c r="E88" i="9"/>
  <c r="D93" i="9"/>
  <c r="C46" i="4"/>
  <c r="C47" i="4" s="1"/>
  <c r="B92" i="4"/>
  <c r="B77" i="4"/>
  <c r="C47" i="2"/>
  <c r="K76" i="2"/>
  <c r="L76" i="2"/>
  <c r="D63" i="4"/>
  <c r="D64" i="4" s="1"/>
  <c r="D66" i="4" s="1"/>
  <c r="D68" i="4" s="1"/>
  <c r="E63" i="4"/>
  <c r="E64" i="4" s="1"/>
  <c r="E66" i="4" s="1"/>
  <c r="E68" i="4" s="1"/>
  <c r="K63" i="4"/>
  <c r="B63" i="4"/>
  <c r="B64" i="4" s="1"/>
  <c r="B66" i="4" s="1"/>
  <c r="B68" i="4" s="1"/>
  <c r="F63" i="4"/>
  <c r="L63" i="4"/>
  <c r="H63" i="4"/>
  <c r="G63" i="4"/>
  <c r="M63" i="4"/>
  <c r="C63" i="4"/>
  <c r="C64" i="4" s="1"/>
  <c r="C66" i="4" s="1"/>
  <c r="C68" i="4" s="1"/>
  <c r="I63" i="4"/>
  <c r="J63" i="4"/>
  <c r="G88" i="4"/>
  <c r="E74" i="4"/>
  <c r="D79" i="4"/>
  <c r="K65" i="4"/>
  <c r="B79" i="4"/>
  <c r="D73" i="4"/>
  <c r="L61" i="4"/>
  <c r="L65" i="4"/>
  <c r="M60" i="4"/>
  <c r="B118" i="4"/>
  <c r="B119" i="4" s="1"/>
  <c r="J65" i="4"/>
  <c r="B48" i="4"/>
  <c r="I65" i="4"/>
  <c r="C48" i="4"/>
  <c r="D48" i="4"/>
  <c r="D48" i="2"/>
  <c r="I78" i="2" s="1"/>
  <c r="B95" i="2"/>
  <c r="B96" i="2" s="1"/>
  <c r="L65" i="2"/>
  <c r="J78" i="2"/>
  <c r="K78" i="2" s="1"/>
  <c r="L78" i="2" s="1"/>
  <c r="E73" i="2"/>
  <c r="D47" i="2"/>
  <c r="I74" i="2"/>
  <c r="C48" i="2"/>
  <c r="B48" i="2"/>
  <c r="F58" i="2"/>
  <c r="E64" i="2"/>
  <c r="E66" i="2" s="1"/>
  <c r="E68" i="2" s="1"/>
  <c r="B66" i="2"/>
  <c r="M65" i="2"/>
  <c r="I65" i="2"/>
  <c r="J65" i="2"/>
  <c r="K65" i="2"/>
  <c r="G62" i="2" l="1"/>
  <c r="F61" i="9"/>
  <c r="F62" i="4"/>
  <c r="E68" i="9"/>
  <c r="F58" i="4"/>
  <c r="F64" i="4" s="1"/>
  <c r="F66" i="4" s="1"/>
  <c r="F68" i="4" s="1"/>
  <c r="F57" i="9"/>
  <c r="F63" i="9" s="1"/>
  <c r="F65" i="9" s="1"/>
  <c r="F67" i="9" s="1"/>
  <c r="B91" i="9"/>
  <c r="C91" i="9" s="1"/>
  <c r="D91" i="9" s="1"/>
  <c r="E91" i="9" s="1"/>
  <c r="F91" i="9" s="1"/>
  <c r="G91" i="9" s="1"/>
  <c r="H91" i="9" s="1"/>
  <c r="I91" i="9" s="1"/>
  <c r="J91" i="9" s="1"/>
  <c r="K91" i="9" s="1"/>
  <c r="L91" i="9" s="1"/>
  <c r="M91" i="9" s="1"/>
  <c r="B76" i="9"/>
  <c r="E46" i="9"/>
  <c r="D47" i="9"/>
  <c r="D49" i="9" s="1"/>
  <c r="D50" i="9" s="1"/>
  <c r="D51" i="9" s="1"/>
  <c r="C117" i="9"/>
  <c r="C89" i="9"/>
  <c r="D103" i="9"/>
  <c r="D74" i="9"/>
  <c r="L80" i="10"/>
  <c r="L81" i="10" s="1"/>
  <c r="K80" i="10"/>
  <c r="K81" i="10" s="1"/>
  <c r="L61" i="10"/>
  <c r="K64" i="10"/>
  <c r="K66" i="10" s="1"/>
  <c r="D80" i="10"/>
  <c r="D81" i="10" s="1"/>
  <c r="E80" i="10"/>
  <c r="E81" i="10" s="1"/>
  <c r="J67" i="10"/>
  <c r="J68" i="10" s="1"/>
  <c r="F116" i="9"/>
  <c r="E121" i="9"/>
  <c r="E89" i="4"/>
  <c r="D94" i="4"/>
  <c r="H102" i="9"/>
  <c r="G107" i="9"/>
  <c r="F88" i="9"/>
  <c r="E93" i="9"/>
  <c r="G73" i="9"/>
  <c r="F78" i="9"/>
  <c r="C77" i="4"/>
  <c r="B78" i="4"/>
  <c r="C92" i="4"/>
  <c r="B93" i="4"/>
  <c r="D49" i="2"/>
  <c r="D50" i="2" s="1"/>
  <c r="D51" i="2" s="1"/>
  <c r="B69" i="4"/>
  <c r="C69" i="4" s="1"/>
  <c r="D69" i="4" s="1"/>
  <c r="E69" i="4" s="1"/>
  <c r="F69" i="4" s="1"/>
  <c r="H88" i="4"/>
  <c r="E73" i="4"/>
  <c r="F74" i="4"/>
  <c r="E79" i="4"/>
  <c r="D49" i="4"/>
  <c r="C49" i="4"/>
  <c r="M61" i="4"/>
  <c r="M65" i="4"/>
  <c r="B86" i="10" s="1"/>
  <c r="C49" i="2"/>
  <c r="C50" i="2" s="1"/>
  <c r="C51" i="2" s="1"/>
  <c r="C78" i="2"/>
  <c r="E78" i="2"/>
  <c r="D78" i="2"/>
  <c r="B78" i="2"/>
  <c r="J74" i="2"/>
  <c r="I77" i="2"/>
  <c r="B68" i="2"/>
  <c r="G58" i="2"/>
  <c r="F64" i="2"/>
  <c r="C76" i="9" l="1"/>
  <c r="B77" i="9"/>
  <c r="B79" i="9" s="1"/>
  <c r="B80" i="9" s="1"/>
  <c r="B81" i="9" s="1"/>
  <c r="G58" i="4"/>
  <c r="G57" i="9"/>
  <c r="F68" i="9"/>
  <c r="B92" i="9"/>
  <c r="B94" i="9" s="1"/>
  <c r="B95" i="9" s="1"/>
  <c r="B96" i="9" s="1"/>
  <c r="H62" i="2"/>
  <c r="G61" i="9"/>
  <c r="G62" i="4"/>
  <c r="B105" i="9"/>
  <c r="F46" i="9"/>
  <c r="E47" i="9"/>
  <c r="E49" i="9" s="1"/>
  <c r="D89" i="9"/>
  <c r="C92" i="9"/>
  <c r="C94" i="9" s="1"/>
  <c r="C95" i="9" s="1"/>
  <c r="C96" i="9" s="1"/>
  <c r="D117" i="9"/>
  <c r="B95" i="4"/>
  <c r="B96" i="4" s="1"/>
  <c r="B97" i="4" s="1"/>
  <c r="E74" i="9"/>
  <c r="B80" i="4"/>
  <c r="B81" i="4" s="1"/>
  <c r="B82" i="4" s="1"/>
  <c r="E103" i="9"/>
  <c r="K67" i="10"/>
  <c r="K68" i="10" s="1"/>
  <c r="M61" i="10"/>
  <c r="M64" i="10" s="1"/>
  <c r="M66" i="10" s="1"/>
  <c r="L64" i="10"/>
  <c r="L66" i="10" s="1"/>
  <c r="F121" i="9"/>
  <c r="G116" i="9"/>
  <c r="F89" i="4"/>
  <c r="E94" i="4"/>
  <c r="I102" i="9"/>
  <c r="H107" i="9"/>
  <c r="G88" i="9"/>
  <c r="F93" i="9"/>
  <c r="H73" i="9"/>
  <c r="G78" i="9"/>
  <c r="D92" i="4"/>
  <c r="C93" i="4"/>
  <c r="C95" i="4" s="1"/>
  <c r="C96" i="4" s="1"/>
  <c r="C97" i="4" s="1"/>
  <c r="D77" i="4"/>
  <c r="C78" i="4"/>
  <c r="C80" i="4" s="1"/>
  <c r="C81" i="4" s="1"/>
  <c r="C82" i="4" s="1"/>
  <c r="I88" i="4"/>
  <c r="G74" i="4"/>
  <c r="F79" i="4"/>
  <c r="F73" i="4"/>
  <c r="D50" i="4"/>
  <c r="D51" i="4" s="1"/>
  <c r="C50" i="4"/>
  <c r="C51" i="4" s="1"/>
  <c r="I79" i="2"/>
  <c r="K74" i="2"/>
  <c r="J77" i="2"/>
  <c r="J79" i="2" s="1"/>
  <c r="J80" i="2" s="1"/>
  <c r="J81" i="2" s="1"/>
  <c r="F66" i="2"/>
  <c r="H58" i="2"/>
  <c r="G64" i="2"/>
  <c r="G66" i="2" s="1"/>
  <c r="G68" i="2" s="1"/>
  <c r="B119" i="9" l="1"/>
  <c r="F47" i="9"/>
  <c r="F49" i="9" s="1"/>
  <c r="F50" i="9" s="1"/>
  <c r="F51" i="9" s="1"/>
  <c r="I62" i="2"/>
  <c r="H61" i="9"/>
  <c r="H62" i="4"/>
  <c r="E50" i="9"/>
  <c r="E51" i="9"/>
  <c r="G63" i="9"/>
  <c r="G65" i="9" s="1"/>
  <c r="G67" i="9" s="1"/>
  <c r="G68" i="9" s="1"/>
  <c r="H68" i="9" s="1"/>
  <c r="G64" i="4"/>
  <c r="G66" i="4" s="1"/>
  <c r="G68" i="4" s="1"/>
  <c r="G69" i="4" s="1"/>
  <c r="C105" i="9"/>
  <c r="B106" i="9"/>
  <c r="B108" i="9" s="1"/>
  <c r="B109" i="9" s="1"/>
  <c r="B110" i="9" s="1"/>
  <c r="H58" i="4"/>
  <c r="H64" i="4" s="1"/>
  <c r="H57" i="9"/>
  <c r="H63" i="9" s="1"/>
  <c r="H65" i="9" s="1"/>
  <c r="H67" i="9" s="1"/>
  <c r="D76" i="9"/>
  <c r="C77" i="9"/>
  <c r="C79" i="9" s="1"/>
  <c r="C80" i="9" s="1"/>
  <c r="C81" i="9" s="1"/>
  <c r="E117" i="9"/>
  <c r="E89" i="9"/>
  <c r="D92" i="9"/>
  <c r="D94" i="9" s="1"/>
  <c r="D95" i="9" s="1"/>
  <c r="D96" i="9" s="1"/>
  <c r="F103" i="9"/>
  <c r="F74" i="9"/>
  <c r="L67" i="10"/>
  <c r="L68" i="10" s="1"/>
  <c r="M67" i="10"/>
  <c r="M68" i="10" s="1"/>
  <c r="G121" i="9"/>
  <c r="H116" i="9"/>
  <c r="G89" i="4"/>
  <c r="F94" i="4"/>
  <c r="I107" i="9"/>
  <c r="J102" i="9"/>
  <c r="I73" i="9"/>
  <c r="H78" i="9"/>
  <c r="H88" i="9"/>
  <c r="G93" i="9"/>
  <c r="E77" i="4"/>
  <c r="D78" i="4"/>
  <c r="E92" i="4"/>
  <c r="D93" i="4"/>
  <c r="D95" i="4" s="1"/>
  <c r="D96" i="4" s="1"/>
  <c r="D97" i="4" s="1"/>
  <c r="J88" i="4"/>
  <c r="G73" i="4"/>
  <c r="H74" i="4"/>
  <c r="G79" i="4"/>
  <c r="H66" i="4"/>
  <c r="L74" i="2"/>
  <c r="L77" i="2" s="1"/>
  <c r="L79" i="2" s="1"/>
  <c r="L80" i="2" s="1"/>
  <c r="L81" i="2" s="1"/>
  <c r="K77" i="2"/>
  <c r="K79" i="2" s="1"/>
  <c r="K80" i="2" s="1"/>
  <c r="K81" i="2" s="1"/>
  <c r="I80" i="2"/>
  <c r="H64" i="2"/>
  <c r="H66" i="2" s="1"/>
  <c r="H68" i="2" s="1"/>
  <c r="F68" i="2"/>
  <c r="D105" i="9" l="1"/>
  <c r="C106" i="9"/>
  <c r="C108" i="9" s="1"/>
  <c r="C109" i="9" s="1"/>
  <c r="C110" i="9" s="1"/>
  <c r="J62" i="2"/>
  <c r="I61" i="9"/>
  <c r="I63" i="9" s="1"/>
  <c r="I65" i="9" s="1"/>
  <c r="I62" i="4"/>
  <c r="I64" i="4" s="1"/>
  <c r="I66" i="4" s="1"/>
  <c r="I67" i="4" s="1"/>
  <c r="I68" i="4" s="1"/>
  <c r="E76" i="9"/>
  <c r="D77" i="9"/>
  <c r="D79" i="9" s="1"/>
  <c r="D80" i="9" s="1"/>
  <c r="D81" i="9" s="1"/>
  <c r="C119" i="9"/>
  <c r="B120" i="9"/>
  <c r="B122" i="9" s="1"/>
  <c r="B123" i="9" s="1"/>
  <c r="B124" i="9" s="1"/>
  <c r="F89" i="9"/>
  <c r="E92" i="9"/>
  <c r="E94" i="9" s="1"/>
  <c r="E95" i="9" s="1"/>
  <c r="E96" i="9" s="1"/>
  <c r="F117" i="9"/>
  <c r="D80" i="4"/>
  <c r="D81" i="4" s="1"/>
  <c r="D82" i="4" s="1"/>
  <c r="G74" i="9"/>
  <c r="G103" i="9"/>
  <c r="B51" i="10"/>
  <c r="I116" i="9"/>
  <c r="H121" i="9"/>
  <c r="H89" i="4"/>
  <c r="G94" i="4"/>
  <c r="J107" i="9"/>
  <c r="K102" i="9"/>
  <c r="I88" i="9"/>
  <c r="H93" i="9"/>
  <c r="J73" i="9"/>
  <c r="I78" i="9"/>
  <c r="F92" i="4"/>
  <c r="E93" i="4"/>
  <c r="E95" i="4" s="1"/>
  <c r="E96" i="4" s="1"/>
  <c r="E97" i="4" s="1"/>
  <c r="F77" i="4"/>
  <c r="E78" i="4"/>
  <c r="E80" i="4" s="1"/>
  <c r="E81" i="4" s="1"/>
  <c r="E82" i="4" s="1"/>
  <c r="K88" i="4"/>
  <c r="I74" i="4"/>
  <c r="H79" i="4"/>
  <c r="H73" i="4"/>
  <c r="H68" i="4"/>
  <c r="I81" i="2"/>
  <c r="J58" i="2"/>
  <c r="J57" i="9" s="1"/>
  <c r="I64" i="2"/>
  <c r="D119" i="9" l="1"/>
  <c r="C120" i="9"/>
  <c r="C122" i="9" s="1"/>
  <c r="C123" i="9" s="1"/>
  <c r="C124" i="9" s="1"/>
  <c r="I66" i="9"/>
  <c r="I67" i="9"/>
  <c r="I68" i="9" s="1"/>
  <c r="F76" i="9"/>
  <c r="E77" i="9"/>
  <c r="E79" i="9" s="1"/>
  <c r="E80" i="9" s="1"/>
  <c r="E81" i="9" s="1"/>
  <c r="K62" i="2"/>
  <c r="J61" i="9"/>
  <c r="J63" i="9" s="1"/>
  <c r="J65" i="9" s="1"/>
  <c r="J66" i="9" s="1"/>
  <c r="J67" i="9" s="1"/>
  <c r="J62" i="4"/>
  <c r="E105" i="9"/>
  <c r="D106" i="9"/>
  <c r="D108" i="9" s="1"/>
  <c r="D109" i="9" s="1"/>
  <c r="D110" i="9" s="1"/>
  <c r="G117" i="9"/>
  <c r="G89" i="9"/>
  <c r="F92" i="9"/>
  <c r="F94" i="9" s="1"/>
  <c r="F95" i="9" s="1"/>
  <c r="F96" i="9" s="1"/>
  <c r="H103" i="9"/>
  <c r="H74" i="9"/>
  <c r="I121" i="9"/>
  <c r="J116" i="9"/>
  <c r="I89" i="4"/>
  <c r="H94" i="4"/>
  <c r="K107" i="9"/>
  <c r="L102" i="9"/>
  <c r="K73" i="9"/>
  <c r="J78" i="9"/>
  <c r="J88" i="9"/>
  <c r="I93" i="9"/>
  <c r="J58" i="4"/>
  <c r="J64" i="4" s="1"/>
  <c r="G77" i="4"/>
  <c r="F78" i="4"/>
  <c r="F80" i="4" s="1"/>
  <c r="F81" i="4" s="1"/>
  <c r="F82" i="4" s="1"/>
  <c r="G92" i="4"/>
  <c r="F93" i="4"/>
  <c r="F95" i="4" s="1"/>
  <c r="F96" i="4" s="1"/>
  <c r="F97" i="4" s="1"/>
  <c r="H69" i="4"/>
  <c r="I69" i="4" s="1"/>
  <c r="L88" i="4"/>
  <c r="I73" i="4"/>
  <c r="J74" i="4"/>
  <c r="I79" i="4"/>
  <c r="K58" i="2"/>
  <c r="J64" i="2"/>
  <c r="J66" i="2" s="1"/>
  <c r="I66" i="2"/>
  <c r="F105" i="9" l="1"/>
  <c r="E106" i="9"/>
  <c r="E108" i="9" s="1"/>
  <c r="E109" i="9" s="1"/>
  <c r="E110" i="9" s="1"/>
  <c r="L62" i="2"/>
  <c r="K61" i="9"/>
  <c r="K62" i="4"/>
  <c r="G76" i="9"/>
  <c r="F77" i="9"/>
  <c r="F79" i="9" s="1"/>
  <c r="F80" i="9" s="1"/>
  <c r="F81" i="9" s="1"/>
  <c r="K58" i="4"/>
  <c r="K64" i="4" s="1"/>
  <c r="K66" i="4" s="1"/>
  <c r="K67" i="4" s="1"/>
  <c r="K68" i="4" s="1"/>
  <c r="K57" i="9"/>
  <c r="K63" i="9" s="1"/>
  <c r="K65" i="9" s="1"/>
  <c r="K66" i="9" s="1"/>
  <c r="K67" i="9" s="1"/>
  <c r="J68" i="9"/>
  <c r="E119" i="9"/>
  <c r="D120" i="9"/>
  <c r="D122" i="9" s="1"/>
  <c r="D123" i="9" s="1"/>
  <c r="D124" i="9" s="1"/>
  <c r="H89" i="9"/>
  <c r="G92" i="9"/>
  <c r="G94" i="9" s="1"/>
  <c r="G95" i="9" s="1"/>
  <c r="G96" i="9" s="1"/>
  <c r="H117" i="9"/>
  <c r="I74" i="9"/>
  <c r="I103" i="9"/>
  <c r="J66" i="4"/>
  <c r="J67" i="4" s="1"/>
  <c r="J68" i="4" s="1"/>
  <c r="K116" i="9"/>
  <c r="J121" i="9"/>
  <c r="J89" i="4"/>
  <c r="I94" i="4"/>
  <c r="L107" i="9"/>
  <c r="M102" i="9"/>
  <c r="J93" i="9"/>
  <c r="K88" i="9"/>
  <c r="L73" i="9"/>
  <c r="K78" i="9"/>
  <c r="H92" i="4"/>
  <c r="G93" i="4"/>
  <c r="G95" i="4" s="1"/>
  <c r="G96" i="4" s="1"/>
  <c r="G97" i="4" s="1"/>
  <c r="H77" i="4"/>
  <c r="G78" i="4"/>
  <c r="G80" i="4" s="1"/>
  <c r="G81" i="4" s="1"/>
  <c r="G82" i="4" s="1"/>
  <c r="M88" i="4"/>
  <c r="K74" i="4"/>
  <c r="J79" i="4"/>
  <c r="J73" i="4"/>
  <c r="I67" i="2"/>
  <c r="I68" i="2" s="1"/>
  <c r="J67" i="2"/>
  <c r="J68" i="2" s="1"/>
  <c r="L58" i="2"/>
  <c r="K64" i="2"/>
  <c r="H76" i="9" l="1"/>
  <c r="G77" i="9"/>
  <c r="G79" i="9" s="1"/>
  <c r="G80" i="9" s="1"/>
  <c r="G81" i="9" s="1"/>
  <c r="L58" i="4"/>
  <c r="L57" i="9"/>
  <c r="F119" i="9"/>
  <c r="E120" i="9"/>
  <c r="E122" i="9" s="1"/>
  <c r="E123" i="9" s="1"/>
  <c r="E124" i="9" s="1"/>
  <c r="K68" i="9"/>
  <c r="G105" i="9"/>
  <c r="F106" i="9"/>
  <c r="F108" i="9" s="1"/>
  <c r="F109" i="9" s="1"/>
  <c r="F110" i="9" s="1"/>
  <c r="M62" i="2"/>
  <c r="L61" i="9"/>
  <c r="L62" i="4"/>
  <c r="I89" i="9"/>
  <c r="H92" i="9"/>
  <c r="H94" i="9" s="1"/>
  <c r="H95" i="9" s="1"/>
  <c r="H96" i="9" s="1"/>
  <c r="I117" i="9"/>
  <c r="J103" i="9"/>
  <c r="J74" i="9"/>
  <c r="K121" i="9"/>
  <c r="L116" i="9"/>
  <c r="J94" i="4"/>
  <c r="K89" i="4"/>
  <c r="M107" i="9"/>
  <c r="K93" i="9"/>
  <c r="L88" i="9"/>
  <c r="M73" i="9"/>
  <c r="L78" i="9"/>
  <c r="I77" i="4"/>
  <c r="H78" i="4"/>
  <c r="H80" i="4" s="1"/>
  <c r="H81" i="4" s="1"/>
  <c r="H82" i="4" s="1"/>
  <c r="I92" i="4"/>
  <c r="H93" i="4"/>
  <c r="H95" i="4" s="1"/>
  <c r="H96" i="4" s="1"/>
  <c r="H97" i="4" s="1"/>
  <c r="J69" i="4"/>
  <c r="K69" i="4" s="1"/>
  <c r="K73" i="4"/>
  <c r="L74" i="4"/>
  <c r="K79" i="4"/>
  <c r="K66" i="2"/>
  <c r="M58" i="2"/>
  <c r="M57" i="9" s="1"/>
  <c r="L64" i="2"/>
  <c r="L66" i="2" s="1"/>
  <c r="M61" i="9" l="1"/>
  <c r="M63" i="9" s="1"/>
  <c r="M65" i="9" s="1"/>
  <c r="M62" i="4"/>
  <c r="L63" i="9"/>
  <c r="L65" i="9" s="1"/>
  <c r="L66" i="9" s="1"/>
  <c r="L67" i="9" s="1"/>
  <c r="L68" i="9" s="1"/>
  <c r="H105" i="9"/>
  <c r="G106" i="9"/>
  <c r="G108" i="9" s="1"/>
  <c r="G109" i="9" s="1"/>
  <c r="G110" i="9" s="1"/>
  <c r="G119" i="9"/>
  <c r="F120" i="9"/>
  <c r="F122" i="9" s="1"/>
  <c r="F123" i="9" s="1"/>
  <c r="F124" i="9" s="1"/>
  <c r="L64" i="4"/>
  <c r="L66" i="4" s="1"/>
  <c r="L67" i="4" s="1"/>
  <c r="L68" i="4" s="1"/>
  <c r="I76" i="9"/>
  <c r="H77" i="9"/>
  <c r="H79" i="9" s="1"/>
  <c r="H80" i="9" s="1"/>
  <c r="H81" i="9" s="1"/>
  <c r="J117" i="9"/>
  <c r="J89" i="9"/>
  <c r="I92" i="9"/>
  <c r="I94" i="9" s="1"/>
  <c r="I95" i="9" s="1"/>
  <c r="I96" i="9" s="1"/>
  <c r="K74" i="9"/>
  <c r="K103" i="9"/>
  <c r="M116" i="9"/>
  <c r="L121" i="9"/>
  <c r="L89" i="4"/>
  <c r="K94" i="4"/>
  <c r="M78" i="9"/>
  <c r="L93" i="9"/>
  <c r="M88" i="9"/>
  <c r="L69" i="4"/>
  <c r="J92" i="4"/>
  <c r="I93" i="4"/>
  <c r="I95" i="4" s="1"/>
  <c r="I96" i="4" s="1"/>
  <c r="I97" i="4" s="1"/>
  <c r="M58" i="4"/>
  <c r="B41" i="2"/>
  <c r="J77" i="4"/>
  <c r="I78" i="4"/>
  <c r="I80" i="4" s="1"/>
  <c r="I81" i="4" s="1"/>
  <c r="I82" i="4" s="1"/>
  <c r="B27" i="2"/>
  <c r="B27" i="9" s="1"/>
  <c r="M74" i="4"/>
  <c r="M79" i="4" s="1"/>
  <c r="L79" i="4"/>
  <c r="L73" i="4"/>
  <c r="M64" i="2"/>
  <c r="L67" i="2"/>
  <c r="L68" i="2" s="1"/>
  <c r="K67" i="2"/>
  <c r="M66" i="9" l="1"/>
  <c r="M67" i="9"/>
  <c r="B51" i="9" s="1"/>
  <c r="J76" i="9"/>
  <c r="I77" i="9"/>
  <c r="I79" i="9" s="1"/>
  <c r="I80" i="9" s="1"/>
  <c r="I81" i="9" s="1"/>
  <c r="B41" i="9"/>
  <c r="B47" i="9" s="1"/>
  <c r="B49" i="9" s="1"/>
  <c r="B33" i="9"/>
  <c r="C86" i="10"/>
  <c r="H119" i="9"/>
  <c r="G120" i="9"/>
  <c r="G122" i="9" s="1"/>
  <c r="G123" i="9" s="1"/>
  <c r="G124" i="9" s="1"/>
  <c r="I105" i="9"/>
  <c r="H106" i="9"/>
  <c r="H108" i="9" s="1"/>
  <c r="H109" i="9" s="1"/>
  <c r="H110" i="9" s="1"/>
  <c r="M64" i="4"/>
  <c r="M66" i="4" s="1"/>
  <c r="M67" i="4" s="1"/>
  <c r="K89" i="9"/>
  <c r="J92" i="9"/>
  <c r="J94" i="9" s="1"/>
  <c r="J95" i="9" s="1"/>
  <c r="J96" i="9" s="1"/>
  <c r="K117" i="9"/>
  <c r="L103" i="9"/>
  <c r="L74" i="9"/>
  <c r="M121" i="9"/>
  <c r="M89" i="4"/>
  <c r="M94" i="4" s="1"/>
  <c r="D86" i="10" s="1"/>
  <c r="L94" i="4"/>
  <c r="M93" i="9"/>
  <c r="B47" i="2"/>
  <c r="B49" i="2" s="1"/>
  <c r="B7" i="5"/>
  <c r="B27" i="4"/>
  <c r="B88" i="2"/>
  <c r="B33" i="2"/>
  <c r="K77" i="4"/>
  <c r="J78" i="4"/>
  <c r="J80" i="4" s="1"/>
  <c r="J81" i="4" s="1"/>
  <c r="J82" i="4" s="1"/>
  <c r="K92" i="4"/>
  <c r="J93" i="4"/>
  <c r="J95" i="4" s="1"/>
  <c r="J96" i="4" s="1"/>
  <c r="J97" i="4" s="1"/>
  <c r="M73" i="4"/>
  <c r="K68" i="2"/>
  <c r="M66" i="2"/>
  <c r="I119" i="9" l="1"/>
  <c r="H120" i="9"/>
  <c r="H122" i="9" s="1"/>
  <c r="H123" i="9" s="1"/>
  <c r="H124" i="9" s="1"/>
  <c r="B87" i="10"/>
  <c r="B88" i="10" s="1"/>
  <c r="J105" i="9"/>
  <c r="I106" i="9"/>
  <c r="I108" i="9" s="1"/>
  <c r="I109" i="9" s="1"/>
  <c r="I110" i="9" s="1"/>
  <c r="K76" i="9"/>
  <c r="J77" i="9"/>
  <c r="J79" i="9" s="1"/>
  <c r="J80" i="9" s="1"/>
  <c r="J81" i="9" s="1"/>
  <c r="M68" i="9"/>
  <c r="B82" i="9" s="1"/>
  <c r="C82" i="9" s="1"/>
  <c r="D82" i="9" s="1"/>
  <c r="E82" i="9" s="1"/>
  <c r="F82" i="9" s="1"/>
  <c r="G82" i="9" s="1"/>
  <c r="H82" i="9" s="1"/>
  <c r="I82" i="9" s="1"/>
  <c r="L117" i="9"/>
  <c r="L89" i="9"/>
  <c r="K92" i="9"/>
  <c r="K94" i="9" s="1"/>
  <c r="K95" i="9" s="1"/>
  <c r="K96" i="9" s="1"/>
  <c r="M74" i="9"/>
  <c r="M103" i="9"/>
  <c r="L92" i="4"/>
  <c r="K93" i="4"/>
  <c r="K95" i="4" s="1"/>
  <c r="K96" i="4" s="1"/>
  <c r="K97" i="4" s="1"/>
  <c r="L77" i="4"/>
  <c r="K78" i="4"/>
  <c r="K80" i="4" s="1"/>
  <c r="K81" i="4" s="1"/>
  <c r="K82" i="4" s="1"/>
  <c r="C88" i="2"/>
  <c r="C92" i="2" s="1"/>
  <c r="B92" i="2"/>
  <c r="E92" i="2" s="1"/>
  <c r="B99" i="2" s="1"/>
  <c r="B41" i="4"/>
  <c r="B47" i="4" s="1"/>
  <c r="B49" i="4" s="1"/>
  <c r="B111" i="4"/>
  <c r="B33" i="4"/>
  <c r="B11" i="6" a="1"/>
  <c r="B11" i="6" s="1"/>
  <c r="B11" i="5"/>
  <c r="C72" i="2"/>
  <c r="B77" i="2"/>
  <c r="B79" i="2" s="1"/>
  <c r="B80" i="2" s="1"/>
  <c r="B81" i="2" s="1"/>
  <c r="M68" i="4"/>
  <c r="M67" i="2"/>
  <c r="J82" i="9" l="1"/>
  <c r="L76" i="9"/>
  <c r="K77" i="9"/>
  <c r="K79" i="9" s="1"/>
  <c r="K80" i="9" s="1"/>
  <c r="K81" i="9" s="1"/>
  <c r="K82" i="9" s="1"/>
  <c r="K105" i="9"/>
  <c r="J106" i="9"/>
  <c r="J108" i="9" s="1"/>
  <c r="J109" i="9" s="1"/>
  <c r="J110" i="9" s="1"/>
  <c r="J119" i="9"/>
  <c r="I120" i="9"/>
  <c r="I122" i="9" s="1"/>
  <c r="I123" i="9" s="1"/>
  <c r="I124" i="9" s="1"/>
  <c r="M89" i="9"/>
  <c r="M92" i="9" s="1"/>
  <c r="M94" i="9" s="1"/>
  <c r="L92" i="9"/>
  <c r="L94" i="9" s="1"/>
  <c r="L95" i="9" s="1"/>
  <c r="L96" i="9" s="1"/>
  <c r="M117" i="9"/>
  <c r="C111" i="4"/>
  <c r="C115" i="4" s="1"/>
  <c r="B115" i="4"/>
  <c r="B9" i="6" a="1"/>
  <c r="B9" i="6" s="1"/>
  <c r="B10" i="6" a="1"/>
  <c r="B10" i="6" s="1"/>
  <c r="D72" i="2"/>
  <c r="C77" i="2"/>
  <c r="C79" i="2" s="1"/>
  <c r="C80" i="2" s="1"/>
  <c r="C81" i="2" s="1"/>
  <c r="M77" i="4"/>
  <c r="M78" i="4" s="1"/>
  <c r="L78" i="4"/>
  <c r="L80" i="4" s="1"/>
  <c r="M92" i="4"/>
  <c r="M93" i="4" s="1"/>
  <c r="L93" i="4"/>
  <c r="L95" i="4" s="1"/>
  <c r="L96" i="4" s="1"/>
  <c r="L97" i="4" s="1"/>
  <c r="B51" i="4"/>
  <c r="M69" i="4"/>
  <c r="B83" i="4" s="1"/>
  <c r="C83" i="4" s="1"/>
  <c r="D83" i="4" s="1"/>
  <c r="E83" i="4" s="1"/>
  <c r="F83" i="4" s="1"/>
  <c r="G83" i="4" s="1"/>
  <c r="H83" i="4" s="1"/>
  <c r="I83" i="4" s="1"/>
  <c r="J83" i="4" s="1"/>
  <c r="K83" i="4" s="1"/>
  <c r="M68" i="2"/>
  <c r="B51" i="2" s="1"/>
  <c r="K119" i="9" l="1"/>
  <c r="J120" i="9"/>
  <c r="J122" i="9" s="1"/>
  <c r="J123" i="9" s="1"/>
  <c r="J124" i="9" s="1"/>
  <c r="M76" i="9"/>
  <c r="M77" i="9" s="1"/>
  <c r="M79" i="9" s="1"/>
  <c r="M80" i="9" s="1"/>
  <c r="M81" i="9" s="1"/>
  <c r="M82" i="9" s="1"/>
  <c r="B97" i="9" s="1"/>
  <c r="C97" i="9" s="1"/>
  <c r="D97" i="9" s="1"/>
  <c r="E97" i="9" s="1"/>
  <c r="F97" i="9" s="1"/>
  <c r="G97" i="9" s="1"/>
  <c r="H97" i="9" s="1"/>
  <c r="I97" i="9" s="1"/>
  <c r="J97" i="9" s="1"/>
  <c r="K97" i="9" s="1"/>
  <c r="L97" i="9" s="1"/>
  <c r="L77" i="9"/>
  <c r="L79" i="9" s="1"/>
  <c r="L80" i="9" s="1"/>
  <c r="L81" i="9" s="1"/>
  <c r="L82" i="9" s="1"/>
  <c r="E115" i="4"/>
  <c r="B122" i="4" s="1"/>
  <c r="L105" i="9"/>
  <c r="K106" i="9"/>
  <c r="K108" i="9" s="1"/>
  <c r="K109" i="9" s="1"/>
  <c r="K110" i="9" s="1"/>
  <c r="M95" i="9"/>
  <c r="M96" i="9" s="1"/>
  <c r="M95" i="4"/>
  <c r="M96" i="4" s="1"/>
  <c r="M97" i="4" s="1"/>
  <c r="D87" i="10"/>
  <c r="D88" i="10" s="1"/>
  <c r="M80" i="4"/>
  <c r="M81" i="4" s="1"/>
  <c r="M82" i="4" s="1"/>
  <c r="C87" i="10"/>
  <c r="C88" i="10" s="1"/>
  <c r="L81" i="4"/>
  <c r="L82" i="4" s="1"/>
  <c r="L83" i="4" s="1"/>
  <c r="M83" i="4" s="1"/>
  <c r="B98" i="4" s="1"/>
  <c r="C98" i="4" s="1"/>
  <c r="D98" i="4" s="1"/>
  <c r="E98" i="4" s="1"/>
  <c r="F98" i="4" s="1"/>
  <c r="G98" i="4" s="1"/>
  <c r="H98" i="4" s="1"/>
  <c r="I98" i="4" s="1"/>
  <c r="J98" i="4" s="1"/>
  <c r="K98" i="4" s="1"/>
  <c r="L98" i="4" s="1"/>
  <c r="M98" i="4" s="1"/>
  <c r="E72" i="2"/>
  <c r="E77" i="2" s="1"/>
  <c r="E79" i="2" s="1"/>
  <c r="D77" i="2"/>
  <c r="D79" i="2" s="1"/>
  <c r="D80" i="2" s="1"/>
  <c r="D81" i="2" s="1"/>
  <c r="M105" i="9" l="1"/>
  <c r="M106" i="9" s="1"/>
  <c r="M108" i="9" s="1"/>
  <c r="M109" i="9" s="1"/>
  <c r="M110" i="9" s="1"/>
  <c r="L106" i="9"/>
  <c r="L108" i="9" s="1"/>
  <c r="L109" i="9" s="1"/>
  <c r="L110" i="9" s="1"/>
  <c r="L119" i="9"/>
  <c r="K120" i="9"/>
  <c r="K122" i="9" s="1"/>
  <c r="K123" i="9" s="1"/>
  <c r="K124" i="9" s="1"/>
  <c r="M97" i="9"/>
  <c r="B111" i="9" s="1"/>
  <c r="C111" i="9" s="1"/>
  <c r="D111" i="9" s="1"/>
  <c r="E111" i="9" s="1"/>
  <c r="F111" i="9" s="1"/>
  <c r="G111" i="9" s="1"/>
  <c r="H111" i="9" s="1"/>
  <c r="I111" i="9" s="1"/>
  <c r="J111" i="9" s="1"/>
  <c r="K111" i="9" s="1"/>
  <c r="L111" i="9" s="1"/>
  <c r="M111" i="9" s="1"/>
  <c r="B125" i="9" s="1"/>
  <c r="C125" i="9" s="1"/>
  <c r="D125" i="9" s="1"/>
  <c r="E125" i="9" s="1"/>
  <c r="F125" i="9" s="1"/>
  <c r="G125" i="9" s="1"/>
  <c r="H125" i="9" s="1"/>
  <c r="I125" i="9" s="1"/>
  <c r="J125" i="9" s="1"/>
  <c r="K125" i="9" s="1"/>
  <c r="E80" i="2"/>
  <c r="E81" i="2" s="1"/>
  <c r="M119" i="9" l="1"/>
  <c r="M120" i="9" s="1"/>
  <c r="M122" i="9" s="1"/>
  <c r="M123" i="9" s="1"/>
  <c r="M124" i="9" s="1"/>
  <c r="L120" i="9"/>
  <c r="L122" i="9" s="1"/>
  <c r="L123" i="9" s="1"/>
  <c r="L124" i="9" s="1"/>
  <c r="L125" i="9" s="1"/>
  <c r="M125" i="9" s="1"/>
  <c r="D135" i="9" s="1"/>
  <c r="G131" i="9" l="1"/>
  <c r="G132" i="9"/>
  <c r="G130" i="9"/>
  <c r="H132" i="9" l="1"/>
  <c r="I132" i="9"/>
  <c r="H130" i="9"/>
  <c r="I130" i="9"/>
  <c r="H131" i="9"/>
  <c r="I13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tc={6CA8C677-C114-4A57-8834-6CE5A5122D7C}</author>
  </authors>
  <commentList>
    <comment ref="B27" authorId="0" shapeId="0" xr:uid="{6CA8C677-C114-4A57-8834-6CE5A5122D7C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 launches in August, don't need to pay for maintenance until it is launched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tc={8DF46481-B8E0-4DE4-9558-8EED45F28C99}</author>
  </authors>
  <commentList>
    <comment ref="B27" authorId="0" shapeId="0" xr:uid="{8DF46481-B8E0-4DE4-9558-8EED45F28C99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 launches in August, don't need to pay for maintenance until it is launched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<sst xmlns="http://schemas.openxmlformats.org/spreadsheetml/2006/main" count="796" uniqueCount="219">
  <si>
    <t>Friends/Family Rounds</t>
  </si>
  <si>
    <t>Website Development</t>
  </si>
  <si>
    <t>Series A Funding</t>
  </si>
  <si>
    <t>Starting Data</t>
  </si>
  <si>
    <t># of Dog Owners:</t>
  </si>
  <si>
    <t>Owners</t>
  </si>
  <si>
    <t>link</t>
  </si>
  <si>
    <t>People that own/have access to a car:</t>
  </si>
  <si>
    <t>of the U.S. Population</t>
  </si>
  <si>
    <t>Total Available Market (TAM):</t>
  </si>
  <si>
    <t>Serviceable Available Market (SAM):</t>
  </si>
  <si>
    <t>More than half of petowners will buy their pets a gift at least once a month, these are the customers we're after. To be conservative, we'll use 50%</t>
  </si>
  <si>
    <t>Serviceable Obtainable Market (SOM):</t>
  </si>
  <si>
    <t>30% of people are willing to purchase this solution</t>
  </si>
  <si>
    <t xml:space="preserve">What does it cost us to make? </t>
  </si>
  <si>
    <t>Alternatives:</t>
  </si>
  <si>
    <t>Plush Paws Products Quilted Dog Hammock</t>
  </si>
  <si>
    <t>BarksBar Original Waterproof Dog Car Hammock – Best Value</t>
  </si>
  <si>
    <t>PetSafe Happy Ride Hammock</t>
  </si>
  <si>
    <t>Carhartt C0001432 - Universal Fitted Nylon Duck Pet Hammock</t>
  </si>
  <si>
    <t>Average:</t>
  </si>
  <si>
    <t>&lt;- Average cost of competitors</t>
  </si>
  <si>
    <t>Assuming Profit Margins of 35-45%, so 40%</t>
  </si>
  <si>
    <t>&lt;- Cost of DM per unit for alternatives</t>
  </si>
  <si>
    <t>we have additional functionality, a little bit more expensive to make:</t>
  </si>
  <si>
    <r>
      <t xml:space="preserve">&lt;- </t>
    </r>
    <r>
      <rPr>
        <b/>
        <i/>
        <sz val="11"/>
        <color rgb="FFFF0000"/>
        <rFont val="Calibri"/>
        <family val="2"/>
        <scheme val="minor"/>
      </rPr>
      <t>Estimated ~ 40% more expensive to produce with additional features at launch and higher quality</t>
    </r>
  </si>
  <si>
    <t>Assuming Salaries &amp; Benefits of:</t>
  </si>
  <si>
    <t>per year, per group member</t>
  </si>
  <si>
    <t>Cost</t>
  </si>
  <si>
    <t>Startup Budget</t>
  </si>
  <si>
    <t>Year 1</t>
  </si>
  <si>
    <t>Year 2</t>
  </si>
  <si>
    <t>Year 3</t>
  </si>
  <si>
    <t>-</t>
  </si>
  <si>
    <t xml:space="preserve">&lt;- Small website, not many features, with one product. </t>
  </si>
  <si>
    <t>Website Maintenance</t>
  </si>
  <si>
    <t>&lt;- estimate</t>
  </si>
  <si>
    <t>LLC Incorporation</t>
  </si>
  <si>
    <t>Estimated Sales Qty.</t>
  </si>
  <si>
    <t>&lt;- assuming 50k orders in first year (8/1/2023-12/30/2023), 5% growth YoY</t>
  </si>
  <si>
    <t>COGM</t>
  </si>
  <si>
    <t>120,000 orders per year is:</t>
  </si>
  <si>
    <t>of SOM</t>
  </si>
  <si>
    <t>Marketing &amp; Partnerships</t>
  </si>
  <si>
    <t>&lt;- Base $500,000k in Year 1, 5% growth annually, starting Marketing efforts in February 2023</t>
  </si>
  <si>
    <t>Salaries &amp; Benefits</t>
  </si>
  <si>
    <t>Total Estimated Costs:</t>
  </si>
  <si>
    <t>Product Cost:</t>
  </si>
  <si>
    <t>&lt; + $7 shipping cost</t>
  </si>
  <si>
    <t>Expected Sale Price:</t>
  </si>
  <si>
    <t>&lt;- higher quality, more comfortable</t>
  </si>
  <si>
    <t>Income</t>
  </si>
  <si>
    <t>Revenue:</t>
  </si>
  <si>
    <t>Profit Before Taxes:</t>
  </si>
  <si>
    <t>Taxes (21%)</t>
  </si>
  <si>
    <t>Tax Rate</t>
  </si>
  <si>
    <t>Net Profit:</t>
  </si>
  <si>
    <t>Pro Forma Income Statement (3 Years)</t>
  </si>
  <si>
    <t>Year 1 - 2023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</si>
  <si>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</si>
  <si>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</si>
  <si>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</si>
  <si>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</si>
  <si>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</si>
  <si>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</si>
  <si>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</si>
  <si>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</si>
  <si>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</si>
  <si>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</si>
  <si>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</si>
  <si>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</si>
  <si>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Net Profit/Loss:</t>
  </si>
  <si>
    <t>Year 2 - 2024</t>
  </si>
  <si>
    <t>Year 3 - 2025</t>
  </si>
  <si>
    <t>Q1</t>
  </si>
  <si>
    <t>Q2</t>
  </si>
  <si>
    <t>Q3</t>
  </si>
  <si>
    <t>Q4</t>
  </si>
  <si>
    <t>Break-Even Analysis</t>
  </si>
  <si>
    <t>Break-even volume in units = Fixed costs / Contribution margin per unit</t>
  </si>
  <si>
    <t>Our Fixed Costs:</t>
  </si>
  <si>
    <t>Yearly</t>
  </si>
  <si>
    <t>Monthly</t>
  </si>
  <si>
    <t>One-Time</t>
  </si>
  <si>
    <t>Total Estimated FC:</t>
  </si>
  <si>
    <t>in year 1</t>
  </si>
  <si>
    <t>Total Variable Cost:</t>
  </si>
  <si>
    <t>Total Revenue Per Unit:</t>
  </si>
  <si>
    <t>Contribution Margin:</t>
  </si>
  <si>
    <t>Break-even volume  =</t>
  </si>
  <si>
    <t>units</t>
  </si>
  <si>
    <t>&lt;- Conservative $75 per unit</t>
  </si>
  <si>
    <t>January 23'</t>
  </si>
  <si>
    <t>February 23'</t>
  </si>
  <si>
    <t>March 23'</t>
  </si>
  <si>
    <t>April 23'</t>
  </si>
  <si>
    <t>May 23'</t>
  </si>
  <si>
    <t>June 23'</t>
  </si>
  <si>
    <t>July 23'</t>
  </si>
  <si>
    <t>August 23'</t>
  </si>
  <si>
    <t>September 23'</t>
  </si>
  <si>
    <t>October 23'</t>
  </si>
  <si>
    <t>November 23'</t>
  </si>
  <si>
    <t>December 23'</t>
  </si>
  <si>
    <t>Cumulative:</t>
  </si>
  <si>
    <t>January 24'</t>
  </si>
  <si>
    <t>February 24'</t>
  </si>
  <si>
    <t>March 24'</t>
  </si>
  <si>
    <t>April 24'</t>
  </si>
  <si>
    <t>May 24'</t>
  </si>
  <si>
    <t>June 24'</t>
  </si>
  <si>
    <t>July 24'</t>
  </si>
  <si>
    <t>August 24'</t>
  </si>
  <si>
    <t>September 24'</t>
  </si>
  <si>
    <t>October 24'</t>
  </si>
  <si>
    <t>November 24'</t>
  </si>
  <si>
    <t>December 24'</t>
  </si>
  <si>
    <t>January 25'</t>
  </si>
  <si>
    <t>February 25'</t>
  </si>
  <si>
    <t>March 25'</t>
  </si>
  <si>
    <t>April 25'</t>
  </si>
  <si>
    <t>May 25'</t>
  </si>
  <si>
    <t>June 25'</t>
  </si>
  <si>
    <t>July 25'</t>
  </si>
  <si>
    <t>August 25'</t>
  </si>
  <si>
    <t>September 25'</t>
  </si>
  <si>
    <t>October 25'</t>
  </si>
  <si>
    <t>November 25'</t>
  </si>
  <si>
    <t>December 25'</t>
  </si>
  <si>
    <t>Start-Up Budget</t>
  </si>
  <si>
    <t>Capital Expenditures:</t>
  </si>
  <si>
    <t>Website:</t>
  </si>
  <si>
    <t>LLC Incorporation:</t>
  </si>
  <si>
    <t>Expenses:</t>
  </si>
  <si>
    <t>Website Maintenance:</t>
  </si>
  <si>
    <t>COGM:</t>
  </si>
  <si>
    <t>Marketing &amp; Partnerships:</t>
  </si>
  <si>
    <t>Employee Salaries &amp; Benefits:</t>
  </si>
  <si>
    <t>Estimated Total/Break-Even Cost:</t>
  </si>
  <si>
    <t>Sources</t>
  </si>
  <si>
    <t>Texas Business Idea Competition</t>
  </si>
  <si>
    <t>Seed Funding</t>
  </si>
  <si>
    <t>Uses</t>
  </si>
  <si>
    <t>Salaries &amp; Benefits:</t>
  </si>
  <si>
    <t>Website, Maintenance, &amp; LLC:</t>
  </si>
  <si>
    <t>Year 4</t>
  </si>
  <si>
    <t>Year 5</t>
  </si>
  <si>
    <t>Year 4 - 2026</t>
  </si>
  <si>
    <t>January 26'</t>
  </si>
  <si>
    <t>February 26'</t>
  </si>
  <si>
    <t>March 26'</t>
  </si>
  <si>
    <t>April 26'</t>
  </si>
  <si>
    <t>May 26'</t>
  </si>
  <si>
    <t>June 26'</t>
  </si>
  <si>
    <t>July 26'</t>
  </si>
  <si>
    <t>August 26'</t>
  </si>
  <si>
    <t>September 26'</t>
  </si>
  <si>
    <t>October 26'</t>
  </si>
  <si>
    <t>November 26'</t>
  </si>
  <si>
    <t>December 26'</t>
  </si>
  <si>
    <t>Year 5 - 2027</t>
  </si>
  <si>
    <t>January 27'</t>
  </si>
  <si>
    <t>February 27'</t>
  </si>
  <si>
    <t>March 27'</t>
  </si>
  <si>
    <t>April 27'</t>
  </si>
  <si>
    <t>May 27'</t>
  </si>
  <si>
    <t>June 27'</t>
  </si>
  <si>
    <t>July 27'</t>
  </si>
  <si>
    <t>August 27'</t>
  </si>
  <si>
    <t>September 27'</t>
  </si>
  <si>
    <t>October 27'</t>
  </si>
  <si>
    <t>November 27'</t>
  </si>
  <si>
    <t>December 27'</t>
  </si>
  <si>
    <t>Investment Offer &amp; Return</t>
  </si>
  <si>
    <t>Investment Period</t>
  </si>
  <si>
    <t>% Investment</t>
  </si>
  <si>
    <t>Investment Duration</t>
  </si>
  <si>
    <t>$ Return on Investment</t>
  </si>
  <si>
    <t>% Return</t>
  </si>
  <si>
    <t>Texas Business Idea Competition:</t>
  </si>
  <si>
    <t>N/A</t>
  </si>
  <si>
    <t>Friends/Family Rounds:</t>
  </si>
  <si>
    <t>years</t>
  </si>
  <si>
    <t>Annual Return</t>
  </si>
  <si>
    <t>Seed Funding:</t>
  </si>
  <si>
    <t>Series A Funding:</t>
  </si>
  <si>
    <t>Total Investment:</t>
  </si>
  <si>
    <t>by:</t>
  </si>
  <si>
    <t>Total Return by:</t>
  </si>
  <si>
    <t>=</t>
  </si>
  <si>
    <t>Summary Table of Income Statement</t>
  </si>
  <si>
    <t>Year2</t>
  </si>
  <si>
    <t>Revenue</t>
  </si>
  <si>
    <t>Costs</t>
  </si>
  <si>
    <t>Profit/Income</t>
  </si>
  <si>
    <t>Our company wins the Texas Business Idea Competition</t>
  </si>
  <si>
    <t>Without this, we would allocate more time to “Friends/Family Rounds” and raise additional capital</t>
  </si>
  <si>
    <t>Business is incorporated as a private LLC on March 30th, 2023</t>
  </si>
  <si>
    <t>Website development is an up-front cost expensed on March 30th, 2023</t>
  </si>
  <si>
    <t>Marketing efforts begin on February 1st, 2023</t>
  </si>
  <si>
    <t>Sales begin on August 1st, 2023 </t>
  </si>
  <si>
    <t>Corporate tax rate will remain constant over the next 3 years</t>
  </si>
  <si>
    <t>Salaried employees will maintain current salaries/benefits through 2027</t>
  </si>
  <si>
    <t>All 6 employees hired will be fully capable in their respective fields and able to run a division on their own until further hiring is done</t>
  </si>
  <si>
    <t>Marketing &amp; Partnership spend starts at a base of $500,000 and increases 5% YoY</t>
  </si>
  <si>
    <t>Much of the marketing is outsourced</t>
  </si>
  <si>
    <t>Estimated Sales Quantity starts at a base of 120,000 units and increases 5% YoY</t>
  </si>
  <si>
    <t>All business is initially done via eCommerce (eventually also breaking into retail markets)</t>
  </si>
  <si>
    <t>Product is shipped directly from supplier, will have longer lead-times but requires less working capital</t>
  </si>
  <si>
    <t>Distribution partnerships become essential in later stages to reduce shipping times and deployment in the U.S.</t>
  </si>
  <si>
    <t>Investors are paid back at the end of the 5th year, 2027</t>
  </si>
  <si>
    <t>Core Assumptions</t>
  </si>
  <si>
    <t>All excess from inception to December 30th, 2027, will be paid back to shareholders proportionately (See Appendix - MS Excel: “Investment Offer &amp; Return”)</t>
  </si>
  <si>
    <t xml:space="preserve">Product Cost includes shipping and baked-in R&amp;D </t>
  </si>
  <si>
    <t>All financials and forecasts created without the results of investing round</t>
  </si>
  <si>
    <t>With the inclusion of outside investment, the Break-Even timeline would change</t>
  </si>
  <si>
    <t>The percentage of usage of funds in Appendix - MS Excel: "Sources &amp; Usage of Funds" are the total cost minus COGM</t>
  </si>
  <si>
    <t>All financial projections are made with the assumption that we will only sell for $75 per unit initially</t>
  </si>
  <si>
    <t>Our market penetration percentage of 1.27% is generated under the assumption that 30% of our SOM will be willing to purchase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</si>
</sst>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/>
    <xf numFmtId="0" fontId="4" fillId="0" borderId="0" xfId="4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5" fillId="0" borderId="0" xfId="0" applyFont="1"/>
    <xf numFmtId="0" fontId="6" fillId="0" borderId="0" xfId="0" applyFont="1"/>
    <xf numFmtId="6" fontId="0" fillId="0" borderId="0" xfId="0" applyNumberFormat="1"/>
    <xf numFmtId="0" fontId="1" fillId="0" borderId="0" xfId="0" applyFont="1"/>
    <xf numFmtId="8" fontId="0" fillId="0" borderId="0" xfId="0" applyNumberFormat="1"/>
    <xf numFmtId="8" fontId="1" fillId="0" borderId="0" xfId="0" applyNumberFormat="1" applyFont="1"/>
    <xf numFmtId="8" fontId="0" fillId="0" borderId="1" xfId="0" applyNumberFormat="1" applyBorder="1"/>
    <xf numFmtId="0" fontId="7" fillId="0" borderId="0" xfId="0" applyFont="1"/>
    <xf numFmtId="43" fontId="0" fillId="0" borderId="0" xfId="0" applyNumberFormat="1"/>
    <xf numFmtId="10" fontId="0" fillId="0" borderId="0" xfId="3" applyNumberFormat="1" applyFont="1"/>
    <xf numFmtId="10" fontId="1" fillId="0" borderId="0" xfId="3" applyNumberFormat="1" applyFont="1" applyAlignment="1">
      <alignment horizontal="center" vertical="center"/>
    </xf>
    <xf numFmtId="6" fontId="0" fillId="0" borderId="1" xfId="0" applyNumberFormat="1" applyBorder="1"/>
    <xf numFmtId="164" fontId="0" fillId="0" borderId="0" xfId="1" applyNumberFormat="1" applyFont="1" applyAlignment="1">
      <alignment horizontal="center"/>
    </xf>
    <xf numFmtId="44" fontId="0" fillId="0" borderId="0" xfId="2" applyFont="1"/>
    <xf numFmtId="44" fontId="0" fillId="0" borderId="0" xfId="0" applyNumberFormat="1"/>
    <xf numFmtId="164" fontId="0" fillId="0" borderId="0" xfId="1" applyNumberFormat="1" applyFont="1" applyAlignment="1"/>
    <xf numFmtId="164" fontId="3" fillId="0" borderId="0" xfId="0" applyNumberFormat="1" applyFont="1"/>
    <xf numFmtId="44" fontId="0" fillId="0" borderId="0" xfId="0" applyNumberFormat="1" applyAlignment="1">
      <alignment horizontal="center"/>
    </xf>
    <xf numFmtId="44" fontId="3" fillId="0" borderId="0" xfId="0" applyNumberFormat="1" applyFont="1"/>
    <xf numFmtId="6" fontId="3" fillId="0" borderId="0" xfId="0" applyNumberFormat="1" applyFont="1"/>
    <xf numFmtId="44" fontId="3" fillId="0" borderId="0" xfId="2" applyFont="1"/>
    <xf numFmtId="0" fontId="0" fillId="0" borderId="2" xfId="0" applyBorder="1" applyAlignment="1">
      <alignment horizontal="center"/>
    </xf>
    <xf numFmtId="6" fontId="0" fillId="0" borderId="3" xfId="0" applyNumberFormat="1" applyBorder="1"/>
    <xf numFmtId="164" fontId="0" fillId="0" borderId="3" xfId="0" applyNumberFormat="1" applyBorder="1"/>
    <xf numFmtId="44" fontId="3" fillId="0" borderId="3" xfId="2" applyFont="1" applyBorder="1"/>
    <xf numFmtId="44" fontId="0" fillId="0" borderId="3" xfId="0" applyNumberFormat="1" applyBorder="1"/>
    <xf numFmtId="8" fontId="0" fillId="0" borderId="3" xfId="0" applyNumberFormat="1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 applyAlignment="1"/>
    <xf numFmtId="164" fontId="3" fillId="0" borderId="3" xfId="0" applyNumberFormat="1" applyFont="1" applyBorder="1"/>
    <xf numFmtId="44" fontId="0" fillId="0" borderId="3" xfId="2" applyFont="1" applyBorder="1"/>
    <xf numFmtId="43" fontId="0" fillId="0" borderId="3" xfId="0" applyNumberFormat="1" applyBorder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44" fontId="1" fillId="0" borderId="0" xfId="2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2" applyFont="1" applyAlignment="1">
      <alignment horizontal="right"/>
    </xf>
    <xf numFmtId="8" fontId="10" fillId="0" borderId="0" xfId="0" applyNumberFormat="1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6" fontId="1" fillId="0" borderId="0" xfId="0" applyNumberFormat="1" applyFont="1"/>
    <xf numFmtId="10" fontId="0" fillId="0" borderId="0" xfId="0" applyNumberFormat="1"/>
    <xf numFmtId="44" fontId="3" fillId="0" borderId="3" xfId="0" applyNumberFormat="1" applyFont="1" applyBorder="1"/>
    <xf numFmtId="10" fontId="0" fillId="0" borderId="0" xfId="3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4" xfId="4" applyBorder="1" applyAlignment="1">
      <alignment vertical="center"/>
    </xf>
    <xf numFmtId="0" fontId="1" fillId="2" borderId="0" xfId="0" applyFont="1" applyFill="1"/>
    <xf numFmtId="0" fontId="11" fillId="2" borderId="0" xfId="0" applyFont="1" applyFill="1"/>
    <xf numFmtId="0" fontId="1" fillId="0" borderId="1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6" fontId="1" fillId="0" borderId="0" xfId="0" applyNumberFormat="1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</c:v>
          </c:tx>
          <c:spPr>
            <a:noFill/>
            <a:ln>
              <a:noFill/>
            </a:ln>
            <a:effectLst/>
          </c:spPr>
          <c:invertIfNegative val="0"/>
          <c:cat>
            <c:numRef>
              <c:f>Timeline!$A$3:$A$13</c:f>
              <c:numCache>
                <c:formatCode>General</c:formatCode>
                <c:ptCount val="11"/>
              </c:numCache>
            </c:numRef>
          </c:cat>
          <c:val>
            <c:numRef>
              <c:f>Timeline!$B$3:$B$13</c:f>
              <c:numCache>
                <c:formatCode>m/d/yyyy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FADD-4FD8-857C-E1A991EF2327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Timeline!$D$3:$D$13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2-FADD-4FD8-857C-E1A991EF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0656063"/>
        <c:axId val="1110657311"/>
      </c:barChart>
      <c:catAx>
        <c:axId val="11106560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57311"/>
        <c:crosses val="autoZero"/>
        <c:auto val="1"/>
        <c:lblAlgn val="ctr"/>
        <c:lblOffset val="100"/>
        <c:noMultiLvlLbl val="0"/>
      </c:catAx>
      <c:valAx>
        <c:axId val="1110657311"/>
        <c:scaling>
          <c:orientation val="minMax"/>
          <c:max val="45838"/>
          <c:min val="449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5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  <a:r>
              <a:rPr lang="en-US" baseline="0"/>
              <a:t>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Cash Inflow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Analysis'!$B$65:$M$65,'Break-Even Analysis'!$B$79:$M$79,'Break-Even Analysis'!$B$94:$M$94)</c:f>
              <c:numCache>
                <c:formatCode>_("$"* #,##0.00_);_("$"* \(#,##0.00\);_("$"* "-"??_);_(@_)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750000</c:v>
                </c:pt>
                <c:pt idx="8">
                  <c:v>750000</c:v>
                </c:pt>
                <c:pt idx="9">
                  <c:v>750000</c:v>
                </c:pt>
                <c:pt idx="10">
                  <c:v>750000</c:v>
                </c:pt>
                <c:pt idx="11">
                  <c:v>750000</c:v>
                </c:pt>
                <c:pt idx="12">
                  <c:v>787500</c:v>
                </c:pt>
                <c:pt idx="13">
                  <c:v>787500</c:v>
                </c:pt>
                <c:pt idx="14">
                  <c:v>787500</c:v>
                </c:pt>
                <c:pt idx="15">
                  <c:v>787500</c:v>
                </c:pt>
                <c:pt idx="16">
                  <c:v>787500</c:v>
                </c:pt>
                <c:pt idx="17">
                  <c:v>787500</c:v>
                </c:pt>
                <c:pt idx="18">
                  <c:v>787500</c:v>
                </c:pt>
                <c:pt idx="19">
                  <c:v>787500</c:v>
                </c:pt>
                <c:pt idx="20">
                  <c:v>787500</c:v>
                </c:pt>
                <c:pt idx="21">
                  <c:v>787500</c:v>
                </c:pt>
                <c:pt idx="22">
                  <c:v>787500</c:v>
                </c:pt>
                <c:pt idx="23">
                  <c:v>787500</c:v>
                </c:pt>
                <c:pt idx="24">
                  <c:v>826875</c:v>
                </c:pt>
                <c:pt idx="25">
                  <c:v>826875</c:v>
                </c:pt>
                <c:pt idx="26">
                  <c:v>826875</c:v>
                </c:pt>
                <c:pt idx="27">
                  <c:v>826875</c:v>
                </c:pt>
                <c:pt idx="28">
                  <c:v>826875</c:v>
                </c:pt>
                <c:pt idx="29">
                  <c:v>826875</c:v>
                </c:pt>
                <c:pt idx="30">
                  <c:v>826875</c:v>
                </c:pt>
                <c:pt idx="31">
                  <c:v>826875</c:v>
                </c:pt>
                <c:pt idx="32">
                  <c:v>826875</c:v>
                </c:pt>
                <c:pt idx="33">
                  <c:v>826875</c:v>
                </c:pt>
                <c:pt idx="34">
                  <c:v>826875</c:v>
                </c:pt>
                <c:pt idx="35">
                  <c:v>826875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D2-4611-9F01-283031CBEDEE}"/>
            </c:ext>
          </c:extLst>
        </c:ser>
        <c:ser>
          <c:idx val="1"/>
          <c:order val="1"/>
          <c:tx>
            <c:v>Cash Outflow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Analysis'!$B$64:$M$64,'Break-Even Analysis'!$B$78:$M$78,'Break-Even Analysis'!$B$93:$M$93)</c:f>
              <c:numCache>
                <c:formatCode>"$"#,##0_);[Red]\("$"#,##0\)</c:formatCode>
                <c:ptCount val="36"/>
                <c:pt idx="0">
                  <c:v>-75300</c:v>
                </c:pt>
                <c:pt idx="1">
                  <c:v>-116666.66666666666</c:v>
                </c:pt>
                <c:pt idx="2">
                  <c:v>-176666.66666666666</c:v>
                </c:pt>
                <c:pt idx="3">
                  <c:v>-116666.66666666666</c:v>
                </c:pt>
                <c:pt idx="4">
                  <c:v>-116666.66666666666</c:v>
                </c:pt>
                <c:pt idx="5">
                  <c:v>-116666.66666666666</c:v>
                </c:pt>
                <c:pt idx="6">
                  <c:v>-116666.66666666666</c:v>
                </c:pt>
                <c:pt idx="7" formatCode="_(* #,##0_);_(* \(#,##0\);_(* &quot;-&quot;??_);_(@_)">
                  <c:v>-667766.66666666663</c:v>
                </c:pt>
                <c:pt idx="8" formatCode="_(* #,##0_);_(* \(#,##0\);_(* &quot;-&quot;??_);_(@_)">
                  <c:v>-667766.66666666663</c:v>
                </c:pt>
                <c:pt idx="9" formatCode="_(* #,##0_);_(* \(#,##0\);_(* &quot;-&quot;??_);_(@_)">
                  <c:v>-667766.66666666663</c:v>
                </c:pt>
                <c:pt idx="10" formatCode="_(* #,##0_);_(* \(#,##0\);_(* &quot;-&quot;??_);_(@_)">
                  <c:v>-667766.66666666663</c:v>
                </c:pt>
                <c:pt idx="11" formatCode="_(* #,##0_);_(* \(#,##0\);_(* &quot;-&quot;??_);_(@_)">
                  <c:v>-667766.66666666663</c:v>
                </c:pt>
                <c:pt idx="12">
                  <c:v>-701642.5</c:v>
                </c:pt>
                <c:pt idx="13">
                  <c:v>-701642.5</c:v>
                </c:pt>
                <c:pt idx="14">
                  <c:v>-701642.5</c:v>
                </c:pt>
                <c:pt idx="15">
                  <c:v>-701642.5</c:v>
                </c:pt>
                <c:pt idx="16">
                  <c:v>-701642.5</c:v>
                </c:pt>
                <c:pt idx="17">
                  <c:v>-701642.5</c:v>
                </c:pt>
                <c:pt idx="18">
                  <c:v>-701642.5</c:v>
                </c:pt>
                <c:pt idx="19">
                  <c:v>-701642.5</c:v>
                </c:pt>
                <c:pt idx="20">
                  <c:v>-701642.5</c:v>
                </c:pt>
                <c:pt idx="21">
                  <c:v>-701642.5</c:v>
                </c:pt>
                <c:pt idx="22">
                  <c:v>-701642.5</c:v>
                </c:pt>
                <c:pt idx="23">
                  <c:v>-701642.5</c:v>
                </c:pt>
                <c:pt idx="24">
                  <c:v>-730627.75</c:v>
                </c:pt>
                <c:pt idx="25">
                  <c:v>-730627.75</c:v>
                </c:pt>
                <c:pt idx="26">
                  <c:v>-730627.75</c:v>
                </c:pt>
                <c:pt idx="27">
                  <c:v>-730627.75</c:v>
                </c:pt>
                <c:pt idx="28">
                  <c:v>-730627.75</c:v>
                </c:pt>
                <c:pt idx="29">
                  <c:v>-730627.75</c:v>
                </c:pt>
                <c:pt idx="30">
                  <c:v>-730627.75</c:v>
                </c:pt>
                <c:pt idx="31">
                  <c:v>-730627.75</c:v>
                </c:pt>
                <c:pt idx="32">
                  <c:v>-730627.75</c:v>
                </c:pt>
                <c:pt idx="33">
                  <c:v>-730627.75</c:v>
                </c:pt>
                <c:pt idx="34">
                  <c:v>-730627.75</c:v>
                </c:pt>
                <c:pt idx="35">
                  <c:v>-730627.75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D2-4611-9F01-283031CBEDEE}"/>
            </c:ext>
          </c:extLst>
        </c:ser>
        <c:ser>
          <c:idx val="2"/>
          <c:order val="2"/>
          <c:tx>
            <c:v>Cumulative / Break-Even 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Analysis'!$B$69:$M$69,'Break-Even Analysis'!$B$83:$M$83,'Break-Even Analysis'!$B$98:$M$98)</c:f>
              <c:numCache>
                <c:formatCode>"$"#,##0_);[Red]\("$"#,##0\)</c:formatCode>
                <c:ptCount val="36"/>
                <c:pt idx="0">
                  <c:v>-75300</c:v>
                </c:pt>
                <c:pt idx="1">
                  <c:v>-191966.66666666666</c:v>
                </c:pt>
                <c:pt idx="2">
                  <c:v>-368633.33333333331</c:v>
                </c:pt>
                <c:pt idx="3">
                  <c:v>-485300</c:v>
                </c:pt>
                <c:pt idx="4">
                  <c:v>-601966.66666666663</c:v>
                </c:pt>
                <c:pt idx="5">
                  <c:v>-718633.33333333326</c:v>
                </c:pt>
                <c:pt idx="6">
                  <c:v>-835299.99999999988</c:v>
                </c:pt>
                <c:pt idx="7">
                  <c:v>-770335.66666666651</c:v>
                </c:pt>
                <c:pt idx="8">
                  <c:v>-705371.33333333314</c:v>
                </c:pt>
                <c:pt idx="9">
                  <c:v>-640406.99999999977</c:v>
                </c:pt>
                <c:pt idx="10">
                  <c:v>-575442.6666666664</c:v>
                </c:pt>
                <c:pt idx="11">
                  <c:v>-510478.33333333302</c:v>
                </c:pt>
                <c:pt idx="12" formatCode="&quot;$&quot;#,##0.00_);[Red]\(&quot;$&quot;#,##0.00\)">
                  <c:v>-442650.90833333303</c:v>
                </c:pt>
                <c:pt idx="13" formatCode="&quot;$&quot;#,##0.00_);[Red]\(&quot;$&quot;#,##0.00\)">
                  <c:v>-374823.48333333305</c:v>
                </c:pt>
                <c:pt idx="14" formatCode="&quot;$&quot;#,##0.00_);[Red]\(&quot;$&quot;#,##0.00\)">
                  <c:v>-306996.05833333306</c:v>
                </c:pt>
                <c:pt idx="15" formatCode="&quot;$&quot;#,##0.00_);[Red]\(&quot;$&quot;#,##0.00\)">
                  <c:v>-239168.63333333307</c:v>
                </c:pt>
                <c:pt idx="16" formatCode="&quot;$&quot;#,##0.00_);[Red]\(&quot;$&quot;#,##0.00\)">
                  <c:v>-171341.20833333308</c:v>
                </c:pt>
                <c:pt idx="17" formatCode="&quot;$&quot;#,##0.00_);[Red]\(&quot;$&quot;#,##0.00\)">
                  <c:v>-103513.78333333308</c:v>
                </c:pt>
                <c:pt idx="18" formatCode="&quot;$&quot;#,##0.00_);[Red]\(&quot;$&quot;#,##0.00\)">
                  <c:v>-35686.358333333075</c:v>
                </c:pt>
                <c:pt idx="19" formatCode="&quot;$&quot;#,##0.00_);[Red]\(&quot;$&quot;#,##0.00\)">
                  <c:v>32141.066666666928</c:v>
                </c:pt>
                <c:pt idx="20" formatCode="&quot;$&quot;#,##0.00_);[Red]\(&quot;$&quot;#,##0.00\)">
                  <c:v>99968.491666666931</c:v>
                </c:pt>
                <c:pt idx="21" formatCode="&quot;$&quot;#,##0.00_);[Red]\(&quot;$&quot;#,##0.00\)">
                  <c:v>167795.91666666692</c:v>
                </c:pt>
                <c:pt idx="22" formatCode="&quot;$&quot;#,##0.00_);[Red]\(&quot;$&quot;#,##0.00\)">
                  <c:v>235623.34166666691</c:v>
                </c:pt>
                <c:pt idx="23" formatCode="&quot;$&quot;#,##0.00_);[Red]\(&quot;$&quot;#,##0.00\)">
                  <c:v>303450.7666666669</c:v>
                </c:pt>
                <c:pt idx="24" formatCode="&quot;$&quot;#,##0.00_);[Red]\(&quot;$&quot;#,##0.00\)">
                  <c:v>379486.09416666691</c:v>
                </c:pt>
                <c:pt idx="25" formatCode="&quot;$&quot;#,##0.00_);[Red]\(&quot;$&quot;#,##0.00\)">
                  <c:v>455521.42166666692</c:v>
                </c:pt>
                <c:pt idx="26" formatCode="&quot;$&quot;#,##0.00_);[Red]\(&quot;$&quot;#,##0.00\)">
                  <c:v>531556.74916666688</c:v>
                </c:pt>
                <c:pt idx="27" formatCode="&quot;$&quot;#,##0.00_);[Red]\(&quot;$&quot;#,##0.00\)">
                  <c:v>607592.07666666689</c:v>
                </c:pt>
                <c:pt idx="28" formatCode="&quot;$&quot;#,##0.00_);[Red]\(&quot;$&quot;#,##0.00\)">
                  <c:v>683627.40416666691</c:v>
                </c:pt>
                <c:pt idx="29" formatCode="&quot;$&quot;#,##0.00_);[Red]\(&quot;$&quot;#,##0.00\)">
                  <c:v>759662.73166666692</c:v>
                </c:pt>
                <c:pt idx="30" formatCode="&quot;$&quot;#,##0.00_);[Red]\(&quot;$&quot;#,##0.00\)">
                  <c:v>835698.05916666694</c:v>
                </c:pt>
                <c:pt idx="31" formatCode="&quot;$&quot;#,##0.00_);[Red]\(&quot;$&quot;#,##0.00\)">
                  <c:v>911733.38666666695</c:v>
                </c:pt>
                <c:pt idx="32" formatCode="&quot;$&quot;#,##0.00_);[Red]\(&quot;$&quot;#,##0.00\)">
                  <c:v>987768.71416666696</c:v>
                </c:pt>
                <c:pt idx="33" formatCode="&quot;$&quot;#,##0.00_);[Red]\(&quot;$&quot;#,##0.00\)">
                  <c:v>1063804.041666667</c:v>
                </c:pt>
                <c:pt idx="34" formatCode="&quot;$&quot;#,##0.00_);[Red]\(&quot;$&quot;#,##0.00\)">
                  <c:v>1139839.3691666669</c:v>
                </c:pt>
                <c:pt idx="35" formatCode="&quot;$&quot;#,##0.00_);[Red]\(&quot;$&quot;#,##0.00\)">
                  <c:v>1215874.6966666668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D2-4611-9F01-283031CBE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970751"/>
        <c:axId val="1397965343"/>
      </c:lineChart>
      <c:catAx>
        <c:axId val="139797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65343"/>
        <c:crosses val="autoZero"/>
        <c:auto val="1"/>
        <c:lblAlgn val="ctr"/>
        <c:lblOffset val="100"/>
        <c:noMultiLvlLbl val="0"/>
      </c:catAx>
      <c:valAx>
        <c:axId val="139796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7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'Sources &amp; Usage of Funds'!$A$2</c:f>
              <c:strCache>
                <c:ptCount val="1"/>
                <c:pt idx="0">
                  <c:v>Sources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79A-4866-9897-5BAD1F06C8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A-4866-9897-5BAD1F06C8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9A-4866-9897-5BAD1F06C8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79A-4866-9897-5BAD1F06C8CB}"/>
              </c:ext>
            </c:extLst>
          </c:dPt>
          <c:dLbls>
            <c:dLbl>
              <c:idx val="0"/>
              <c:layout>
                <c:manualLayout>
                  <c:x val="-4.2456402989109063E-2"/>
                  <c:y val="-9.3158646607808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A-4866-9897-5BAD1F06C8CB}"/>
                </c:ext>
              </c:extLst>
            </c:dLbl>
            <c:dLbl>
              <c:idx val="1"/>
              <c:layout>
                <c:manualLayout>
                  <c:x val="7.4804138599858835E-2"/>
                  <c:y val="-0.104803477433784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9A-4866-9897-5BAD1F06C8CB}"/>
                </c:ext>
              </c:extLst>
            </c:dLbl>
            <c:dLbl>
              <c:idx val="2"/>
              <c:layout>
                <c:manualLayout>
                  <c:x val="0.10310840725926487"/>
                  <c:y val="3.49344924779283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9A-4866-9897-5BAD1F06C8CB}"/>
                </c:ext>
              </c:extLst>
            </c:dLbl>
            <c:dLbl>
              <c:idx val="3"/>
              <c:layout>
                <c:manualLayout>
                  <c:x val="-0.10715187421060859"/>
                  <c:y val="8.15138157818327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9A-4866-9897-5BAD1F06C8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'Sources &amp; Usage of Funds'!$A$3:$A$6</c:f>
              <c:strCache>
                <c:ptCount val="4"/>
                <c:pt idx="0">
                  <c:v>Texas Business Idea Competition</c:v>
                </c:pt>
                <c:pt idx="1">
                  <c:v>Friends/Family Rounds</c:v>
                </c:pt>
                <c:pt idx="2">
                  <c:v>Seed Funding</c:v>
                </c:pt>
                <c:pt idx="3">
                  <c:v>Series A Funding</c:v>
                </c:pt>
              </c:strCache>
            </c:strRef>
          </c:cat>
          <c:val>
            <c:numRef>
              <c:f>'Sources &amp; Usage of Funds'!$B$3:$B$6</c:f>
              <c:numCache>
                <c:formatCode>"$"#,##0_);[Red]\("$"#,##0\)</c:formatCode>
                <c:ptCount val="4"/>
                <c:pt idx="0">
                  <c:v>15000</c:v>
                </c:pt>
                <c:pt idx="1">
                  <c:v>45000</c:v>
                </c:pt>
                <c:pt idx="2">
                  <c:v>600000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A-4866-9897-5BAD1F06C8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2C-47F3-AAB6-99D3CFCBE8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2C-47F3-AAB6-99D3CFCBE8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62C-47F3-AAB6-99D3CFCBE849}"/>
              </c:ext>
            </c:extLst>
          </c:dPt>
          <c:dLbls>
            <c:dLbl>
              <c:idx val="0"/>
              <c:layout>
                <c:manualLayout>
                  <c:x val="0.1031083908452739"/>
                  <c:y val="1.106500209538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2C-47F3-AAB6-99D3CFCBE849}"/>
                </c:ext>
              </c:extLst>
            </c:dLbl>
            <c:dLbl>
              <c:idx val="1"/>
              <c:layout>
                <c:manualLayout>
                  <c:x val="-0.13343438815270739"/>
                  <c:y val="7.376668063586879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2C-47F3-AAB6-99D3CFCBE849}"/>
                </c:ext>
              </c:extLst>
            </c:dLbl>
            <c:dLbl>
              <c:idx val="2"/>
              <c:layout>
                <c:manualLayout>
                  <c:x val="-7.2782393537840398E-2"/>
                  <c:y val="-0.125403357080976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2C-47F3-AAB6-99D3CFCBE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'Sources &amp; Usage of Funds'!$A$8:$A$11</c15:sqref>
                  </c15:fullRef>
                </c:ext>
              </c:extLst>
              <c:f>'Sources &amp; Usage of Funds'!$A$9:$A$11</c:f>
              <c:strCache>
                <c:ptCount val="3"/>
                <c:pt idx="0">
                  <c:v>Salaries &amp; Benefits:</c:v>
                </c:pt>
                <c:pt idx="1">
                  <c:v>Marketing &amp; Partnerships:</c:v>
                </c:pt>
                <c:pt idx="2">
                  <c:v>Website, Maintenance, &amp; LLC: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'Sources &amp; Usage of Funds'!$B$8:$B$11</c15:sqref>
                  </c15:fullRef>
                </c:ext>
              </c:extLst>
              <c:f>'Sources &amp; Usage of Funds'!$B$9:$B$11</c:f>
              <c:numCache>
                <c:formatCode>0.00%</c:formatCode>
                <c:ptCount val="3"/>
                <c:pt idx="0">
                  <c:v>0.6244386797361936</c:v>
                </c:pt>
                <c:pt idx="1">
                  <c:v>0.35490858911549394</c:v>
                </c:pt>
                <c:pt idx="2">
                  <c:v>2.0652731148311884E-2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662C-47F3-AAB6-99D3CFCBE8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1117354</xdr:colOff>
      <xdr:row>15</xdr:row>
      <xdr:rowOff>167054</xdr:rowOff>
    </xdr:from>
    <xdr:to>
      <xdr:col>13</xdr:col>
      <xdr:colOff>293076</xdr:colOff>
      <xdr:row>32</xdr:row>
      <xdr:rowOff>51288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59443-10AF-4ED5-8B81-C37E1BFDE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102</xdr:row>
      <xdr:rowOff>4761</xdr:rowOff>
    </xdr:from>
    <xdr:to>
      <xdr:col>18</xdr:col>
      <xdr:colOff>390525</xdr:colOff>
      <xdr:row>119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B8011-4CC5-4446-8A8C-131ABBA05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376237</xdr:colOff>
      <xdr:row>0</xdr:row>
      <xdr:rowOff>119062</xdr:rowOff>
    </xdr:from>
    <xdr:to>
      <xdr:col>17</xdr:col>
      <xdr:colOff>561975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45616-D8C6-4B8E-8D2C-19ECF4728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385761</xdr:colOff>
      <xdr:row>18</xdr:row>
      <xdr:rowOff>185736</xdr:rowOff>
    </xdr:from>
    <xdr:to>
      <xdr:col>17</xdr:col>
      <xdr:colOff>571500</xdr:colOff>
      <xdr:row>37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BAAC7E-C66C-4BD5-9A94-CC9848E00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andon Carmichael" id="{6FD65A56-1B76-40A3-BA80-FAA72B9C6172}" userId="Brandon Carmicha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7" dT="2022-04-05T17:40:38.12" personId="{6FD65A56-1B76-40A3-BA80-FAA72B9C6172}" id="{6CA8C677-C114-4A57-8834-6CE5A5122D7C}">
    <text>Website launches in August, don't need to pay for maintenance until it is launched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7" dT="2022-04-05T17:40:38.12" personId="{6FD65A56-1B76-40A3-BA80-FAA72B9C6172}" id="{8DF46481-B8E0-4DE4-9558-8EED45F28C99}">
    <text>Website launches in August, don't need to pay for maintenance until it is launched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ungarees.com/carhartt-c0001432-universal-fitted-nylon-duck-pet-hammock?&amp;cs=BRN&amp;size=OFA&amp;cid=1747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bankrate.com/insurance/car/car-ownership-statistics/" TargetMode="External"/><Relationship Id="rId1" Type="http://schemas.openxmlformats.org/officeDocument/2006/relationships/hyperlink" Target="https://www.iii.org/fact-statistic/facts-statistics-pet-ownership-and-insurance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investopedia.com/terms/c/corporatetax.asp" TargetMode="Externa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4" Type="http://schemas.openxmlformats.org/officeDocument/2006/relationships/hyperlink" Target="https://dungarees.com/carhartt-c0001432-universal-fitted-nylon-duck-pet-hammock?&amp;cs=BRN&amp;size=OFA&amp;cid=1747" TargetMode="External"/><Relationship Id="rId9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4" Type="http://schemas.openxmlformats.org/officeDocument/2006/relationships/hyperlink" Target="https://dungarees.com/carhartt-c0001432-universal-fitted-nylon-duck-pet-hammock?&amp;cs=BRN&amp;size=OFA&amp;cid=174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11" Type="http://schemas.microsoft.com/office/2017/10/relationships/threadedComment" Target="../threadedComments/threadedComment2.xm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dungarees.com/carhartt-c0001432-universal-fitted-nylon-duck-pet-hammock?&amp;cs=BRN&amp;size=OFA&amp;cid=1747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684C-D065-4465-9EF2-B2D97BB0A707}">
  <dimension ref="A1:C25"/>
  <sheetViews>
    <sheetView workbookViewId="0">
      <selection activeCell="A27" sqref="A27"/>
    </sheetView>
  </sheetViews>
  <sheetFormatPr defaultRowHeight="14.5" x14ac:dyDescent="0.35"/>
  <sheetData>
    <row r="1" spans="1:3" ht="21" x14ac:dyDescent="0.5">
      <c r="A1" s="60" t="s">
        <v>211</v>
      </c>
      <c r="B1" s="59"/>
      <c r="C1" s="59"/>
    </row>
    <row r="3" spans="1:3" x14ac:dyDescent="0.35">
      <c r="A3" t="s">
        <v>195</v>
      </c>
    </row>
    <row r="4" spans="1:3" x14ac:dyDescent="0.35">
      <c r="A4" s="41" t="s">
        <v>196</v>
      </c>
    </row>
    <row r="5" spans="1:3" x14ac:dyDescent="0.35">
      <c r="A5" t="s">
        <v>197</v>
      </c>
    </row>
    <row r="6" spans="1:3" x14ac:dyDescent="0.35">
      <c r="A6" t="s">
        <v>198</v>
      </c>
    </row>
    <row r="7" spans="1:3" x14ac:dyDescent="0.35">
      <c r="A7" t="s">
        <v>199</v>
      </c>
    </row>
    <row r="8" spans="1:3" x14ac:dyDescent="0.35">
      <c r="A8" t="s">
        <v>200</v>
      </c>
    </row>
    <row r="9" spans="1:3" x14ac:dyDescent="0.35">
      <c r="A9" t="s">
        <v>201</v>
      </c>
    </row>
    <row r="10" spans="1:3" x14ac:dyDescent="0.35">
      <c r="A10" t="s">
        <v>202</v>
      </c>
    </row>
    <row r="11" spans="1:3" x14ac:dyDescent="0.35">
      <c r="A11" s="41" t="s">
        <v>203</v>
      </c>
    </row>
    <row r="12" spans="1:3" x14ac:dyDescent="0.35">
      <c r="A12" t="s">
        <v>204</v>
      </c>
    </row>
    <row r="13" spans="1:3" x14ac:dyDescent="0.35">
      <c r="A13" s="41" t="s">
        <v>205</v>
      </c>
    </row>
    <row r="14" spans="1:3" x14ac:dyDescent="0.35">
      <c r="A14" t="s">
        <v>206</v>
      </c>
    </row>
    <row r="15" spans="1:3" x14ac:dyDescent="0.35">
      <c r="A15" t="s">
        <v>212</v>
      </c>
    </row>
    <row r="16" spans="1:3" x14ac:dyDescent="0.35">
      <c r="A16" t="s">
        <v>207</v>
      </c>
    </row>
    <row r="17" spans="1:1" x14ac:dyDescent="0.35">
      <c r="A17" s="41" t="s">
        <v>213</v>
      </c>
    </row>
    <row r="18" spans="1:1" x14ac:dyDescent="0.35">
      <c r="A18" s="41" t="s">
        <v>208</v>
      </c>
    </row>
    <row r="19" spans="1:1" x14ac:dyDescent="0.35">
      <c r="A19" s="41" t="s">
        <v>209</v>
      </c>
    </row>
    <row r="20" spans="1:1" x14ac:dyDescent="0.35">
      <c r="A20" t="s">
        <v>210</v>
      </c>
    </row>
    <row r="21" spans="1:1" x14ac:dyDescent="0.35">
      <c r="A21" t="s">
        <v>214</v>
      </c>
    </row>
    <row r="22" spans="1:1" x14ac:dyDescent="0.35">
      <c r="A22" s="41" t="s">
        <v>215</v>
      </c>
    </row>
    <row r="23" spans="1:1" x14ac:dyDescent="0.35">
      <c r="A23" s="44" t="s">
        <v>216</v>
      </c>
    </row>
    <row r="24" spans="1:1" x14ac:dyDescent="0.35">
      <c r="A24" t="s">
        <v>217</v>
      </c>
    </row>
    <row r="25" spans="1:1" x14ac:dyDescent="0.35">
      <c r="A25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281C-B0B3-4836-B32D-B9F4989F5450}">
  <dimension ref="A1:L13"/>
  <sheetViews>
    <sheetView tabSelected="1" topLeftCell="A13" zoomScaleNormal="100" workbookViewId="0">
      <selection activeCell="A25" sqref="A25"/>
    </sheetView>
  </sheetViews>
  <sheetFormatPr defaultRowHeight="14.5" x14ac:dyDescent="0.35"/>
  <cols>
    <col min="1" max="1" width="23.54296875" bestFit="1" customWidth="1"/>
    <col min="2" max="3" width="11.26953125" bestFit="1" customWidth="1"/>
    <col min="5" max="6" width="10.7265625" bestFit="1" customWidth="1"/>
    <col min="12" max="12" width="9.7265625" bestFit="1" customWidth="1"/>
  </cols>
  <sheetData>
    <row r="1" spans="1:12" x14ac:dyDescent="0.35">
      <c r="A1" s="61"/>
      <c r="B1" s="61"/>
      <c r="C1" s="61"/>
    </row>
    <row r="2" spans="1:12" x14ac:dyDescent="0.35">
      <c r="B2" s="1"/>
      <c r="C2" s="1"/>
    </row>
    <row r="3" spans="1:12" x14ac:dyDescent="0.35">
      <c r="B3" s="2"/>
      <c r="C3" s="2"/>
    </row>
    <row r="4" spans="1:12" x14ac:dyDescent="0.35">
      <c r="B4" s="2"/>
      <c r="C4" s="2"/>
    </row>
    <row r="5" spans="1:12" x14ac:dyDescent="0.35">
      <c r="B5" s="2"/>
      <c r="C5" s="2"/>
      <c r="K5" s="1"/>
      <c r="L5" s="1"/>
    </row>
    <row r="6" spans="1:12" x14ac:dyDescent="0.35">
      <c r="B6" s="2"/>
      <c r="C6" s="2"/>
    </row>
    <row r="7" spans="1:12" x14ac:dyDescent="0.35">
      <c r="B7" s="2"/>
      <c r="C7" s="2"/>
    </row>
    <row r="8" spans="1:12" x14ac:dyDescent="0.35">
      <c r="B8" s="2"/>
      <c r="C8" s="2"/>
    </row>
    <row r="9" spans="1:12" x14ac:dyDescent="0.35">
      <c r="B9" s="2"/>
      <c r="C9" s="2"/>
    </row>
    <row r="10" spans="1:12" x14ac:dyDescent="0.35">
      <c r="B10" s="2"/>
      <c r="C10" s="2"/>
    </row>
    <row r="11" spans="1:12" x14ac:dyDescent="0.35">
      <c r="B11" s="2"/>
      <c r="C11" s="2"/>
    </row>
    <row r="12" spans="1:12" x14ac:dyDescent="0.35">
      <c r="B12" s="2"/>
      <c r="C12" s="2"/>
    </row>
    <row r="13" spans="1:12" x14ac:dyDescent="0.35">
      <c r="B13" s="2"/>
      <c r="C13" s="2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B7EA-9157-484D-B494-8E98D35556F8}">
  <dimension ref="A1:M99"/>
  <sheetViews>
    <sheetView zoomScaleNormal="100" workbookViewId="0">
      <selection activeCell="F92" sqref="F92"/>
    </sheetView>
  </sheetViews>
  <sheetFormatPr defaultRowHeight="14.5" x14ac:dyDescent="0.35"/>
  <cols>
    <col min="1" max="1" width="23.81640625" bestFit="1" customWidth="1"/>
    <col min="2" max="7" width="15.26953125" customWidth="1"/>
    <col min="8" max="8" width="23.81640625" bestFit="1" customWidth="1"/>
    <col min="9" max="13" width="15.26953125" customWidth="1"/>
    <col min="14" max="14" width="11.2695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  <c r="F2" s="3">
        <v>69000000</v>
      </c>
      <c r="G2" t="s">
        <v>5</v>
      </c>
      <c r="H2" s="4" t="s">
        <v>6</v>
      </c>
    </row>
    <row r="3" spans="1:10" x14ac:dyDescent="0.35">
      <c r="A3" t="s">
        <v>7</v>
      </c>
      <c r="F3" s="5">
        <v>0.91</v>
      </c>
      <c r="G3" t="s">
        <v>8</v>
      </c>
      <c r="H3" s="4" t="s">
        <v>6</v>
      </c>
    </row>
    <row r="7" spans="1:10" x14ac:dyDescent="0.35">
      <c r="A7" t="s">
        <v>9</v>
      </c>
      <c r="F7" s="7">
        <f>$F$2*$F$3</f>
        <v>62790000</v>
      </c>
    </row>
    <row r="8" spans="1:10" x14ac:dyDescent="0.35">
      <c r="A8" t="s">
        <v>10</v>
      </c>
      <c r="F8" s="8">
        <f>F7*50%</f>
        <v>31395000</v>
      </c>
      <c r="G8" t="s">
        <v>11</v>
      </c>
    </row>
    <row r="9" spans="1:10" x14ac:dyDescent="0.35">
      <c r="A9" t="s">
        <v>12</v>
      </c>
      <c r="F9" s="8">
        <f>F8*30%</f>
        <v>9418500</v>
      </c>
      <c r="G9" s="10" t="s">
        <v>13</v>
      </c>
    </row>
    <row r="10" spans="1:10" x14ac:dyDescent="0.35">
      <c r="F10" s="8"/>
      <c r="G10" s="10"/>
    </row>
    <row r="11" spans="1:10" x14ac:dyDescent="0.35">
      <c r="A11" s="12" t="s">
        <v>14</v>
      </c>
    </row>
    <row r="12" spans="1:10" x14ac:dyDescent="0.35">
      <c r="A12" t="s">
        <v>15</v>
      </c>
    </row>
    <row r="13" spans="1:10" x14ac:dyDescent="0.35">
      <c r="A13" s="4" t="s">
        <v>16</v>
      </c>
      <c r="F13" s="13">
        <v>46</v>
      </c>
      <c r="J13" s="13"/>
    </row>
    <row r="14" spans="1:10" ht="15" thickBot="1" x14ac:dyDescent="0.4">
      <c r="A14" s="4" t="s">
        <v>17</v>
      </c>
      <c r="F14" s="13">
        <v>19.989999999999998</v>
      </c>
      <c r="J14" s="13"/>
    </row>
    <row r="15" spans="1:10" ht="15" thickBot="1" x14ac:dyDescent="0.4">
      <c r="A15" s="58" t="s">
        <v>18</v>
      </c>
      <c r="F15" s="13">
        <v>42.95</v>
      </c>
      <c r="J15" s="13"/>
    </row>
    <row r="16" spans="1:10" x14ac:dyDescent="0.35">
      <c r="A16" s="4" t="s">
        <v>19</v>
      </c>
      <c r="F16" s="15">
        <v>119.99</v>
      </c>
      <c r="J16" s="13"/>
    </row>
    <row r="17" spans="1:13" x14ac:dyDescent="0.35">
      <c r="A17" s="12" t="s">
        <v>20</v>
      </c>
      <c r="F17" s="14">
        <f>AVERAGE(F13:F16)</f>
        <v>57.232500000000002</v>
      </c>
      <c r="G17" t="s">
        <v>21</v>
      </c>
      <c r="J17" s="13"/>
    </row>
    <row r="18" spans="1:13" x14ac:dyDescent="0.35">
      <c r="J18" s="13"/>
    </row>
    <row r="19" spans="1:13" x14ac:dyDescent="0.35">
      <c r="A19" t="s">
        <v>22</v>
      </c>
      <c r="F19" s="14">
        <f>F17-(40%*F17)</f>
        <v>34.339500000000001</v>
      </c>
      <c r="G19" t="s">
        <v>23</v>
      </c>
    </row>
    <row r="20" spans="1:13" x14ac:dyDescent="0.35">
      <c r="A20" t="s">
        <v>24</v>
      </c>
      <c r="E20" s="13"/>
      <c r="F20" s="13">
        <v>48.21</v>
      </c>
      <c r="G20" s="16" t="s">
        <v>25</v>
      </c>
    </row>
    <row r="22" spans="1:13" x14ac:dyDescent="0.35">
      <c r="A22" t="s">
        <v>26</v>
      </c>
      <c r="F22" s="11">
        <v>150000</v>
      </c>
      <c r="G22" t="s">
        <v>27</v>
      </c>
    </row>
    <row r="24" spans="1:13" x14ac:dyDescent="0.35">
      <c r="B24" s="61" t="s">
        <v>28</v>
      </c>
      <c r="C24" s="61"/>
      <c r="D24" s="61"/>
    </row>
    <row r="25" spans="1:13" x14ac:dyDescent="0.35">
      <c r="A25" t="s">
        <v>29</v>
      </c>
      <c r="B25" s="1" t="s">
        <v>30</v>
      </c>
      <c r="C25" s="1" t="s">
        <v>31</v>
      </c>
      <c r="D25" s="1" t="s">
        <v>32</v>
      </c>
    </row>
    <row r="26" spans="1:13" x14ac:dyDescent="0.35">
      <c r="A26" t="s">
        <v>1</v>
      </c>
      <c r="B26" s="11">
        <v>-60000</v>
      </c>
      <c r="C26" s="1" t="s">
        <v>33</v>
      </c>
      <c r="D26" s="1" t="s">
        <v>33</v>
      </c>
      <c r="G26" t="s">
        <v>34</v>
      </c>
    </row>
    <row r="27" spans="1:13" x14ac:dyDescent="0.35">
      <c r="A27" t="s">
        <v>35</v>
      </c>
      <c r="B27" s="11">
        <f>-SUM($I$58:$M$58)</f>
        <v>-5000</v>
      </c>
      <c r="C27" s="11">
        <v>-12000</v>
      </c>
      <c r="D27" s="11">
        <f>C27</f>
        <v>-12000</v>
      </c>
      <c r="G27" t="s">
        <v>36</v>
      </c>
    </row>
    <row r="28" spans="1:13" x14ac:dyDescent="0.35">
      <c r="A28" t="s">
        <v>37</v>
      </c>
      <c r="B28" s="11">
        <v>-300</v>
      </c>
      <c r="C28" s="1" t="s">
        <v>33</v>
      </c>
      <c r="D28" s="1" t="s">
        <v>33</v>
      </c>
    </row>
    <row r="29" spans="1:13" x14ac:dyDescent="0.35">
      <c r="A29" t="s">
        <v>38</v>
      </c>
      <c r="B29" s="7">
        <v>50000</v>
      </c>
      <c r="C29" s="21">
        <f>120000*1.05</f>
        <v>126000</v>
      </c>
      <c r="D29" s="21">
        <f>C29*1.05</f>
        <v>132300</v>
      </c>
      <c r="E29" s="8"/>
      <c r="G29" t="s">
        <v>39</v>
      </c>
    </row>
    <row r="30" spans="1:13" x14ac:dyDescent="0.35">
      <c r="A30" t="s">
        <v>40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41</v>
      </c>
      <c r="I30" s="19">
        <f>120000/F9</f>
        <v>1.2740882306099698E-2</v>
      </c>
      <c r="J30" t="s">
        <v>42</v>
      </c>
      <c r="M30" s="5">
        <v>0.05</v>
      </c>
    </row>
    <row r="31" spans="1:13" x14ac:dyDescent="0.35">
      <c r="A31" t="s">
        <v>43</v>
      </c>
      <c r="B31" s="11">
        <f>(-500000/12)*11</f>
        <v>-458333.33333333331</v>
      </c>
      <c r="C31" s="11">
        <f>(-500000*1.05)</f>
        <v>-525000</v>
      </c>
      <c r="D31" s="11">
        <f>C31*1.05</f>
        <v>-551250</v>
      </c>
      <c r="G31" t="s">
        <v>44</v>
      </c>
    </row>
    <row r="32" spans="1:13" x14ac:dyDescent="0.35">
      <c r="A32" t="s">
        <v>45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35">
      <c r="A33" t="s">
        <v>46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35">
      <c r="A35" t="s">
        <v>47</v>
      </c>
      <c r="B35" s="13">
        <f>$F$20+7</f>
        <v>55.21</v>
      </c>
      <c r="C35" t="s">
        <v>48</v>
      </c>
    </row>
    <row r="36" spans="1:7" x14ac:dyDescent="0.35">
      <c r="A36" t="s">
        <v>49</v>
      </c>
      <c r="B36" s="13">
        <v>75</v>
      </c>
      <c r="G36" s="16" t="s">
        <v>50</v>
      </c>
    </row>
    <row r="38" spans="1:7" x14ac:dyDescent="0.35">
      <c r="B38" s="61" t="s">
        <v>51</v>
      </c>
      <c r="C38" s="61"/>
      <c r="D38" s="61"/>
    </row>
    <row r="39" spans="1:7" x14ac:dyDescent="0.35">
      <c r="A39" t="s">
        <v>29</v>
      </c>
      <c r="B39" s="1" t="s">
        <v>30</v>
      </c>
      <c r="C39" s="1" t="s">
        <v>31</v>
      </c>
      <c r="D39" s="1" t="s">
        <v>32</v>
      </c>
    </row>
    <row r="40" spans="1:7" x14ac:dyDescent="0.35">
      <c r="A40" t="s">
        <v>1</v>
      </c>
      <c r="B40" s="11">
        <v>-60000</v>
      </c>
      <c r="C40" s="1" t="s">
        <v>33</v>
      </c>
      <c r="D40" s="1" t="s">
        <v>33</v>
      </c>
    </row>
    <row r="41" spans="1:7" x14ac:dyDescent="0.35">
      <c r="A41" t="s">
        <v>35</v>
      </c>
      <c r="B41" s="11">
        <f>-SUM($I$58:$M$58)</f>
        <v>-5000</v>
      </c>
      <c r="C41" s="11">
        <f>C27</f>
        <v>-12000</v>
      </c>
      <c r="D41" s="11">
        <f>D27</f>
        <v>-12000</v>
      </c>
    </row>
    <row r="42" spans="1:7" x14ac:dyDescent="0.35">
      <c r="A42" t="s">
        <v>37</v>
      </c>
      <c r="B42" s="11">
        <v>-300</v>
      </c>
      <c r="C42" s="1" t="s">
        <v>33</v>
      </c>
      <c r="D42" s="1" t="s">
        <v>33</v>
      </c>
    </row>
    <row r="43" spans="1:7" x14ac:dyDescent="0.35">
      <c r="A43" t="s">
        <v>38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35">
      <c r="A44" t="s">
        <v>40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35">
      <c r="A45" t="s">
        <v>43</v>
      </c>
      <c r="B45" s="11">
        <f t="shared" ref="B45:D46" si="0">B31</f>
        <v>-458333.33333333331</v>
      </c>
      <c r="C45" s="11">
        <f t="shared" si="0"/>
        <v>-525000</v>
      </c>
      <c r="D45" s="11">
        <f t="shared" si="0"/>
        <v>-551250</v>
      </c>
    </row>
    <row r="46" spans="1:7" x14ac:dyDescent="0.35">
      <c r="A46" t="s">
        <v>45</v>
      </c>
      <c r="B46" s="20">
        <f t="shared" si="0"/>
        <v>-900000</v>
      </c>
      <c r="C46" s="20">
        <f t="shared" si="0"/>
        <v>-900000</v>
      </c>
      <c r="D46" s="20">
        <f t="shared" si="0"/>
        <v>-900000</v>
      </c>
    </row>
    <row r="47" spans="1:7" x14ac:dyDescent="0.35">
      <c r="A47" t="s">
        <v>46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35">
      <c r="A48" t="s">
        <v>52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35">
      <c r="A49" t="s">
        <v>53</v>
      </c>
      <c r="B49" s="27">
        <f>B48+B47</f>
        <v>-84133.333333333489</v>
      </c>
      <c r="C49" s="23">
        <f t="shared" ref="C49:D49" si="1">C48+C47</f>
        <v>1938540</v>
      </c>
      <c r="D49" s="23">
        <f t="shared" si="1"/>
        <v>2081067</v>
      </c>
    </row>
    <row r="50" spans="1:13" x14ac:dyDescent="0.35">
      <c r="A50" t="s">
        <v>54</v>
      </c>
      <c r="B50" s="26" t="s">
        <v>33</v>
      </c>
      <c r="C50" s="23">
        <f t="shared" ref="C50:D50" si="2">C49*$E$50</f>
        <v>407093.39999999997</v>
      </c>
      <c r="D50" s="23">
        <f t="shared" si="2"/>
        <v>437024.07</v>
      </c>
      <c r="E50" s="5">
        <v>0.21</v>
      </c>
      <c r="F50" s="4" t="s">
        <v>55</v>
      </c>
    </row>
    <row r="51" spans="1:13" x14ac:dyDescent="0.35">
      <c r="A51" t="s">
        <v>56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5" x14ac:dyDescent="0.45">
      <c r="A54" s="62" t="s">
        <v>57</v>
      </c>
      <c r="B54" s="62"/>
      <c r="C54" s="62"/>
      <c r="D54" s="62"/>
    </row>
    <row r="55" spans="1:13" ht="18.5" x14ac:dyDescent="0.45">
      <c r="A55" s="1"/>
      <c r="B55" s="63" t="s">
        <v>58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35">
      <c r="A56" s="1"/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64</v>
      </c>
      <c r="H56" s="1" t="s">
        <v>65</v>
      </c>
      <c r="I56" s="1" t="s">
        <v>66</v>
      </c>
      <c r="J56" s="1" t="s">
        <v>67</v>
      </c>
      <c r="K56" s="1" t="s">
        <v>68</v>
      </c>
      <c r="L56" s="1" t="s">
        <v>69</v>
      </c>
      <c r="M56" s="30" t="s">
        <v>70</v>
      </c>
    </row>
    <row r="57" spans="1:13" x14ac:dyDescent="0.35">
      <c r="A57" t="s">
        <v>1</v>
      </c>
      <c r="B57" s="22">
        <v>0</v>
      </c>
      <c r="C57" s="22">
        <f>B57</f>
        <v>0</v>
      </c>
      <c r="D57" s="11">
        <f>$B$40</f>
        <v>-60000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39">
        <v>0</v>
      </c>
    </row>
    <row r="58" spans="1:13" x14ac:dyDescent="0.35">
      <c r="A58" t="s">
        <v>35</v>
      </c>
      <c r="B58" s="22">
        <v>0</v>
      </c>
      <c r="C58" s="22">
        <f>B58</f>
        <v>0</v>
      </c>
      <c r="D58" s="22">
        <f t="shared" ref="D58:M58" si="3">C58</f>
        <v>0</v>
      </c>
      <c r="E58" s="22">
        <f t="shared" si="3"/>
        <v>0</v>
      </c>
      <c r="F58" s="22">
        <f t="shared" si="3"/>
        <v>0</v>
      </c>
      <c r="G58" s="22">
        <f t="shared" si="3"/>
        <v>0</v>
      </c>
      <c r="H58" s="22">
        <f t="shared" si="3"/>
        <v>0</v>
      </c>
      <c r="I58" s="11">
        <f>12000/12</f>
        <v>1000</v>
      </c>
      <c r="J58" s="11">
        <f t="shared" si="3"/>
        <v>1000</v>
      </c>
      <c r="K58" s="11">
        <f t="shared" si="3"/>
        <v>1000</v>
      </c>
      <c r="L58" s="11">
        <f t="shared" si="3"/>
        <v>1000</v>
      </c>
      <c r="M58" s="31">
        <f t="shared" si="3"/>
        <v>1000</v>
      </c>
    </row>
    <row r="59" spans="1:13" x14ac:dyDescent="0.35">
      <c r="A59" t="s">
        <v>37</v>
      </c>
      <c r="B59" s="11">
        <f>B42</f>
        <v>-300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39">
        <v>0</v>
      </c>
    </row>
    <row r="60" spans="1:13" x14ac:dyDescent="0.35">
      <c r="A60" t="s">
        <v>38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4">
        <v>10000</v>
      </c>
      <c r="J60" s="24">
        <f>I60</f>
        <v>10000</v>
      </c>
      <c r="K60" s="24">
        <f t="shared" ref="K60:M61" si="4">J60</f>
        <v>10000</v>
      </c>
      <c r="L60" s="24">
        <f t="shared" si="4"/>
        <v>10000</v>
      </c>
      <c r="M60" s="37">
        <f t="shared" si="4"/>
        <v>10000</v>
      </c>
    </row>
    <row r="61" spans="1:13" x14ac:dyDescent="0.35">
      <c r="A61" t="s">
        <v>40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3">
        <f>-I60*$B$35</f>
        <v>-552100</v>
      </c>
      <c r="J61" s="13">
        <f>I61</f>
        <v>-552100</v>
      </c>
      <c r="K61" s="13">
        <f t="shared" si="4"/>
        <v>-552100</v>
      </c>
      <c r="L61" s="13">
        <f t="shared" si="4"/>
        <v>-552100</v>
      </c>
      <c r="M61" s="35">
        <f t="shared" si="4"/>
        <v>-552100</v>
      </c>
    </row>
    <row r="62" spans="1:13" x14ac:dyDescent="0.35">
      <c r="A62" t="s">
        <v>43</v>
      </c>
      <c r="B62" s="22">
        <v>0</v>
      </c>
      <c r="C62" s="11">
        <f>$B$31/11</f>
        <v>-41666.666666666664</v>
      </c>
      <c r="D62" s="11">
        <f>C62</f>
        <v>-41666.666666666664</v>
      </c>
      <c r="E62" s="11">
        <f t="shared" ref="E62:M62" si="5">D62</f>
        <v>-41666.666666666664</v>
      </c>
      <c r="F62" s="11">
        <f t="shared" si="5"/>
        <v>-41666.666666666664</v>
      </c>
      <c r="G62" s="11">
        <f t="shared" si="5"/>
        <v>-41666.666666666664</v>
      </c>
      <c r="H62" s="11">
        <f t="shared" si="5"/>
        <v>-41666.666666666664</v>
      </c>
      <c r="I62" s="11">
        <f t="shared" si="5"/>
        <v>-41666.666666666664</v>
      </c>
      <c r="J62" s="11">
        <f t="shared" si="5"/>
        <v>-41666.666666666664</v>
      </c>
      <c r="K62" s="11">
        <f t="shared" si="5"/>
        <v>-41666.666666666664</v>
      </c>
      <c r="L62" s="11">
        <f t="shared" si="5"/>
        <v>-41666.666666666664</v>
      </c>
      <c r="M62" s="31">
        <f t="shared" si="5"/>
        <v>-41666.666666666664</v>
      </c>
    </row>
    <row r="63" spans="1:13" x14ac:dyDescent="0.35">
      <c r="A63" t="s">
        <v>45</v>
      </c>
      <c r="B63" s="11">
        <f>$B$46/12</f>
        <v>-75000</v>
      </c>
      <c r="C63" s="11">
        <f t="shared" ref="C63:M63" si="6">$B$46/12</f>
        <v>-75000</v>
      </c>
      <c r="D63" s="11">
        <f t="shared" si="6"/>
        <v>-75000</v>
      </c>
      <c r="E63" s="11">
        <f t="shared" si="6"/>
        <v>-75000</v>
      </c>
      <c r="F63" s="11">
        <f t="shared" si="6"/>
        <v>-75000</v>
      </c>
      <c r="G63" s="11">
        <f t="shared" si="6"/>
        <v>-75000</v>
      </c>
      <c r="H63" s="11">
        <f t="shared" si="6"/>
        <v>-75000</v>
      </c>
      <c r="I63" s="11">
        <f t="shared" si="6"/>
        <v>-75000</v>
      </c>
      <c r="J63" s="11">
        <f t="shared" si="6"/>
        <v>-75000</v>
      </c>
      <c r="K63" s="11">
        <f t="shared" si="6"/>
        <v>-75000</v>
      </c>
      <c r="L63" s="11">
        <f t="shared" si="6"/>
        <v>-75000</v>
      </c>
      <c r="M63" s="31">
        <f t="shared" si="6"/>
        <v>-75000</v>
      </c>
    </row>
    <row r="64" spans="1:13" x14ac:dyDescent="0.35">
      <c r="A64" t="s">
        <v>46</v>
      </c>
      <c r="B64" s="11">
        <f>SUM(B57:B63)</f>
        <v>-75300</v>
      </c>
      <c r="C64" s="11">
        <f t="shared" ref="C64:H64" si="7">SUM(C57:C63)</f>
        <v>-116666.66666666666</v>
      </c>
      <c r="D64" s="11">
        <f>SUM(D57:D63)</f>
        <v>-176666.66666666666</v>
      </c>
      <c r="E64" s="11">
        <f t="shared" si="7"/>
        <v>-116666.66666666666</v>
      </c>
      <c r="F64" s="11">
        <f t="shared" si="7"/>
        <v>-116666.66666666666</v>
      </c>
      <c r="G64" s="11">
        <f t="shared" si="7"/>
        <v>-116666.66666666666</v>
      </c>
      <c r="H64" s="11">
        <f t="shared" si="7"/>
        <v>-116666.66666666666</v>
      </c>
      <c r="I64" s="25">
        <f>SUM(I57:I63)-I60</f>
        <v>-667766.66666666663</v>
      </c>
      <c r="J64" s="25">
        <f t="shared" ref="J64:M64" si="8">SUM(J57:J63)-J60</f>
        <v>-667766.66666666663</v>
      </c>
      <c r="K64" s="25">
        <f t="shared" si="8"/>
        <v>-667766.66666666663</v>
      </c>
      <c r="L64" s="25">
        <f t="shared" si="8"/>
        <v>-667766.66666666663</v>
      </c>
      <c r="M64" s="38">
        <f t="shared" si="8"/>
        <v>-667766.66666666663</v>
      </c>
    </row>
    <row r="65" spans="1:13" x14ac:dyDescent="0.35">
      <c r="A65" t="s">
        <v>52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f>I60*$B$36</f>
        <v>750000</v>
      </c>
      <c r="J65" s="22">
        <f t="shared" ref="J65:M65" si="9">J60*$B$36</f>
        <v>750000</v>
      </c>
      <c r="K65" s="22">
        <f t="shared" si="9"/>
        <v>750000</v>
      </c>
      <c r="L65" s="22">
        <f t="shared" si="9"/>
        <v>750000</v>
      </c>
      <c r="M65" s="39">
        <f t="shared" si="9"/>
        <v>750000</v>
      </c>
    </row>
    <row r="66" spans="1:13" x14ac:dyDescent="0.35">
      <c r="A66" t="s">
        <v>53</v>
      </c>
      <c r="B66" s="11">
        <f>SUM(B64)</f>
        <v>-75300</v>
      </c>
      <c r="C66" s="11">
        <f t="shared" ref="C66:H66" si="10">SUM(C64)</f>
        <v>-116666.66666666666</v>
      </c>
      <c r="D66" s="11">
        <f t="shared" si="10"/>
        <v>-176666.66666666666</v>
      </c>
      <c r="E66" s="11">
        <f t="shared" si="10"/>
        <v>-116666.66666666666</v>
      </c>
      <c r="F66" s="11">
        <f t="shared" si="10"/>
        <v>-116666.66666666666</v>
      </c>
      <c r="G66" s="11">
        <f t="shared" si="10"/>
        <v>-116666.66666666666</v>
      </c>
      <c r="H66" s="11">
        <f t="shared" si="10"/>
        <v>-116666.66666666666</v>
      </c>
      <c r="I66" s="17">
        <f>SUM(I64+I65)</f>
        <v>82233.333333333372</v>
      </c>
      <c r="J66" s="17">
        <f t="shared" ref="J66:M66" si="11">SUM(J64+J65)</f>
        <v>82233.333333333372</v>
      </c>
      <c r="K66" s="17">
        <f t="shared" si="11"/>
        <v>82233.333333333372</v>
      </c>
      <c r="L66" s="17">
        <f t="shared" si="11"/>
        <v>82233.333333333372</v>
      </c>
      <c r="M66" s="40">
        <f t="shared" si="11"/>
        <v>82233.333333333372</v>
      </c>
    </row>
    <row r="67" spans="1:13" x14ac:dyDescent="0.35">
      <c r="A67" t="s">
        <v>54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17">
        <f>I66*$E$50</f>
        <v>17269.000000000007</v>
      </c>
      <c r="J67" s="17">
        <f t="shared" ref="J67:M67" si="12">J66*$E$50</f>
        <v>17269.000000000007</v>
      </c>
      <c r="K67" s="17">
        <f t="shared" si="12"/>
        <v>17269.000000000007</v>
      </c>
      <c r="L67" s="17">
        <f t="shared" si="12"/>
        <v>17269.000000000007</v>
      </c>
      <c r="M67" s="40">
        <f t="shared" si="12"/>
        <v>17269.000000000007</v>
      </c>
    </row>
    <row r="68" spans="1:13" x14ac:dyDescent="0.35">
      <c r="A68" t="s">
        <v>71</v>
      </c>
      <c r="B68" s="11">
        <f>B66</f>
        <v>-75300</v>
      </c>
      <c r="C68" s="11">
        <f t="shared" ref="C68:H68" si="13">C66</f>
        <v>-116666.66666666666</v>
      </c>
      <c r="D68" s="11">
        <f t="shared" si="13"/>
        <v>-176666.66666666666</v>
      </c>
      <c r="E68" s="11">
        <f t="shared" si="13"/>
        <v>-116666.66666666666</v>
      </c>
      <c r="F68" s="11">
        <f t="shared" si="13"/>
        <v>-116666.66666666666</v>
      </c>
      <c r="G68" s="11">
        <f t="shared" si="13"/>
        <v>-116666.66666666666</v>
      </c>
      <c r="H68" s="11">
        <f t="shared" si="13"/>
        <v>-116666.66666666666</v>
      </c>
      <c r="I68" s="17">
        <f>I66-I67</f>
        <v>64964.333333333365</v>
      </c>
      <c r="J68" s="17">
        <f t="shared" ref="J68:M68" si="14">J66-J67</f>
        <v>64964.333333333365</v>
      </c>
      <c r="K68" s="17">
        <f t="shared" si="14"/>
        <v>64964.333333333365</v>
      </c>
      <c r="L68" s="17">
        <f t="shared" si="14"/>
        <v>64964.333333333365</v>
      </c>
      <c r="M68" s="40">
        <f t="shared" si="14"/>
        <v>64964.333333333365</v>
      </c>
    </row>
    <row r="70" spans="1:13" ht="18.5" x14ac:dyDescent="0.45">
      <c r="B70" s="63" t="s">
        <v>72</v>
      </c>
      <c r="C70" s="63"/>
      <c r="D70" s="63"/>
      <c r="E70" s="63"/>
      <c r="F70" s="1"/>
      <c r="I70" s="63" t="s">
        <v>73</v>
      </c>
      <c r="J70" s="63"/>
      <c r="K70" s="63"/>
      <c r="L70" s="63"/>
      <c r="M70" s="1"/>
    </row>
    <row r="71" spans="1:13" x14ac:dyDescent="0.35">
      <c r="B71" s="1" t="s">
        <v>74</v>
      </c>
      <c r="C71" s="1" t="s">
        <v>75</v>
      </c>
      <c r="D71" s="1" t="s">
        <v>76</v>
      </c>
      <c r="E71" s="30" t="s">
        <v>77</v>
      </c>
      <c r="I71" s="1" t="s">
        <v>74</v>
      </c>
      <c r="J71" s="1" t="s">
        <v>75</v>
      </c>
      <c r="K71" s="1" t="s">
        <v>76</v>
      </c>
      <c r="L71" s="30" t="s">
        <v>77</v>
      </c>
    </row>
    <row r="72" spans="1:13" x14ac:dyDescent="0.35">
      <c r="A72" t="s">
        <v>35</v>
      </c>
      <c r="B72" s="11">
        <f>C41/4</f>
        <v>-3000</v>
      </c>
      <c r="C72" s="11">
        <f>B72</f>
        <v>-3000</v>
      </c>
      <c r="D72" s="11">
        <f t="shared" ref="D72:E72" si="15">C72</f>
        <v>-3000</v>
      </c>
      <c r="E72" s="31">
        <f t="shared" si="15"/>
        <v>-3000</v>
      </c>
      <c r="H72" t="s">
        <v>35</v>
      </c>
      <c r="I72" s="11">
        <f>D41/4</f>
        <v>-3000</v>
      </c>
      <c r="J72" s="11">
        <f>I72</f>
        <v>-3000</v>
      </c>
      <c r="K72" s="11">
        <f t="shared" ref="K72:L72" si="16">J72</f>
        <v>-3000</v>
      </c>
      <c r="L72" s="31">
        <f t="shared" si="16"/>
        <v>-3000</v>
      </c>
    </row>
    <row r="73" spans="1:13" x14ac:dyDescent="0.35">
      <c r="A73" t="s">
        <v>38</v>
      </c>
      <c r="B73" s="8">
        <f>$C$43/4</f>
        <v>31500</v>
      </c>
      <c r="C73" s="8">
        <f>B73</f>
        <v>31500</v>
      </c>
      <c r="D73" s="8">
        <f t="shared" ref="D73:E73" si="17">C73</f>
        <v>31500</v>
      </c>
      <c r="E73" s="32">
        <f t="shared" si="17"/>
        <v>31500</v>
      </c>
      <c r="H73" t="s">
        <v>38</v>
      </c>
      <c r="I73" s="8">
        <f>D43/4</f>
        <v>33075</v>
      </c>
      <c r="J73" s="8">
        <f>I73</f>
        <v>33075</v>
      </c>
      <c r="K73" s="8">
        <f t="shared" ref="K73:L73" si="18">J73</f>
        <v>33075</v>
      </c>
      <c r="L73" s="32">
        <f t="shared" si="18"/>
        <v>33075</v>
      </c>
    </row>
    <row r="74" spans="1:13" x14ac:dyDescent="0.35">
      <c r="A74" t="s">
        <v>40</v>
      </c>
      <c r="B74" s="29">
        <f>C44/4</f>
        <v>-1518615</v>
      </c>
      <c r="C74" s="29">
        <f>B74</f>
        <v>-1518615</v>
      </c>
      <c r="D74" s="29">
        <f>C74</f>
        <v>-1518615</v>
      </c>
      <c r="E74" s="33">
        <f>D74</f>
        <v>-1518615</v>
      </c>
      <c r="H74" t="s">
        <v>40</v>
      </c>
      <c r="I74" s="29">
        <f>$D$44/4</f>
        <v>-1594545.75</v>
      </c>
      <c r="J74" s="29">
        <f>I74</f>
        <v>-1594545.75</v>
      </c>
      <c r="K74" s="29">
        <f>J74</f>
        <v>-1594545.75</v>
      </c>
      <c r="L74" s="33">
        <f>K74</f>
        <v>-1594545.75</v>
      </c>
    </row>
    <row r="75" spans="1:13" x14ac:dyDescent="0.35">
      <c r="A75" t="s">
        <v>43</v>
      </c>
      <c r="B75" s="11">
        <f>$C$45/4</f>
        <v>-131250</v>
      </c>
      <c r="C75" s="11">
        <f t="shared" ref="C75:E75" si="19">$C$45/4</f>
        <v>-131250</v>
      </c>
      <c r="D75" s="11">
        <f t="shared" si="19"/>
        <v>-131250</v>
      </c>
      <c r="E75" s="31">
        <f t="shared" si="19"/>
        <v>-131250</v>
      </c>
      <c r="H75" t="s">
        <v>43</v>
      </c>
      <c r="I75" s="11">
        <f>$C$45/4</f>
        <v>-131250</v>
      </c>
      <c r="J75" s="11">
        <f t="shared" ref="J75:L75" si="20">$C$45/4</f>
        <v>-131250</v>
      </c>
      <c r="K75" s="11">
        <f t="shared" si="20"/>
        <v>-131250</v>
      </c>
      <c r="L75" s="31">
        <f t="shared" si="20"/>
        <v>-131250</v>
      </c>
    </row>
    <row r="76" spans="1:13" x14ac:dyDescent="0.35">
      <c r="A76" t="s">
        <v>45</v>
      </c>
      <c r="B76" s="11">
        <f>$C$46/4</f>
        <v>-225000</v>
      </c>
      <c r="C76" s="11">
        <f t="shared" ref="C76:E76" si="21">$C$46/4</f>
        <v>-225000</v>
      </c>
      <c r="D76" s="11">
        <f t="shared" si="21"/>
        <v>-225000</v>
      </c>
      <c r="E76" s="31">
        <f t="shared" si="21"/>
        <v>-225000</v>
      </c>
      <c r="H76" t="s">
        <v>45</v>
      </c>
      <c r="I76" s="11">
        <f>$C$46/4</f>
        <v>-225000</v>
      </c>
      <c r="J76" s="11">
        <f t="shared" ref="J76:L76" si="22">$C$46/4</f>
        <v>-225000</v>
      </c>
      <c r="K76" s="11">
        <f t="shared" si="22"/>
        <v>-225000</v>
      </c>
      <c r="L76" s="31">
        <f t="shared" si="22"/>
        <v>-225000</v>
      </c>
    </row>
    <row r="77" spans="1:13" x14ac:dyDescent="0.35">
      <c r="A77" t="s">
        <v>46</v>
      </c>
      <c r="B77" s="11">
        <f>SUM(B72:B76)-B73</f>
        <v>-1877865</v>
      </c>
      <c r="C77" s="11">
        <f t="shared" ref="C77:E77" si="23">SUM(C72:C76)-C73</f>
        <v>-1877865</v>
      </c>
      <c r="D77" s="11">
        <f t="shared" si="23"/>
        <v>-1877865</v>
      </c>
      <c r="E77" s="31">
        <f t="shared" si="23"/>
        <v>-1877865</v>
      </c>
      <c r="H77" t="s">
        <v>46</v>
      </c>
      <c r="I77" s="11">
        <f>SUM(I72:I76)-I73</f>
        <v>-1953795.75</v>
      </c>
      <c r="J77" s="11">
        <f t="shared" ref="J77" si="24">SUM(J72:J76)-J73</f>
        <v>-1953795.75</v>
      </c>
      <c r="K77" s="11">
        <f t="shared" ref="K77" si="25">SUM(K72:K76)-K73</f>
        <v>-1953795.75</v>
      </c>
      <c r="L77" s="31">
        <f t="shared" ref="L77" si="26">SUM(L72:L76)-L73</f>
        <v>-1953795.75</v>
      </c>
    </row>
    <row r="78" spans="1:13" x14ac:dyDescent="0.35">
      <c r="A78" t="s">
        <v>52</v>
      </c>
      <c r="B78" s="23">
        <f>$C$48/4</f>
        <v>2362500</v>
      </c>
      <c r="C78" s="23">
        <f t="shared" ref="C78:E78" si="27">$C$48/4</f>
        <v>2362500</v>
      </c>
      <c r="D78" s="23">
        <f t="shared" si="27"/>
        <v>2362500</v>
      </c>
      <c r="E78" s="34">
        <f t="shared" si="27"/>
        <v>2362500</v>
      </c>
      <c r="H78" t="s">
        <v>52</v>
      </c>
      <c r="I78" s="23">
        <f>$D$48/4</f>
        <v>2480625</v>
      </c>
      <c r="J78" s="23">
        <f>I78</f>
        <v>2480625</v>
      </c>
      <c r="K78" s="23">
        <f t="shared" ref="K78:L78" si="28">J78</f>
        <v>2480625</v>
      </c>
      <c r="L78" s="34">
        <f t="shared" si="28"/>
        <v>2480625</v>
      </c>
    </row>
    <row r="79" spans="1:13" x14ac:dyDescent="0.35">
      <c r="A79" t="s">
        <v>53</v>
      </c>
      <c r="B79" s="13">
        <f>B77+B78</f>
        <v>484635</v>
      </c>
      <c r="C79" s="13">
        <f t="shared" ref="C79:E79" si="29">C77+C78</f>
        <v>484635</v>
      </c>
      <c r="D79" s="13">
        <f t="shared" si="29"/>
        <v>484635</v>
      </c>
      <c r="E79" s="35">
        <f t="shared" si="29"/>
        <v>484635</v>
      </c>
      <c r="H79" t="s">
        <v>53</v>
      </c>
      <c r="I79" s="13">
        <f>I77+I78</f>
        <v>526829.25</v>
      </c>
      <c r="J79" s="13">
        <f t="shared" ref="J79" si="30">J77+J78</f>
        <v>526829.25</v>
      </c>
      <c r="K79" s="13">
        <f t="shared" ref="K79" si="31">K77+K78</f>
        <v>526829.25</v>
      </c>
      <c r="L79" s="35">
        <f t="shared" ref="L79" si="32">L77+L78</f>
        <v>526829.25</v>
      </c>
    </row>
    <row r="80" spans="1:13" x14ac:dyDescent="0.35">
      <c r="A80" t="s">
        <v>54</v>
      </c>
      <c r="B80" s="13">
        <f>B79*$E$50</f>
        <v>101773.34999999999</v>
      </c>
      <c r="C80" s="13">
        <f t="shared" ref="C80:E80" si="33">C79*$E$50</f>
        <v>101773.34999999999</v>
      </c>
      <c r="D80" s="13">
        <f t="shared" si="33"/>
        <v>101773.34999999999</v>
      </c>
      <c r="E80" s="35">
        <f t="shared" si="33"/>
        <v>101773.34999999999</v>
      </c>
      <c r="H80" t="s">
        <v>54</v>
      </c>
      <c r="I80" s="13">
        <f>I79*$E$50</f>
        <v>110634.1425</v>
      </c>
      <c r="J80" s="13">
        <f t="shared" ref="J80" si="34">J79*$E$50</f>
        <v>110634.1425</v>
      </c>
      <c r="K80" s="13">
        <f t="shared" ref="K80" si="35">K79*$E$50</f>
        <v>110634.1425</v>
      </c>
      <c r="L80" s="35">
        <f t="shared" ref="L80" si="36">L79*$E$50</f>
        <v>110634.1425</v>
      </c>
    </row>
    <row r="81" spans="1:12" x14ac:dyDescent="0.35">
      <c r="A81" t="s">
        <v>56</v>
      </c>
      <c r="B81" s="13">
        <f>B79-B80</f>
        <v>382861.65</v>
      </c>
      <c r="C81" s="13">
        <f t="shared" ref="C81:E81" si="37">C79-C80</f>
        <v>382861.65</v>
      </c>
      <c r="D81" s="13">
        <f t="shared" si="37"/>
        <v>382861.65</v>
      </c>
      <c r="E81" s="35">
        <f t="shared" si="37"/>
        <v>382861.65</v>
      </c>
      <c r="H81" t="s">
        <v>56</v>
      </c>
      <c r="I81" s="13">
        <f>I79-I80</f>
        <v>416195.10749999998</v>
      </c>
      <c r="J81" s="13">
        <f t="shared" ref="J81" si="38">J79-J80</f>
        <v>416195.10749999998</v>
      </c>
      <c r="K81" s="13">
        <f t="shared" ref="K81" si="39">K79-K80</f>
        <v>416195.10749999998</v>
      </c>
      <c r="L81" s="35">
        <f t="shared" ref="L81" si="40">L79-L80</f>
        <v>416195.10749999998</v>
      </c>
    </row>
    <row r="82" spans="1:12" x14ac:dyDescent="0.35">
      <c r="F82" s="11"/>
    </row>
    <row r="84" spans="1:12" ht="18.5" x14ac:dyDescent="0.45">
      <c r="A84" s="62" t="s">
        <v>78</v>
      </c>
      <c r="B84" s="62"/>
      <c r="C84" s="62"/>
      <c r="D84" s="62"/>
    </row>
    <row r="85" spans="1:12" x14ac:dyDescent="0.35">
      <c r="A85" t="s">
        <v>79</v>
      </c>
    </row>
    <row r="86" spans="1:12" x14ac:dyDescent="0.35">
      <c r="A86" s="12" t="s">
        <v>80</v>
      </c>
      <c r="B86" t="s">
        <v>81</v>
      </c>
      <c r="C86" t="s">
        <v>82</v>
      </c>
      <c r="D86" t="s">
        <v>83</v>
      </c>
    </row>
    <row r="87" spans="1:12" x14ac:dyDescent="0.35">
      <c r="A87" s="41" t="s">
        <v>1</v>
      </c>
      <c r="B87" s="1" t="s">
        <v>33</v>
      </c>
      <c r="C87" s="1" t="s">
        <v>33</v>
      </c>
      <c r="D87" s="11">
        <f>B26</f>
        <v>-60000</v>
      </c>
    </row>
    <row r="88" spans="1:12" x14ac:dyDescent="0.35">
      <c r="A88" s="41" t="s">
        <v>35</v>
      </c>
      <c r="B88" s="11">
        <f>B27</f>
        <v>-5000</v>
      </c>
      <c r="C88" s="11">
        <f>B88/12</f>
        <v>-416.66666666666669</v>
      </c>
      <c r="D88" s="1" t="s">
        <v>33</v>
      </c>
    </row>
    <row r="89" spans="1:12" x14ac:dyDescent="0.35">
      <c r="A89" s="41" t="s">
        <v>37</v>
      </c>
      <c r="B89" s="1" t="s">
        <v>33</v>
      </c>
      <c r="C89" s="1" t="s">
        <v>33</v>
      </c>
      <c r="D89" s="11">
        <f>B28</f>
        <v>-300</v>
      </c>
    </row>
    <row r="90" spans="1:12" x14ac:dyDescent="0.35">
      <c r="A90" s="41" t="s">
        <v>43</v>
      </c>
      <c r="B90" s="11">
        <f>B31</f>
        <v>-458333.33333333331</v>
      </c>
      <c r="C90" s="11">
        <f>B90/12</f>
        <v>-38194.444444444445</v>
      </c>
      <c r="D90" s="1" t="s">
        <v>33</v>
      </c>
    </row>
    <row r="91" spans="1:12" x14ac:dyDescent="0.35">
      <c r="A91" s="41" t="s">
        <v>45</v>
      </c>
      <c r="B91" s="11">
        <f>B32</f>
        <v>-900000</v>
      </c>
      <c r="C91" s="11">
        <f>B91/12</f>
        <v>-75000</v>
      </c>
      <c r="D91" s="1" t="s">
        <v>33</v>
      </c>
    </row>
    <row r="92" spans="1:12" x14ac:dyDescent="0.35">
      <c r="A92" s="42" t="s">
        <v>84</v>
      </c>
      <c r="B92">
        <f>SUM(B87:B91)</f>
        <v>-1363333.3333333333</v>
      </c>
      <c r="C92">
        <f t="shared" ref="C92:D92" si="41">SUM(C87:C91)</f>
        <v>-113611.11111111111</v>
      </c>
      <c r="D92">
        <f t="shared" si="41"/>
        <v>-60300</v>
      </c>
      <c r="E92" s="43">
        <f>SUM(B92:D92)</f>
        <v>-1537244.4444444443</v>
      </c>
      <c r="F92" t="s">
        <v>85</v>
      </c>
    </row>
    <row r="94" spans="1:12" x14ac:dyDescent="0.35">
      <c r="A94" s="44" t="s">
        <v>86</v>
      </c>
      <c r="B94" s="13">
        <f>$B$35</f>
        <v>55.21</v>
      </c>
    </row>
    <row r="95" spans="1:12" x14ac:dyDescent="0.35">
      <c r="A95" t="s">
        <v>87</v>
      </c>
      <c r="B95" s="15">
        <f>$B$36</f>
        <v>75</v>
      </c>
    </row>
    <row r="96" spans="1:12" x14ac:dyDescent="0.35">
      <c r="A96" t="s">
        <v>88</v>
      </c>
      <c r="B96" s="14">
        <f>B95-B94</f>
        <v>19.79</v>
      </c>
    </row>
    <row r="98" spans="1:3" x14ac:dyDescent="0.35">
      <c r="A98" s="9" t="s">
        <v>79</v>
      </c>
    </row>
    <row r="99" spans="1:3" x14ac:dyDescent="0.35">
      <c r="A99" t="s">
        <v>89</v>
      </c>
      <c r="B99" s="6">
        <f>-E92/B96</f>
        <v>77677.839537364547</v>
      </c>
      <c r="C99" t="s">
        <v>90</v>
      </c>
    </row>
  </sheetData>
  <mergeCells count="7">
    <mergeCell ref="A84:D84"/>
    <mergeCell ref="B24:D24"/>
    <mergeCell ref="B38:D38"/>
    <mergeCell ref="A54:D54"/>
    <mergeCell ref="B55:M55"/>
    <mergeCell ref="B70:E70"/>
    <mergeCell ref="I70:L70"/>
  </mergeCells>
  <phoneticPr fontId="8" type="noConversion"/>
  <hyperlinks>
    <hyperlink ref="H2" r:id="rId1" location=":~:text=Seventy%20percent%20of%20U.S.%20households,and%2067%20percent%20in%202019." xr:uid="{B769A376-010C-4699-9B6E-AB970CA342B4}"/>
    <hyperlink ref="H3" r:id="rId2" location=":~:text=For%20most%20American%20families%2C%20cars,a%20day%20in%20the%20car." xr:uid="{95F0C312-F2EE-41B1-9C58-E5974A5A15CE}"/>
    <hyperlink ref="A16" r:id="rId3" xr:uid="{D2F241F6-1E87-43E1-8DCA-61EFA7D77E83}"/>
    <hyperlink ref="F50" r:id="rId4" xr:uid="{287474A7-9121-4D02-8B9B-B2395657FE83}"/>
    <hyperlink ref="A13" r:id="rId5" xr:uid="{4EB6F528-78B6-43D9-9753-66B216C5449C}"/>
    <hyperlink ref="A14" r:id="rId6" xr:uid="{7F978589-B0FC-445E-A0C0-023FEC20F795}"/>
    <hyperlink ref="A15" r:id="rId7" xr:uid="{D339F2B4-A0AE-4149-9149-4BAD1B933D89}"/>
  </hyperlinks>
  <pageMargins left="0.7" right="0.7" top="0.75" bottom="0.75" header="0.3" footer="0.3"/>
  <pageSetup orientation="portrait" r:id="rId8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C2BA-102A-4F7F-AFB1-662704B3A6CD}">
  <dimension ref="A1:M122"/>
  <sheetViews>
    <sheetView zoomScaleNormal="100" workbookViewId="0">
      <selection activeCell="G36" sqref="G36"/>
    </sheetView>
  </sheetViews>
  <sheetFormatPr defaultRowHeight="14.5" x14ac:dyDescent="0.35"/>
  <cols>
    <col min="1" max="1" width="23.81640625" bestFit="1" customWidth="1"/>
    <col min="2" max="13" width="15.26953125" customWidth="1"/>
    <col min="14" max="14" width="11.2695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  <c r="F2" s="3">
        <v>69000000</v>
      </c>
      <c r="G2" t="s">
        <v>5</v>
      </c>
      <c r="H2" s="4" t="s">
        <v>6</v>
      </c>
    </row>
    <row r="3" spans="1:10" x14ac:dyDescent="0.35">
      <c r="A3" t="s">
        <v>7</v>
      </c>
      <c r="F3" s="5">
        <v>0.91</v>
      </c>
      <c r="G3" t="s">
        <v>8</v>
      </c>
      <c r="H3" s="4" t="s">
        <v>6</v>
      </c>
    </row>
    <row r="7" spans="1:10" x14ac:dyDescent="0.35">
      <c r="A7" t="s">
        <v>9</v>
      </c>
      <c r="F7" s="7">
        <f>$F$2*$F$3</f>
        <v>62790000</v>
      </c>
    </row>
    <row r="8" spans="1:10" x14ac:dyDescent="0.35">
      <c r="A8" t="s">
        <v>10</v>
      </c>
      <c r="F8" s="8">
        <f>F7*50%</f>
        <v>31395000</v>
      </c>
      <c r="G8" t="s">
        <v>11</v>
      </c>
    </row>
    <row r="9" spans="1:10" x14ac:dyDescent="0.35">
      <c r="A9" t="s">
        <v>12</v>
      </c>
      <c r="F9" s="8">
        <f>F8*30%</f>
        <v>9418500</v>
      </c>
      <c r="G9" s="10" t="s">
        <v>13</v>
      </c>
    </row>
    <row r="10" spans="1:10" x14ac:dyDescent="0.35">
      <c r="F10" s="8"/>
      <c r="G10" s="10"/>
    </row>
    <row r="11" spans="1:10" x14ac:dyDescent="0.35">
      <c r="A11" s="12" t="s">
        <v>14</v>
      </c>
    </row>
    <row r="12" spans="1:10" x14ac:dyDescent="0.35">
      <c r="A12" t="s">
        <v>15</v>
      </c>
    </row>
    <row r="13" spans="1:10" x14ac:dyDescent="0.35">
      <c r="A13" s="4" t="s">
        <v>16</v>
      </c>
      <c r="F13" s="13">
        <v>46</v>
      </c>
      <c r="J13" s="13"/>
    </row>
    <row r="14" spans="1:10" ht="15" thickBot="1" x14ac:dyDescent="0.4">
      <c r="A14" s="4" t="s">
        <v>17</v>
      </c>
      <c r="F14" s="13">
        <v>19.989999999999998</v>
      </c>
      <c r="J14" s="13"/>
    </row>
    <row r="15" spans="1:10" ht="15" thickBot="1" x14ac:dyDescent="0.4">
      <c r="A15" s="58" t="s">
        <v>18</v>
      </c>
      <c r="F15" s="13">
        <v>42.95</v>
      </c>
      <c r="J15" s="13"/>
    </row>
    <row r="16" spans="1:10" x14ac:dyDescent="0.35">
      <c r="A16" s="4" t="s">
        <v>19</v>
      </c>
      <c r="F16" s="15">
        <v>119.99</v>
      </c>
      <c r="J16" s="13"/>
    </row>
    <row r="17" spans="1:13" x14ac:dyDescent="0.35">
      <c r="A17" s="12" t="s">
        <v>20</v>
      </c>
      <c r="F17" s="14">
        <f>AVERAGE(F13:F16)</f>
        <v>57.232500000000002</v>
      </c>
      <c r="G17" t="s">
        <v>21</v>
      </c>
      <c r="J17" s="13"/>
    </row>
    <row r="18" spans="1:13" x14ac:dyDescent="0.35">
      <c r="J18" s="13"/>
    </row>
    <row r="19" spans="1:13" x14ac:dyDescent="0.35">
      <c r="A19" t="s">
        <v>22</v>
      </c>
      <c r="F19" s="14">
        <f>F17-(40%*F17)</f>
        <v>34.339500000000001</v>
      </c>
      <c r="G19" t="s">
        <v>23</v>
      </c>
    </row>
    <row r="20" spans="1:13" x14ac:dyDescent="0.35">
      <c r="A20" t="s">
        <v>24</v>
      </c>
      <c r="E20" s="13"/>
      <c r="F20" s="13">
        <v>48.21</v>
      </c>
      <c r="G20" s="16" t="s">
        <v>25</v>
      </c>
    </row>
    <row r="22" spans="1:13" x14ac:dyDescent="0.35">
      <c r="A22" t="s">
        <v>26</v>
      </c>
      <c r="F22" s="11">
        <v>150000</v>
      </c>
      <c r="G22" t="s">
        <v>27</v>
      </c>
    </row>
    <row r="24" spans="1:13" x14ac:dyDescent="0.35">
      <c r="B24" s="61" t="s">
        <v>28</v>
      </c>
      <c r="C24" s="61"/>
      <c r="D24" s="61"/>
    </row>
    <row r="25" spans="1:13" x14ac:dyDescent="0.35">
      <c r="A25" t="s">
        <v>29</v>
      </c>
      <c r="B25" s="1" t="s">
        <v>30</v>
      </c>
      <c r="C25" s="1" t="s">
        <v>31</v>
      </c>
      <c r="D25" s="1" t="s">
        <v>32</v>
      </c>
      <c r="G25" t="s">
        <v>34</v>
      </c>
    </row>
    <row r="26" spans="1:13" x14ac:dyDescent="0.35">
      <c r="A26" t="s">
        <v>1</v>
      </c>
      <c r="B26" s="11">
        <v>-60000</v>
      </c>
      <c r="C26" s="1" t="s">
        <v>33</v>
      </c>
      <c r="D26" s="1" t="s">
        <v>33</v>
      </c>
      <c r="G26" t="s">
        <v>36</v>
      </c>
    </row>
    <row r="27" spans="1:13" x14ac:dyDescent="0.35">
      <c r="A27" t="s">
        <v>35</v>
      </c>
      <c r="B27" s="11">
        <f>'Pro Forma Income Statement'!B27</f>
        <v>-5000</v>
      </c>
      <c r="C27" s="11">
        <f>'Pro Forma Income Statement'!C27</f>
        <v>-12000</v>
      </c>
      <c r="D27" s="11">
        <f>'Pro Forma Income Statement'!D27</f>
        <v>-12000</v>
      </c>
    </row>
    <row r="28" spans="1:13" x14ac:dyDescent="0.35">
      <c r="A28" t="s">
        <v>37</v>
      </c>
      <c r="B28" s="11">
        <v>-300</v>
      </c>
      <c r="C28" s="1" t="s">
        <v>33</v>
      </c>
      <c r="D28" s="1" t="s">
        <v>33</v>
      </c>
    </row>
    <row r="29" spans="1:13" x14ac:dyDescent="0.35">
      <c r="A29" t="s">
        <v>38</v>
      </c>
      <c r="B29" s="7">
        <v>50000</v>
      </c>
      <c r="C29" s="21">
        <f>120000*1.05</f>
        <v>126000</v>
      </c>
      <c r="D29" s="21">
        <f>C29*1.05</f>
        <v>132300</v>
      </c>
    </row>
    <row r="30" spans="1:13" x14ac:dyDescent="0.35">
      <c r="A30" t="s">
        <v>40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39</v>
      </c>
      <c r="M30" s="5">
        <v>0.05</v>
      </c>
    </row>
    <row r="31" spans="1:13" x14ac:dyDescent="0.35">
      <c r="A31" t="s">
        <v>43</v>
      </c>
      <c r="B31" s="11">
        <f>'Pro Forma Income Statement'!B31</f>
        <v>-458333.33333333331</v>
      </c>
      <c r="C31" s="11">
        <f>'Pro Forma Income Statement'!C31</f>
        <v>-525000</v>
      </c>
      <c r="D31" s="11">
        <f>'Pro Forma Income Statement'!D31</f>
        <v>-551250</v>
      </c>
      <c r="G31" t="s">
        <v>41</v>
      </c>
      <c r="I31" s="19">
        <f>120000/F9</f>
        <v>1.2740882306099698E-2</v>
      </c>
      <c r="J31" t="s">
        <v>42</v>
      </c>
    </row>
    <row r="32" spans="1:13" x14ac:dyDescent="0.35">
      <c r="A32" t="s">
        <v>45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35">
      <c r="A33" t="s">
        <v>46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35">
      <c r="A35" t="s">
        <v>47</v>
      </c>
      <c r="B35" s="13">
        <f>'Pro Forma Income Statement'!$B$35</f>
        <v>55.21</v>
      </c>
    </row>
    <row r="36" spans="1:7" x14ac:dyDescent="0.35">
      <c r="A36" t="s">
        <v>49</v>
      </c>
      <c r="B36" s="13">
        <f>'Pro Forma Income Statement'!$B$36</f>
        <v>75</v>
      </c>
      <c r="G36" s="16" t="s">
        <v>91</v>
      </c>
    </row>
    <row r="38" spans="1:7" x14ac:dyDescent="0.35">
      <c r="B38" s="61" t="s">
        <v>51</v>
      </c>
      <c r="C38" s="61"/>
      <c r="D38" s="61"/>
    </row>
    <row r="39" spans="1:7" x14ac:dyDescent="0.35">
      <c r="A39" t="s">
        <v>29</v>
      </c>
      <c r="B39" s="1" t="s">
        <v>30</v>
      </c>
      <c r="C39" s="1" t="s">
        <v>31</v>
      </c>
      <c r="D39" s="1" t="s">
        <v>32</v>
      </c>
    </row>
    <row r="40" spans="1:7" x14ac:dyDescent="0.35">
      <c r="A40" t="s">
        <v>1</v>
      </c>
      <c r="B40" s="11">
        <v>-60000</v>
      </c>
      <c r="C40" s="1" t="s">
        <v>33</v>
      </c>
      <c r="D40" s="1" t="s">
        <v>33</v>
      </c>
    </row>
    <row r="41" spans="1:7" x14ac:dyDescent="0.35">
      <c r="A41" t="s">
        <v>35</v>
      </c>
      <c r="B41" s="11">
        <f>B27</f>
        <v>-5000</v>
      </c>
      <c r="C41" s="11">
        <f>C27</f>
        <v>-12000</v>
      </c>
      <c r="D41" s="11">
        <f>D27</f>
        <v>-12000</v>
      </c>
    </row>
    <row r="42" spans="1:7" x14ac:dyDescent="0.35">
      <c r="A42" t="s">
        <v>37</v>
      </c>
      <c r="B42" s="11">
        <v>-300</v>
      </c>
      <c r="C42" s="1" t="s">
        <v>33</v>
      </c>
      <c r="D42" s="1" t="s">
        <v>33</v>
      </c>
    </row>
    <row r="43" spans="1:7" x14ac:dyDescent="0.35">
      <c r="A43" t="s">
        <v>38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35">
      <c r="A44" t="s">
        <v>40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35">
      <c r="A45" t="s">
        <v>43</v>
      </c>
      <c r="B45" s="11">
        <f>B31</f>
        <v>-458333.33333333331</v>
      </c>
      <c r="C45" s="11">
        <f>C31</f>
        <v>-525000</v>
      </c>
      <c r="D45" s="11">
        <f>D31</f>
        <v>-551250</v>
      </c>
    </row>
    <row r="46" spans="1:7" x14ac:dyDescent="0.35">
      <c r="A46" t="s">
        <v>45</v>
      </c>
      <c r="B46" s="20">
        <f>'Pro Forma Income Statement'!B46</f>
        <v>-900000</v>
      </c>
      <c r="C46" s="20">
        <f>'Pro Forma Income Statement'!C46</f>
        <v>-900000</v>
      </c>
      <c r="D46" s="20">
        <f>'Pro Forma Income Statement'!D46</f>
        <v>-900000</v>
      </c>
    </row>
    <row r="47" spans="1:7" x14ac:dyDescent="0.35">
      <c r="A47" t="s">
        <v>46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35">
      <c r="A48" t="s">
        <v>52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35">
      <c r="A49" t="s">
        <v>53</v>
      </c>
      <c r="B49" s="27">
        <f>B48+B47</f>
        <v>-84133.333333333489</v>
      </c>
      <c r="C49" s="23">
        <f t="shared" ref="C49:D49" si="0">C48+C47</f>
        <v>1938540</v>
      </c>
      <c r="D49" s="23">
        <f t="shared" si="0"/>
        <v>2081067</v>
      </c>
    </row>
    <row r="50" spans="1:13" x14ac:dyDescent="0.35">
      <c r="A50" t="s">
        <v>54</v>
      </c>
      <c r="B50" s="26" t="s">
        <v>33</v>
      </c>
      <c r="C50" s="23">
        <f t="shared" ref="C50:D50" si="1">C49*$E$50</f>
        <v>407093.39999999997</v>
      </c>
      <c r="D50" s="23">
        <f t="shared" si="1"/>
        <v>437024.07</v>
      </c>
      <c r="E50" s="5">
        <v>0.21</v>
      </c>
      <c r="F50" s="4" t="s">
        <v>55</v>
      </c>
    </row>
    <row r="51" spans="1:13" x14ac:dyDescent="0.35">
      <c r="A51" t="s">
        <v>56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5" x14ac:dyDescent="0.45">
      <c r="A54" s="62" t="s">
        <v>78</v>
      </c>
      <c r="B54" s="62"/>
      <c r="C54" s="62"/>
      <c r="D54" s="62"/>
    </row>
    <row r="55" spans="1:13" ht="18.5" x14ac:dyDescent="0.45">
      <c r="A55" s="1"/>
      <c r="B55" s="63" t="s">
        <v>58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35">
      <c r="A56" s="1"/>
      <c r="B56" s="1" t="s">
        <v>92</v>
      </c>
      <c r="C56" s="1" t="s">
        <v>93</v>
      </c>
      <c r="D56" s="1" t="s">
        <v>94</v>
      </c>
      <c r="E56" s="1" t="s">
        <v>95</v>
      </c>
      <c r="F56" s="1" t="s">
        <v>96</v>
      </c>
      <c r="G56" s="1" t="s">
        <v>97</v>
      </c>
      <c r="H56" s="1" t="s">
        <v>98</v>
      </c>
      <c r="I56" s="1" t="s">
        <v>99</v>
      </c>
      <c r="J56" s="1" t="s">
        <v>100</v>
      </c>
      <c r="K56" s="1" t="s">
        <v>101</v>
      </c>
      <c r="L56" s="1" t="s">
        <v>102</v>
      </c>
      <c r="M56" s="30" t="s">
        <v>103</v>
      </c>
    </row>
    <row r="57" spans="1:13" x14ac:dyDescent="0.35">
      <c r="A57" t="s">
        <v>1</v>
      </c>
      <c r="B57" s="23">
        <f>'Pro Forma Income Statement'!B57</f>
        <v>0</v>
      </c>
      <c r="C57" s="23">
        <f>'Pro Forma Income Statement'!C57</f>
        <v>0</v>
      </c>
      <c r="D57" s="27">
        <f>'Pro Forma Income Statement'!D57</f>
        <v>-60000</v>
      </c>
      <c r="E57" s="23">
        <f>'Pro Forma Income Statement'!E57</f>
        <v>0</v>
      </c>
      <c r="F57" s="23">
        <f>'Pro Forma Income Statement'!F57</f>
        <v>0</v>
      </c>
      <c r="G57" s="23">
        <f>'Pro Forma Income Statement'!G57</f>
        <v>0</v>
      </c>
      <c r="H57" s="23">
        <f>'Pro Forma Income Statement'!H57</f>
        <v>0</v>
      </c>
      <c r="I57" s="23">
        <f>'Pro Forma Income Statement'!I57</f>
        <v>0</v>
      </c>
      <c r="J57" s="23">
        <f>'Pro Forma Income Statement'!J57</f>
        <v>0</v>
      </c>
      <c r="K57" s="23">
        <f>'Pro Forma Income Statement'!K57</f>
        <v>0</v>
      </c>
      <c r="L57" s="23">
        <f>'Pro Forma Income Statement'!L57</f>
        <v>0</v>
      </c>
      <c r="M57" s="34">
        <f>'Pro Forma Income Statement'!M57</f>
        <v>0</v>
      </c>
    </row>
    <row r="58" spans="1:13" x14ac:dyDescent="0.35">
      <c r="A58" t="s">
        <v>35</v>
      </c>
      <c r="B58" s="23">
        <f>'Pro Forma Income Statement'!B58</f>
        <v>0</v>
      </c>
      <c r="C58" s="23">
        <f>'Pro Forma Income Statement'!C58</f>
        <v>0</v>
      </c>
      <c r="D58" s="23">
        <f>'Pro Forma Income Statement'!D58</f>
        <v>0</v>
      </c>
      <c r="E58" s="23">
        <f>'Pro Forma Income Statement'!E58</f>
        <v>0</v>
      </c>
      <c r="F58" s="23">
        <f>'Pro Forma Income Statement'!F58</f>
        <v>0</v>
      </c>
      <c r="G58" s="23">
        <f>'Pro Forma Income Statement'!G58</f>
        <v>0</v>
      </c>
      <c r="H58" s="23">
        <f>'Pro Forma Income Statement'!H58</f>
        <v>0</v>
      </c>
      <c r="I58" s="23">
        <f>'Pro Forma Income Statement'!I58</f>
        <v>1000</v>
      </c>
      <c r="J58" s="23">
        <f>'Pro Forma Income Statement'!J58</f>
        <v>1000</v>
      </c>
      <c r="K58" s="23">
        <f>'Pro Forma Income Statement'!K58</f>
        <v>1000</v>
      </c>
      <c r="L58" s="23">
        <f>'Pro Forma Income Statement'!L58</f>
        <v>1000</v>
      </c>
      <c r="M58" s="34">
        <f>'Pro Forma Income Statement'!M58</f>
        <v>1000</v>
      </c>
    </row>
    <row r="59" spans="1:13" x14ac:dyDescent="0.35">
      <c r="A59" t="s">
        <v>37</v>
      </c>
      <c r="B59" s="11">
        <f>B42</f>
        <v>-300</v>
      </c>
      <c r="I59" s="1" t="s">
        <v>33</v>
      </c>
      <c r="J59" s="1" t="s">
        <v>33</v>
      </c>
      <c r="K59" s="1" t="s">
        <v>33</v>
      </c>
      <c r="L59" s="1" t="s">
        <v>33</v>
      </c>
      <c r="M59" s="36" t="s">
        <v>33</v>
      </c>
    </row>
    <row r="60" spans="1:13" x14ac:dyDescent="0.35">
      <c r="A60" t="s">
        <v>38</v>
      </c>
      <c r="B60" s="1" t="s">
        <v>33</v>
      </c>
      <c r="C60" s="1" t="s">
        <v>33</v>
      </c>
      <c r="D60" s="1" t="s">
        <v>33</v>
      </c>
      <c r="E60" s="1" t="s">
        <v>33</v>
      </c>
      <c r="F60" s="1" t="s">
        <v>33</v>
      </c>
      <c r="G60" s="1" t="s">
        <v>33</v>
      </c>
      <c r="H60" s="1" t="s">
        <v>33</v>
      </c>
      <c r="I60" s="24">
        <v>10000</v>
      </c>
      <c r="J60" s="24">
        <f>I60</f>
        <v>10000</v>
      </c>
      <c r="K60" s="24">
        <f t="shared" ref="K60:M60" si="2">J60</f>
        <v>10000</v>
      </c>
      <c r="L60" s="24">
        <f t="shared" si="2"/>
        <v>10000</v>
      </c>
      <c r="M60" s="37">
        <f t="shared" si="2"/>
        <v>10000</v>
      </c>
    </row>
    <row r="61" spans="1:13" x14ac:dyDescent="0.35">
      <c r="A61" t="s">
        <v>40</v>
      </c>
      <c r="B61" s="1" t="s">
        <v>33</v>
      </c>
      <c r="C61" s="1" t="s">
        <v>33</v>
      </c>
      <c r="D61" s="1" t="s">
        <v>33</v>
      </c>
      <c r="E61" s="1" t="s">
        <v>33</v>
      </c>
      <c r="F61" s="1" t="s">
        <v>33</v>
      </c>
      <c r="G61" s="1" t="s">
        <v>33</v>
      </c>
      <c r="H61" s="1" t="s">
        <v>33</v>
      </c>
      <c r="I61" s="13">
        <f>-I60*$B$35</f>
        <v>-552100</v>
      </c>
      <c r="J61" s="13">
        <f t="shared" ref="J61:M61" si="3">-J60*$B$35</f>
        <v>-552100</v>
      </c>
      <c r="K61" s="13">
        <f t="shared" si="3"/>
        <v>-552100</v>
      </c>
      <c r="L61" s="13">
        <f t="shared" si="3"/>
        <v>-552100</v>
      </c>
      <c r="M61" s="35">
        <f t="shared" si="3"/>
        <v>-552100</v>
      </c>
    </row>
    <row r="62" spans="1:13" x14ac:dyDescent="0.35">
      <c r="A62" t="s">
        <v>43</v>
      </c>
      <c r="B62" s="23">
        <f>'Pro Forma Income Statement'!B62</f>
        <v>0</v>
      </c>
      <c r="C62" s="27">
        <f>'Pro Forma Income Statement'!C62</f>
        <v>-41666.666666666664</v>
      </c>
      <c r="D62" s="27">
        <f>'Pro Forma Income Statement'!D62</f>
        <v>-41666.666666666664</v>
      </c>
      <c r="E62" s="27">
        <f>'Pro Forma Income Statement'!E62</f>
        <v>-41666.666666666664</v>
      </c>
      <c r="F62" s="27">
        <f>'Pro Forma Income Statement'!F62</f>
        <v>-41666.666666666664</v>
      </c>
      <c r="G62" s="27">
        <f>'Pro Forma Income Statement'!G62</f>
        <v>-41666.666666666664</v>
      </c>
      <c r="H62" s="27">
        <f>'Pro Forma Income Statement'!H62</f>
        <v>-41666.666666666664</v>
      </c>
      <c r="I62" s="27">
        <f>'Pro Forma Income Statement'!I62</f>
        <v>-41666.666666666664</v>
      </c>
      <c r="J62" s="27">
        <f>'Pro Forma Income Statement'!J62</f>
        <v>-41666.666666666664</v>
      </c>
      <c r="K62" s="27">
        <f>'Pro Forma Income Statement'!K62</f>
        <v>-41666.666666666664</v>
      </c>
      <c r="L62" s="27">
        <f>'Pro Forma Income Statement'!L62</f>
        <v>-41666.666666666664</v>
      </c>
      <c r="M62" s="53">
        <f>'Pro Forma Income Statement'!M62</f>
        <v>-41666.666666666664</v>
      </c>
    </row>
    <row r="63" spans="1:13" x14ac:dyDescent="0.35">
      <c r="A63" t="s">
        <v>45</v>
      </c>
      <c r="B63" s="11">
        <f>$B$46/12</f>
        <v>-75000</v>
      </c>
      <c r="C63" s="11">
        <f t="shared" ref="C63:M63" si="4">$B$46/12</f>
        <v>-75000</v>
      </c>
      <c r="D63" s="11">
        <f t="shared" si="4"/>
        <v>-75000</v>
      </c>
      <c r="E63" s="11">
        <f t="shared" si="4"/>
        <v>-75000</v>
      </c>
      <c r="F63" s="11">
        <f t="shared" si="4"/>
        <v>-75000</v>
      </c>
      <c r="G63" s="11">
        <f t="shared" si="4"/>
        <v>-75000</v>
      </c>
      <c r="H63" s="11">
        <f t="shared" si="4"/>
        <v>-75000</v>
      </c>
      <c r="I63" s="11">
        <f t="shared" si="4"/>
        <v>-75000</v>
      </c>
      <c r="J63" s="11">
        <f t="shared" si="4"/>
        <v>-75000</v>
      </c>
      <c r="K63" s="11">
        <f t="shared" si="4"/>
        <v>-75000</v>
      </c>
      <c r="L63" s="11">
        <f t="shared" si="4"/>
        <v>-75000</v>
      </c>
      <c r="M63" s="31">
        <f t="shared" si="4"/>
        <v>-75000</v>
      </c>
    </row>
    <row r="64" spans="1:13" x14ac:dyDescent="0.35">
      <c r="A64" t="s">
        <v>46</v>
      </c>
      <c r="B64" s="11">
        <f>SUM(B57:B63)</f>
        <v>-75300</v>
      </c>
      <c r="C64" s="11">
        <f t="shared" ref="C64:H64" si="5">SUM(C57:C63)</f>
        <v>-116666.66666666666</v>
      </c>
      <c r="D64" s="11">
        <f t="shared" si="5"/>
        <v>-176666.66666666666</v>
      </c>
      <c r="E64" s="11">
        <f t="shared" si="5"/>
        <v>-116666.66666666666</v>
      </c>
      <c r="F64" s="11">
        <f t="shared" si="5"/>
        <v>-116666.66666666666</v>
      </c>
      <c r="G64" s="11">
        <f t="shared" si="5"/>
        <v>-116666.66666666666</v>
      </c>
      <c r="H64" s="11">
        <f t="shared" si="5"/>
        <v>-116666.66666666666</v>
      </c>
      <c r="I64" s="25">
        <f>SUM(I57:I63)-I60</f>
        <v>-667766.66666666663</v>
      </c>
      <c r="J64" s="25">
        <f t="shared" ref="J64:M64" si="6">SUM(J57:J63)-J60</f>
        <v>-667766.66666666663</v>
      </c>
      <c r="K64" s="25">
        <f t="shared" si="6"/>
        <v>-667766.66666666663</v>
      </c>
      <c r="L64" s="25">
        <f t="shared" si="6"/>
        <v>-667766.66666666663</v>
      </c>
      <c r="M64" s="38">
        <f t="shared" si="6"/>
        <v>-667766.66666666663</v>
      </c>
    </row>
    <row r="65" spans="1:13" x14ac:dyDescent="0.35">
      <c r="A65" t="s">
        <v>52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22">
        <f>I60*$B$36</f>
        <v>750000</v>
      </c>
      <c r="J65" s="22">
        <f t="shared" ref="J65:M65" si="7">J60*$B$36</f>
        <v>750000</v>
      </c>
      <c r="K65" s="22">
        <f t="shared" si="7"/>
        <v>750000</v>
      </c>
      <c r="L65" s="22">
        <f t="shared" si="7"/>
        <v>750000</v>
      </c>
      <c r="M65" s="39">
        <f t="shared" si="7"/>
        <v>750000</v>
      </c>
    </row>
    <row r="66" spans="1:13" x14ac:dyDescent="0.35">
      <c r="A66" t="s">
        <v>53</v>
      </c>
      <c r="B66" s="11">
        <f>SUM(B64)</f>
        <v>-75300</v>
      </c>
      <c r="C66" s="11">
        <f t="shared" ref="C66:H66" si="8">SUM(C64)</f>
        <v>-116666.66666666666</v>
      </c>
      <c r="D66" s="11">
        <f t="shared" si="8"/>
        <v>-176666.66666666666</v>
      </c>
      <c r="E66" s="11">
        <f t="shared" si="8"/>
        <v>-116666.66666666666</v>
      </c>
      <c r="F66" s="11">
        <f t="shared" si="8"/>
        <v>-116666.66666666666</v>
      </c>
      <c r="G66" s="11">
        <f t="shared" si="8"/>
        <v>-116666.66666666666</v>
      </c>
      <c r="H66" s="11">
        <f t="shared" si="8"/>
        <v>-116666.66666666666</v>
      </c>
      <c r="I66" s="17">
        <f>SUM(I64+I65)</f>
        <v>82233.333333333372</v>
      </c>
      <c r="J66" s="17">
        <f t="shared" ref="J66:M66" si="9">SUM(J64+J65)</f>
        <v>82233.333333333372</v>
      </c>
      <c r="K66" s="17">
        <f t="shared" si="9"/>
        <v>82233.333333333372</v>
      </c>
      <c r="L66" s="17">
        <f t="shared" si="9"/>
        <v>82233.333333333372</v>
      </c>
      <c r="M66" s="40">
        <f t="shared" si="9"/>
        <v>82233.333333333372</v>
      </c>
    </row>
    <row r="67" spans="1:13" x14ac:dyDescent="0.35">
      <c r="A67" t="s">
        <v>54</v>
      </c>
      <c r="B67" s="1" t="s">
        <v>33</v>
      </c>
      <c r="C67" s="1" t="s">
        <v>33</v>
      </c>
      <c r="D67" s="1" t="s">
        <v>33</v>
      </c>
      <c r="E67" s="1" t="s">
        <v>33</v>
      </c>
      <c r="F67" s="1" t="s">
        <v>33</v>
      </c>
      <c r="G67" s="1" t="s">
        <v>33</v>
      </c>
      <c r="H67" s="1" t="s">
        <v>33</v>
      </c>
      <c r="I67" s="17">
        <f>I66*$E$50</f>
        <v>17269.000000000007</v>
      </c>
      <c r="J67" s="17">
        <f t="shared" ref="J67:M67" si="10">J66*$E$50</f>
        <v>17269.000000000007</v>
      </c>
      <c r="K67" s="17">
        <f t="shared" si="10"/>
        <v>17269.000000000007</v>
      </c>
      <c r="L67" s="17">
        <f t="shared" si="10"/>
        <v>17269.000000000007</v>
      </c>
      <c r="M67" s="40">
        <f t="shared" si="10"/>
        <v>17269.000000000007</v>
      </c>
    </row>
    <row r="68" spans="1:13" x14ac:dyDescent="0.35">
      <c r="A68" t="s">
        <v>71</v>
      </c>
      <c r="B68" s="11">
        <f>B66</f>
        <v>-75300</v>
      </c>
      <c r="C68" s="11">
        <f t="shared" ref="C68:H68" si="11">C66</f>
        <v>-116666.66666666666</v>
      </c>
      <c r="D68" s="11">
        <f t="shared" si="11"/>
        <v>-176666.66666666666</v>
      </c>
      <c r="E68" s="11">
        <f t="shared" si="11"/>
        <v>-116666.66666666666</v>
      </c>
      <c r="F68" s="11">
        <f t="shared" si="11"/>
        <v>-116666.66666666666</v>
      </c>
      <c r="G68" s="11">
        <f t="shared" si="11"/>
        <v>-116666.66666666666</v>
      </c>
      <c r="H68" s="11">
        <f t="shared" si="11"/>
        <v>-116666.66666666666</v>
      </c>
      <c r="I68" s="17">
        <f>I66-I67</f>
        <v>64964.333333333365</v>
      </c>
      <c r="J68" s="17">
        <f t="shared" ref="J68:M68" si="12">J66-J67</f>
        <v>64964.333333333365</v>
      </c>
      <c r="K68" s="17">
        <f t="shared" si="12"/>
        <v>64964.333333333365</v>
      </c>
      <c r="L68" s="17">
        <f t="shared" si="12"/>
        <v>64964.333333333365</v>
      </c>
      <c r="M68" s="40">
        <f t="shared" si="12"/>
        <v>64964.333333333365</v>
      </c>
    </row>
    <row r="69" spans="1:13" x14ac:dyDescent="0.35">
      <c r="A69" s="9" t="s">
        <v>104</v>
      </c>
      <c r="B69" s="11">
        <f>B68</f>
        <v>-75300</v>
      </c>
      <c r="C69" s="11">
        <f>B69+C68</f>
        <v>-191966.66666666666</v>
      </c>
      <c r="D69" s="11">
        <f t="shared" ref="D69:M69" si="13">C69+D68</f>
        <v>-368633.33333333331</v>
      </c>
      <c r="E69" s="11">
        <f t="shared" si="13"/>
        <v>-485300</v>
      </c>
      <c r="F69" s="11">
        <f t="shared" si="13"/>
        <v>-601966.66666666663</v>
      </c>
      <c r="G69" s="11">
        <f t="shared" si="13"/>
        <v>-718633.33333333326</v>
      </c>
      <c r="H69" s="11">
        <f t="shared" si="13"/>
        <v>-835299.99999999988</v>
      </c>
      <c r="I69" s="11">
        <f t="shared" si="13"/>
        <v>-770335.66666666651</v>
      </c>
      <c r="J69" s="11">
        <f t="shared" si="13"/>
        <v>-705371.33333333314</v>
      </c>
      <c r="K69" s="11">
        <f t="shared" si="13"/>
        <v>-640406.99999999977</v>
      </c>
      <c r="L69" s="11">
        <f t="shared" si="13"/>
        <v>-575442.6666666664</v>
      </c>
      <c r="M69" s="11">
        <f t="shared" si="13"/>
        <v>-510478.33333333302</v>
      </c>
    </row>
    <row r="71" spans="1:13" ht="18.5" x14ac:dyDescent="0.45">
      <c r="B71" s="63" t="s">
        <v>72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</row>
    <row r="72" spans="1:13" x14ac:dyDescent="0.35">
      <c r="A72" s="1"/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1" t="s">
        <v>111</v>
      </c>
      <c r="I72" s="1" t="s">
        <v>112</v>
      </c>
      <c r="J72" s="1" t="s">
        <v>113</v>
      </c>
      <c r="K72" s="1" t="s">
        <v>114</v>
      </c>
      <c r="L72" s="1" t="s">
        <v>115</v>
      </c>
      <c r="M72" s="30" t="s">
        <v>116</v>
      </c>
    </row>
    <row r="73" spans="1:13" x14ac:dyDescent="0.35">
      <c r="A73" t="s">
        <v>35</v>
      </c>
      <c r="B73" s="11">
        <f>C27/12</f>
        <v>-1000</v>
      </c>
      <c r="C73" s="11">
        <f>B73</f>
        <v>-1000</v>
      </c>
      <c r="D73" s="11">
        <f t="shared" ref="D73:M73" si="14">C73</f>
        <v>-1000</v>
      </c>
      <c r="E73" s="11">
        <f t="shared" si="14"/>
        <v>-1000</v>
      </c>
      <c r="F73" s="11">
        <f t="shared" si="14"/>
        <v>-1000</v>
      </c>
      <c r="G73" s="11">
        <f t="shared" si="14"/>
        <v>-1000</v>
      </c>
      <c r="H73" s="11">
        <f t="shared" si="14"/>
        <v>-1000</v>
      </c>
      <c r="I73" s="11">
        <f t="shared" si="14"/>
        <v>-1000</v>
      </c>
      <c r="J73" s="11">
        <f t="shared" si="14"/>
        <v>-1000</v>
      </c>
      <c r="K73" s="11">
        <f t="shared" si="14"/>
        <v>-1000</v>
      </c>
      <c r="L73" s="11">
        <f t="shared" si="14"/>
        <v>-1000</v>
      </c>
      <c r="M73" s="11">
        <f t="shared" si="14"/>
        <v>-1000</v>
      </c>
    </row>
    <row r="74" spans="1:13" x14ac:dyDescent="0.35">
      <c r="A74" t="s">
        <v>38</v>
      </c>
      <c r="B74" s="8">
        <f>C29/12</f>
        <v>10500</v>
      </c>
      <c r="C74" s="8">
        <f>B74</f>
        <v>10500</v>
      </c>
      <c r="D74" s="8">
        <f t="shared" ref="D74:M74" si="15">C74</f>
        <v>10500</v>
      </c>
      <c r="E74" s="8">
        <f t="shared" si="15"/>
        <v>10500</v>
      </c>
      <c r="F74" s="8">
        <f t="shared" si="15"/>
        <v>10500</v>
      </c>
      <c r="G74" s="8">
        <f t="shared" si="15"/>
        <v>10500</v>
      </c>
      <c r="H74" s="8">
        <f t="shared" si="15"/>
        <v>10500</v>
      </c>
      <c r="I74" s="8">
        <f t="shared" si="15"/>
        <v>10500</v>
      </c>
      <c r="J74" s="8">
        <f t="shared" si="15"/>
        <v>10500</v>
      </c>
      <c r="K74" s="8">
        <f t="shared" si="15"/>
        <v>10500</v>
      </c>
      <c r="L74" s="8">
        <f t="shared" si="15"/>
        <v>10500</v>
      </c>
      <c r="M74" s="8">
        <f t="shared" si="15"/>
        <v>10500</v>
      </c>
    </row>
    <row r="75" spans="1:13" x14ac:dyDescent="0.35">
      <c r="A75" t="s">
        <v>40</v>
      </c>
      <c r="B75" s="13">
        <f>-B74*$B$35</f>
        <v>-579705</v>
      </c>
      <c r="C75" s="13">
        <f>B75</f>
        <v>-579705</v>
      </c>
      <c r="D75" s="13">
        <f t="shared" ref="D75:M75" si="16">C75</f>
        <v>-579705</v>
      </c>
      <c r="E75" s="13">
        <f t="shared" si="16"/>
        <v>-579705</v>
      </c>
      <c r="F75" s="13">
        <f t="shared" si="16"/>
        <v>-579705</v>
      </c>
      <c r="G75" s="13">
        <f t="shared" si="16"/>
        <v>-579705</v>
      </c>
      <c r="H75" s="13">
        <f t="shared" si="16"/>
        <v>-579705</v>
      </c>
      <c r="I75" s="13">
        <f t="shared" si="16"/>
        <v>-579705</v>
      </c>
      <c r="J75" s="13">
        <f t="shared" si="16"/>
        <v>-579705</v>
      </c>
      <c r="K75" s="13">
        <f t="shared" si="16"/>
        <v>-579705</v>
      </c>
      <c r="L75" s="13">
        <f t="shared" si="16"/>
        <v>-579705</v>
      </c>
      <c r="M75" s="13">
        <f t="shared" si="16"/>
        <v>-579705</v>
      </c>
    </row>
    <row r="76" spans="1:13" x14ac:dyDescent="0.35">
      <c r="A76" t="s">
        <v>43</v>
      </c>
      <c r="B76" s="11">
        <f>D45/12</f>
        <v>-45937.5</v>
      </c>
      <c r="C76" s="11">
        <f>B76</f>
        <v>-45937.5</v>
      </c>
      <c r="D76" s="11">
        <f t="shared" ref="D76:M76" si="17">C76</f>
        <v>-45937.5</v>
      </c>
      <c r="E76" s="11">
        <f t="shared" si="17"/>
        <v>-45937.5</v>
      </c>
      <c r="F76" s="11">
        <f t="shared" si="17"/>
        <v>-45937.5</v>
      </c>
      <c r="G76" s="11">
        <f t="shared" si="17"/>
        <v>-45937.5</v>
      </c>
      <c r="H76" s="11">
        <f t="shared" si="17"/>
        <v>-45937.5</v>
      </c>
      <c r="I76" s="11">
        <f t="shared" si="17"/>
        <v>-45937.5</v>
      </c>
      <c r="J76" s="11">
        <f t="shared" si="17"/>
        <v>-45937.5</v>
      </c>
      <c r="K76" s="11">
        <f t="shared" si="17"/>
        <v>-45937.5</v>
      </c>
      <c r="L76" s="11">
        <f t="shared" si="17"/>
        <v>-45937.5</v>
      </c>
      <c r="M76" s="11">
        <f t="shared" si="17"/>
        <v>-45937.5</v>
      </c>
    </row>
    <row r="77" spans="1:13" x14ac:dyDescent="0.35">
      <c r="A77" t="s">
        <v>45</v>
      </c>
      <c r="B77" s="11">
        <f>D46/12</f>
        <v>-75000</v>
      </c>
      <c r="C77" s="11">
        <f>B77</f>
        <v>-75000</v>
      </c>
      <c r="D77" s="11">
        <f t="shared" ref="D77:M77" si="18">C77</f>
        <v>-75000</v>
      </c>
      <c r="E77" s="11">
        <f t="shared" si="18"/>
        <v>-75000</v>
      </c>
      <c r="F77" s="11">
        <f t="shared" si="18"/>
        <v>-75000</v>
      </c>
      <c r="G77" s="11">
        <f t="shared" si="18"/>
        <v>-75000</v>
      </c>
      <c r="H77" s="11">
        <f t="shared" si="18"/>
        <v>-75000</v>
      </c>
      <c r="I77" s="11">
        <f t="shared" si="18"/>
        <v>-75000</v>
      </c>
      <c r="J77" s="11">
        <f t="shared" si="18"/>
        <v>-75000</v>
      </c>
      <c r="K77" s="11">
        <f t="shared" si="18"/>
        <v>-75000</v>
      </c>
      <c r="L77" s="11">
        <f t="shared" si="18"/>
        <v>-75000</v>
      </c>
      <c r="M77" s="11">
        <f t="shared" si="18"/>
        <v>-75000</v>
      </c>
    </row>
    <row r="78" spans="1:13" x14ac:dyDescent="0.35">
      <c r="A78" t="s">
        <v>46</v>
      </c>
      <c r="B78" s="11">
        <f>SUM(B73:B77)-B74</f>
        <v>-701642.5</v>
      </c>
      <c r="C78" s="11">
        <f t="shared" ref="C78:M78" si="19">SUM(C73:C77)-C74</f>
        <v>-701642.5</v>
      </c>
      <c r="D78" s="11">
        <f t="shared" si="19"/>
        <v>-701642.5</v>
      </c>
      <c r="E78" s="11">
        <f t="shared" si="19"/>
        <v>-701642.5</v>
      </c>
      <c r="F78" s="11">
        <f t="shared" si="19"/>
        <v>-701642.5</v>
      </c>
      <c r="G78" s="11">
        <f t="shared" si="19"/>
        <v>-701642.5</v>
      </c>
      <c r="H78" s="11">
        <f t="shared" si="19"/>
        <v>-701642.5</v>
      </c>
      <c r="I78" s="11">
        <f t="shared" si="19"/>
        <v>-701642.5</v>
      </c>
      <c r="J78" s="11">
        <f t="shared" si="19"/>
        <v>-701642.5</v>
      </c>
      <c r="K78" s="11">
        <f t="shared" si="19"/>
        <v>-701642.5</v>
      </c>
      <c r="L78" s="11">
        <f t="shared" si="19"/>
        <v>-701642.5</v>
      </c>
      <c r="M78" s="11">
        <f t="shared" si="19"/>
        <v>-701642.5</v>
      </c>
    </row>
    <row r="79" spans="1:13" x14ac:dyDescent="0.35">
      <c r="A79" t="s">
        <v>52</v>
      </c>
      <c r="B79" s="22">
        <f>B74*$B$36</f>
        <v>787500</v>
      </c>
      <c r="C79" s="22">
        <f t="shared" ref="C79:M79" si="20">C74*$B$36</f>
        <v>787500</v>
      </c>
      <c r="D79" s="22">
        <f t="shared" si="20"/>
        <v>787500</v>
      </c>
      <c r="E79" s="22">
        <f t="shared" si="20"/>
        <v>787500</v>
      </c>
      <c r="F79" s="22">
        <f t="shared" si="20"/>
        <v>787500</v>
      </c>
      <c r="G79" s="22">
        <f t="shared" si="20"/>
        <v>787500</v>
      </c>
      <c r="H79" s="22">
        <f t="shared" si="20"/>
        <v>787500</v>
      </c>
      <c r="I79" s="22">
        <f t="shared" si="20"/>
        <v>787500</v>
      </c>
      <c r="J79" s="22">
        <f t="shared" si="20"/>
        <v>787500</v>
      </c>
      <c r="K79" s="22">
        <f t="shared" si="20"/>
        <v>787500</v>
      </c>
      <c r="L79" s="22">
        <f t="shared" si="20"/>
        <v>787500</v>
      </c>
      <c r="M79" s="22">
        <f t="shared" si="20"/>
        <v>787500</v>
      </c>
    </row>
    <row r="80" spans="1:13" x14ac:dyDescent="0.35">
      <c r="A80" t="s">
        <v>53</v>
      </c>
      <c r="B80" s="13">
        <f>B78+B79</f>
        <v>85857.5</v>
      </c>
      <c r="C80" s="13">
        <f t="shared" ref="C80:M80" si="21">C78+C79</f>
        <v>85857.5</v>
      </c>
      <c r="D80" s="13">
        <f t="shared" si="21"/>
        <v>85857.5</v>
      </c>
      <c r="E80" s="13">
        <f t="shared" si="21"/>
        <v>85857.5</v>
      </c>
      <c r="F80" s="13">
        <f t="shared" si="21"/>
        <v>85857.5</v>
      </c>
      <c r="G80" s="13">
        <f t="shared" si="21"/>
        <v>85857.5</v>
      </c>
      <c r="H80" s="13">
        <f t="shared" si="21"/>
        <v>85857.5</v>
      </c>
      <c r="I80" s="13">
        <f t="shared" si="21"/>
        <v>85857.5</v>
      </c>
      <c r="J80" s="13">
        <f t="shared" si="21"/>
        <v>85857.5</v>
      </c>
      <c r="K80" s="13">
        <f t="shared" si="21"/>
        <v>85857.5</v>
      </c>
      <c r="L80" s="13">
        <f t="shared" si="21"/>
        <v>85857.5</v>
      </c>
      <c r="M80" s="13">
        <f t="shared" si="21"/>
        <v>85857.5</v>
      </c>
    </row>
    <row r="81" spans="1:13" x14ac:dyDescent="0.35">
      <c r="A81" t="s">
        <v>54</v>
      </c>
      <c r="B81" s="13">
        <f>B80*$E$50</f>
        <v>18030.075000000001</v>
      </c>
      <c r="C81" s="13">
        <f t="shared" ref="C81:M81" si="22">C80*$E$50</f>
        <v>18030.075000000001</v>
      </c>
      <c r="D81" s="13">
        <f t="shared" si="22"/>
        <v>18030.075000000001</v>
      </c>
      <c r="E81" s="13">
        <f t="shared" si="22"/>
        <v>18030.075000000001</v>
      </c>
      <c r="F81" s="13">
        <f t="shared" si="22"/>
        <v>18030.075000000001</v>
      </c>
      <c r="G81" s="13">
        <f t="shared" si="22"/>
        <v>18030.075000000001</v>
      </c>
      <c r="H81" s="13">
        <f t="shared" si="22"/>
        <v>18030.075000000001</v>
      </c>
      <c r="I81" s="13">
        <f t="shared" si="22"/>
        <v>18030.075000000001</v>
      </c>
      <c r="J81" s="13">
        <f t="shared" si="22"/>
        <v>18030.075000000001</v>
      </c>
      <c r="K81" s="13">
        <f t="shared" si="22"/>
        <v>18030.075000000001</v>
      </c>
      <c r="L81" s="13">
        <f t="shared" si="22"/>
        <v>18030.075000000001</v>
      </c>
      <c r="M81" s="13">
        <f t="shared" si="22"/>
        <v>18030.075000000001</v>
      </c>
    </row>
    <row r="82" spans="1:13" x14ac:dyDescent="0.35">
      <c r="A82" t="s">
        <v>71</v>
      </c>
      <c r="B82" s="13">
        <f>B80-B81</f>
        <v>67827.425000000003</v>
      </c>
      <c r="C82" s="13">
        <f t="shared" ref="C82:M82" si="23">C80-C81</f>
        <v>67827.425000000003</v>
      </c>
      <c r="D82" s="13">
        <f t="shared" si="23"/>
        <v>67827.425000000003</v>
      </c>
      <c r="E82" s="13">
        <f t="shared" si="23"/>
        <v>67827.425000000003</v>
      </c>
      <c r="F82" s="13">
        <f t="shared" si="23"/>
        <v>67827.425000000003</v>
      </c>
      <c r="G82" s="13">
        <f t="shared" si="23"/>
        <v>67827.425000000003</v>
      </c>
      <c r="H82" s="13">
        <f t="shared" si="23"/>
        <v>67827.425000000003</v>
      </c>
      <c r="I82" s="13">
        <f t="shared" si="23"/>
        <v>67827.425000000003</v>
      </c>
      <c r="J82" s="13">
        <f t="shared" si="23"/>
        <v>67827.425000000003</v>
      </c>
      <c r="K82" s="13">
        <f t="shared" si="23"/>
        <v>67827.425000000003</v>
      </c>
      <c r="L82" s="13">
        <f t="shared" si="23"/>
        <v>67827.425000000003</v>
      </c>
      <c r="M82" s="13">
        <f t="shared" si="23"/>
        <v>67827.425000000003</v>
      </c>
    </row>
    <row r="83" spans="1:13" x14ac:dyDescent="0.35">
      <c r="A83" s="9" t="s">
        <v>104</v>
      </c>
      <c r="B83" s="13">
        <f>M69+B82</f>
        <v>-442650.90833333303</v>
      </c>
      <c r="C83" s="13">
        <f>B83+C82</f>
        <v>-374823.48333333305</v>
      </c>
      <c r="D83" s="13">
        <f t="shared" ref="D83:M83" si="24">C83+D82</f>
        <v>-306996.05833333306</v>
      </c>
      <c r="E83" s="48">
        <f t="shared" si="24"/>
        <v>-239168.63333333307</v>
      </c>
      <c r="F83" s="13">
        <f t="shared" si="24"/>
        <v>-171341.20833333308</v>
      </c>
      <c r="G83" s="13">
        <f t="shared" si="24"/>
        <v>-103513.78333333308</v>
      </c>
      <c r="H83" s="13">
        <f t="shared" si="24"/>
        <v>-35686.358333333075</v>
      </c>
      <c r="I83" s="13">
        <f t="shared" si="24"/>
        <v>32141.066666666928</v>
      </c>
      <c r="J83" s="13">
        <f t="shared" si="24"/>
        <v>99968.491666666931</v>
      </c>
      <c r="K83" s="13">
        <f t="shared" si="24"/>
        <v>167795.91666666692</v>
      </c>
      <c r="L83" s="13">
        <f t="shared" si="24"/>
        <v>235623.34166666691</v>
      </c>
      <c r="M83" s="13">
        <f t="shared" si="24"/>
        <v>303450.7666666669</v>
      </c>
    </row>
    <row r="86" spans="1:13" ht="18.5" x14ac:dyDescent="0.45">
      <c r="B86" s="63" t="s">
        <v>73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</row>
    <row r="87" spans="1:13" x14ac:dyDescent="0.35">
      <c r="A87" s="1"/>
      <c r="B87" s="1" t="s">
        <v>117</v>
      </c>
      <c r="C87" s="1" t="s">
        <v>118</v>
      </c>
      <c r="D87" s="1" t="s">
        <v>119</v>
      </c>
      <c r="E87" s="1" t="s">
        <v>120</v>
      </c>
      <c r="F87" s="1" t="s">
        <v>121</v>
      </c>
      <c r="G87" s="1" t="s">
        <v>122</v>
      </c>
      <c r="H87" s="1" t="s">
        <v>123</v>
      </c>
      <c r="I87" s="1" t="s">
        <v>124</v>
      </c>
      <c r="J87" s="1" t="s">
        <v>125</v>
      </c>
      <c r="K87" s="1" t="s">
        <v>126</v>
      </c>
      <c r="L87" s="1" t="s">
        <v>127</v>
      </c>
      <c r="M87" s="30" t="s">
        <v>128</v>
      </c>
    </row>
    <row r="88" spans="1:13" x14ac:dyDescent="0.35">
      <c r="A88" t="s">
        <v>35</v>
      </c>
      <c r="B88" s="11">
        <f>D27/12</f>
        <v>-1000</v>
      </c>
      <c r="C88" s="11">
        <f>B88</f>
        <v>-1000</v>
      </c>
      <c r="D88" s="11">
        <f t="shared" ref="D88:D92" si="25">C88</f>
        <v>-1000</v>
      </c>
      <c r="E88" s="11">
        <f t="shared" ref="E88:E92" si="26">D88</f>
        <v>-1000</v>
      </c>
      <c r="F88" s="11">
        <f t="shared" ref="F88:F92" si="27">E88</f>
        <v>-1000</v>
      </c>
      <c r="G88" s="11">
        <f t="shared" ref="G88:G92" si="28">F88</f>
        <v>-1000</v>
      </c>
      <c r="H88" s="11">
        <f t="shared" ref="H88:H92" si="29">G88</f>
        <v>-1000</v>
      </c>
      <c r="I88" s="11">
        <f t="shared" ref="I88:I92" si="30">H88</f>
        <v>-1000</v>
      </c>
      <c r="J88" s="11">
        <f t="shared" ref="J88:J92" si="31">I88</f>
        <v>-1000</v>
      </c>
      <c r="K88" s="11">
        <f t="shared" ref="K88:K92" si="32">J88</f>
        <v>-1000</v>
      </c>
      <c r="L88" s="11">
        <f t="shared" ref="L88:L92" si="33">K88</f>
        <v>-1000</v>
      </c>
      <c r="M88" s="11">
        <f t="shared" ref="M88:M92" si="34">L88</f>
        <v>-1000</v>
      </c>
    </row>
    <row r="89" spans="1:13" x14ac:dyDescent="0.35">
      <c r="A89" t="s">
        <v>38</v>
      </c>
      <c r="B89" s="8">
        <f>D43/12</f>
        <v>11025</v>
      </c>
      <c r="C89" s="8">
        <f>B89</f>
        <v>11025</v>
      </c>
      <c r="D89" s="8">
        <f t="shared" si="25"/>
        <v>11025</v>
      </c>
      <c r="E89" s="8">
        <f t="shared" si="26"/>
        <v>11025</v>
      </c>
      <c r="F89" s="8">
        <f t="shared" si="27"/>
        <v>11025</v>
      </c>
      <c r="G89" s="8">
        <f t="shared" si="28"/>
        <v>11025</v>
      </c>
      <c r="H89" s="8">
        <f t="shared" si="29"/>
        <v>11025</v>
      </c>
      <c r="I89" s="8">
        <f t="shared" si="30"/>
        <v>11025</v>
      </c>
      <c r="J89" s="8">
        <f t="shared" si="31"/>
        <v>11025</v>
      </c>
      <c r="K89" s="8">
        <f t="shared" si="32"/>
        <v>11025</v>
      </c>
      <c r="L89" s="8">
        <f t="shared" si="33"/>
        <v>11025</v>
      </c>
      <c r="M89" s="8">
        <f t="shared" si="34"/>
        <v>11025</v>
      </c>
    </row>
    <row r="90" spans="1:13" x14ac:dyDescent="0.35">
      <c r="A90" t="s">
        <v>40</v>
      </c>
      <c r="B90" s="13">
        <f>-B89*$B$35</f>
        <v>-608690.25</v>
      </c>
      <c r="C90" s="13">
        <f>B90</f>
        <v>-608690.25</v>
      </c>
      <c r="D90" s="13">
        <f t="shared" si="25"/>
        <v>-608690.25</v>
      </c>
      <c r="E90" s="13">
        <f t="shared" si="26"/>
        <v>-608690.25</v>
      </c>
      <c r="F90" s="13">
        <f t="shared" si="27"/>
        <v>-608690.25</v>
      </c>
      <c r="G90" s="13">
        <f t="shared" si="28"/>
        <v>-608690.25</v>
      </c>
      <c r="H90" s="13">
        <f t="shared" si="29"/>
        <v>-608690.25</v>
      </c>
      <c r="I90" s="13">
        <f t="shared" si="30"/>
        <v>-608690.25</v>
      </c>
      <c r="J90" s="13">
        <f t="shared" si="31"/>
        <v>-608690.25</v>
      </c>
      <c r="K90" s="13">
        <f t="shared" si="32"/>
        <v>-608690.25</v>
      </c>
      <c r="L90" s="13">
        <f t="shared" si="33"/>
        <v>-608690.25</v>
      </c>
      <c r="M90" s="13">
        <f t="shared" si="34"/>
        <v>-608690.25</v>
      </c>
    </row>
    <row r="91" spans="1:13" x14ac:dyDescent="0.35">
      <c r="A91" t="s">
        <v>43</v>
      </c>
      <c r="B91" s="11">
        <f>D45/12</f>
        <v>-45937.5</v>
      </c>
      <c r="C91" s="11">
        <f>B91</f>
        <v>-45937.5</v>
      </c>
      <c r="D91" s="11">
        <f t="shared" si="25"/>
        <v>-45937.5</v>
      </c>
      <c r="E91" s="11">
        <f t="shared" si="26"/>
        <v>-45937.5</v>
      </c>
      <c r="F91" s="11">
        <f t="shared" si="27"/>
        <v>-45937.5</v>
      </c>
      <c r="G91" s="11">
        <f t="shared" si="28"/>
        <v>-45937.5</v>
      </c>
      <c r="H91" s="11">
        <f t="shared" si="29"/>
        <v>-45937.5</v>
      </c>
      <c r="I91" s="11">
        <f t="shared" si="30"/>
        <v>-45937.5</v>
      </c>
      <c r="J91" s="11">
        <f t="shared" si="31"/>
        <v>-45937.5</v>
      </c>
      <c r="K91" s="11">
        <f t="shared" si="32"/>
        <v>-45937.5</v>
      </c>
      <c r="L91" s="11">
        <f t="shared" si="33"/>
        <v>-45937.5</v>
      </c>
      <c r="M91" s="11">
        <f t="shared" si="34"/>
        <v>-45937.5</v>
      </c>
    </row>
    <row r="92" spans="1:13" x14ac:dyDescent="0.35">
      <c r="A92" t="s">
        <v>45</v>
      </c>
      <c r="B92" s="11">
        <f>D46/12</f>
        <v>-75000</v>
      </c>
      <c r="C92" s="11">
        <f>B92</f>
        <v>-75000</v>
      </c>
      <c r="D92" s="11">
        <f t="shared" si="25"/>
        <v>-75000</v>
      </c>
      <c r="E92" s="11">
        <f t="shared" si="26"/>
        <v>-75000</v>
      </c>
      <c r="F92" s="11">
        <f t="shared" si="27"/>
        <v>-75000</v>
      </c>
      <c r="G92" s="11">
        <f t="shared" si="28"/>
        <v>-75000</v>
      </c>
      <c r="H92" s="11">
        <f t="shared" si="29"/>
        <v>-75000</v>
      </c>
      <c r="I92" s="11">
        <f t="shared" si="30"/>
        <v>-75000</v>
      </c>
      <c r="J92" s="11">
        <f t="shared" si="31"/>
        <v>-75000</v>
      </c>
      <c r="K92" s="11">
        <f t="shared" si="32"/>
        <v>-75000</v>
      </c>
      <c r="L92" s="11">
        <f t="shared" si="33"/>
        <v>-75000</v>
      </c>
      <c r="M92" s="11">
        <f t="shared" si="34"/>
        <v>-75000</v>
      </c>
    </row>
    <row r="93" spans="1:13" x14ac:dyDescent="0.35">
      <c r="A93" t="s">
        <v>46</v>
      </c>
      <c r="B93" s="11">
        <f>SUM(B88:B92)-B89</f>
        <v>-730627.75</v>
      </c>
      <c r="C93" s="11">
        <f t="shared" ref="C93:M93" si="35">SUM(C88:C92)-C89</f>
        <v>-730627.75</v>
      </c>
      <c r="D93" s="11">
        <f t="shared" si="35"/>
        <v>-730627.75</v>
      </c>
      <c r="E93" s="11">
        <f t="shared" si="35"/>
        <v>-730627.75</v>
      </c>
      <c r="F93" s="11">
        <f t="shared" si="35"/>
        <v>-730627.75</v>
      </c>
      <c r="G93" s="11">
        <f t="shared" si="35"/>
        <v>-730627.75</v>
      </c>
      <c r="H93" s="11">
        <f t="shared" si="35"/>
        <v>-730627.75</v>
      </c>
      <c r="I93" s="11">
        <f t="shared" si="35"/>
        <v>-730627.75</v>
      </c>
      <c r="J93" s="11">
        <f t="shared" si="35"/>
        <v>-730627.75</v>
      </c>
      <c r="K93" s="11">
        <f t="shared" si="35"/>
        <v>-730627.75</v>
      </c>
      <c r="L93" s="11">
        <f t="shared" si="35"/>
        <v>-730627.75</v>
      </c>
      <c r="M93" s="11">
        <f t="shared" si="35"/>
        <v>-730627.75</v>
      </c>
    </row>
    <row r="94" spans="1:13" x14ac:dyDescent="0.35">
      <c r="A94" t="s">
        <v>52</v>
      </c>
      <c r="B94" s="22">
        <f>B89*$B$36</f>
        <v>826875</v>
      </c>
      <c r="C94" s="22">
        <f t="shared" ref="C94:M94" si="36">C89*$B$36</f>
        <v>826875</v>
      </c>
      <c r="D94" s="22">
        <f t="shared" si="36"/>
        <v>826875</v>
      </c>
      <c r="E94" s="22">
        <f t="shared" si="36"/>
        <v>826875</v>
      </c>
      <c r="F94" s="22">
        <f t="shared" si="36"/>
        <v>826875</v>
      </c>
      <c r="G94" s="22">
        <f t="shared" si="36"/>
        <v>826875</v>
      </c>
      <c r="H94" s="22">
        <f t="shared" si="36"/>
        <v>826875</v>
      </c>
      <c r="I94" s="22">
        <f t="shared" si="36"/>
        <v>826875</v>
      </c>
      <c r="J94" s="22">
        <f t="shared" si="36"/>
        <v>826875</v>
      </c>
      <c r="K94" s="22">
        <f t="shared" si="36"/>
        <v>826875</v>
      </c>
      <c r="L94" s="22">
        <f t="shared" si="36"/>
        <v>826875</v>
      </c>
      <c r="M94" s="22">
        <f t="shared" si="36"/>
        <v>826875</v>
      </c>
    </row>
    <row r="95" spans="1:13" x14ac:dyDescent="0.35">
      <c r="A95" t="s">
        <v>53</v>
      </c>
      <c r="B95" s="13">
        <f>B93+B94</f>
        <v>96247.25</v>
      </c>
      <c r="C95" s="13">
        <f t="shared" ref="C95:M95" si="37">C93+C94</f>
        <v>96247.25</v>
      </c>
      <c r="D95" s="13">
        <f t="shared" si="37"/>
        <v>96247.25</v>
      </c>
      <c r="E95" s="13">
        <f t="shared" si="37"/>
        <v>96247.25</v>
      </c>
      <c r="F95" s="13">
        <f t="shared" si="37"/>
        <v>96247.25</v>
      </c>
      <c r="G95" s="13">
        <f t="shared" si="37"/>
        <v>96247.25</v>
      </c>
      <c r="H95" s="13">
        <f t="shared" si="37"/>
        <v>96247.25</v>
      </c>
      <c r="I95" s="13">
        <f t="shared" si="37"/>
        <v>96247.25</v>
      </c>
      <c r="J95" s="13">
        <f t="shared" si="37"/>
        <v>96247.25</v>
      </c>
      <c r="K95" s="13">
        <f t="shared" si="37"/>
        <v>96247.25</v>
      </c>
      <c r="L95" s="13">
        <f t="shared" si="37"/>
        <v>96247.25</v>
      </c>
      <c r="M95" s="13">
        <f t="shared" si="37"/>
        <v>96247.25</v>
      </c>
    </row>
    <row r="96" spans="1:13" x14ac:dyDescent="0.35">
      <c r="A96" t="s">
        <v>54</v>
      </c>
      <c r="B96" s="13">
        <f>B95*$E$50</f>
        <v>20211.922500000001</v>
      </c>
      <c r="C96" s="13">
        <f t="shared" ref="C96:M96" si="38">C95*$E$50</f>
        <v>20211.922500000001</v>
      </c>
      <c r="D96" s="13">
        <f t="shared" si="38"/>
        <v>20211.922500000001</v>
      </c>
      <c r="E96" s="13">
        <f t="shared" si="38"/>
        <v>20211.922500000001</v>
      </c>
      <c r="F96" s="13">
        <f t="shared" si="38"/>
        <v>20211.922500000001</v>
      </c>
      <c r="G96" s="13">
        <f t="shared" si="38"/>
        <v>20211.922500000001</v>
      </c>
      <c r="H96" s="13">
        <f t="shared" si="38"/>
        <v>20211.922500000001</v>
      </c>
      <c r="I96" s="13">
        <f t="shared" si="38"/>
        <v>20211.922500000001</v>
      </c>
      <c r="J96" s="13">
        <f t="shared" si="38"/>
        <v>20211.922500000001</v>
      </c>
      <c r="K96" s="13">
        <f t="shared" si="38"/>
        <v>20211.922500000001</v>
      </c>
      <c r="L96" s="13">
        <f t="shared" si="38"/>
        <v>20211.922500000001</v>
      </c>
      <c r="M96" s="13">
        <f t="shared" si="38"/>
        <v>20211.922500000001</v>
      </c>
    </row>
    <row r="97" spans="1:13" x14ac:dyDescent="0.35">
      <c r="A97" t="s">
        <v>71</v>
      </c>
      <c r="B97" s="13">
        <f>B95-B96</f>
        <v>76035.327499999999</v>
      </c>
      <c r="C97" s="13">
        <f t="shared" ref="C97:M97" si="39">C95-C96</f>
        <v>76035.327499999999</v>
      </c>
      <c r="D97" s="13">
        <f t="shared" si="39"/>
        <v>76035.327499999999</v>
      </c>
      <c r="E97" s="13">
        <f t="shared" si="39"/>
        <v>76035.327499999999</v>
      </c>
      <c r="F97" s="13">
        <f t="shared" si="39"/>
        <v>76035.327499999999</v>
      </c>
      <c r="G97" s="13">
        <f t="shared" si="39"/>
        <v>76035.327499999999</v>
      </c>
      <c r="H97" s="13">
        <f t="shared" si="39"/>
        <v>76035.327499999999</v>
      </c>
      <c r="I97" s="13">
        <f t="shared" si="39"/>
        <v>76035.327499999999</v>
      </c>
      <c r="J97" s="13">
        <f t="shared" si="39"/>
        <v>76035.327499999999</v>
      </c>
      <c r="K97" s="13">
        <f t="shared" si="39"/>
        <v>76035.327499999999</v>
      </c>
      <c r="L97" s="13">
        <f t="shared" si="39"/>
        <v>76035.327499999999</v>
      </c>
      <c r="M97" s="13">
        <f t="shared" si="39"/>
        <v>76035.327499999999</v>
      </c>
    </row>
    <row r="98" spans="1:13" x14ac:dyDescent="0.35">
      <c r="A98" s="9" t="s">
        <v>104</v>
      </c>
      <c r="B98" s="13">
        <f>M83+B97</f>
        <v>379486.09416666691</v>
      </c>
      <c r="C98" s="13">
        <f>B98+C97</f>
        <v>455521.42166666692</v>
      </c>
      <c r="D98" s="13">
        <f t="shared" ref="D98" si="40">C98+D97</f>
        <v>531556.74916666688</v>
      </c>
      <c r="E98" s="48">
        <f t="shared" ref="E98" si="41">D98+E97</f>
        <v>607592.07666666689</v>
      </c>
      <c r="F98" s="13">
        <f t="shared" ref="F98" si="42">E98+F97</f>
        <v>683627.40416666691</v>
      </c>
      <c r="G98" s="13">
        <f t="shared" ref="G98" si="43">F98+G97</f>
        <v>759662.73166666692</v>
      </c>
      <c r="H98" s="13">
        <f t="shared" ref="H98" si="44">G98+H97</f>
        <v>835698.05916666694</v>
      </c>
      <c r="I98" s="48">
        <f t="shared" ref="I98" si="45">H98+I97</f>
        <v>911733.38666666695</v>
      </c>
      <c r="J98" s="13">
        <f t="shared" ref="J98" si="46">I98+J97</f>
        <v>987768.71416666696</v>
      </c>
      <c r="K98" s="13">
        <f t="shared" ref="K98" si="47">J98+K97</f>
        <v>1063804.041666667</v>
      </c>
      <c r="L98" s="13">
        <f t="shared" ref="L98" si="48">K98+L97</f>
        <v>1139839.3691666669</v>
      </c>
      <c r="M98" s="13">
        <f t="shared" ref="M98" si="49">L98+M97</f>
        <v>1215874.6966666668</v>
      </c>
    </row>
    <row r="107" spans="1:13" ht="18.5" x14ac:dyDescent="0.45">
      <c r="A107" s="62" t="s">
        <v>78</v>
      </c>
      <c r="B107" s="62"/>
      <c r="C107" s="62"/>
      <c r="D107" s="62"/>
    </row>
    <row r="108" spans="1:13" x14ac:dyDescent="0.35">
      <c r="A108" t="s">
        <v>79</v>
      </c>
    </row>
    <row r="109" spans="1:13" x14ac:dyDescent="0.35">
      <c r="A109" s="12" t="s">
        <v>80</v>
      </c>
      <c r="B109" t="s">
        <v>81</v>
      </c>
      <c r="C109" t="s">
        <v>82</v>
      </c>
      <c r="D109" t="s">
        <v>83</v>
      </c>
    </row>
    <row r="110" spans="1:13" x14ac:dyDescent="0.35">
      <c r="A110" s="41" t="s">
        <v>1</v>
      </c>
      <c r="B110" s="1" t="s">
        <v>33</v>
      </c>
      <c r="C110" s="1" t="s">
        <v>33</v>
      </c>
      <c r="D110" s="11">
        <f>B26</f>
        <v>-60000</v>
      </c>
    </row>
    <row r="111" spans="1:13" x14ac:dyDescent="0.35">
      <c r="A111" s="41" t="s">
        <v>35</v>
      </c>
      <c r="B111" s="11">
        <f>B27</f>
        <v>-5000</v>
      </c>
      <c r="C111" s="11">
        <f>B111/12</f>
        <v>-416.66666666666669</v>
      </c>
      <c r="D111" s="1" t="s">
        <v>33</v>
      </c>
    </row>
    <row r="112" spans="1:13" x14ac:dyDescent="0.35">
      <c r="A112" s="41" t="s">
        <v>37</v>
      </c>
      <c r="B112" s="1" t="s">
        <v>33</v>
      </c>
      <c r="C112" s="1" t="s">
        <v>33</v>
      </c>
      <c r="D112" s="11">
        <f>B28</f>
        <v>-300</v>
      </c>
    </row>
    <row r="113" spans="1:6" x14ac:dyDescent="0.35">
      <c r="A113" s="41" t="s">
        <v>43</v>
      </c>
      <c r="B113" s="11">
        <f>B31</f>
        <v>-458333.33333333331</v>
      </c>
      <c r="C113" s="11">
        <f>B113/12</f>
        <v>-38194.444444444445</v>
      </c>
      <c r="D113" s="1" t="s">
        <v>33</v>
      </c>
    </row>
    <row r="114" spans="1:6" x14ac:dyDescent="0.35">
      <c r="A114" s="41" t="s">
        <v>45</v>
      </c>
      <c r="B114" s="11">
        <f>B32</f>
        <v>-900000</v>
      </c>
      <c r="C114" s="11">
        <f>B114/12</f>
        <v>-75000</v>
      </c>
      <c r="D114" s="1" t="s">
        <v>33</v>
      </c>
    </row>
    <row r="115" spans="1:6" x14ac:dyDescent="0.35">
      <c r="A115" s="42" t="s">
        <v>84</v>
      </c>
      <c r="B115">
        <f>SUM(B110:B114)</f>
        <v>-1363333.3333333333</v>
      </c>
      <c r="C115">
        <f t="shared" ref="C115:D115" si="50">SUM(C110:C114)</f>
        <v>-113611.11111111111</v>
      </c>
      <c r="D115">
        <f t="shared" si="50"/>
        <v>-60300</v>
      </c>
      <c r="E115" s="43">
        <f>SUM(B115:D115)</f>
        <v>-1537244.4444444443</v>
      </c>
      <c r="F115" t="s">
        <v>85</v>
      </c>
    </row>
    <row r="117" spans="1:6" x14ac:dyDescent="0.35">
      <c r="A117" s="44" t="s">
        <v>86</v>
      </c>
      <c r="B117" s="13">
        <f>$B$35</f>
        <v>55.21</v>
      </c>
    </row>
    <row r="118" spans="1:6" x14ac:dyDescent="0.35">
      <c r="A118" t="s">
        <v>87</v>
      </c>
      <c r="B118" s="15">
        <f>$B$36</f>
        <v>75</v>
      </c>
    </row>
    <row r="119" spans="1:6" x14ac:dyDescent="0.35">
      <c r="A119" t="s">
        <v>88</v>
      </c>
      <c r="B119" s="14">
        <f>B118-B117</f>
        <v>19.79</v>
      </c>
    </row>
    <row r="121" spans="1:6" x14ac:dyDescent="0.35">
      <c r="A121" s="9" t="s">
        <v>79</v>
      </c>
    </row>
    <row r="122" spans="1:6" x14ac:dyDescent="0.35">
      <c r="A122" t="s">
        <v>89</v>
      </c>
      <c r="B122" s="7">
        <f>-E115/B119</f>
        <v>77677.839537364547</v>
      </c>
      <c r="C122" t="s">
        <v>90</v>
      </c>
    </row>
  </sheetData>
  <mergeCells count="7">
    <mergeCell ref="A107:D107"/>
    <mergeCell ref="B71:M71"/>
    <mergeCell ref="B24:D24"/>
    <mergeCell ref="B38:D38"/>
    <mergeCell ref="A54:D54"/>
    <mergeCell ref="B55:M55"/>
    <mergeCell ref="B86:M86"/>
  </mergeCells>
  <hyperlinks>
    <hyperlink ref="F50" r:id="rId1" xr:uid="{CC78D0E5-42EC-4B53-8DB6-694A790A5985}"/>
    <hyperlink ref="H2" r:id="rId2" location=":~:text=Seventy%20percent%20of%20U.S.%20households,and%2067%20percent%20in%202019." xr:uid="{BD51E16D-0321-4716-BC13-E4F6F6BC5615}"/>
    <hyperlink ref="H3" r:id="rId3" location=":~:text=For%20most%20American%20families%2C%20cars,a%20day%20in%20the%20car." xr:uid="{6EE8C6D2-EB78-43B7-9C1F-96B6BDA21AC0}"/>
    <hyperlink ref="A16" r:id="rId4" xr:uid="{E3D98E2B-238F-4557-B6E9-600F36F2AF7E}"/>
    <hyperlink ref="A13" r:id="rId5" xr:uid="{CA288287-54C9-4D65-8464-31B15C7E851B}"/>
    <hyperlink ref="A14" r:id="rId6" xr:uid="{B4DBCB36-40CB-4E5F-87B7-E3A9C6D95DC7}"/>
    <hyperlink ref="A15" r:id="rId7" xr:uid="{F7DB0B93-41A9-40F9-A072-BEF6A72FD584}"/>
  </hyperlinks>
  <pageMargins left="0.7" right="0.7" top="0.75" bottom="0.75" header="0.3" footer="0.3"/>
  <pageSetup orientation="portrait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0BFF-4E41-4A1B-83C1-4E1D31535396}">
  <dimension ref="A1:D11"/>
  <sheetViews>
    <sheetView zoomScaleNormal="100" workbookViewId="0">
      <selection activeCell="C20" sqref="C20"/>
    </sheetView>
  </sheetViews>
  <sheetFormatPr defaultRowHeight="14.5" x14ac:dyDescent="0.35"/>
  <cols>
    <col min="1" max="1" width="31.1796875" bestFit="1" customWidth="1"/>
    <col min="2" max="2" width="12.54296875" bestFit="1" customWidth="1"/>
    <col min="3" max="4" width="11.54296875" bestFit="1" customWidth="1"/>
  </cols>
  <sheetData>
    <row r="1" spans="1:4" x14ac:dyDescent="0.35">
      <c r="A1" t="s">
        <v>129</v>
      </c>
    </row>
    <row r="2" spans="1:4" x14ac:dyDescent="0.35">
      <c r="B2" s="49">
        <v>2023</v>
      </c>
      <c r="C2" s="49">
        <v>2024</v>
      </c>
      <c r="D2" s="49">
        <v>2025</v>
      </c>
    </row>
    <row r="3" spans="1:4" x14ac:dyDescent="0.35">
      <c r="A3" s="12" t="s">
        <v>130</v>
      </c>
    </row>
    <row r="4" spans="1:4" x14ac:dyDescent="0.35">
      <c r="A4" s="41" t="s">
        <v>131</v>
      </c>
      <c r="B4" s="11">
        <f>'Pro Forma Income Statement'!B26</f>
        <v>-60000</v>
      </c>
      <c r="C4" s="13">
        <v>0</v>
      </c>
      <c r="D4" s="13">
        <f>C4</f>
        <v>0</v>
      </c>
    </row>
    <row r="5" spans="1:4" x14ac:dyDescent="0.35">
      <c r="A5" s="41" t="s">
        <v>132</v>
      </c>
      <c r="B5" s="11">
        <f>'Pro Forma Income Statement'!B28</f>
        <v>-300</v>
      </c>
      <c r="C5" s="13">
        <v>0</v>
      </c>
      <c r="D5" s="13">
        <f>C5</f>
        <v>0</v>
      </c>
    </row>
    <row r="6" spans="1:4" x14ac:dyDescent="0.35">
      <c r="A6" s="12" t="s">
        <v>133</v>
      </c>
    </row>
    <row r="7" spans="1:4" x14ac:dyDescent="0.35">
      <c r="A7" s="41" t="s">
        <v>134</v>
      </c>
      <c r="B7" s="11">
        <f>'Pro Forma Income Statement'!B27</f>
        <v>-5000</v>
      </c>
      <c r="C7" s="11">
        <f>'Pro Forma Income Statement'!C27</f>
        <v>-12000</v>
      </c>
      <c r="D7" s="11">
        <f>'Pro Forma Income Statement'!D27</f>
        <v>-12000</v>
      </c>
    </row>
    <row r="8" spans="1:4" x14ac:dyDescent="0.35">
      <c r="A8" s="41" t="s">
        <v>135</v>
      </c>
      <c r="B8" s="11">
        <f>'Pro Forma Income Statement'!B30</f>
        <v>-2410500</v>
      </c>
      <c r="C8" s="11">
        <f>'Pro Forma Income Statement'!C30</f>
        <v>-6074460</v>
      </c>
      <c r="D8" s="11">
        <f>'Pro Forma Income Statement'!D30</f>
        <v>-6378183</v>
      </c>
    </row>
    <row r="9" spans="1:4" x14ac:dyDescent="0.35">
      <c r="A9" s="41" t="s">
        <v>136</v>
      </c>
      <c r="B9" s="11">
        <f>'Pro Forma Income Statement'!B31</f>
        <v>-458333.33333333331</v>
      </c>
      <c r="C9" s="11">
        <f>'Pro Forma Income Statement'!C31</f>
        <v>-525000</v>
      </c>
      <c r="D9" s="11">
        <f>'Pro Forma Income Statement'!D31</f>
        <v>-551250</v>
      </c>
    </row>
    <row r="10" spans="1:4" x14ac:dyDescent="0.35">
      <c r="A10" s="41" t="s">
        <v>137</v>
      </c>
      <c r="B10" s="11">
        <f>'Pro Forma Income Statement'!B32</f>
        <v>-900000</v>
      </c>
      <c r="C10" s="11">
        <f>'Pro Forma Income Statement'!C32</f>
        <v>-900000</v>
      </c>
      <c r="D10" s="11">
        <f>'Pro Forma Income Statement'!D32</f>
        <v>-900000</v>
      </c>
    </row>
    <row r="11" spans="1:4" x14ac:dyDescent="0.35">
      <c r="A11" s="50" t="s">
        <v>138</v>
      </c>
      <c r="B11" s="64">
        <f>SUM(B4:D10)</f>
        <v>-19187026.333333336</v>
      </c>
      <c r="C11" s="64"/>
      <c r="D11" s="64"/>
    </row>
  </sheetData>
  <mergeCells count="1">
    <mergeCell ref="B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A99E-2A1F-461D-B4DB-382E64D15AD3}">
  <dimension ref="A2:F13"/>
  <sheetViews>
    <sheetView zoomScaleNormal="100" workbookViewId="0">
      <selection activeCell="A3" sqref="A3:B3"/>
    </sheetView>
  </sheetViews>
  <sheetFormatPr defaultRowHeight="14.5" x14ac:dyDescent="0.35"/>
  <cols>
    <col min="1" max="1" width="32.54296875" bestFit="1" customWidth="1"/>
    <col min="2" max="2" width="14.54296875" bestFit="1" customWidth="1"/>
  </cols>
  <sheetData>
    <row r="2" spans="1:6" x14ac:dyDescent="0.35">
      <c r="A2" s="12" t="s">
        <v>139</v>
      </c>
    </row>
    <row r="3" spans="1:6" x14ac:dyDescent="0.35">
      <c r="A3" s="41" t="s">
        <v>140</v>
      </c>
      <c r="B3" s="11">
        <v>15000</v>
      </c>
    </row>
    <row r="4" spans="1:6" x14ac:dyDescent="0.35">
      <c r="A4" s="41" t="s">
        <v>0</v>
      </c>
      <c r="B4" s="11">
        <v>45000</v>
      </c>
    </row>
    <row r="5" spans="1:6" x14ac:dyDescent="0.35">
      <c r="A5" s="41" t="s">
        <v>141</v>
      </c>
      <c r="B5" s="11">
        <v>600000</v>
      </c>
    </row>
    <row r="6" spans="1:6" x14ac:dyDescent="0.35">
      <c r="A6" s="41" t="s">
        <v>2</v>
      </c>
      <c r="B6" s="11">
        <v>1000000</v>
      </c>
    </row>
    <row r="8" spans="1:6" x14ac:dyDescent="0.35">
      <c r="A8" s="50" t="s">
        <v>142</v>
      </c>
    </row>
    <row r="9" spans="1:6" x14ac:dyDescent="0.35">
      <c r="A9" s="41" t="s">
        <v>143</v>
      </c>
      <c r="B9" s="18" cm="1">
        <f t="array" ref="B9:D9">SUM('Start-Up Budget'!B10:D10)/('Start-Up Budget'!B11:D11-SUM('Start-Up Budget'!B8:D8))</f>
        <v>0.6244386797361936</v>
      </c>
      <c r="C9">
        <v>-0.18165740583939749</v>
      </c>
      <c r="D9">
        <v>-0.18165740583939749</v>
      </c>
    </row>
    <row r="10" spans="1:6" x14ac:dyDescent="0.35">
      <c r="A10" s="41" t="s">
        <v>136</v>
      </c>
      <c r="B10" s="18" cm="1">
        <f t="array" ref="B10:D10">SUM('Start-Up Budget'!B9:D9)/('Start-Up Budget'!B11:D11-SUM('Start-Up Budget'!B8:D8))</f>
        <v>0.35490858911549394</v>
      </c>
      <c r="C10">
        <v>-0.10324756569544767</v>
      </c>
      <c r="D10">
        <v>-0.10324756569544767</v>
      </c>
    </row>
    <row r="11" spans="1:6" x14ac:dyDescent="0.35">
      <c r="A11" s="41" t="s">
        <v>144</v>
      </c>
      <c r="B11" s="18" cm="1">
        <f t="array" ref="B11:D11">SUM('Start-Up Budget'!B4,'Start-Up Budget'!B5,'Start-Up Budget'!B7:D7)/('Start-Up Budget'!B11:D11-SUM('Start-Up Budget'!B8:D8))</f>
        <v>2.0652731148311884E-2</v>
      </c>
      <c r="C11">
        <v>-6.0081504968363692E-3</v>
      </c>
      <c r="D11">
        <v>-6.0081504968363692E-3</v>
      </c>
      <c r="F11" s="12"/>
    </row>
    <row r="12" spans="1:6" x14ac:dyDescent="0.35">
      <c r="A12" s="41"/>
      <c r="B12" s="52"/>
    </row>
    <row r="13" spans="1:6" x14ac:dyDescent="0.35">
      <c r="B13" s="5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0F0F-BF85-45FA-8C1B-71A5B58196D4}">
  <dimension ref="A1:M135"/>
  <sheetViews>
    <sheetView topLeftCell="A112" zoomScaleNormal="100" workbookViewId="0">
      <selection activeCell="D31" sqref="D31"/>
    </sheetView>
  </sheetViews>
  <sheetFormatPr defaultRowHeight="14.5" x14ac:dyDescent="0.35"/>
  <cols>
    <col min="1" max="1" width="32.54296875" bestFit="1" customWidth="1"/>
    <col min="2" max="2" width="15.26953125" customWidth="1"/>
    <col min="3" max="3" width="17.7265625" bestFit="1" customWidth="1"/>
    <col min="4" max="4" width="15.26953125" customWidth="1"/>
    <col min="5" max="5" width="19.54296875" bestFit="1" customWidth="1"/>
    <col min="6" max="6" width="15.26953125" customWidth="1"/>
    <col min="7" max="7" width="22.1796875" bestFit="1" customWidth="1"/>
    <col min="8" max="13" width="15.26953125" customWidth="1"/>
    <col min="14" max="14" width="11.2695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  <c r="F2" s="3">
        <v>69000000</v>
      </c>
      <c r="G2" t="s">
        <v>5</v>
      </c>
      <c r="H2" s="4" t="s">
        <v>6</v>
      </c>
    </row>
    <row r="3" spans="1:10" x14ac:dyDescent="0.35">
      <c r="A3" t="s">
        <v>7</v>
      </c>
      <c r="F3" s="5">
        <v>0.91</v>
      </c>
      <c r="G3" t="s">
        <v>8</v>
      </c>
      <c r="H3" s="4" t="s">
        <v>6</v>
      </c>
    </row>
    <row r="7" spans="1:10" x14ac:dyDescent="0.35">
      <c r="A7" t="s">
        <v>9</v>
      </c>
      <c r="F7" s="7">
        <f>$F$2*$F$3</f>
        <v>62790000</v>
      </c>
    </row>
    <row r="8" spans="1:10" x14ac:dyDescent="0.35">
      <c r="A8" t="s">
        <v>10</v>
      </c>
      <c r="F8" s="8">
        <f>F7*50%</f>
        <v>31395000</v>
      </c>
      <c r="G8" t="s">
        <v>11</v>
      </c>
    </row>
    <row r="9" spans="1:10" x14ac:dyDescent="0.35">
      <c r="A9" t="s">
        <v>12</v>
      </c>
      <c r="F9" s="8">
        <f>F8*30%</f>
        <v>9418500</v>
      </c>
      <c r="G9" s="10" t="s">
        <v>13</v>
      </c>
    </row>
    <row r="10" spans="1:10" x14ac:dyDescent="0.35">
      <c r="F10" s="8"/>
      <c r="G10" s="10"/>
    </row>
    <row r="11" spans="1:10" x14ac:dyDescent="0.35">
      <c r="A11" s="12" t="s">
        <v>14</v>
      </c>
    </row>
    <row r="12" spans="1:10" x14ac:dyDescent="0.35">
      <c r="A12" t="s">
        <v>15</v>
      </c>
    </row>
    <row r="13" spans="1:10" x14ac:dyDescent="0.35">
      <c r="A13" s="4" t="s">
        <v>16</v>
      </c>
      <c r="F13" s="13">
        <v>46</v>
      </c>
      <c r="J13" s="13"/>
    </row>
    <row r="14" spans="1:10" ht="15" thickBot="1" x14ac:dyDescent="0.4">
      <c r="A14" s="4" t="s">
        <v>17</v>
      </c>
      <c r="F14" s="13">
        <v>19.989999999999998</v>
      </c>
      <c r="J14" s="13"/>
    </row>
    <row r="15" spans="1:10" ht="15" thickBot="1" x14ac:dyDescent="0.4">
      <c r="A15" s="58" t="s">
        <v>18</v>
      </c>
      <c r="F15" s="13">
        <v>42.95</v>
      </c>
      <c r="J15" s="13"/>
    </row>
    <row r="16" spans="1:10" x14ac:dyDescent="0.35">
      <c r="A16" s="4" t="s">
        <v>19</v>
      </c>
      <c r="F16" s="15">
        <v>119.99</v>
      </c>
      <c r="J16" s="13"/>
    </row>
    <row r="17" spans="1:13" x14ac:dyDescent="0.35">
      <c r="A17" s="12" t="s">
        <v>20</v>
      </c>
      <c r="F17" s="14">
        <f>AVERAGE(F13:F16)</f>
        <v>57.232500000000002</v>
      </c>
      <c r="G17" t="s">
        <v>21</v>
      </c>
      <c r="J17" s="13"/>
    </row>
    <row r="18" spans="1:13" x14ac:dyDescent="0.35">
      <c r="J18" s="13"/>
    </row>
    <row r="19" spans="1:13" x14ac:dyDescent="0.35">
      <c r="A19" t="s">
        <v>22</v>
      </c>
      <c r="F19" s="14">
        <f>F17-(40%*F17)</f>
        <v>34.339500000000001</v>
      </c>
      <c r="G19" t="s">
        <v>23</v>
      </c>
    </row>
    <row r="20" spans="1:13" x14ac:dyDescent="0.35">
      <c r="A20" t="s">
        <v>24</v>
      </c>
      <c r="E20" s="13"/>
      <c r="F20" s="13">
        <v>48.21</v>
      </c>
      <c r="G20" s="16" t="s">
        <v>25</v>
      </c>
    </row>
    <row r="22" spans="1:13" x14ac:dyDescent="0.35">
      <c r="A22" t="s">
        <v>26</v>
      </c>
      <c r="F22" s="11">
        <v>150000</v>
      </c>
      <c r="G22" t="s">
        <v>27</v>
      </c>
    </row>
    <row r="24" spans="1:13" x14ac:dyDescent="0.35">
      <c r="B24" s="61" t="s">
        <v>28</v>
      </c>
      <c r="C24" s="61"/>
      <c r="D24" s="61"/>
    </row>
    <row r="25" spans="1:13" x14ac:dyDescent="0.35">
      <c r="A25" t="s">
        <v>29</v>
      </c>
      <c r="B25" s="1" t="s">
        <v>30</v>
      </c>
      <c r="C25" s="1" t="s">
        <v>31</v>
      </c>
      <c r="D25" s="1" t="s">
        <v>32</v>
      </c>
      <c r="G25" t="s">
        <v>34</v>
      </c>
    </row>
    <row r="26" spans="1:13" x14ac:dyDescent="0.35">
      <c r="A26" t="s">
        <v>1</v>
      </c>
      <c r="B26" s="11">
        <v>-60000</v>
      </c>
      <c r="C26" s="1" t="s">
        <v>33</v>
      </c>
      <c r="D26" s="1" t="s">
        <v>33</v>
      </c>
      <c r="G26" t="s">
        <v>36</v>
      </c>
    </row>
    <row r="27" spans="1:13" x14ac:dyDescent="0.35">
      <c r="A27" t="s">
        <v>35</v>
      </c>
      <c r="B27" s="11">
        <f>'Pro Forma Income Statement'!B27</f>
        <v>-5000</v>
      </c>
      <c r="C27" s="11">
        <f>'Pro Forma Income Statement'!C27</f>
        <v>-12000</v>
      </c>
      <c r="D27" s="11">
        <f>'Pro Forma Income Statement'!D27</f>
        <v>-12000</v>
      </c>
    </row>
    <row r="28" spans="1:13" x14ac:dyDescent="0.35">
      <c r="A28" t="s">
        <v>37</v>
      </c>
      <c r="B28" s="11">
        <v>-300</v>
      </c>
      <c r="C28" s="1" t="s">
        <v>33</v>
      </c>
      <c r="D28" s="1" t="s">
        <v>33</v>
      </c>
    </row>
    <row r="29" spans="1:13" x14ac:dyDescent="0.35">
      <c r="A29" t="s">
        <v>38</v>
      </c>
      <c r="B29" s="7">
        <v>50000</v>
      </c>
      <c r="C29" s="21">
        <f>120000*1.05</f>
        <v>126000</v>
      </c>
      <c r="D29" s="21">
        <f>C29*1.05</f>
        <v>132300</v>
      </c>
    </row>
    <row r="30" spans="1:13" x14ac:dyDescent="0.35">
      <c r="A30" t="s">
        <v>40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39</v>
      </c>
      <c r="M30" s="5">
        <v>0.05</v>
      </c>
    </row>
    <row r="31" spans="1:13" x14ac:dyDescent="0.35">
      <c r="A31" t="s">
        <v>43</v>
      </c>
      <c r="B31" s="11">
        <f>'Pro Forma Income Statement'!B31</f>
        <v>-458333.33333333331</v>
      </c>
      <c r="C31" s="11">
        <f>'Pro Forma Income Statement'!C31</f>
        <v>-525000</v>
      </c>
      <c r="D31" s="11">
        <f>'Pro Forma Income Statement'!D31</f>
        <v>-551250</v>
      </c>
      <c r="G31" t="s">
        <v>41</v>
      </c>
      <c r="I31" s="19">
        <f>120000/F9</f>
        <v>1.2740882306099698E-2</v>
      </c>
      <c r="J31" t="s">
        <v>42</v>
      </c>
    </row>
    <row r="32" spans="1:13" x14ac:dyDescent="0.35">
      <c r="A32" t="s">
        <v>45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35">
      <c r="A33" t="s">
        <v>46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35">
      <c r="A35" t="s">
        <v>47</v>
      </c>
      <c r="B35" s="13">
        <f>'Pro Forma Income Statement'!$B$35</f>
        <v>55.21</v>
      </c>
    </row>
    <row r="36" spans="1:7" x14ac:dyDescent="0.35">
      <c r="A36" t="s">
        <v>49</v>
      </c>
      <c r="B36" s="13">
        <f>'Pro Forma Income Statement'!$B$36</f>
        <v>75</v>
      </c>
      <c r="G36" s="16" t="s">
        <v>91</v>
      </c>
    </row>
    <row r="38" spans="1:7" x14ac:dyDescent="0.35">
      <c r="B38" s="61" t="s">
        <v>51</v>
      </c>
      <c r="C38" s="61"/>
      <c r="D38" s="61"/>
      <c r="E38" s="61"/>
      <c r="F38" s="61"/>
    </row>
    <row r="39" spans="1:7" x14ac:dyDescent="0.35">
      <c r="A39" t="s">
        <v>29</v>
      </c>
      <c r="B39" s="1" t="s">
        <v>30</v>
      </c>
      <c r="C39" s="1" t="s">
        <v>31</v>
      </c>
      <c r="D39" s="1" t="s">
        <v>32</v>
      </c>
      <c r="E39" s="1" t="s">
        <v>145</v>
      </c>
      <c r="F39" s="1" t="s">
        <v>146</v>
      </c>
    </row>
    <row r="40" spans="1:7" x14ac:dyDescent="0.35">
      <c r="A40" t="s">
        <v>1</v>
      </c>
      <c r="B40" s="11">
        <v>-60000</v>
      </c>
      <c r="C40" s="1" t="s">
        <v>33</v>
      </c>
      <c r="D40" s="1" t="s">
        <v>33</v>
      </c>
      <c r="E40" s="1" t="s">
        <v>33</v>
      </c>
      <c r="F40" s="1" t="s">
        <v>33</v>
      </c>
    </row>
    <row r="41" spans="1:7" x14ac:dyDescent="0.35">
      <c r="A41" t="s">
        <v>35</v>
      </c>
      <c r="B41" s="11">
        <f>B27</f>
        <v>-5000</v>
      </c>
      <c r="C41" s="11">
        <f>C27</f>
        <v>-12000</v>
      </c>
      <c r="D41" s="11">
        <f>D27</f>
        <v>-12000</v>
      </c>
      <c r="E41" s="11">
        <f>D41</f>
        <v>-12000</v>
      </c>
      <c r="F41" s="11">
        <f>E41</f>
        <v>-12000</v>
      </c>
    </row>
    <row r="42" spans="1:7" x14ac:dyDescent="0.35">
      <c r="A42" t="s">
        <v>37</v>
      </c>
      <c r="B42" s="11">
        <v>-300</v>
      </c>
      <c r="C42" s="1" t="s">
        <v>33</v>
      </c>
      <c r="D42" s="1" t="s">
        <v>33</v>
      </c>
      <c r="E42" s="1" t="s">
        <v>33</v>
      </c>
      <c r="F42" s="1" t="s">
        <v>33</v>
      </c>
    </row>
    <row r="43" spans="1:7" x14ac:dyDescent="0.35">
      <c r="A43" t="s">
        <v>38</v>
      </c>
      <c r="B43" s="7">
        <v>50000</v>
      </c>
      <c r="C43" s="21">
        <f>120000*1.05</f>
        <v>126000</v>
      </c>
      <c r="D43" s="21">
        <f>C43*1.05</f>
        <v>132300</v>
      </c>
      <c r="E43" s="21">
        <f>D43*1.05</f>
        <v>138915</v>
      </c>
      <c r="F43" s="21">
        <f>E43*1.05</f>
        <v>145860.75</v>
      </c>
    </row>
    <row r="44" spans="1:7" x14ac:dyDescent="0.35">
      <c r="A44" t="s">
        <v>40</v>
      </c>
      <c r="B44" s="11">
        <f>-B43*$F$20</f>
        <v>-2410500</v>
      </c>
      <c r="C44" s="13">
        <f>-C43*$F$20</f>
        <v>-6074460</v>
      </c>
      <c r="D44" s="13">
        <f>-D43*$F$20</f>
        <v>-6378183</v>
      </c>
      <c r="E44" s="13">
        <f>-E43*$F$20</f>
        <v>-6697092.1500000004</v>
      </c>
      <c r="F44" s="13">
        <f>-F43*$F$20</f>
        <v>-7031946.7575000003</v>
      </c>
    </row>
    <row r="45" spans="1:7" x14ac:dyDescent="0.35">
      <c r="A45" t="s">
        <v>43</v>
      </c>
      <c r="B45" s="11">
        <f>B31</f>
        <v>-458333.33333333331</v>
      </c>
      <c r="C45" s="11">
        <f>C31</f>
        <v>-525000</v>
      </c>
      <c r="D45" s="11">
        <f>D31</f>
        <v>-551250</v>
      </c>
      <c r="E45" s="11">
        <f>D45*1.05</f>
        <v>-578812.5</v>
      </c>
      <c r="F45" s="11">
        <f>E45*1.05</f>
        <v>-607753.125</v>
      </c>
    </row>
    <row r="46" spans="1:7" x14ac:dyDescent="0.35">
      <c r="A46" t="s">
        <v>45</v>
      </c>
      <c r="B46" s="20">
        <f>'Pro Forma Income Statement'!B46</f>
        <v>-900000</v>
      </c>
      <c r="C46" s="20">
        <f>'Pro Forma Income Statement'!C46</f>
        <v>-900000</v>
      </c>
      <c r="D46" s="20">
        <f>'Pro Forma Income Statement'!D46</f>
        <v>-900000</v>
      </c>
      <c r="E46" s="20">
        <f>D46</f>
        <v>-900000</v>
      </c>
      <c r="F46" s="20">
        <f>E46</f>
        <v>-900000</v>
      </c>
    </row>
    <row r="47" spans="1:7" x14ac:dyDescent="0.35">
      <c r="A47" t="s">
        <v>46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  <c r="E47" s="11">
        <f>SUM(E40:E46)-E43</f>
        <v>-8187904.6500000004</v>
      </c>
      <c r="F47" s="11">
        <f>SUM(F40:F46)-F43</f>
        <v>-8551699.8825000003</v>
      </c>
    </row>
    <row r="48" spans="1:7" x14ac:dyDescent="0.35">
      <c r="A48" t="s">
        <v>52</v>
      </c>
      <c r="B48" s="22">
        <f>B43*$B$36</f>
        <v>3750000</v>
      </c>
      <c r="C48" s="22">
        <f>C43*$B$36</f>
        <v>9450000</v>
      </c>
      <c r="D48" s="22">
        <f>D43*$B$36</f>
        <v>9922500</v>
      </c>
      <c r="E48" s="22">
        <f>E43*$B$36</f>
        <v>10418625</v>
      </c>
      <c r="F48" s="22">
        <f>F43*$B$36</f>
        <v>10939556.25</v>
      </c>
    </row>
    <row r="49" spans="1:13" x14ac:dyDescent="0.35">
      <c r="A49" t="s">
        <v>53</v>
      </c>
      <c r="B49" s="27">
        <f>B48+B47</f>
        <v>-84133.333333333489</v>
      </c>
      <c r="C49" s="23">
        <f t="shared" ref="C49:D49" si="0">C48+C47</f>
        <v>1938540</v>
      </c>
      <c r="D49" s="23">
        <f t="shared" si="0"/>
        <v>2081067</v>
      </c>
      <c r="E49" s="23">
        <f t="shared" ref="E49:F49" si="1">E48+E47</f>
        <v>2230720.3499999996</v>
      </c>
      <c r="F49" s="23">
        <f t="shared" si="1"/>
        <v>2387856.3674999997</v>
      </c>
    </row>
    <row r="50" spans="1:13" x14ac:dyDescent="0.35">
      <c r="A50" t="s">
        <v>54</v>
      </c>
      <c r="B50" s="26" t="s">
        <v>33</v>
      </c>
      <c r="C50" s="23">
        <f>C49*$I$50</f>
        <v>407093.39999999997</v>
      </c>
      <c r="D50" s="23">
        <f>D49*$I$50</f>
        <v>437024.07</v>
      </c>
      <c r="E50" s="23">
        <f>E49*$I$50</f>
        <v>468451.27349999989</v>
      </c>
      <c r="F50" s="23">
        <f>F49*$I$50</f>
        <v>501449.83717499994</v>
      </c>
      <c r="I50" s="5">
        <v>0.21</v>
      </c>
      <c r="J50" s="4" t="s">
        <v>55</v>
      </c>
    </row>
    <row r="51" spans="1:13" x14ac:dyDescent="0.35">
      <c r="A51" t="s">
        <v>56</v>
      </c>
      <c r="B51" s="28">
        <f>SUM(B67:M67)</f>
        <v>-510478.33333333302</v>
      </c>
      <c r="C51" s="23">
        <f>C49-C50</f>
        <v>1531446.6</v>
      </c>
      <c r="D51" s="23">
        <f>D49-D50</f>
        <v>1644042.93</v>
      </c>
      <c r="E51" s="23">
        <f>E49-E50</f>
        <v>1762269.0764999997</v>
      </c>
      <c r="F51" s="23">
        <f>F49-F50</f>
        <v>1886406.5303249997</v>
      </c>
    </row>
    <row r="54" spans="1:13" ht="18.5" x14ac:dyDescent="0.45">
      <c r="A54" s="1"/>
      <c r="B54" s="63" t="s">
        <v>58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</row>
    <row r="55" spans="1:13" x14ac:dyDescent="0.35">
      <c r="A55" s="1"/>
      <c r="B55" s="1" t="s">
        <v>92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97</v>
      </c>
      <c r="H55" s="1" t="s">
        <v>98</v>
      </c>
      <c r="I55" s="1" t="s">
        <v>99</v>
      </c>
      <c r="J55" s="1" t="s">
        <v>100</v>
      </c>
      <c r="K55" s="1" t="s">
        <v>101</v>
      </c>
      <c r="L55" s="1" t="s">
        <v>102</v>
      </c>
      <c r="M55" s="30" t="s">
        <v>103</v>
      </c>
    </row>
    <row r="56" spans="1:13" x14ac:dyDescent="0.35">
      <c r="A56" t="s">
        <v>1</v>
      </c>
      <c r="B56" s="23">
        <f>'Pro Forma Income Statement'!B57</f>
        <v>0</v>
      </c>
      <c r="C56" s="23">
        <f>'Pro Forma Income Statement'!C57</f>
        <v>0</v>
      </c>
      <c r="D56" s="27">
        <f>'Pro Forma Income Statement'!D57</f>
        <v>-60000</v>
      </c>
      <c r="E56" s="23">
        <f>'Pro Forma Income Statement'!E57</f>
        <v>0</v>
      </c>
      <c r="F56" s="23">
        <f>'Pro Forma Income Statement'!F57</f>
        <v>0</v>
      </c>
      <c r="G56" s="23">
        <f>'Pro Forma Income Statement'!G57</f>
        <v>0</v>
      </c>
      <c r="H56" s="23">
        <f>'Pro Forma Income Statement'!H57</f>
        <v>0</v>
      </c>
      <c r="I56" s="23">
        <f>'Pro Forma Income Statement'!I57</f>
        <v>0</v>
      </c>
      <c r="J56" s="23">
        <f>'Pro Forma Income Statement'!J57</f>
        <v>0</v>
      </c>
      <c r="K56" s="23">
        <f>'Pro Forma Income Statement'!K57</f>
        <v>0</v>
      </c>
      <c r="L56" s="23">
        <f>'Pro Forma Income Statement'!L57</f>
        <v>0</v>
      </c>
      <c r="M56" s="34">
        <f>'Pro Forma Income Statement'!M57</f>
        <v>0</v>
      </c>
    </row>
    <row r="57" spans="1:13" x14ac:dyDescent="0.35">
      <c r="A57" t="s">
        <v>35</v>
      </c>
      <c r="B57" s="23">
        <f>'Pro Forma Income Statement'!B58</f>
        <v>0</v>
      </c>
      <c r="C57" s="23">
        <f>'Pro Forma Income Statement'!C58</f>
        <v>0</v>
      </c>
      <c r="D57" s="23">
        <f>'Pro Forma Income Statement'!D58</f>
        <v>0</v>
      </c>
      <c r="E57" s="23">
        <f>'Pro Forma Income Statement'!E58</f>
        <v>0</v>
      </c>
      <c r="F57" s="23">
        <f>'Pro Forma Income Statement'!F58</f>
        <v>0</v>
      </c>
      <c r="G57" s="23">
        <f>'Pro Forma Income Statement'!G58</f>
        <v>0</v>
      </c>
      <c r="H57" s="23">
        <f>'Pro Forma Income Statement'!H58</f>
        <v>0</v>
      </c>
      <c r="I57" s="23">
        <f>'Pro Forma Income Statement'!I58</f>
        <v>1000</v>
      </c>
      <c r="J57" s="23">
        <f>'Pro Forma Income Statement'!J58</f>
        <v>1000</v>
      </c>
      <c r="K57" s="23">
        <f>'Pro Forma Income Statement'!K58</f>
        <v>1000</v>
      </c>
      <c r="L57" s="23">
        <f>'Pro Forma Income Statement'!L58</f>
        <v>1000</v>
      </c>
      <c r="M57" s="34">
        <f>'Pro Forma Income Statement'!M58</f>
        <v>1000</v>
      </c>
    </row>
    <row r="58" spans="1:13" x14ac:dyDescent="0.35">
      <c r="A58" t="s">
        <v>37</v>
      </c>
      <c r="B58" s="11">
        <f>B42</f>
        <v>-300</v>
      </c>
      <c r="I58" s="1" t="s">
        <v>33</v>
      </c>
      <c r="J58" s="1" t="s">
        <v>33</v>
      </c>
      <c r="K58" s="1" t="s">
        <v>33</v>
      </c>
      <c r="L58" s="1" t="s">
        <v>33</v>
      </c>
      <c r="M58" s="36" t="s">
        <v>33</v>
      </c>
    </row>
    <row r="59" spans="1:13" x14ac:dyDescent="0.35">
      <c r="A59" t="s">
        <v>38</v>
      </c>
      <c r="B59" s="1" t="s">
        <v>33</v>
      </c>
      <c r="C59" s="1" t="s">
        <v>33</v>
      </c>
      <c r="D59" s="1" t="s">
        <v>33</v>
      </c>
      <c r="E59" s="1" t="s">
        <v>33</v>
      </c>
      <c r="F59" s="1" t="s">
        <v>33</v>
      </c>
      <c r="G59" s="1" t="s">
        <v>33</v>
      </c>
      <c r="H59" s="1" t="s">
        <v>33</v>
      </c>
      <c r="I59" s="24">
        <v>10000</v>
      </c>
      <c r="J59" s="24">
        <f>I59</f>
        <v>10000</v>
      </c>
      <c r="K59" s="24">
        <f t="shared" ref="K59:M59" si="2">J59</f>
        <v>10000</v>
      </c>
      <c r="L59" s="24">
        <f t="shared" si="2"/>
        <v>10000</v>
      </c>
      <c r="M59" s="37">
        <f t="shared" si="2"/>
        <v>10000</v>
      </c>
    </row>
    <row r="60" spans="1:13" x14ac:dyDescent="0.35">
      <c r="A60" t="s">
        <v>40</v>
      </c>
      <c r="B60" s="1" t="s">
        <v>33</v>
      </c>
      <c r="C60" s="1" t="s">
        <v>33</v>
      </c>
      <c r="D60" s="1" t="s">
        <v>33</v>
      </c>
      <c r="E60" s="1" t="s">
        <v>33</v>
      </c>
      <c r="F60" s="1" t="s">
        <v>33</v>
      </c>
      <c r="G60" s="1" t="s">
        <v>33</v>
      </c>
      <c r="H60" s="1" t="s">
        <v>33</v>
      </c>
      <c r="I60" s="13">
        <f>-I59*$B$35</f>
        <v>-552100</v>
      </c>
      <c r="J60" s="13">
        <f t="shared" ref="J60:M60" si="3">-J59*$B$35</f>
        <v>-552100</v>
      </c>
      <c r="K60" s="13">
        <f t="shared" si="3"/>
        <v>-552100</v>
      </c>
      <c r="L60" s="13">
        <f t="shared" si="3"/>
        <v>-552100</v>
      </c>
      <c r="M60" s="35">
        <f t="shared" si="3"/>
        <v>-552100</v>
      </c>
    </row>
    <row r="61" spans="1:13" x14ac:dyDescent="0.35">
      <c r="A61" t="s">
        <v>43</v>
      </c>
      <c r="B61" s="23">
        <f>'Pro Forma Income Statement'!B62</f>
        <v>0</v>
      </c>
      <c r="C61" s="27">
        <f>'Pro Forma Income Statement'!C62</f>
        <v>-41666.666666666664</v>
      </c>
      <c r="D61" s="27">
        <f>'Pro Forma Income Statement'!D62</f>
        <v>-41666.666666666664</v>
      </c>
      <c r="E61" s="27">
        <f>'Pro Forma Income Statement'!E62</f>
        <v>-41666.666666666664</v>
      </c>
      <c r="F61" s="27">
        <f>'Pro Forma Income Statement'!F62</f>
        <v>-41666.666666666664</v>
      </c>
      <c r="G61" s="27">
        <f>'Pro Forma Income Statement'!G62</f>
        <v>-41666.666666666664</v>
      </c>
      <c r="H61" s="27">
        <f>'Pro Forma Income Statement'!H62</f>
        <v>-41666.666666666664</v>
      </c>
      <c r="I61" s="27">
        <f>'Pro Forma Income Statement'!I62</f>
        <v>-41666.666666666664</v>
      </c>
      <c r="J61" s="27">
        <f>'Pro Forma Income Statement'!J62</f>
        <v>-41666.666666666664</v>
      </c>
      <c r="K61" s="27">
        <f>'Pro Forma Income Statement'!K62</f>
        <v>-41666.666666666664</v>
      </c>
      <c r="L61" s="27">
        <f>'Pro Forma Income Statement'!L62</f>
        <v>-41666.666666666664</v>
      </c>
      <c r="M61" s="53">
        <f>'Pro Forma Income Statement'!M62</f>
        <v>-41666.666666666664</v>
      </c>
    </row>
    <row r="62" spans="1:13" x14ac:dyDescent="0.35">
      <c r="A62" t="s">
        <v>45</v>
      </c>
      <c r="B62" s="11">
        <f>$B$46/12</f>
        <v>-75000</v>
      </c>
      <c r="C62" s="11">
        <f t="shared" ref="C62:M62" si="4">$B$46/12</f>
        <v>-75000</v>
      </c>
      <c r="D62" s="11">
        <f t="shared" si="4"/>
        <v>-75000</v>
      </c>
      <c r="E62" s="11">
        <f t="shared" si="4"/>
        <v>-75000</v>
      </c>
      <c r="F62" s="11">
        <f t="shared" si="4"/>
        <v>-75000</v>
      </c>
      <c r="G62" s="11">
        <f t="shared" si="4"/>
        <v>-75000</v>
      </c>
      <c r="H62" s="11">
        <f t="shared" si="4"/>
        <v>-75000</v>
      </c>
      <c r="I62" s="11">
        <f t="shared" si="4"/>
        <v>-75000</v>
      </c>
      <c r="J62" s="11">
        <f t="shared" si="4"/>
        <v>-75000</v>
      </c>
      <c r="K62" s="11">
        <f t="shared" si="4"/>
        <v>-75000</v>
      </c>
      <c r="L62" s="11">
        <f t="shared" si="4"/>
        <v>-75000</v>
      </c>
      <c r="M62" s="31">
        <f t="shared" si="4"/>
        <v>-75000</v>
      </c>
    </row>
    <row r="63" spans="1:13" x14ac:dyDescent="0.35">
      <c r="A63" t="s">
        <v>46</v>
      </c>
      <c r="B63" s="11">
        <f>SUM(B56:B62)</f>
        <v>-75300</v>
      </c>
      <c r="C63" s="11">
        <f t="shared" ref="C63:H63" si="5">SUM(C56:C62)</f>
        <v>-116666.66666666666</v>
      </c>
      <c r="D63" s="11">
        <f t="shared" si="5"/>
        <v>-176666.66666666666</v>
      </c>
      <c r="E63" s="11">
        <f t="shared" si="5"/>
        <v>-116666.66666666666</v>
      </c>
      <c r="F63" s="11">
        <f t="shared" si="5"/>
        <v>-116666.66666666666</v>
      </c>
      <c r="G63" s="11">
        <f t="shared" si="5"/>
        <v>-116666.66666666666</v>
      </c>
      <c r="H63" s="11">
        <f t="shared" si="5"/>
        <v>-116666.66666666666</v>
      </c>
      <c r="I63" s="25">
        <f>SUM(I56:I62)-I59</f>
        <v>-667766.66666666663</v>
      </c>
      <c r="J63" s="25">
        <f t="shared" ref="J63:M63" si="6">SUM(J56:J62)-J59</f>
        <v>-667766.66666666663</v>
      </c>
      <c r="K63" s="25">
        <f t="shared" si="6"/>
        <v>-667766.66666666663</v>
      </c>
      <c r="L63" s="25">
        <f t="shared" si="6"/>
        <v>-667766.66666666663</v>
      </c>
      <c r="M63" s="38">
        <f t="shared" si="6"/>
        <v>-667766.66666666663</v>
      </c>
    </row>
    <row r="64" spans="1:13" x14ac:dyDescent="0.35">
      <c r="A64" t="s">
        <v>52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22">
        <f>I59*$B$36</f>
        <v>750000</v>
      </c>
      <c r="J64" s="22">
        <f t="shared" ref="J64:M64" si="7">J59*$B$36</f>
        <v>750000</v>
      </c>
      <c r="K64" s="22">
        <f t="shared" si="7"/>
        <v>750000</v>
      </c>
      <c r="L64" s="22">
        <f t="shared" si="7"/>
        <v>750000</v>
      </c>
      <c r="M64" s="39">
        <f t="shared" si="7"/>
        <v>750000</v>
      </c>
    </row>
    <row r="65" spans="1:13" x14ac:dyDescent="0.35">
      <c r="A65" t="s">
        <v>53</v>
      </c>
      <c r="B65" s="11">
        <f>SUM(B63)</f>
        <v>-75300</v>
      </c>
      <c r="C65" s="11">
        <f t="shared" ref="C65:H65" si="8">SUM(C63)</f>
        <v>-116666.66666666666</v>
      </c>
      <c r="D65" s="11">
        <f t="shared" si="8"/>
        <v>-176666.66666666666</v>
      </c>
      <c r="E65" s="11">
        <f t="shared" si="8"/>
        <v>-116666.66666666666</v>
      </c>
      <c r="F65" s="11">
        <f t="shared" si="8"/>
        <v>-116666.66666666666</v>
      </c>
      <c r="G65" s="11">
        <f t="shared" si="8"/>
        <v>-116666.66666666666</v>
      </c>
      <c r="H65" s="11">
        <f t="shared" si="8"/>
        <v>-116666.66666666666</v>
      </c>
      <c r="I65" s="17">
        <f>SUM(I63+I64)</f>
        <v>82233.333333333372</v>
      </c>
      <c r="J65" s="17">
        <f t="shared" ref="J65:M65" si="9">SUM(J63+J64)</f>
        <v>82233.333333333372</v>
      </c>
      <c r="K65" s="17">
        <f t="shared" si="9"/>
        <v>82233.333333333372</v>
      </c>
      <c r="L65" s="17">
        <f t="shared" si="9"/>
        <v>82233.333333333372</v>
      </c>
      <c r="M65" s="40">
        <f t="shared" si="9"/>
        <v>82233.333333333372</v>
      </c>
    </row>
    <row r="66" spans="1:13" x14ac:dyDescent="0.35">
      <c r="A66" t="s">
        <v>54</v>
      </c>
      <c r="B66" s="1" t="s">
        <v>33</v>
      </c>
      <c r="C66" s="1" t="s">
        <v>33</v>
      </c>
      <c r="D66" s="1" t="s">
        <v>33</v>
      </c>
      <c r="E66" s="1" t="s">
        <v>33</v>
      </c>
      <c r="F66" s="1" t="s">
        <v>33</v>
      </c>
      <c r="G66" s="1" t="s">
        <v>33</v>
      </c>
      <c r="H66" s="1" t="s">
        <v>33</v>
      </c>
      <c r="I66" s="17">
        <f>I65*$I$50</f>
        <v>17269.000000000007</v>
      </c>
      <c r="J66" s="17">
        <f>J65*$I$50</f>
        <v>17269.000000000007</v>
      </c>
      <c r="K66" s="17">
        <f>K65*$I$50</f>
        <v>17269.000000000007</v>
      </c>
      <c r="L66" s="17">
        <f>L65*$I$50</f>
        <v>17269.000000000007</v>
      </c>
      <c r="M66" s="40">
        <f>M65*$I$50</f>
        <v>17269.000000000007</v>
      </c>
    </row>
    <row r="67" spans="1:13" x14ac:dyDescent="0.35">
      <c r="A67" t="s">
        <v>71</v>
      </c>
      <c r="B67" s="11">
        <f>B65</f>
        <v>-75300</v>
      </c>
      <c r="C67" s="11">
        <f t="shared" ref="C67:H67" si="10">C65</f>
        <v>-116666.66666666666</v>
      </c>
      <c r="D67" s="11">
        <f t="shared" si="10"/>
        <v>-176666.66666666666</v>
      </c>
      <c r="E67" s="11">
        <f t="shared" si="10"/>
        <v>-116666.66666666666</v>
      </c>
      <c r="F67" s="11">
        <f t="shared" si="10"/>
        <v>-116666.66666666666</v>
      </c>
      <c r="G67" s="11">
        <f t="shared" si="10"/>
        <v>-116666.66666666666</v>
      </c>
      <c r="H67" s="11">
        <f t="shared" si="10"/>
        <v>-116666.66666666666</v>
      </c>
      <c r="I67" s="17">
        <f>I65-I66</f>
        <v>64964.333333333365</v>
      </c>
      <c r="J67" s="17">
        <f t="shared" ref="J67:M67" si="11">J65-J66</f>
        <v>64964.333333333365</v>
      </c>
      <c r="K67" s="17">
        <f t="shared" si="11"/>
        <v>64964.333333333365</v>
      </c>
      <c r="L67" s="17">
        <f t="shared" si="11"/>
        <v>64964.333333333365</v>
      </c>
      <c r="M67" s="40">
        <f t="shared" si="11"/>
        <v>64964.333333333365</v>
      </c>
    </row>
    <row r="68" spans="1:13" x14ac:dyDescent="0.35">
      <c r="A68" s="9" t="s">
        <v>104</v>
      </c>
      <c r="B68" s="11">
        <f>B67</f>
        <v>-75300</v>
      </c>
      <c r="C68" s="11">
        <f>B68+C67</f>
        <v>-191966.66666666666</v>
      </c>
      <c r="D68" s="11">
        <f t="shared" ref="D68:M68" si="12">C68+D67</f>
        <v>-368633.33333333331</v>
      </c>
      <c r="E68" s="11">
        <f t="shared" si="12"/>
        <v>-485300</v>
      </c>
      <c r="F68" s="11">
        <f t="shared" si="12"/>
        <v>-601966.66666666663</v>
      </c>
      <c r="G68" s="11">
        <f t="shared" si="12"/>
        <v>-718633.33333333326</v>
      </c>
      <c r="H68" s="11">
        <f t="shared" si="12"/>
        <v>-835299.99999999988</v>
      </c>
      <c r="I68" s="11">
        <f t="shared" si="12"/>
        <v>-770335.66666666651</v>
      </c>
      <c r="J68" s="11">
        <f t="shared" si="12"/>
        <v>-705371.33333333314</v>
      </c>
      <c r="K68" s="11">
        <f t="shared" si="12"/>
        <v>-640406.99999999977</v>
      </c>
      <c r="L68" s="11">
        <f t="shared" si="12"/>
        <v>-575442.6666666664</v>
      </c>
      <c r="M68" s="11">
        <f t="shared" si="12"/>
        <v>-510478.33333333302</v>
      </c>
    </row>
    <row r="70" spans="1:13" ht="18.5" x14ac:dyDescent="0.45">
      <c r="B70" s="63" t="s">
        <v>72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</row>
    <row r="71" spans="1:13" x14ac:dyDescent="0.35">
      <c r="A71" s="1"/>
      <c r="B71" s="1" t="s">
        <v>105</v>
      </c>
      <c r="C71" s="1" t="s">
        <v>106</v>
      </c>
      <c r="D71" s="1" t="s">
        <v>107</v>
      </c>
      <c r="E71" s="1" t="s">
        <v>108</v>
      </c>
      <c r="F71" s="1" t="s">
        <v>109</v>
      </c>
      <c r="G71" s="1" t="s">
        <v>110</v>
      </c>
      <c r="H71" s="1" t="s">
        <v>111</v>
      </c>
      <c r="I71" s="1" t="s">
        <v>112</v>
      </c>
      <c r="J71" s="1" t="s">
        <v>113</v>
      </c>
      <c r="K71" s="1" t="s">
        <v>114</v>
      </c>
      <c r="L71" s="1" t="s">
        <v>115</v>
      </c>
      <c r="M71" s="30" t="s">
        <v>116</v>
      </c>
    </row>
    <row r="72" spans="1:13" x14ac:dyDescent="0.35">
      <c r="A72" t="s">
        <v>35</v>
      </c>
      <c r="B72" s="11">
        <f>C27/12</f>
        <v>-1000</v>
      </c>
      <c r="C72" s="11">
        <f>B72</f>
        <v>-1000</v>
      </c>
      <c r="D72" s="11">
        <f t="shared" ref="D72:M76" si="13">C72</f>
        <v>-1000</v>
      </c>
      <c r="E72" s="11">
        <f t="shared" si="13"/>
        <v>-1000</v>
      </c>
      <c r="F72" s="11">
        <f t="shared" si="13"/>
        <v>-1000</v>
      </c>
      <c r="G72" s="11">
        <f t="shared" si="13"/>
        <v>-1000</v>
      </c>
      <c r="H72" s="11">
        <f t="shared" si="13"/>
        <v>-1000</v>
      </c>
      <c r="I72" s="11">
        <f t="shared" si="13"/>
        <v>-1000</v>
      </c>
      <c r="J72" s="11">
        <f t="shared" si="13"/>
        <v>-1000</v>
      </c>
      <c r="K72" s="11">
        <f t="shared" si="13"/>
        <v>-1000</v>
      </c>
      <c r="L72" s="11">
        <f t="shared" si="13"/>
        <v>-1000</v>
      </c>
      <c r="M72" s="11">
        <f t="shared" si="13"/>
        <v>-1000</v>
      </c>
    </row>
    <row r="73" spans="1:13" x14ac:dyDescent="0.35">
      <c r="A73" t="s">
        <v>38</v>
      </c>
      <c r="B73" s="8">
        <f>C29/12</f>
        <v>10500</v>
      </c>
      <c r="C73" s="8">
        <f>B73</f>
        <v>10500</v>
      </c>
      <c r="D73" s="8">
        <f t="shared" si="13"/>
        <v>10500</v>
      </c>
      <c r="E73" s="8">
        <f t="shared" si="13"/>
        <v>10500</v>
      </c>
      <c r="F73" s="8">
        <f t="shared" si="13"/>
        <v>10500</v>
      </c>
      <c r="G73" s="8">
        <f t="shared" si="13"/>
        <v>10500</v>
      </c>
      <c r="H73" s="8">
        <f t="shared" si="13"/>
        <v>10500</v>
      </c>
      <c r="I73" s="8">
        <f t="shared" si="13"/>
        <v>10500</v>
      </c>
      <c r="J73" s="8">
        <f t="shared" si="13"/>
        <v>10500</v>
      </c>
      <c r="K73" s="8">
        <f t="shared" si="13"/>
        <v>10500</v>
      </c>
      <c r="L73" s="8">
        <f t="shared" si="13"/>
        <v>10500</v>
      </c>
      <c r="M73" s="8">
        <f t="shared" si="13"/>
        <v>10500</v>
      </c>
    </row>
    <row r="74" spans="1:13" x14ac:dyDescent="0.35">
      <c r="A74" t="s">
        <v>40</v>
      </c>
      <c r="B74" s="13">
        <f>-B73*$B$35</f>
        <v>-579705</v>
      </c>
      <c r="C74" s="13">
        <f>B74</f>
        <v>-579705</v>
      </c>
      <c r="D74" s="13">
        <f t="shared" si="13"/>
        <v>-579705</v>
      </c>
      <c r="E74" s="13">
        <f t="shared" si="13"/>
        <v>-579705</v>
      </c>
      <c r="F74" s="13">
        <f t="shared" si="13"/>
        <v>-579705</v>
      </c>
      <c r="G74" s="13">
        <f t="shared" si="13"/>
        <v>-579705</v>
      </c>
      <c r="H74" s="13">
        <f t="shared" si="13"/>
        <v>-579705</v>
      </c>
      <c r="I74" s="13">
        <f t="shared" si="13"/>
        <v>-579705</v>
      </c>
      <c r="J74" s="13">
        <f t="shared" si="13"/>
        <v>-579705</v>
      </c>
      <c r="K74" s="13">
        <f t="shared" si="13"/>
        <v>-579705</v>
      </c>
      <c r="L74" s="13">
        <f t="shared" si="13"/>
        <v>-579705</v>
      </c>
      <c r="M74" s="13">
        <f t="shared" si="13"/>
        <v>-579705</v>
      </c>
    </row>
    <row r="75" spans="1:13" x14ac:dyDescent="0.35">
      <c r="A75" t="s">
        <v>43</v>
      </c>
      <c r="B75" s="11">
        <f>D45/12</f>
        <v>-45937.5</v>
      </c>
      <c r="C75" s="11">
        <f>B75</f>
        <v>-45937.5</v>
      </c>
      <c r="D75" s="11">
        <f t="shared" si="13"/>
        <v>-45937.5</v>
      </c>
      <c r="E75" s="11">
        <f t="shared" si="13"/>
        <v>-45937.5</v>
      </c>
      <c r="F75" s="11">
        <f t="shared" si="13"/>
        <v>-45937.5</v>
      </c>
      <c r="G75" s="11">
        <f t="shared" si="13"/>
        <v>-45937.5</v>
      </c>
      <c r="H75" s="11">
        <f t="shared" si="13"/>
        <v>-45937.5</v>
      </c>
      <c r="I75" s="11">
        <f t="shared" si="13"/>
        <v>-45937.5</v>
      </c>
      <c r="J75" s="11">
        <f t="shared" si="13"/>
        <v>-45937.5</v>
      </c>
      <c r="K75" s="11">
        <f t="shared" si="13"/>
        <v>-45937.5</v>
      </c>
      <c r="L75" s="11">
        <f t="shared" si="13"/>
        <v>-45937.5</v>
      </c>
      <c r="M75" s="11">
        <f t="shared" si="13"/>
        <v>-45937.5</v>
      </c>
    </row>
    <row r="76" spans="1:13" x14ac:dyDescent="0.35">
      <c r="A76" t="s">
        <v>45</v>
      </c>
      <c r="B76" s="11">
        <f>D46/12</f>
        <v>-75000</v>
      </c>
      <c r="C76" s="11">
        <f>B76</f>
        <v>-75000</v>
      </c>
      <c r="D76" s="11">
        <f t="shared" si="13"/>
        <v>-75000</v>
      </c>
      <c r="E76" s="11">
        <f t="shared" si="13"/>
        <v>-75000</v>
      </c>
      <c r="F76" s="11">
        <f t="shared" si="13"/>
        <v>-75000</v>
      </c>
      <c r="G76" s="11">
        <f t="shared" si="13"/>
        <v>-75000</v>
      </c>
      <c r="H76" s="11">
        <f t="shared" si="13"/>
        <v>-75000</v>
      </c>
      <c r="I76" s="11">
        <f t="shared" si="13"/>
        <v>-75000</v>
      </c>
      <c r="J76" s="11">
        <f t="shared" si="13"/>
        <v>-75000</v>
      </c>
      <c r="K76" s="11">
        <f t="shared" si="13"/>
        <v>-75000</v>
      </c>
      <c r="L76" s="11">
        <f t="shared" si="13"/>
        <v>-75000</v>
      </c>
      <c r="M76" s="11">
        <f t="shared" si="13"/>
        <v>-75000</v>
      </c>
    </row>
    <row r="77" spans="1:13" x14ac:dyDescent="0.35">
      <c r="A77" t="s">
        <v>46</v>
      </c>
      <c r="B77" s="11">
        <f>SUM(B72:B76)-B73</f>
        <v>-701642.5</v>
      </c>
      <c r="C77" s="11">
        <f t="shared" ref="C77:M77" si="14">SUM(C72:C76)-C73</f>
        <v>-701642.5</v>
      </c>
      <c r="D77" s="11">
        <f t="shared" si="14"/>
        <v>-701642.5</v>
      </c>
      <c r="E77" s="11">
        <f t="shared" si="14"/>
        <v>-701642.5</v>
      </c>
      <c r="F77" s="11">
        <f t="shared" si="14"/>
        <v>-701642.5</v>
      </c>
      <c r="G77" s="11">
        <f t="shared" si="14"/>
        <v>-701642.5</v>
      </c>
      <c r="H77" s="11">
        <f t="shared" si="14"/>
        <v>-701642.5</v>
      </c>
      <c r="I77" s="11">
        <f t="shared" si="14"/>
        <v>-701642.5</v>
      </c>
      <c r="J77" s="11">
        <f t="shared" si="14"/>
        <v>-701642.5</v>
      </c>
      <c r="K77" s="11">
        <f t="shared" si="14"/>
        <v>-701642.5</v>
      </c>
      <c r="L77" s="11">
        <f t="shared" si="14"/>
        <v>-701642.5</v>
      </c>
      <c r="M77" s="11">
        <f t="shared" si="14"/>
        <v>-701642.5</v>
      </c>
    </row>
    <row r="78" spans="1:13" x14ac:dyDescent="0.35">
      <c r="A78" t="s">
        <v>52</v>
      </c>
      <c r="B78" s="22">
        <f>B73*$B$36</f>
        <v>787500</v>
      </c>
      <c r="C78" s="22">
        <f t="shared" ref="C78:M78" si="15">C73*$B$36</f>
        <v>787500</v>
      </c>
      <c r="D78" s="22">
        <f t="shared" si="15"/>
        <v>787500</v>
      </c>
      <c r="E78" s="22">
        <f t="shared" si="15"/>
        <v>787500</v>
      </c>
      <c r="F78" s="22">
        <f t="shared" si="15"/>
        <v>787500</v>
      </c>
      <c r="G78" s="22">
        <f t="shared" si="15"/>
        <v>787500</v>
      </c>
      <c r="H78" s="22">
        <f t="shared" si="15"/>
        <v>787500</v>
      </c>
      <c r="I78" s="22">
        <f t="shared" si="15"/>
        <v>787500</v>
      </c>
      <c r="J78" s="22">
        <f t="shared" si="15"/>
        <v>787500</v>
      </c>
      <c r="K78" s="22">
        <f t="shared" si="15"/>
        <v>787500</v>
      </c>
      <c r="L78" s="22">
        <f t="shared" si="15"/>
        <v>787500</v>
      </c>
      <c r="M78" s="22">
        <f t="shared" si="15"/>
        <v>787500</v>
      </c>
    </row>
    <row r="79" spans="1:13" x14ac:dyDescent="0.35">
      <c r="A79" t="s">
        <v>53</v>
      </c>
      <c r="B79" s="13">
        <f>B77+B78</f>
        <v>85857.5</v>
      </c>
      <c r="C79" s="13">
        <f t="shared" ref="C79:M79" si="16">C77+C78</f>
        <v>85857.5</v>
      </c>
      <c r="D79" s="13">
        <f t="shared" si="16"/>
        <v>85857.5</v>
      </c>
      <c r="E79" s="13">
        <f t="shared" si="16"/>
        <v>85857.5</v>
      </c>
      <c r="F79" s="13">
        <f t="shared" si="16"/>
        <v>85857.5</v>
      </c>
      <c r="G79" s="13">
        <f t="shared" si="16"/>
        <v>85857.5</v>
      </c>
      <c r="H79" s="13">
        <f t="shared" si="16"/>
        <v>85857.5</v>
      </c>
      <c r="I79" s="13">
        <f t="shared" si="16"/>
        <v>85857.5</v>
      </c>
      <c r="J79" s="13">
        <f t="shared" si="16"/>
        <v>85857.5</v>
      </c>
      <c r="K79" s="13">
        <f t="shared" si="16"/>
        <v>85857.5</v>
      </c>
      <c r="L79" s="13">
        <f t="shared" si="16"/>
        <v>85857.5</v>
      </c>
      <c r="M79" s="13">
        <f t="shared" si="16"/>
        <v>85857.5</v>
      </c>
    </row>
    <row r="80" spans="1:13" x14ac:dyDescent="0.35">
      <c r="A80" t="s">
        <v>54</v>
      </c>
      <c r="B80" s="13">
        <f t="shared" ref="B80:M80" si="17">B79*$I$50</f>
        <v>18030.075000000001</v>
      </c>
      <c r="C80" s="13">
        <f t="shared" si="17"/>
        <v>18030.075000000001</v>
      </c>
      <c r="D80" s="13">
        <f t="shared" si="17"/>
        <v>18030.075000000001</v>
      </c>
      <c r="E80" s="13">
        <f t="shared" si="17"/>
        <v>18030.075000000001</v>
      </c>
      <c r="F80" s="13">
        <f t="shared" si="17"/>
        <v>18030.075000000001</v>
      </c>
      <c r="G80" s="13">
        <f t="shared" si="17"/>
        <v>18030.075000000001</v>
      </c>
      <c r="H80" s="13">
        <f t="shared" si="17"/>
        <v>18030.075000000001</v>
      </c>
      <c r="I80" s="13">
        <f t="shared" si="17"/>
        <v>18030.075000000001</v>
      </c>
      <c r="J80" s="13">
        <f t="shared" si="17"/>
        <v>18030.075000000001</v>
      </c>
      <c r="K80" s="13">
        <f t="shared" si="17"/>
        <v>18030.075000000001</v>
      </c>
      <c r="L80" s="13">
        <f t="shared" si="17"/>
        <v>18030.075000000001</v>
      </c>
      <c r="M80" s="13">
        <f t="shared" si="17"/>
        <v>18030.075000000001</v>
      </c>
    </row>
    <row r="81" spans="1:13" x14ac:dyDescent="0.35">
      <c r="A81" t="s">
        <v>71</v>
      </c>
      <c r="B81" s="13">
        <f>B79-B80</f>
        <v>67827.425000000003</v>
      </c>
      <c r="C81" s="13">
        <f t="shared" ref="C81:M81" si="18">C79-C80</f>
        <v>67827.425000000003</v>
      </c>
      <c r="D81" s="13">
        <f t="shared" si="18"/>
        <v>67827.425000000003</v>
      </c>
      <c r="E81" s="13">
        <f t="shared" si="18"/>
        <v>67827.425000000003</v>
      </c>
      <c r="F81" s="13">
        <f t="shared" si="18"/>
        <v>67827.425000000003</v>
      </c>
      <c r="G81" s="13">
        <f t="shared" si="18"/>
        <v>67827.425000000003</v>
      </c>
      <c r="H81" s="13">
        <f t="shared" si="18"/>
        <v>67827.425000000003</v>
      </c>
      <c r="I81" s="13">
        <f t="shared" si="18"/>
        <v>67827.425000000003</v>
      </c>
      <c r="J81" s="13">
        <f t="shared" si="18"/>
        <v>67827.425000000003</v>
      </c>
      <c r="K81" s="13">
        <f t="shared" si="18"/>
        <v>67827.425000000003</v>
      </c>
      <c r="L81" s="13">
        <f t="shared" si="18"/>
        <v>67827.425000000003</v>
      </c>
      <c r="M81" s="13">
        <f t="shared" si="18"/>
        <v>67827.425000000003</v>
      </c>
    </row>
    <row r="82" spans="1:13" x14ac:dyDescent="0.35">
      <c r="A82" s="9" t="s">
        <v>104</v>
      </c>
      <c r="B82" s="13">
        <f>M68+B81</f>
        <v>-442650.90833333303</v>
      </c>
      <c r="C82" s="13">
        <f>B82+C81</f>
        <v>-374823.48333333305</v>
      </c>
      <c r="D82" s="13">
        <f t="shared" ref="D82:M82" si="19">C82+D81</f>
        <v>-306996.05833333306</v>
      </c>
      <c r="E82" s="48">
        <f t="shared" si="19"/>
        <v>-239168.63333333307</v>
      </c>
      <c r="F82" s="13">
        <f t="shared" si="19"/>
        <v>-171341.20833333308</v>
      </c>
      <c r="G82" s="13">
        <f t="shared" si="19"/>
        <v>-103513.78333333308</v>
      </c>
      <c r="H82" s="13">
        <f t="shared" si="19"/>
        <v>-35686.358333333075</v>
      </c>
      <c r="I82" s="13">
        <f t="shared" si="19"/>
        <v>32141.066666666928</v>
      </c>
      <c r="J82" s="13">
        <f t="shared" si="19"/>
        <v>99968.491666666931</v>
      </c>
      <c r="K82" s="13">
        <f t="shared" si="19"/>
        <v>167795.91666666692</v>
      </c>
      <c r="L82" s="13">
        <f t="shared" si="19"/>
        <v>235623.34166666691</v>
      </c>
      <c r="M82" s="13">
        <f t="shared" si="19"/>
        <v>303450.7666666669</v>
      </c>
    </row>
    <row r="85" spans="1:13" ht="18.5" x14ac:dyDescent="0.45">
      <c r="B85" s="63" t="s">
        <v>73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</row>
    <row r="86" spans="1:13" x14ac:dyDescent="0.35">
      <c r="A86" s="1"/>
      <c r="B86" s="1" t="s">
        <v>117</v>
      </c>
      <c r="C86" s="1" t="s">
        <v>118</v>
      </c>
      <c r="D86" s="1" t="s">
        <v>119</v>
      </c>
      <c r="E86" s="1" t="s">
        <v>120</v>
      </c>
      <c r="F86" s="1" t="s">
        <v>121</v>
      </c>
      <c r="G86" s="1" t="s">
        <v>122</v>
      </c>
      <c r="H86" s="1" t="s">
        <v>123</v>
      </c>
      <c r="I86" s="1" t="s">
        <v>124</v>
      </c>
      <c r="J86" s="1" t="s">
        <v>125</v>
      </c>
      <c r="K86" s="1" t="s">
        <v>126</v>
      </c>
      <c r="L86" s="1" t="s">
        <v>127</v>
      </c>
      <c r="M86" s="30" t="s">
        <v>128</v>
      </c>
    </row>
    <row r="87" spans="1:13" x14ac:dyDescent="0.35">
      <c r="A87" t="s">
        <v>35</v>
      </c>
      <c r="B87" s="11">
        <f>D27/12</f>
        <v>-1000</v>
      </c>
      <c r="C87" s="11">
        <f>B87</f>
        <v>-1000</v>
      </c>
      <c r="D87" s="11">
        <f t="shared" ref="D87:M91" si="20">C87</f>
        <v>-1000</v>
      </c>
      <c r="E87" s="11">
        <f t="shared" si="20"/>
        <v>-1000</v>
      </c>
      <c r="F87" s="11">
        <f t="shared" si="20"/>
        <v>-1000</v>
      </c>
      <c r="G87" s="11">
        <f t="shared" si="20"/>
        <v>-1000</v>
      </c>
      <c r="H87" s="11">
        <f t="shared" si="20"/>
        <v>-1000</v>
      </c>
      <c r="I87" s="11">
        <f t="shared" si="20"/>
        <v>-1000</v>
      </c>
      <c r="J87" s="11">
        <f t="shared" si="20"/>
        <v>-1000</v>
      </c>
      <c r="K87" s="11">
        <f t="shared" si="20"/>
        <v>-1000</v>
      </c>
      <c r="L87" s="11">
        <f t="shared" si="20"/>
        <v>-1000</v>
      </c>
      <c r="M87" s="11">
        <f t="shared" si="20"/>
        <v>-1000</v>
      </c>
    </row>
    <row r="88" spans="1:13" x14ac:dyDescent="0.35">
      <c r="A88" t="s">
        <v>38</v>
      </c>
      <c r="B88" s="8">
        <f>D43/12</f>
        <v>11025</v>
      </c>
      <c r="C88" s="8">
        <f>B88</f>
        <v>11025</v>
      </c>
      <c r="D88" s="8">
        <f t="shared" si="20"/>
        <v>11025</v>
      </c>
      <c r="E88" s="8">
        <f t="shared" si="20"/>
        <v>11025</v>
      </c>
      <c r="F88" s="8">
        <f t="shared" si="20"/>
        <v>11025</v>
      </c>
      <c r="G88" s="8">
        <f t="shared" si="20"/>
        <v>11025</v>
      </c>
      <c r="H88" s="8">
        <f t="shared" si="20"/>
        <v>11025</v>
      </c>
      <c r="I88" s="8">
        <f t="shared" si="20"/>
        <v>11025</v>
      </c>
      <c r="J88" s="8">
        <f t="shared" si="20"/>
        <v>11025</v>
      </c>
      <c r="K88" s="8">
        <f t="shared" si="20"/>
        <v>11025</v>
      </c>
      <c r="L88" s="8">
        <f t="shared" si="20"/>
        <v>11025</v>
      </c>
      <c r="M88" s="8">
        <f t="shared" si="20"/>
        <v>11025</v>
      </c>
    </row>
    <row r="89" spans="1:13" x14ac:dyDescent="0.35">
      <c r="A89" t="s">
        <v>40</v>
      </c>
      <c r="B89" s="13">
        <f>-B88*$B$35</f>
        <v>-608690.25</v>
      </c>
      <c r="C89" s="13">
        <f>B89</f>
        <v>-608690.25</v>
      </c>
      <c r="D89" s="13">
        <f t="shared" si="20"/>
        <v>-608690.25</v>
      </c>
      <c r="E89" s="13">
        <f t="shared" si="20"/>
        <v>-608690.25</v>
      </c>
      <c r="F89" s="13">
        <f t="shared" si="20"/>
        <v>-608690.25</v>
      </c>
      <c r="G89" s="13">
        <f t="shared" si="20"/>
        <v>-608690.25</v>
      </c>
      <c r="H89" s="13">
        <f t="shared" si="20"/>
        <v>-608690.25</v>
      </c>
      <c r="I89" s="13">
        <f t="shared" si="20"/>
        <v>-608690.25</v>
      </c>
      <c r="J89" s="13">
        <f t="shared" si="20"/>
        <v>-608690.25</v>
      </c>
      <c r="K89" s="13">
        <f t="shared" si="20"/>
        <v>-608690.25</v>
      </c>
      <c r="L89" s="13">
        <f t="shared" si="20"/>
        <v>-608690.25</v>
      </c>
      <c r="M89" s="13">
        <f t="shared" si="20"/>
        <v>-608690.25</v>
      </c>
    </row>
    <row r="90" spans="1:13" x14ac:dyDescent="0.35">
      <c r="A90" t="s">
        <v>43</v>
      </c>
      <c r="B90" s="11">
        <f>D45/12</f>
        <v>-45937.5</v>
      </c>
      <c r="C90" s="11">
        <f>B90</f>
        <v>-45937.5</v>
      </c>
      <c r="D90" s="11">
        <f t="shared" si="20"/>
        <v>-45937.5</v>
      </c>
      <c r="E90" s="11">
        <f t="shared" si="20"/>
        <v>-45937.5</v>
      </c>
      <c r="F90" s="11">
        <f t="shared" si="20"/>
        <v>-45937.5</v>
      </c>
      <c r="G90" s="11">
        <f t="shared" si="20"/>
        <v>-45937.5</v>
      </c>
      <c r="H90" s="11">
        <f t="shared" si="20"/>
        <v>-45937.5</v>
      </c>
      <c r="I90" s="11">
        <f t="shared" si="20"/>
        <v>-45937.5</v>
      </c>
      <c r="J90" s="11">
        <f t="shared" si="20"/>
        <v>-45937.5</v>
      </c>
      <c r="K90" s="11">
        <f t="shared" si="20"/>
        <v>-45937.5</v>
      </c>
      <c r="L90" s="11">
        <f t="shared" si="20"/>
        <v>-45937.5</v>
      </c>
      <c r="M90" s="11">
        <f t="shared" si="20"/>
        <v>-45937.5</v>
      </c>
    </row>
    <row r="91" spans="1:13" x14ac:dyDescent="0.35">
      <c r="A91" t="s">
        <v>45</v>
      </c>
      <c r="B91" s="11">
        <f>D46/12</f>
        <v>-75000</v>
      </c>
      <c r="C91" s="11">
        <f>B91</f>
        <v>-75000</v>
      </c>
      <c r="D91" s="11">
        <f t="shared" si="20"/>
        <v>-75000</v>
      </c>
      <c r="E91" s="11">
        <f t="shared" si="20"/>
        <v>-75000</v>
      </c>
      <c r="F91" s="11">
        <f t="shared" si="20"/>
        <v>-75000</v>
      </c>
      <c r="G91" s="11">
        <f t="shared" si="20"/>
        <v>-75000</v>
      </c>
      <c r="H91" s="11">
        <f t="shared" si="20"/>
        <v>-75000</v>
      </c>
      <c r="I91" s="11">
        <f t="shared" si="20"/>
        <v>-75000</v>
      </c>
      <c r="J91" s="11">
        <f t="shared" si="20"/>
        <v>-75000</v>
      </c>
      <c r="K91" s="11">
        <f t="shared" si="20"/>
        <v>-75000</v>
      </c>
      <c r="L91" s="11">
        <f t="shared" si="20"/>
        <v>-75000</v>
      </c>
      <c r="M91" s="11">
        <f t="shared" si="20"/>
        <v>-75000</v>
      </c>
    </row>
    <row r="92" spans="1:13" x14ac:dyDescent="0.35">
      <c r="A92" t="s">
        <v>46</v>
      </c>
      <c r="B92" s="11">
        <f>SUM(B87:B91)-B88</f>
        <v>-730627.75</v>
      </c>
      <c r="C92" s="11">
        <f t="shared" ref="C92:M92" si="21">SUM(C87:C91)-C88</f>
        <v>-730627.75</v>
      </c>
      <c r="D92" s="11">
        <f t="shared" si="21"/>
        <v>-730627.75</v>
      </c>
      <c r="E92" s="11">
        <f t="shared" si="21"/>
        <v>-730627.75</v>
      </c>
      <c r="F92" s="11">
        <f t="shared" si="21"/>
        <v>-730627.75</v>
      </c>
      <c r="G92" s="11">
        <f t="shared" si="21"/>
        <v>-730627.75</v>
      </c>
      <c r="H92" s="11">
        <f t="shared" si="21"/>
        <v>-730627.75</v>
      </c>
      <c r="I92" s="11">
        <f t="shared" si="21"/>
        <v>-730627.75</v>
      </c>
      <c r="J92" s="11">
        <f t="shared" si="21"/>
        <v>-730627.75</v>
      </c>
      <c r="K92" s="11">
        <f t="shared" si="21"/>
        <v>-730627.75</v>
      </c>
      <c r="L92" s="11">
        <f t="shared" si="21"/>
        <v>-730627.75</v>
      </c>
      <c r="M92" s="11">
        <f t="shared" si="21"/>
        <v>-730627.75</v>
      </c>
    </row>
    <row r="93" spans="1:13" x14ac:dyDescent="0.35">
      <c r="A93" t="s">
        <v>52</v>
      </c>
      <c r="B93" s="22">
        <f>B88*$B$36</f>
        <v>826875</v>
      </c>
      <c r="C93" s="22">
        <f t="shared" ref="C93:M93" si="22">C88*$B$36</f>
        <v>826875</v>
      </c>
      <c r="D93" s="22">
        <f t="shared" si="22"/>
        <v>826875</v>
      </c>
      <c r="E93" s="22">
        <f t="shared" si="22"/>
        <v>826875</v>
      </c>
      <c r="F93" s="22">
        <f t="shared" si="22"/>
        <v>826875</v>
      </c>
      <c r="G93" s="22">
        <f t="shared" si="22"/>
        <v>826875</v>
      </c>
      <c r="H93" s="22">
        <f t="shared" si="22"/>
        <v>826875</v>
      </c>
      <c r="I93" s="22">
        <f t="shared" si="22"/>
        <v>826875</v>
      </c>
      <c r="J93" s="22">
        <f t="shared" si="22"/>
        <v>826875</v>
      </c>
      <c r="K93" s="22">
        <f t="shared" si="22"/>
        <v>826875</v>
      </c>
      <c r="L93" s="22">
        <f t="shared" si="22"/>
        <v>826875</v>
      </c>
      <c r="M93" s="22">
        <f t="shared" si="22"/>
        <v>826875</v>
      </c>
    </row>
    <row r="94" spans="1:13" x14ac:dyDescent="0.35">
      <c r="A94" t="s">
        <v>53</v>
      </c>
      <c r="B94" s="13">
        <f>B92+B93</f>
        <v>96247.25</v>
      </c>
      <c r="C94" s="13">
        <f t="shared" ref="C94:M94" si="23">C92+C93</f>
        <v>96247.25</v>
      </c>
      <c r="D94" s="13">
        <f t="shared" si="23"/>
        <v>96247.25</v>
      </c>
      <c r="E94" s="13">
        <f t="shared" si="23"/>
        <v>96247.25</v>
      </c>
      <c r="F94" s="13">
        <f t="shared" si="23"/>
        <v>96247.25</v>
      </c>
      <c r="G94" s="13">
        <f t="shared" si="23"/>
        <v>96247.25</v>
      </c>
      <c r="H94" s="13">
        <f t="shared" si="23"/>
        <v>96247.25</v>
      </c>
      <c r="I94" s="13">
        <f t="shared" si="23"/>
        <v>96247.25</v>
      </c>
      <c r="J94" s="13">
        <f t="shared" si="23"/>
        <v>96247.25</v>
      </c>
      <c r="K94" s="13">
        <f t="shared" si="23"/>
        <v>96247.25</v>
      </c>
      <c r="L94" s="13">
        <f t="shared" si="23"/>
        <v>96247.25</v>
      </c>
      <c r="M94" s="13">
        <f t="shared" si="23"/>
        <v>96247.25</v>
      </c>
    </row>
    <row r="95" spans="1:13" x14ac:dyDescent="0.35">
      <c r="A95" t="s">
        <v>54</v>
      </c>
      <c r="B95" s="13">
        <f t="shared" ref="B95:M95" si="24">B94*$I$50</f>
        <v>20211.922500000001</v>
      </c>
      <c r="C95" s="13">
        <f t="shared" si="24"/>
        <v>20211.922500000001</v>
      </c>
      <c r="D95" s="13">
        <f t="shared" si="24"/>
        <v>20211.922500000001</v>
      </c>
      <c r="E95" s="13">
        <f t="shared" si="24"/>
        <v>20211.922500000001</v>
      </c>
      <c r="F95" s="13">
        <f t="shared" si="24"/>
        <v>20211.922500000001</v>
      </c>
      <c r="G95" s="13">
        <f t="shared" si="24"/>
        <v>20211.922500000001</v>
      </c>
      <c r="H95" s="13">
        <f t="shared" si="24"/>
        <v>20211.922500000001</v>
      </c>
      <c r="I95" s="13">
        <f t="shared" si="24"/>
        <v>20211.922500000001</v>
      </c>
      <c r="J95" s="13">
        <f t="shared" si="24"/>
        <v>20211.922500000001</v>
      </c>
      <c r="K95" s="13">
        <f t="shared" si="24"/>
        <v>20211.922500000001</v>
      </c>
      <c r="L95" s="13">
        <f t="shared" si="24"/>
        <v>20211.922500000001</v>
      </c>
      <c r="M95" s="13">
        <f t="shared" si="24"/>
        <v>20211.922500000001</v>
      </c>
    </row>
    <row r="96" spans="1:13" x14ac:dyDescent="0.35">
      <c r="A96" t="s">
        <v>71</v>
      </c>
      <c r="B96" s="13">
        <f>B94-B95</f>
        <v>76035.327499999999</v>
      </c>
      <c r="C96" s="13">
        <f t="shared" ref="C96:M96" si="25">C94-C95</f>
        <v>76035.327499999999</v>
      </c>
      <c r="D96" s="13">
        <f t="shared" si="25"/>
        <v>76035.327499999999</v>
      </c>
      <c r="E96" s="13">
        <f t="shared" si="25"/>
        <v>76035.327499999999</v>
      </c>
      <c r="F96" s="13">
        <f t="shared" si="25"/>
        <v>76035.327499999999</v>
      </c>
      <c r="G96" s="13">
        <f t="shared" si="25"/>
        <v>76035.327499999999</v>
      </c>
      <c r="H96" s="13">
        <f t="shared" si="25"/>
        <v>76035.327499999999</v>
      </c>
      <c r="I96" s="13">
        <f t="shared" si="25"/>
        <v>76035.327499999999</v>
      </c>
      <c r="J96" s="13">
        <f t="shared" si="25"/>
        <v>76035.327499999999</v>
      </c>
      <c r="K96" s="13">
        <f t="shared" si="25"/>
        <v>76035.327499999999</v>
      </c>
      <c r="L96" s="13">
        <f t="shared" si="25"/>
        <v>76035.327499999999</v>
      </c>
      <c r="M96" s="13">
        <f t="shared" si="25"/>
        <v>76035.327499999999</v>
      </c>
    </row>
    <row r="97" spans="1:13" x14ac:dyDescent="0.35">
      <c r="A97" s="9" t="s">
        <v>104</v>
      </c>
      <c r="B97" s="13">
        <f>M82+B96</f>
        <v>379486.09416666691</v>
      </c>
      <c r="C97" s="13">
        <f>B97+C96</f>
        <v>455521.42166666692</v>
      </c>
      <c r="D97" s="13">
        <f t="shared" ref="D97:M97" si="26">C97+D96</f>
        <v>531556.74916666688</v>
      </c>
      <c r="E97" s="48">
        <f t="shared" si="26"/>
        <v>607592.07666666689</v>
      </c>
      <c r="F97" s="13">
        <f t="shared" si="26"/>
        <v>683627.40416666691</v>
      </c>
      <c r="G97" s="13">
        <f t="shared" si="26"/>
        <v>759662.73166666692</v>
      </c>
      <c r="H97" s="13">
        <f t="shared" si="26"/>
        <v>835698.05916666694</v>
      </c>
      <c r="I97" s="48">
        <f t="shared" si="26"/>
        <v>911733.38666666695</v>
      </c>
      <c r="J97" s="13">
        <f t="shared" si="26"/>
        <v>987768.71416666696</v>
      </c>
      <c r="K97" s="13">
        <f t="shared" si="26"/>
        <v>1063804.041666667</v>
      </c>
      <c r="L97" s="13">
        <f t="shared" si="26"/>
        <v>1139839.3691666669</v>
      </c>
      <c r="M97" s="13">
        <f t="shared" si="26"/>
        <v>1215874.6966666668</v>
      </c>
    </row>
    <row r="99" spans="1:13" ht="18.5" x14ac:dyDescent="0.45">
      <c r="B99" s="63" t="s">
        <v>147</v>
      </c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</row>
    <row r="100" spans="1:13" x14ac:dyDescent="0.35">
      <c r="A100" s="1"/>
      <c r="B100" s="1" t="s">
        <v>148</v>
      </c>
      <c r="C100" s="1" t="s">
        <v>149</v>
      </c>
      <c r="D100" s="1" t="s">
        <v>150</v>
      </c>
      <c r="E100" s="1" t="s">
        <v>151</v>
      </c>
      <c r="F100" s="1" t="s">
        <v>152</v>
      </c>
      <c r="G100" s="1" t="s">
        <v>153</v>
      </c>
      <c r="H100" s="1" t="s">
        <v>154</v>
      </c>
      <c r="I100" s="1" t="s">
        <v>155</v>
      </c>
      <c r="J100" s="1" t="s">
        <v>156</v>
      </c>
      <c r="K100" s="1" t="s">
        <v>157</v>
      </c>
      <c r="L100" s="1" t="s">
        <v>158</v>
      </c>
      <c r="M100" s="30" t="s">
        <v>159</v>
      </c>
    </row>
    <row r="101" spans="1:13" x14ac:dyDescent="0.35">
      <c r="A101" t="s">
        <v>35</v>
      </c>
      <c r="B101" s="11">
        <f>F41/12</f>
        <v>-1000</v>
      </c>
      <c r="C101" s="11">
        <f>B101</f>
        <v>-1000</v>
      </c>
      <c r="D101" s="11">
        <f t="shared" ref="D101:D105" si="27">C101</f>
        <v>-1000</v>
      </c>
      <c r="E101" s="11">
        <f t="shared" ref="E101:E105" si="28">D101</f>
        <v>-1000</v>
      </c>
      <c r="F101" s="11">
        <f t="shared" ref="F101:F105" si="29">E101</f>
        <v>-1000</v>
      </c>
      <c r="G101" s="11">
        <f t="shared" ref="G101:G105" si="30">F101</f>
        <v>-1000</v>
      </c>
      <c r="H101" s="11">
        <f t="shared" ref="H101:H105" si="31">G101</f>
        <v>-1000</v>
      </c>
      <c r="I101" s="11">
        <f t="shared" ref="I101:I105" si="32">H101</f>
        <v>-1000</v>
      </c>
      <c r="J101" s="11">
        <f t="shared" ref="J101:J105" si="33">I101</f>
        <v>-1000</v>
      </c>
      <c r="K101" s="11">
        <f t="shared" ref="K101:K105" si="34">J101</f>
        <v>-1000</v>
      </c>
      <c r="L101" s="11">
        <f t="shared" ref="L101:L105" si="35">K101</f>
        <v>-1000</v>
      </c>
      <c r="M101" s="11">
        <f t="shared" ref="M101:M105" si="36">L101</f>
        <v>-1000</v>
      </c>
    </row>
    <row r="102" spans="1:13" x14ac:dyDescent="0.35">
      <c r="A102" t="s">
        <v>38</v>
      </c>
      <c r="B102" s="8">
        <f>E43/12</f>
        <v>11576.25</v>
      </c>
      <c r="C102" s="8">
        <f>B102</f>
        <v>11576.25</v>
      </c>
      <c r="D102" s="8">
        <f t="shared" si="27"/>
        <v>11576.25</v>
      </c>
      <c r="E102" s="8">
        <f t="shared" si="28"/>
        <v>11576.25</v>
      </c>
      <c r="F102" s="8">
        <f t="shared" si="29"/>
        <v>11576.25</v>
      </c>
      <c r="G102" s="8">
        <f t="shared" si="30"/>
        <v>11576.25</v>
      </c>
      <c r="H102" s="8">
        <f t="shared" si="31"/>
        <v>11576.25</v>
      </c>
      <c r="I102" s="8">
        <f t="shared" si="32"/>
        <v>11576.25</v>
      </c>
      <c r="J102" s="8">
        <f t="shared" si="33"/>
        <v>11576.25</v>
      </c>
      <c r="K102" s="8">
        <f t="shared" si="34"/>
        <v>11576.25</v>
      </c>
      <c r="L102" s="8">
        <f t="shared" si="35"/>
        <v>11576.25</v>
      </c>
      <c r="M102" s="8">
        <f t="shared" si="36"/>
        <v>11576.25</v>
      </c>
    </row>
    <row r="103" spans="1:13" x14ac:dyDescent="0.35">
      <c r="A103" t="s">
        <v>40</v>
      </c>
      <c r="B103" s="13">
        <f>-B102*$B$35</f>
        <v>-639124.76249999995</v>
      </c>
      <c r="C103" s="13">
        <f>B103</f>
        <v>-639124.76249999995</v>
      </c>
      <c r="D103" s="13">
        <f t="shared" si="27"/>
        <v>-639124.76249999995</v>
      </c>
      <c r="E103" s="13">
        <f t="shared" si="28"/>
        <v>-639124.76249999995</v>
      </c>
      <c r="F103" s="13">
        <f t="shared" si="29"/>
        <v>-639124.76249999995</v>
      </c>
      <c r="G103" s="13">
        <f t="shared" si="30"/>
        <v>-639124.76249999995</v>
      </c>
      <c r="H103" s="13">
        <f t="shared" si="31"/>
        <v>-639124.76249999995</v>
      </c>
      <c r="I103" s="13">
        <f t="shared" si="32"/>
        <v>-639124.76249999995</v>
      </c>
      <c r="J103" s="13">
        <f t="shared" si="33"/>
        <v>-639124.76249999995</v>
      </c>
      <c r="K103" s="13">
        <f t="shared" si="34"/>
        <v>-639124.76249999995</v>
      </c>
      <c r="L103" s="13">
        <f t="shared" si="35"/>
        <v>-639124.76249999995</v>
      </c>
      <c r="M103" s="13">
        <f t="shared" si="36"/>
        <v>-639124.76249999995</v>
      </c>
    </row>
    <row r="104" spans="1:13" x14ac:dyDescent="0.35">
      <c r="A104" t="s">
        <v>43</v>
      </c>
      <c r="B104" s="11">
        <f>E45/12</f>
        <v>-48234.375</v>
      </c>
      <c r="C104" s="11">
        <f>B104</f>
        <v>-48234.375</v>
      </c>
      <c r="D104" s="11">
        <f t="shared" si="27"/>
        <v>-48234.375</v>
      </c>
      <c r="E104" s="11">
        <f t="shared" si="28"/>
        <v>-48234.375</v>
      </c>
      <c r="F104" s="11">
        <f t="shared" si="29"/>
        <v>-48234.375</v>
      </c>
      <c r="G104" s="11">
        <f t="shared" si="30"/>
        <v>-48234.375</v>
      </c>
      <c r="H104" s="11">
        <f t="shared" si="31"/>
        <v>-48234.375</v>
      </c>
      <c r="I104" s="11">
        <f t="shared" si="32"/>
        <v>-48234.375</v>
      </c>
      <c r="J104" s="11">
        <f t="shared" si="33"/>
        <v>-48234.375</v>
      </c>
      <c r="K104" s="11">
        <f t="shared" si="34"/>
        <v>-48234.375</v>
      </c>
      <c r="L104" s="11">
        <f t="shared" si="35"/>
        <v>-48234.375</v>
      </c>
      <c r="M104" s="11">
        <f t="shared" si="36"/>
        <v>-48234.375</v>
      </c>
    </row>
    <row r="105" spans="1:13" x14ac:dyDescent="0.35">
      <c r="A105" t="s">
        <v>45</v>
      </c>
      <c r="B105" s="11">
        <f>E46/12</f>
        <v>-75000</v>
      </c>
      <c r="C105" s="11">
        <f>B105</f>
        <v>-75000</v>
      </c>
      <c r="D105" s="11">
        <f t="shared" si="27"/>
        <v>-75000</v>
      </c>
      <c r="E105" s="11">
        <f t="shared" si="28"/>
        <v>-75000</v>
      </c>
      <c r="F105" s="11">
        <f t="shared" si="29"/>
        <v>-75000</v>
      </c>
      <c r="G105" s="11">
        <f t="shared" si="30"/>
        <v>-75000</v>
      </c>
      <c r="H105" s="11">
        <f t="shared" si="31"/>
        <v>-75000</v>
      </c>
      <c r="I105" s="11">
        <f t="shared" si="32"/>
        <v>-75000</v>
      </c>
      <c r="J105" s="11">
        <f t="shared" si="33"/>
        <v>-75000</v>
      </c>
      <c r="K105" s="11">
        <f t="shared" si="34"/>
        <v>-75000</v>
      </c>
      <c r="L105" s="11">
        <f t="shared" si="35"/>
        <v>-75000</v>
      </c>
      <c r="M105" s="11">
        <f t="shared" si="36"/>
        <v>-75000</v>
      </c>
    </row>
    <row r="106" spans="1:13" x14ac:dyDescent="0.35">
      <c r="A106" t="s">
        <v>46</v>
      </c>
      <c r="B106" s="11">
        <f>SUM(B101:B105)-B102</f>
        <v>-763359.13749999995</v>
      </c>
      <c r="C106" s="11">
        <f t="shared" ref="C106:M106" si="37">SUM(C101:C105)-C102</f>
        <v>-763359.13749999995</v>
      </c>
      <c r="D106" s="11">
        <f t="shared" si="37"/>
        <v>-763359.13749999995</v>
      </c>
      <c r="E106" s="11">
        <f t="shared" si="37"/>
        <v>-763359.13749999995</v>
      </c>
      <c r="F106" s="11">
        <f t="shared" si="37"/>
        <v>-763359.13749999995</v>
      </c>
      <c r="G106" s="11">
        <f t="shared" si="37"/>
        <v>-763359.13749999995</v>
      </c>
      <c r="H106" s="11">
        <f t="shared" si="37"/>
        <v>-763359.13749999995</v>
      </c>
      <c r="I106" s="11">
        <f t="shared" si="37"/>
        <v>-763359.13749999995</v>
      </c>
      <c r="J106" s="11">
        <f t="shared" si="37"/>
        <v>-763359.13749999995</v>
      </c>
      <c r="K106" s="11">
        <f t="shared" si="37"/>
        <v>-763359.13749999995</v>
      </c>
      <c r="L106" s="11">
        <f t="shared" si="37"/>
        <v>-763359.13749999995</v>
      </c>
      <c r="M106" s="11">
        <f t="shared" si="37"/>
        <v>-763359.13749999995</v>
      </c>
    </row>
    <row r="107" spans="1:13" x14ac:dyDescent="0.35">
      <c r="A107" t="s">
        <v>52</v>
      </c>
      <c r="B107" s="22">
        <f>B102*$B$36</f>
        <v>868218.75</v>
      </c>
      <c r="C107" s="22">
        <f t="shared" ref="C107:M107" si="38">C102*$B$36</f>
        <v>868218.75</v>
      </c>
      <c r="D107" s="22">
        <f t="shared" si="38"/>
        <v>868218.75</v>
      </c>
      <c r="E107" s="22">
        <f t="shared" si="38"/>
        <v>868218.75</v>
      </c>
      <c r="F107" s="22">
        <f t="shared" si="38"/>
        <v>868218.75</v>
      </c>
      <c r="G107" s="22">
        <f t="shared" si="38"/>
        <v>868218.75</v>
      </c>
      <c r="H107" s="22">
        <f t="shared" si="38"/>
        <v>868218.75</v>
      </c>
      <c r="I107" s="22">
        <f t="shared" si="38"/>
        <v>868218.75</v>
      </c>
      <c r="J107" s="22">
        <f t="shared" si="38"/>
        <v>868218.75</v>
      </c>
      <c r="K107" s="22">
        <f t="shared" si="38"/>
        <v>868218.75</v>
      </c>
      <c r="L107" s="22">
        <f t="shared" si="38"/>
        <v>868218.75</v>
      </c>
      <c r="M107" s="22">
        <f t="shared" si="38"/>
        <v>868218.75</v>
      </c>
    </row>
    <row r="108" spans="1:13" x14ac:dyDescent="0.35">
      <c r="A108" t="s">
        <v>53</v>
      </c>
      <c r="B108" s="13">
        <f>B106+B107</f>
        <v>104859.61250000005</v>
      </c>
      <c r="C108" s="13">
        <f t="shared" ref="C108:M108" si="39">C106+C107</f>
        <v>104859.61250000005</v>
      </c>
      <c r="D108" s="13">
        <f t="shared" si="39"/>
        <v>104859.61250000005</v>
      </c>
      <c r="E108" s="13">
        <f t="shared" si="39"/>
        <v>104859.61250000005</v>
      </c>
      <c r="F108" s="13">
        <f t="shared" si="39"/>
        <v>104859.61250000005</v>
      </c>
      <c r="G108" s="13">
        <f t="shared" si="39"/>
        <v>104859.61250000005</v>
      </c>
      <c r="H108" s="13">
        <f t="shared" si="39"/>
        <v>104859.61250000005</v>
      </c>
      <c r="I108" s="13">
        <f t="shared" si="39"/>
        <v>104859.61250000005</v>
      </c>
      <c r="J108" s="13">
        <f t="shared" si="39"/>
        <v>104859.61250000005</v>
      </c>
      <c r="K108" s="13">
        <f t="shared" si="39"/>
        <v>104859.61250000005</v>
      </c>
      <c r="L108" s="13">
        <f t="shared" si="39"/>
        <v>104859.61250000005</v>
      </c>
      <c r="M108" s="13">
        <f t="shared" si="39"/>
        <v>104859.61250000005</v>
      </c>
    </row>
    <row r="109" spans="1:13" x14ac:dyDescent="0.35">
      <c r="A109" t="s">
        <v>54</v>
      </c>
      <c r="B109" s="13">
        <f t="shared" ref="B109:M109" si="40">B108*$I$50</f>
        <v>22020.518625000008</v>
      </c>
      <c r="C109" s="13">
        <f t="shared" si="40"/>
        <v>22020.518625000008</v>
      </c>
      <c r="D109" s="13">
        <f t="shared" si="40"/>
        <v>22020.518625000008</v>
      </c>
      <c r="E109" s="13">
        <f t="shared" si="40"/>
        <v>22020.518625000008</v>
      </c>
      <c r="F109" s="13">
        <f t="shared" si="40"/>
        <v>22020.518625000008</v>
      </c>
      <c r="G109" s="13">
        <f t="shared" si="40"/>
        <v>22020.518625000008</v>
      </c>
      <c r="H109" s="13">
        <f t="shared" si="40"/>
        <v>22020.518625000008</v>
      </c>
      <c r="I109" s="13">
        <f t="shared" si="40"/>
        <v>22020.518625000008</v>
      </c>
      <c r="J109" s="13">
        <f t="shared" si="40"/>
        <v>22020.518625000008</v>
      </c>
      <c r="K109" s="13">
        <f t="shared" si="40"/>
        <v>22020.518625000008</v>
      </c>
      <c r="L109" s="13">
        <f t="shared" si="40"/>
        <v>22020.518625000008</v>
      </c>
      <c r="M109" s="13">
        <f t="shared" si="40"/>
        <v>22020.518625000008</v>
      </c>
    </row>
    <row r="110" spans="1:13" x14ac:dyDescent="0.35">
      <c r="A110" t="s">
        <v>71</v>
      </c>
      <c r="B110" s="13">
        <f>B108-B109</f>
        <v>82839.093875000035</v>
      </c>
      <c r="C110" s="13">
        <f t="shared" ref="C110:M110" si="41">C108-C109</f>
        <v>82839.093875000035</v>
      </c>
      <c r="D110" s="13">
        <f t="shared" si="41"/>
        <v>82839.093875000035</v>
      </c>
      <c r="E110" s="13">
        <f t="shared" si="41"/>
        <v>82839.093875000035</v>
      </c>
      <c r="F110" s="13">
        <f t="shared" si="41"/>
        <v>82839.093875000035</v>
      </c>
      <c r="G110" s="13">
        <f t="shared" si="41"/>
        <v>82839.093875000035</v>
      </c>
      <c r="H110" s="13">
        <f t="shared" si="41"/>
        <v>82839.093875000035</v>
      </c>
      <c r="I110" s="13">
        <f t="shared" si="41"/>
        <v>82839.093875000035</v>
      </c>
      <c r="J110" s="13">
        <f t="shared" si="41"/>
        <v>82839.093875000035</v>
      </c>
      <c r="K110" s="13">
        <f t="shared" si="41"/>
        <v>82839.093875000035</v>
      </c>
      <c r="L110" s="13">
        <f t="shared" si="41"/>
        <v>82839.093875000035</v>
      </c>
      <c r="M110" s="13">
        <f t="shared" si="41"/>
        <v>82839.093875000035</v>
      </c>
    </row>
    <row r="111" spans="1:13" x14ac:dyDescent="0.35">
      <c r="A111" s="9" t="s">
        <v>104</v>
      </c>
      <c r="B111" s="13">
        <f>M97+B110</f>
        <v>1298713.7905416668</v>
      </c>
      <c r="C111" s="13">
        <f>B111+C110</f>
        <v>1381552.8844166668</v>
      </c>
      <c r="D111" s="13">
        <f t="shared" ref="D111" si="42">C111+D110</f>
        <v>1464391.9782916668</v>
      </c>
      <c r="E111" s="48">
        <f t="shared" ref="E111" si="43">D111+E110</f>
        <v>1547231.0721666669</v>
      </c>
      <c r="F111" s="13">
        <f t="shared" ref="F111" si="44">E111+F110</f>
        <v>1630070.1660416669</v>
      </c>
      <c r="G111" s="13">
        <f t="shared" ref="G111" si="45">F111+G110</f>
        <v>1712909.2599166669</v>
      </c>
      <c r="H111" s="13">
        <f t="shared" ref="H111" si="46">G111+H110</f>
        <v>1795748.3537916669</v>
      </c>
      <c r="I111" s="48">
        <f t="shared" ref="I111" si="47">H111+I110</f>
        <v>1878587.4476666669</v>
      </c>
      <c r="J111" s="13">
        <f t="shared" ref="J111" si="48">I111+J110</f>
        <v>1961426.541541667</v>
      </c>
      <c r="K111" s="13">
        <f t="shared" ref="K111" si="49">J111+K110</f>
        <v>2044265.635416667</v>
      </c>
      <c r="L111" s="13">
        <f t="shared" ref="L111" si="50">K111+L110</f>
        <v>2127104.7292916672</v>
      </c>
      <c r="M111" s="13">
        <f t="shared" ref="M111" si="51">L111+M110</f>
        <v>2209943.8231666675</v>
      </c>
    </row>
    <row r="113" spans="1:13" ht="18.5" x14ac:dyDescent="0.45">
      <c r="B113" s="63" t="s">
        <v>160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</row>
    <row r="114" spans="1:13" x14ac:dyDescent="0.35">
      <c r="A114" s="1"/>
      <c r="B114" s="1" t="s">
        <v>161</v>
      </c>
      <c r="C114" s="1" t="s">
        <v>162</v>
      </c>
      <c r="D114" s="1" t="s">
        <v>163</v>
      </c>
      <c r="E114" s="1" t="s">
        <v>164</v>
      </c>
      <c r="F114" s="1" t="s">
        <v>165</v>
      </c>
      <c r="G114" s="1" t="s">
        <v>166</v>
      </c>
      <c r="H114" s="1" t="s">
        <v>167</v>
      </c>
      <c r="I114" s="1" t="s">
        <v>168</v>
      </c>
      <c r="J114" s="1" t="s">
        <v>169</v>
      </c>
      <c r="K114" s="1" t="s">
        <v>170</v>
      </c>
      <c r="L114" s="1" t="s">
        <v>171</v>
      </c>
      <c r="M114" s="30" t="s">
        <v>172</v>
      </c>
    </row>
    <row r="115" spans="1:13" x14ac:dyDescent="0.35">
      <c r="A115" t="s">
        <v>35</v>
      </c>
      <c r="B115" s="11">
        <f>F41/12</f>
        <v>-1000</v>
      </c>
      <c r="C115" s="11">
        <f>B115</f>
        <v>-1000</v>
      </c>
      <c r="D115" s="11">
        <f t="shared" ref="D115:D119" si="52">C115</f>
        <v>-1000</v>
      </c>
      <c r="E115" s="11">
        <f t="shared" ref="E115:E119" si="53">D115</f>
        <v>-1000</v>
      </c>
      <c r="F115" s="11">
        <f t="shared" ref="F115:F119" si="54">E115</f>
        <v>-1000</v>
      </c>
      <c r="G115" s="11">
        <f t="shared" ref="G115:G119" si="55">F115</f>
        <v>-1000</v>
      </c>
      <c r="H115" s="11">
        <f t="shared" ref="H115:H119" si="56">G115</f>
        <v>-1000</v>
      </c>
      <c r="I115" s="11">
        <f t="shared" ref="I115:I119" si="57">H115</f>
        <v>-1000</v>
      </c>
      <c r="J115" s="11">
        <f t="shared" ref="J115:J119" si="58">I115</f>
        <v>-1000</v>
      </c>
      <c r="K115" s="11">
        <f t="shared" ref="K115:K119" si="59">J115</f>
        <v>-1000</v>
      </c>
      <c r="L115" s="11">
        <f t="shared" ref="L115:L119" si="60">K115</f>
        <v>-1000</v>
      </c>
      <c r="M115" s="11">
        <f t="shared" ref="M115:M119" si="61">L115</f>
        <v>-1000</v>
      </c>
    </row>
    <row r="116" spans="1:13" x14ac:dyDescent="0.35">
      <c r="A116" t="s">
        <v>38</v>
      </c>
      <c r="B116" s="8">
        <f>F43/12</f>
        <v>12155.0625</v>
      </c>
      <c r="C116" s="8">
        <f>B116</f>
        <v>12155.0625</v>
      </c>
      <c r="D116" s="8">
        <f t="shared" si="52"/>
        <v>12155.0625</v>
      </c>
      <c r="E116" s="8">
        <f t="shared" si="53"/>
        <v>12155.0625</v>
      </c>
      <c r="F116" s="8">
        <f t="shared" si="54"/>
        <v>12155.0625</v>
      </c>
      <c r="G116" s="8">
        <f t="shared" si="55"/>
        <v>12155.0625</v>
      </c>
      <c r="H116" s="8">
        <f t="shared" si="56"/>
        <v>12155.0625</v>
      </c>
      <c r="I116" s="8">
        <f t="shared" si="57"/>
        <v>12155.0625</v>
      </c>
      <c r="J116" s="8">
        <f t="shared" si="58"/>
        <v>12155.0625</v>
      </c>
      <c r="K116" s="8">
        <f t="shared" si="59"/>
        <v>12155.0625</v>
      </c>
      <c r="L116" s="8">
        <f t="shared" si="60"/>
        <v>12155.0625</v>
      </c>
      <c r="M116" s="8">
        <f t="shared" si="61"/>
        <v>12155.0625</v>
      </c>
    </row>
    <row r="117" spans="1:13" x14ac:dyDescent="0.35">
      <c r="A117" t="s">
        <v>40</v>
      </c>
      <c r="B117" s="13">
        <f>-B116*$B$35</f>
        <v>-671081.00062499999</v>
      </c>
      <c r="C117" s="13">
        <f>B117</f>
        <v>-671081.00062499999</v>
      </c>
      <c r="D117" s="13">
        <f t="shared" si="52"/>
        <v>-671081.00062499999</v>
      </c>
      <c r="E117" s="13">
        <f t="shared" si="53"/>
        <v>-671081.00062499999</v>
      </c>
      <c r="F117" s="13">
        <f t="shared" si="54"/>
        <v>-671081.00062499999</v>
      </c>
      <c r="G117" s="13">
        <f t="shared" si="55"/>
        <v>-671081.00062499999</v>
      </c>
      <c r="H117" s="13">
        <f t="shared" si="56"/>
        <v>-671081.00062499999</v>
      </c>
      <c r="I117" s="13">
        <f t="shared" si="57"/>
        <v>-671081.00062499999</v>
      </c>
      <c r="J117" s="13">
        <f t="shared" si="58"/>
        <v>-671081.00062499999</v>
      </c>
      <c r="K117" s="13">
        <f t="shared" si="59"/>
        <v>-671081.00062499999</v>
      </c>
      <c r="L117" s="13">
        <f t="shared" si="60"/>
        <v>-671081.00062499999</v>
      </c>
      <c r="M117" s="13">
        <f t="shared" si="61"/>
        <v>-671081.00062499999</v>
      </c>
    </row>
    <row r="118" spans="1:13" x14ac:dyDescent="0.35">
      <c r="A118" t="s">
        <v>43</v>
      </c>
      <c r="B118" s="11">
        <f>F45/12</f>
        <v>-50646.09375</v>
      </c>
      <c r="C118" s="11">
        <f>B118</f>
        <v>-50646.09375</v>
      </c>
      <c r="D118" s="11">
        <f t="shared" si="52"/>
        <v>-50646.09375</v>
      </c>
      <c r="E118" s="11">
        <f t="shared" si="53"/>
        <v>-50646.09375</v>
      </c>
      <c r="F118" s="11">
        <f t="shared" si="54"/>
        <v>-50646.09375</v>
      </c>
      <c r="G118" s="11">
        <f t="shared" si="55"/>
        <v>-50646.09375</v>
      </c>
      <c r="H118" s="11">
        <f t="shared" si="56"/>
        <v>-50646.09375</v>
      </c>
      <c r="I118" s="11">
        <f t="shared" si="57"/>
        <v>-50646.09375</v>
      </c>
      <c r="J118" s="11">
        <f t="shared" si="58"/>
        <v>-50646.09375</v>
      </c>
      <c r="K118" s="11">
        <f t="shared" si="59"/>
        <v>-50646.09375</v>
      </c>
      <c r="L118" s="11">
        <f t="shared" si="60"/>
        <v>-50646.09375</v>
      </c>
      <c r="M118" s="11">
        <f t="shared" si="61"/>
        <v>-50646.09375</v>
      </c>
    </row>
    <row r="119" spans="1:13" x14ac:dyDescent="0.35">
      <c r="A119" t="s">
        <v>45</v>
      </c>
      <c r="B119" s="11">
        <f>F46/12</f>
        <v>-75000</v>
      </c>
      <c r="C119" s="11">
        <f>B119</f>
        <v>-75000</v>
      </c>
      <c r="D119" s="11">
        <f t="shared" si="52"/>
        <v>-75000</v>
      </c>
      <c r="E119" s="11">
        <f t="shared" si="53"/>
        <v>-75000</v>
      </c>
      <c r="F119" s="11">
        <f t="shared" si="54"/>
        <v>-75000</v>
      </c>
      <c r="G119" s="11">
        <f t="shared" si="55"/>
        <v>-75000</v>
      </c>
      <c r="H119" s="11">
        <f t="shared" si="56"/>
        <v>-75000</v>
      </c>
      <c r="I119" s="11">
        <f t="shared" si="57"/>
        <v>-75000</v>
      </c>
      <c r="J119" s="11">
        <f t="shared" si="58"/>
        <v>-75000</v>
      </c>
      <c r="K119" s="11">
        <f t="shared" si="59"/>
        <v>-75000</v>
      </c>
      <c r="L119" s="11">
        <f t="shared" si="60"/>
        <v>-75000</v>
      </c>
      <c r="M119" s="11">
        <f t="shared" si="61"/>
        <v>-75000</v>
      </c>
    </row>
    <row r="120" spans="1:13" x14ac:dyDescent="0.35">
      <c r="A120" t="s">
        <v>46</v>
      </c>
      <c r="B120" s="11">
        <f>SUM(B115:B119)-B116</f>
        <v>-797727.09437499999</v>
      </c>
      <c r="C120" s="11">
        <f t="shared" ref="C120:M120" si="62">SUM(C115:C119)-C116</f>
        <v>-797727.09437499999</v>
      </c>
      <c r="D120" s="11">
        <f t="shared" si="62"/>
        <v>-797727.09437499999</v>
      </c>
      <c r="E120" s="11">
        <f t="shared" si="62"/>
        <v>-797727.09437499999</v>
      </c>
      <c r="F120" s="11">
        <f t="shared" si="62"/>
        <v>-797727.09437499999</v>
      </c>
      <c r="G120" s="11">
        <f t="shared" si="62"/>
        <v>-797727.09437499999</v>
      </c>
      <c r="H120" s="11">
        <f t="shared" si="62"/>
        <v>-797727.09437499999</v>
      </c>
      <c r="I120" s="11">
        <f t="shared" si="62"/>
        <v>-797727.09437499999</v>
      </c>
      <c r="J120" s="11">
        <f t="shared" si="62"/>
        <v>-797727.09437499999</v>
      </c>
      <c r="K120" s="11">
        <f t="shared" si="62"/>
        <v>-797727.09437499999</v>
      </c>
      <c r="L120" s="11">
        <f t="shared" si="62"/>
        <v>-797727.09437499999</v>
      </c>
      <c r="M120" s="11">
        <f t="shared" si="62"/>
        <v>-797727.09437499999</v>
      </c>
    </row>
    <row r="121" spans="1:13" x14ac:dyDescent="0.35">
      <c r="A121" t="s">
        <v>52</v>
      </c>
      <c r="B121" s="22">
        <f>B116*$B$36</f>
        <v>911629.6875</v>
      </c>
      <c r="C121" s="22">
        <f t="shared" ref="C121:M121" si="63">C116*$B$36</f>
        <v>911629.6875</v>
      </c>
      <c r="D121" s="22">
        <f t="shared" si="63"/>
        <v>911629.6875</v>
      </c>
      <c r="E121" s="22">
        <f t="shared" si="63"/>
        <v>911629.6875</v>
      </c>
      <c r="F121" s="22">
        <f t="shared" si="63"/>
        <v>911629.6875</v>
      </c>
      <c r="G121" s="22">
        <f t="shared" si="63"/>
        <v>911629.6875</v>
      </c>
      <c r="H121" s="22">
        <f t="shared" si="63"/>
        <v>911629.6875</v>
      </c>
      <c r="I121" s="22">
        <f t="shared" si="63"/>
        <v>911629.6875</v>
      </c>
      <c r="J121" s="22">
        <f t="shared" si="63"/>
        <v>911629.6875</v>
      </c>
      <c r="K121" s="22">
        <f t="shared" si="63"/>
        <v>911629.6875</v>
      </c>
      <c r="L121" s="22">
        <f t="shared" si="63"/>
        <v>911629.6875</v>
      </c>
      <c r="M121" s="22">
        <f t="shared" si="63"/>
        <v>911629.6875</v>
      </c>
    </row>
    <row r="122" spans="1:13" x14ac:dyDescent="0.35">
      <c r="A122" t="s">
        <v>53</v>
      </c>
      <c r="B122" s="13">
        <f>B120+B121</f>
        <v>113902.59312500001</v>
      </c>
      <c r="C122" s="13">
        <f t="shared" ref="C122:M122" si="64">C120+C121</f>
        <v>113902.59312500001</v>
      </c>
      <c r="D122" s="13">
        <f t="shared" si="64"/>
        <v>113902.59312500001</v>
      </c>
      <c r="E122" s="13">
        <f t="shared" si="64"/>
        <v>113902.59312500001</v>
      </c>
      <c r="F122" s="13">
        <f t="shared" si="64"/>
        <v>113902.59312500001</v>
      </c>
      <c r="G122" s="13">
        <f t="shared" si="64"/>
        <v>113902.59312500001</v>
      </c>
      <c r="H122" s="13">
        <f t="shared" si="64"/>
        <v>113902.59312500001</v>
      </c>
      <c r="I122" s="13">
        <f t="shared" si="64"/>
        <v>113902.59312500001</v>
      </c>
      <c r="J122" s="13">
        <f t="shared" si="64"/>
        <v>113902.59312500001</v>
      </c>
      <c r="K122" s="13">
        <f t="shared" si="64"/>
        <v>113902.59312500001</v>
      </c>
      <c r="L122" s="13">
        <f t="shared" si="64"/>
        <v>113902.59312500001</v>
      </c>
      <c r="M122" s="13">
        <f t="shared" si="64"/>
        <v>113902.59312500001</v>
      </c>
    </row>
    <row r="123" spans="1:13" x14ac:dyDescent="0.35">
      <c r="A123" t="s">
        <v>54</v>
      </c>
      <c r="B123" s="13">
        <f t="shared" ref="B123:M123" si="65">B122*$I$50</f>
        <v>23919.544556250003</v>
      </c>
      <c r="C123" s="13">
        <f t="shared" si="65"/>
        <v>23919.544556250003</v>
      </c>
      <c r="D123" s="13">
        <f t="shared" si="65"/>
        <v>23919.544556250003</v>
      </c>
      <c r="E123" s="13">
        <f t="shared" si="65"/>
        <v>23919.544556250003</v>
      </c>
      <c r="F123" s="13">
        <f t="shared" si="65"/>
        <v>23919.544556250003</v>
      </c>
      <c r="G123" s="13">
        <f t="shared" si="65"/>
        <v>23919.544556250003</v>
      </c>
      <c r="H123" s="13">
        <f t="shared" si="65"/>
        <v>23919.544556250003</v>
      </c>
      <c r="I123" s="13">
        <f t="shared" si="65"/>
        <v>23919.544556250003</v>
      </c>
      <c r="J123" s="13">
        <f t="shared" si="65"/>
        <v>23919.544556250003</v>
      </c>
      <c r="K123" s="13">
        <f t="shared" si="65"/>
        <v>23919.544556250003</v>
      </c>
      <c r="L123" s="13">
        <f t="shared" si="65"/>
        <v>23919.544556250003</v>
      </c>
      <c r="M123" s="13">
        <f t="shared" si="65"/>
        <v>23919.544556250003</v>
      </c>
    </row>
    <row r="124" spans="1:13" x14ac:dyDescent="0.35">
      <c r="A124" t="s">
        <v>71</v>
      </c>
      <c r="B124" s="13">
        <f>B122-B123</f>
        <v>89983.048568750004</v>
      </c>
      <c r="C124" s="13">
        <f t="shared" ref="C124:M124" si="66">C122-C123</f>
        <v>89983.048568750004</v>
      </c>
      <c r="D124" s="13">
        <f t="shared" si="66"/>
        <v>89983.048568750004</v>
      </c>
      <c r="E124" s="13">
        <f t="shared" si="66"/>
        <v>89983.048568750004</v>
      </c>
      <c r="F124" s="13">
        <f t="shared" si="66"/>
        <v>89983.048568750004</v>
      </c>
      <c r="G124" s="13">
        <f t="shared" si="66"/>
        <v>89983.048568750004</v>
      </c>
      <c r="H124" s="13">
        <f t="shared" si="66"/>
        <v>89983.048568750004</v>
      </c>
      <c r="I124" s="13">
        <f t="shared" si="66"/>
        <v>89983.048568750004</v>
      </c>
      <c r="J124" s="13">
        <f t="shared" si="66"/>
        <v>89983.048568750004</v>
      </c>
      <c r="K124" s="13">
        <f t="shared" si="66"/>
        <v>89983.048568750004</v>
      </c>
      <c r="L124" s="13">
        <f t="shared" si="66"/>
        <v>89983.048568750004</v>
      </c>
      <c r="M124" s="13">
        <f t="shared" si="66"/>
        <v>89983.048568750004</v>
      </c>
    </row>
    <row r="125" spans="1:13" x14ac:dyDescent="0.35">
      <c r="A125" s="9" t="s">
        <v>104</v>
      </c>
      <c r="B125" s="13">
        <f>M111+B124</f>
        <v>2299926.8717354173</v>
      </c>
      <c r="C125" s="13">
        <f>B125+C124</f>
        <v>2389909.9203041671</v>
      </c>
      <c r="D125" s="13">
        <f t="shared" ref="D125" si="67">C125+D124</f>
        <v>2479892.9688729169</v>
      </c>
      <c r="E125" s="48">
        <f t="shared" ref="E125" si="68">D125+E124</f>
        <v>2569876.0174416667</v>
      </c>
      <c r="F125" s="13">
        <f t="shared" ref="F125" si="69">E125+F124</f>
        <v>2659859.0660104165</v>
      </c>
      <c r="G125" s="13">
        <f t="shared" ref="G125" si="70">F125+G124</f>
        <v>2749842.1145791663</v>
      </c>
      <c r="H125" s="13">
        <f t="shared" ref="H125" si="71">G125+H124</f>
        <v>2839825.1631479161</v>
      </c>
      <c r="I125" s="48">
        <f t="shared" ref="I125" si="72">H125+I124</f>
        <v>2929808.2117166659</v>
      </c>
      <c r="J125" s="13">
        <f t="shared" ref="J125" si="73">I125+J124</f>
        <v>3019791.2602854157</v>
      </c>
      <c r="K125" s="13">
        <f t="shared" ref="K125" si="74">J125+K124</f>
        <v>3109774.3088541655</v>
      </c>
      <c r="L125" s="13">
        <f t="shared" ref="L125" si="75">K125+L124</f>
        <v>3199757.3574229153</v>
      </c>
      <c r="M125" s="13">
        <f t="shared" ref="M125" si="76">L125+M124</f>
        <v>3289740.4059916651</v>
      </c>
    </row>
    <row r="127" spans="1:13" ht="21" x14ac:dyDescent="0.5">
      <c r="A127" s="65" t="s">
        <v>173</v>
      </c>
      <c r="B127" s="65"/>
      <c r="C127" s="65"/>
      <c r="D127" s="65"/>
      <c r="E127" s="65"/>
      <c r="F127" s="65"/>
      <c r="G127" s="65"/>
      <c r="H127" s="65"/>
      <c r="I127" s="65"/>
      <c r="J127" s="65"/>
    </row>
    <row r="128" spans="1:13" x14ac:dyDescent="0.35">
      <c r="A128" s="12" t="s">
        <v>139</v>
      </c>
      <c r="C128" t="s">
        <v>174</v>
      </c>
      <c r="D128" t="s">
        <v>175</v>
      </c>
      <c r="E128" t="s">
        <v>176</v>
      </c>
      <c r="G128" t="s">
        <v>177</v>
      </c>
      <c r="H128" t="s">
        <v>178</v>
      </c>
    </row>
    <row r="129" spans="1:10" x14ac:dyDescent="0.35">
      <c r="A129" s="41" t="s">
        <v>179</v>
      </c>
      <c r="B129" s="11">
        <v>15000</v>
      </c>
      <c r="C129" s="1" t="s">
        <v>180</v>
      </c>
      <c r="D129" s="1" t="s">
        <v>180</v>
      </c>
      <c r="E129" s="1" t="s">
        <v>180</v>
      </c>
      <c r="F129" s="1" t="s">
        <v>180</v>
      </c>
      <c r="G129" s="1" t="s">
        <v>180</v>
      </c>
      <c r="H129" s="1" t="s">
        <v>180</v>
      </c>
    </row>
    <row r="130" spans="1:10" x14ac:dyDescent="0.35">
      <c r="A130" s="41" t="s">
        <v>181</v>
      </c>
      <c r="B130" s="11">
        <v>45000</v>
      </c>
      <c r="C130" s="2">
        <f>Timeline!B3</f>
        <v>0</v>
      </c>
      <c r="D130" s="54">
        <f>B130/$B$133</f>
        <v>2.7355623100303952E-2</v>
      </c>
      <c r="E130" s="57">
        <f>($B$135-C130)/365</f>
        <v>128.0849315068493</v>
      </c>
      <c r="F130" t="s">
        <v>182</v>
      </c>
      <c r="G130" s="46">
        <f>D130*$D$135</f>
        <v>89992.898644148896</v>
      </c>
      <c r="H130" s="54">
        <f>B130/G130</f>
        <v>0.50003945509011316</v>
      </c>
      <c r="I130" s="52">
        <f>RATE(E130,,B130,-G130)</f>
        <v>5.4256714672461723E-3</v>
      </c>
      <c r="J130" t="s">
        <v>183</v>
      </c>
    </row>
    <row r="131" spans="1:10" x14ac:dyDescent="0.35">
      <c r="A131" s="41" t="s">
        <v>184</v>
      </c>
      <c r="B131" s="11">
        <v>600000</v>
      </c>
      <c r="C131" s="2">
        <f>Timeline!B4</f>
        <v>0</v>
      </c>
      <c r="D131" s="54">
        <f t="shared" ref="D131:D132" si="77">B131/$B$133</f>
        <v>0.36474164133738601</v>
      </c>
      <c r="E131" s="57">
        <f t="shared" ref="E131:E132" si="78">($B$135-C131)/365</f>
        <v>128.0849315068493</v>
      </c>
      <c r="F131" t="s">
        <v>182</v>
      </c>
      <c r="G131" s="46">
        <f t="shared" ref="G131:G132" si="79">D131*$D$135</f>
        <v>1199905.3152553185</v>
      </c>
      <c r="H131" s="54">
        <f>B131/G131</f>
        <v>0.50003945509011327</v>
      </c>
      <c r="I131" s="52">
        <f t="shared" ref="I131:I132" si="80">RATE(E131,,B131,-G131)</f>
        <v>5.4256714672461098E-3</v>
      </c>
      <c r="J131" t="s">
        <v>183</v>
      </c>
    </row>
    <row r="132" spans="1:10" x14ac:dyDescent="0.35">
      <c r="A132" s="41" t="s">
        <v>185</v>
      </c>
      <c r="B132" s="13">
        <v>1000000</v>
      </c>
      <c r="C132" s="2">
        <f>Timeline!B10</f>
        <v>0</v>
      </c>
      <c r="D132" s="54">
        <f t="shared" si="77"/>
        <v>0.60790273556231</v>
      </c>
      <c r="E132" s="57">
        <f t="shared" si="78"/>
        <v>128.0849315068493</v>
      </c>
      <c r="F132" t="s">
        <v>182</v>
      </c>
      <c r="G132" s="46">
        <f t="shared" si="79"/>
        <v>1999842.1920921975</v>
      </c>
      <c r="H132" s="54">
        <f>B132/G132</f>
        <v>0.50003945509011327</v>
      </c>
      <c r="I132" s="52">
        <f t="shared" si="80"/>
        <v>5.4256714672460968E-3</v>
      </c>
      <c r="J132" t="s">
        <v>183</v>
      </c>
    </row>
    <row r="133" spans="1:10" x14ac:dyDescent="0.35">
      <c r="A133" s="50" t="s">
        <v>186</v>
      </c>
      <c r="B133" s="51">
        <f>SUM(B130:B132)</f>
        <v>1645000</v>
      </c>
      <c r="C133" s="1" t="s">
        <v>187</v>
      </c>
      <c r="D133" s="2">
        <f>C132</f>
        <v>0</v>
      </c>
    </row>
    <row r="134" spans="1:10" x14ac:dyDescent="0.35">
      <c r="D134" s="1"/>
    </row>
    <row r="135" spans="1:10" x14ac:dyDescent="0.35">
      <c r="A135" s="44" t="s">
        <v>188</v>
      </c>
      <c r="B135" s="56">
        <v>46751</v>
      </c>
      <c r="C135" s="1" t="s">
        <v>189</v>
      </c>
      <c r="D135" s="55">
        <f>M125</f>
        <v>3289740.4059916651</v>
      </c>
    </row>
  </sheetData>
  <mergeCells count="8">
    <mergeCell ref="B99:M99"/>
    <mergeCell ref="B38:F38"/>
    <mergeCell ref="B113:M113"/>
    <mergeCell ref="A127:J127"/>
    <mergeCell ref="B24:D24"/>
    <mergeCell ref="B54:M54"/>
    <mergeCell ref="B70:M70"/>
    <mergeCell ref="B85:M85"/>
  </mergeCells>
  <phoneticPr fontId="8" type="noConversion"/>
  <hyperlinks>
    <hyperlink ref="J50" r:id="rId1" xr:uid="{E18D68F2-7BFF-43D2-92B5-F2C1D783B893}"/>
    <hyperlink ref="H2" r:id="rId2" location=":~:text=Seventy%20percent%20of%20U.S.%20households,and%2067%20percent%20in%202019." xr:uid="{F4BD2B02-37D9-4FB2-97AE-2907DB63B696}"/>
    <hyperlink ref="H3" r:id="rId3" location=":~:text=For%20most%20American%20families%2C%20cars,a%20day%20in%20the%20car." xr:uid="{9EC379D0-EAF3-4E86-A4E1-0D4CF36AD783}"/>
    <hyperlink ref="A16" r:id="rId4" xr:uid="{62795E0C-49E7-4651-BFB4-72CA4244712D}"/>
    <hyperlink ref="A13" r:id="rId5" xr:uid="{8D060961-4760-4FCB-95BD-1B90B91C16BB}"/>
    <hyperlink ref="A14" r:id="rId6" xr:uid="{6BED1BFC-82CC-4CED-A4F6-CC7FFC02902A}"/>
    <hyperlink ref="A15" r:id="rId7" xr:uid="{273CFD3B-DA2F-440A-935E-077ADD82719E}"/>
  </hyperlinks>
  <pageMargins left="0.7" right="0.7" top="0.75" bottom="0.75" header="0.3" footer="0.3"/>
  <pageSetup orientation="portrait" r:id="rId8"/>
  <ignoredErrors>
    <ignoredError sqref="B108" evalError="1"/>
    <ignoredError sqref="B13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CCE-A7F5-4CF7-BE44-78E976C0B5F7}">
  <dimension ref="A1:M88"/>
  <sheetViews>
    <sheetView zoomScaleNormal="100" workbookViewId="0">
      <selection activeCell="F97" sqref="F97"/>
    </sheetView>
  </sheetViews>
  <sheetFormatPr defaultRowHeight="14.5" x14ac:dyDescent="0.35"/>
  <cols>
    <col min="1" max="1" width="23.81640625" bestFit="1" customWidth="1"/>
    <col min="2" max="7" width="15.26953125" customWidth="1"/>
    <col min="8" max="8" width="23.81640625" bestFit="1" customWidth="1"/>
    <col min="9" max="13" width="15.26953125" customWidth="1"/>
    <col min="14" max="14" width="11.2695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  <c r="F2" s="3">
        <v>69000000</v>
      </c>
      <c r="G2" t="s">
        <v>5</v>
      </c>
      <c r="H2" s="4" t="s">
        <v>6</v>
      </c>
    </row>
    <row r="3" spans="1:10" x14ac:dyDescent="0.35">
      <c r="A3" t="s">
        <v>7</v>
      </c>
      <c r="F3" s="5">
        <v>0.91</v>
      </c>
      <c r="G3" t="s">
        <v>8</v>
      </c>
      <c r="H3" s="4" t="s">
        <v>6</v>
      </c>
    </row>
    <row r="7" spans="1:10" x14ac:dyDescent="0.35">
      <c r="A7" t="s">
        <v>9</v>
      </c>
      <c r="F7" s="7">
        <f>$F$2*$F$3</f>
        <v>62790000</v>
      </c>
    </row>
    <row r="8" spans="1:10" x14ac:dyDescent="0.35">
      <c r="A8" t="s">
        <v>10</v>
      </c>
      <c r="F8" s="8">
        <f>F7*50%</f>
        <v>31395000</v>
      </c>
      <c r="G8" t="s">
        <v>11</v>
      </c>
    </row>
    <row r="9" spans="1:10" x14ac:dyDescent="0.35">
      <c r="A9" t="s">
        <v>12</v>
      </c>
      <c r="F9" s="8">
        <f>F8*30%</f>
        <v>9418500</v>
      </c>
      <c r="G9" s="10" t="s">
        <v>13</v>
      </c>
    </row>
    <row r="10" spans="1:10" x14ac:dyDescent="0.35">
      <c r="F10" s="8"/>
      <c r="G10" s="10"/>
    </row>
    <row r="11" spans="1:10" x14ac:dyDescent="0.35">
      <c r="A11" s="12" t="s">
        <v>14</v>
      </c>
    </row>
    <row r="12" spans="1:10" x14ac:dyDescent="0.35">
      <c r="A12" t="s">
        <v>15</v>
      </c>
    </row>
    <row r="13" spans="1:10" x14ac:dyDescent="0.35">
      <c r="A13" s="4" t="s">
        <v>16</v>
      </c>
      <c r="F13" s="13">
        <v>46</v>
      </c>
      <c r="J13" s="13"/>
    </row>
    <row r="14" spans="1:10" ht="15" thickBot="1" x14ac:dyDescent="0.4">
      <c r="A14" s="4" t="s">
        <v>17</v>
      </c>
      <c r="F14" s="13">
        <v>19.989999999999998</v>
      </c>
      <c r="J14" s="13"/>
    </row>
    <row r="15" spans="1:10" ht="15" thickBot="1" x14ac:dyDescent="0.4">
      <c r="A15" s="58" t="s">
        <v>18</v>
      </c>
      <c r="F15" s="13">
        <v>42.95</v>
      </c>
      <c r="J15" s="13"/>
    </row>
    <row r="16" spans="1:10" x14ac:dyDescent="0.35">
      <c r="A16" s="4" t="s">
        <v>19</v>
      </c>
      <c r="F16" s="15">
        <v>119.99</v>
      </c>
      <c r="J16" s="13"/>
    </row>
    <row r="17" spans="1:13" x14ac:dyDescent="0.35">
      <c r="A17" s="12" t="s">
        <v>20</v>
      </c>
      <c r="F17" s="14">
        <f>AVERAGE(F13:F16)</f>
        <v>57.232500000000002</v>
      </c>
      <c r="G17" t="s">
        <v>21</v>
      </c>
      <c r="J17" s="13"/>
    </row>
    <row r="18" spans="1:13" x14ac:dyDescent="0.35">
      <c r="J18" s="13"/>
    </row>
    <row r="19" spans="1:13" x14ac:dyDescent="0.35">
      <c r="A19" t="s">
        <v>22</v>
      </c>
      <c r="F19" s="14">
        <f>F17-(40%*F17)</f>
        <v>34.339500000000001</v>
      </c>
      <c r="G19" t="s">
        <v>23</v>
      </c>
    </row>
    <row r="20" spans="1:13" x14ac:dyDescent="0.35">
      <c r="A20" t="s">
        <v>24</v>
      </c>
      <c r="E20" s="13"/>
      <c r="F20" s="13">
        <v>48.21</v>
      </c>
      <c r="G20" s="16" t="s">
        <v>25</v>
      </c>
    </row>
    <row r="22" spans="1:13" x14ac:dyDescent="0.35">
      <c r="A22" t="s">
        <v>26</v>
      </c>
      <c r="F22" s="11">
        <v>150000</v>
      </c>
      <c r="G22" t="s">
        <v>27</v>
      </c>
    </row>
    <row r="24" spans="1:13" x14ac:dyDescent="0.35">
      <c r="B24" s="61" t="s">
        <v>28</v>
      </c>
      <c r="C24" s="61"/>
      <c r="D24" s="61"/>
    </row>
    <row r="25" spans="1:13" x14ac:dyDescent="0.35">
      <c r="A25" t="s">
        <v>29</v>
      </c>
      <c r="B25" s="1" t="s">
        <v>30</v>
      </c>
      <c r="C25" s="1" t="s">
        <v>31</v>
      </c>
      <c r="D25" s="1" t="s">
        <v>32</v>
      </c>
    </row>
    <row r="26" spans="1:13" x14ac:dyDescent="0.35">
      <c r="A26" t="s">
        <v>1</v>
      </c>
      <c r="B26" s="11">
        <v>-60000</v>
      </c>
      <c r="C26" s="1" t="s">
        <v>33</v>
      </c>
      <c r="D26" s="1" t="s">
        <v>33</v>
      </c>
      <c r="G26" t="s">
        <v>34</v>
      </c>
    </row>
    <row r="27" spans="1:13" x14ac:dyDescent="0.35">
      <c r="A27" t="s">
        <v>35</v>
      </c>
      <c r="B27" s="11">
        <f>-SUM($I$58:$M$58)</f>
        <v>-5000</v>
      </c>
      <c r="C27" s="11">
        <v>-12000</v>
      </c>
      <c r="D27" s="11">
        <f>C27</f>
        <v>-12000</v>
      </c>
      <c r="G27" t="s">
        <v>36</v>
      </c>
    </row>
    <row r="28" spans="1:13" x14ac:dyDescent="0.35">
      <c r="A28" t="s">
        <v>37</v>
      </c>
      <c r="B28" s="11">
        <v>-300</v>
      </c>
      <c r="C28" s="1" t="s">
        <v>33</v>
      </c>
      <c r="D28" s="1" t="s">
        <v>33</v>
      </c>
    </row>
    <row r="29" spans="1:13" x14ac:dyDescent="0.35">
      <c r="A29" t="s">
        <v>38</v>
      </c>
      <c r="B29" s="7">
        <v>50000</v>
      </c>
      <c r="C29" s="21">
        <f>120000*1.05</f>
        <v>126000</v>
      </c>
      <c r="D29" s="21">
        <f>C29*1.05</f>
        <v>132300</v>
      </c>
      <c r="G29" t="s">
        <v>39</v>
      </c>
    </row>
    <row r="30" spans="1:13" x14ac:dyDescent="0.35">
      <c r="A30" t="s">
        <v>40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41</v>
      </c>
      <c r="I30" s="19">
        <f>120000/F9</f>
        <v>1.2740882306099698E-2</v>
      </c>
      <c r="J30" t="s">
        <v>42</v>
      </c>
      <c r="M30" s="5">
        <v>0.05</v>
      </c>
    </row>
    <row r="31" spans="1:13" x14ac:dyDescent="0.35">
      <c r="A31" t="s">
        <v>43</v>
      </c>
      <c r="B31" s="11">
        <f>(-500000/12)*11</f>
        <v>-458333.33333333331</v>
      </c>
      <c r="C31" s="11">
        <f>(-500000*1.05)</f>
        <v>-525000</v>
      </c>
      <c r="D31" s="11">
        <f>C31*1.05</f>
        <v>-551250</v>
      </c>
      <c r="G31" t="s">
        <v>44</v>
      </c>
    </row>
    <row r="32" spans="1:13" x14ac:dyDescent="0.35">
      <c r="A32" t="s">
        <v>45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35">
      <c r="A33" t="s">
        <v>46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35">
      <c r="A35" t="s">
        <v>47</v>
      </c>
      <c r="B35" s="13">
        <f>$F$20+7</f>
        <v>55.21</v>
      </c>
      <c r="C35" t="s">
        <v>48</v>
      </c>
    </row>
    <row r="36" spans="1:7" x14ac:dyDescent="0.35">
      <c r="A36" t="s">
        <v>49</v>
      </c>
      <c r="B36" s="13">
        <v>75</v>
      </c>
      <c r="G36" s="16" t="s">
        <v>91</v>
      </c>
    </row>
    <row r="38" spans="1:7" x14ac:dyDescent="0.35">
      <c r="B38" s="61" t="s">
        <v>51</v>
      </c>
      <c r="C38" s="61"/>
      <c r="D38" s="61"/>
    </row>
    <row r="39" spans="1:7" x14ac:dyDescent="0.35">
      <c r="A39" t="s">
        <v>29</v>
      </c>
      <c r="B39" s="1" t="s">
        <v>30</v>
      </c>
      <c r="C39" s="1" t="s">
        <v>31</v>
      </c>
      <c r="D39" s="1" t="s">
        <v>32</v>
      </c>
    </row>
    <row r="40" spans="1:7" x14ac:dyDescent="0.35">
      <c r="A40" t="s">
        <v>1</v>
      </c>
      <c r="B40" s="11">
        <v>-60000</v>
      </c>
      <c r="C40" s="1" t="s">
        <v>33</v>
      </c>
      <c r="D40" s="1" t="s">
        <v>33</v>
      </c>
    </row>
    <row r="41" spans="1:7" x14ac:dyDescent="0.35">
      <c r="A41" t="s">
        <v>35</v>
      </c>
      <c r="B41" s="11">
        <f>-SUM($I$58:$M$58)</f>
        <v>-5000</v>
      </c>
      <c r="C41" s="11">
        <f>C27</f>
        <v>-12000</v>
      </c>
      <c r="D41" s="11">
        <f>D27</f>
        <v>-12000</v>
      </c>
    </row>
    <row r="42" spans="1:7" x14ac:dyDescent="0.35">
      <c r="A42" t="s">
        <v>37</v>
      </c>
      <c r="B42" s="11">
        <v>-300</v>
      </c>
      <c r="C42" s="1" t="s">
        <v>33</v>
      </c>
      <c r="D42" s="1" t="s">
        <v>33</v>
      </c>
    </row>
    <row r="43" spans="1:7" x14ac:dyDescent="0.35">
      <c r="A43" t="s">
        <v>38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35">
      <c r="A44" t="s">
        <v>40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35">
      <c r="A45" t="s">
        <v>43</v>
      </c>
      <c r="B45" s="11">
        <f t="shared" ref="B45:D46" si="0">B31</f>
        <v>-458333.33333333331</v>
      </c>
      <c r="C45" s="11">
        <f t="shared" si="0"/>
        <v>-525000</v>
      </c>
      <c r="D45" s="11">
        <f t="shared" si="0"/>
        <v>-551250</v>
      </c>
    </row>
    <row r="46" spans="1:7" x14ac:dyDescent="0.35">
      <c r="A46" t="s">
        <v>45</v>
      </c>
      <c r="B46" s="20">
        <f t="shared" si="0"/>
        <v>-900000</v>
      </c>
      <c r="C46" s="20">
        <f t="shared" si="0"/>
        <v>-900000</v>
      </c>
      <c r="D46" s="20">
        <f t="shared" si="0"/>
        <v>-900000</v>
      </c>
    </row>
    <row r="47" spans="1:7" x14ac:dyDescent="0.35">
      <c r="A47" t="s">
        <v>46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35">
      <c r="A48" t="s">
        <v>52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35">
      <c r="A49" t="s">
        <v>53</v>
      </c>
      <c r="B49" s="27">
        <f>B48+B47</f>
        <v>-84133.333333333489</v>
      </c>
      <c r="C49" s="23">
        <f t="shared" ref="C49:D49" si="1">C48+C47</f>
        <v>1938540</v>
      </c>
      <c r="D49" s="23">
        <f t="shared" si="1"/>
        <v>2081067</v>
      </c>
    </row>
    <row r="50" spans="1:13" x14ac:dyDescent="0.35">
      <c r="A50" t="s">
        <v>54</v>
      </c>
      <c r="B50" s="26" t="s">
        <v>33</v>
      </c>
      <c r="C50" s="23">
        <f t="shared" ref="C50:D50" si="2">C49*$E$50</f>
        <v>407093.39999999997</v>
      </c>
      <c r="D50" s="23">
        <f t="shared" si="2"/>
        <v>437024.07</v>
      </c>
      <c r="E50" s="5">
        <v>0.21</v>
      </c>
      <c r="F50" s="4" t="s">
        <v>55</v>
      </c>
    </row>
    <row r="51" spans="1:13" x14ac:dyDescent="0.35">
      <c r="A51" t="s">
        <v>56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5" x14ac:dyDescent="0.45">
      <c r="A54" s="67" t="s">
        <v>57</v>
      </c>
      <c r="B54" s="67"/>
      <c r="C54" s="67"/>
      <c r="D54" s="67"/>
    </row>
    <row r="55" spans="1:13" ht="18.5" x14ac:dyDescent="0.45">
      <c r="A55" s="1"/>
      <c r="B55" s="63" t="s">
        <v>30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35">
      <c r="A56" s="1"/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64</v>
      </c>
      <c r="H56" s="1" t="s">
        <v>65</v>
      </c>
      <c r="I56" s="1" t="s">
        <v>66</v>
      </c>
      <c r="J56" s="1" t="s">
        <v>67</v>
      </c>
      <c r="K56" s="1" t="s">
        <v>68</v>
      </c>
      <c r="L56" s="1" t="s">
        <v>69</v>
      </c>
      <c r="M56" s="30" t="s">
        <v>70</v>
      </c>
    </row>
    <row r="57" spans="1:13" x14ac:dyDescent="0.35">
      <c r="A57" t="s">
        <v>1</v>
      </c>
      <c r="B57" s="22">
        <v>0</v>
      </c>
      <c r="C57" s="22">
        <f>B57</f>
        <v>0</v>
      </c>
      <c r="D57" s="11">
        <f>$B$40</f>
        <v>-60000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39">
        <v>0</v>
      </c>
    </row>
    <row r="58" spans="1:13" x14ac:dyDescent="0.35">
      <c r="A58" t="s">
        <v>35</v>
      </c>
      <c r="B58" s="22">
        <v>0</v>
      </c>
      <c r="C58" s="22">
        <f>B58</f>
        <v>0</v>
      </c>
      <c r="D58" s="22">
        <f t="shared" ref="D58:M58" si="3">C58</f>
        <v>0</v>
      </c>
      <c r="E58" s="22">
        <f t="shared" si="3"/>
        <v>0</v>
      </c>
      <c r="F58" s="22">
        <f t="shared" si="3"/>
        <v>0</v>
      </c>
      <c r="G58" s="22">
        <f t="shared" si="3"/>
        <v>0</v>
      </c>
      <c r="H58" s="22">
        <f t="shared" si="3"/>
        <v>0</v>
      </c>
      <c r="I58" s="11">
        <f>12000/12</f>
        <v>1000</v>
      </c>
      <c r="J58" s="11">
        <f t="shared" si="3"/>
        <v>1000</v>
      </c>
      <c r="K58" s="11">
        <f t="shared" si="3"/>
        <v>1000</v>
      </c>
      <c r="L58" s="11">
        <f t="shared" si="3"/>
        <v>1000</v>
      </c>
      <c r="M58" s="31">
        <f t="shared" si="3"/>
        <v>1000</v>
      </c>
    </row>
    <row r="59" spans="1:13" x14ac:dyDescent="0.35">
      <c r="A59" t="s">
        <v>37</v>
      </c>
      <c r="B59" s="11">
        <f>B42</f>
        <v>-300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39">
        <v>0</v>
      </c>
    </row>
    <row r="60" spans="1:13" x14ac:dyDescent="0.35">
      <c r="A60" t="s">
        <v>38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4">
        <v>10000</v>
      </c>
      <c r="J60" s="24">
        <f>I60</f>
        <v>10000</v>
      </c>
      <c r="K60" s="24">
        <f t="shared" ref="K60:M61" si="4">J60</f>
        <v>10000</v>
      </c>
      <c r="L60" s="24">
        <f t="shared" si="4"/>
        <v>10000</v>
      </c>
      <c r="M60" s="37">
        <f t="shared" si="4"/>
        <v>10000</v>
      </c>
    </row>
    <row r="61" spans="1:13" x14ac:dyDescent="0.35">
      <c r="A61" t="s">
        <v>40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3">
        <f>-I60*$B$35</f>
        <v>-552100</v>
      </c>
      <c r="J61" s="13">
        <f>I61</f>
        <v>-552100</v>
      </c>
      <c r="K61" s="13">
        <f t="shared" si="4"/>
        <v>-552100</v>
      </c>
      <c r="L61" s="13">
        <f t="shared" si="4"/>
        <v>-552100</v>
      </c>
      <c r="M61" s="35">
        <f t="shared" si="4"/>
        <v>-552100</v>
      </c>
    </row>
    <row r="62" spans="1:13" x14ac:dyDescent="0.35">
      <c r="A62" t="s">
        <v>43</v>
      </c>
      <c r="B62" s="22">
        <v>0</v>
      </c>
      <c r="C62" s="11">
        <f>$B$31/11</f>
        <v>-41666.666666666664</v>
      </c>
      <c r="D62" s="11">
        <f>C62</f>
        <v>-41666.666666666664</v>
      </c>
      <c r="E62" s="11">
        <f t="shared" ref="E62:M62" si="5">D62</f>
        <v>-41666.666666666664</v>
      </c>
      <c r="F62" s="11">
        <f t="shared" si="5"/>
        <v>-41666.666666666664</v>
      </c>
      <c r="G62" s="11">
        <f t="shared" si="5"/>
        <v>-41666.666666666664</v>
      </c>
      <c r="H62" s="11">
        <f t="shared" si="5"/>
        <v>-41666.666666666664</v>
      </c>
      <c r="I62" s="11">
        <f t="shared" si="5"/>
        <v>-41666.666666666664</v>
      </c>
      <c r="J62" s="11">
        <f t="shared" si="5"/>
        <v>-41666.666666666664</v>
      </c>
      <c r="K62" s="11">
        <f t="shared" si="5"/>
        <v>-41666.666666666664</v>
      </c>
      <c r="L62" s="11">
        <f t="shared" si="5"/>
        <v>-41666.666666666664</v>
      </c>
      <c r="M62" s="31">
        <f t="shared" si="5"/>
        <v>-41666.666666666664</v>
      </c>
    </row>
    <row r="63" spans="1:13" x14ac:dyDescent="0.35">
      <c r="A63" t="s">
        <v>45</v>
      </c>
      <c r="B63" s="11">
        <f>$B$46/12</f>
        <v>-75000</v>
      </c>
      <c r="C63" s="11">
        <f t="shared" ref="C63:M63" si="6">$B$46/12</f>
        <v>-75000</v>
      </c>
      <c r="D63" s="11">
        <f t="shared" si="6"/>
        <v>-75000</v>
      </c>
      <c r="E63" s="11">
        <f t="shared" si="6"/>
        <v>-75000</v>
      </c>
      <c r="F63" s="11">
        <f t="shared" si="6"/>
        <v>-75000</v>
      </c>
      <c r="G63" s="11">
        <f t="shared" si="6"/>
        <v>-75000</v>
      </c>
      <c r="H63" s="11">
        <f t="shared" si="6"/>
        <v>-75000</v>
      </c>
      <c r="I63" s="11">
        <f t="shared" si="6"/>
        <v>-75000</v>
      </c>
      <c r="J63" s="11">
        <f t="shared" si="6"/>
        <v>-75000</v>
      </c>
      <c r="K63" s="11">
        <f t="shared" si="6"/>
        <v>-75000</v>
      </c>
      <c r="L63" s="11">
        <f t="shared" si="6"/>
        <v>-75000</v>
      </c>
      <c r="M63" s="31">
        <f t="shared" si="6"/>
        <v>-75000</v>
      </c>
    </row>
    <row r="64" spans="1:13" x14ac:dyDescent="0.35">
      <c r="A64" t="s">
        <v>46</v>
      </c>
      <c r="B64" s="11">
        <f>SUM(B57:B63)</f>
        <v>-75300</v>
      </c>
      <c r="C64" s="11">
        <f t="shared" ref="C64:H64" si="7">SUM(C57:C63)</f>
        <v>-116666.66666666666</v>
      </c>
      <c r="D64" s="11">
        <f>SUM(D57:D63)</f>
        <v>-176666.66666666666</v>
      </c>
      <c r="E64" s="11">
        <f t="shared" si="7"/>
        <v>-116666.66666666666</v>
      </c>
      <c r="F64" s="11">
        <f t="shared" si="7"/>
        <v>-116666.66666666666</v>
      </c>
      <c r="G64" s="11">
        <f t="shared" si="7"/>
        <v>-116666.66666666666</v>
      </c>
      <c r="H64" s="11">
        <f t="shared" si="7"/>
        <v>-116666.66666666666</v>
      </c>
      <c r="I64" s="25">
        <f>SUM(I57:I63)-I60</f>
        <v>-667766.66666666663</v>
      </c>
      <c r="J64" s="25">
        <f t="shared" ref="J64:M64" si="8">SUM(J57:J63)-J60</f>
        <v>-667766.66666666663</v>
      </c>
      <c r="K64" s="25">
        <f t="shared" si="8"/>
        <v>-667766.66666666663</v>
      </c>
      <c r="L64" s="25">
        <f t="shared" si="8"/>
        <v>-667766.66666666663</v>
      </c>
      <c r="M64" s="38">
        <f t="shared" si="8"/>
        <v>-667766.66666666663</v>
      </c>
    </row>
    <row r="65" spans="1:13" x14ac:dyDescent="0.35">
      <c r="A65" t="s">
        <v>52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f>I60*$B$36</f>
        <v>750000</v>
      </c>
      <c r="J65" s="22">
        <f t="shared" ref="J65:M65" si="9">J60*$B$36</f>
        <v>750000</v>
      </c>
      <c r="K65" s="22">
        <f t="shared" si="9"/>
        <v>750000</v>
      </c>
      <c r="L65" s="22">
        <f t="shared" si="9"/>
        <v>750000</v>
      </c>
      <c r="M65" s="39">
        <f t="shared" si="9"/>
        <v>750000</v>
      </c>
    </row>
    <row r="66" spans="1:13" x14ac:dyDescent="0.35">
      <c r="A66" t="s">
        <v>53</v>
      </c>
      <c r="B66" s="11">
        <f>SUM(B64)</f>
        <v>-75300</v>
      </c>
      <c r="C66" s="11">
        <f t="shared" ref="C66:H66" si="10">SUM(C64)</f>
        <v>-116666.66666666666</v>
      </c>
      <c r="D66" s="11">
        <f t="shared" si="10"/>
        <v>-176666.66666666666</v>
      </c>
      <c r="E66" s="11">
        <f t="shared" si="10"/>
        <v>-116666.66666666666</v>
      </c>
      <c r="F66" s="11">
        <f t="shared" si="10"/>
        <v>-116666.66666666666</v>
      </c>
      <c r="G66" s="11">
        <f t="shared" si="10"/>
        <v>-116666.66666666666</v>
      </c>
      <c r="H66" s="11">
        <f t="shared" si="10"/>
        <v>-116666.66666666666</v>
      </c>
      <c r="I66" s="17">
        <f>SUM(I64+I65)</f>
        <v>82233.333333333372</v>
      </c>
      <c r="J66" s="17">
        <f t="shared" ref="J66:M66" si="11">SUM(J64+J65)</f>
        <v>82233.333333333372</v>
      </c>
      <c r="K66" s="17">
        <f t="shared" si="11"/>
        <v>82233.333333333372</v>
      </c>
      <c r="L66" s="17">
        <f t="shared" si="11"/>
        <v>82233.333333333372</v>
      </c>
      <c r="M66" s="40">
        <f t="shared" si="11"/>
        <v>82233.333333333372</v>
      </c>
    </row>
    <row r="67" spans="1:13" x14ac:dyDescent="0.35">
      <c r="A67" t="s">
        <v>54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17">
        <f>I66*$E$50</f>
        <v>17269.000000000007</v>
      </c>
      <c r="J67" s="17">
        <f t="shared" ref="J67:M67" si="12">J66*$E$50</f>
        <v>17269.000000000007</v>
      </c>
      <c r="K67" s="17">
        <f t="shared" si="12"/>
        <v>17269.000000000007</v>
      </c>
      <c r="L67" s="17">
        <f t="shared" si="12"/>
        <v>17269.000000000007</v>
      </c>
      <c r="M67" s="40">
        <f t="shared" si="12"/>
        <v>17269.000000000007</v>
      </c>
    </row>
    <row r="68" spans="1:13" x14ac:dyDescent="0.35">
      <c r="A68" t="s">
        <v>71</v>
      </c>
      <c r="B68" s="11">
        <f>B66</f>
        <v>-75300</v>
      </c>
      <c r="C68" s="11">
        <f t="shared" ref="C68:H68" si="13">C66</f>
        <v>-116666.66666666666</v>
      </c>
      <c r="D68" s="11">
        <f t="shared" si="13"/>
        <v>-176666.66666666666</v>
      </c>
      <c r="E68" s="11">
        <f t="shared" si="13"/>
        <v>-116666.66666666666</v>
      </c>
      <c r="F68" s="11">
        <f t="shared" si="13"/>
        <v>-116666.66666666666</v>
      </c>
      <c r="G68" s="11">
        <f t="shared" si="13"/>
        <v>-116666.66666666666</v>
      </c>
      <c r="H68" s="11">
        <f t="shared" si="13"/>
        <v>-116666.66666666666</v>
      </c>
      <c r="I68" s="17">
        <f>I66-I67</f>
        <v>64964.333333333365</v>
      </c>
      <c r="J68" s="17">
        <f t="shared" ref="J68:M68" si="14">J66-J67</f>
        <v>64964.333333333365</v>
      </c>
      <c r="K68" s="17">
        <f t="shared" si="14"/>
        <v>64964.333333333365</v>
      </c>
      <c r="L68" s="17">
        <f t="shared" si="14"/>
        <v>64964.333333333365</v>
      </c>
      <c r="M68" s="40">
        <f t="shared" si="14"/>
        <v>64964.333333333365</v>
      </c>
    </row>
    <row r="70" spans="1:13" ht="18.5" x14ac:dyDescent="0.45">
      <c r="B70" s="63" t="s">
        <v>31</v>
      </c>
      <c r="C70" s="63"/>
      <c r="D70" s="63"/>
      <c r="E70" s="63"/>
      <c r="F70" s="1"/>
      <c r="I70" s="63" t="s">
        <v>32</v>
      </c>
      <c r="J70" s="63"/>
      <c r="K70" s="63"/>
      <c r="L70" s="63"/>
      <c r="M70" s="1"/>
    </row>
    <row r="71" spans="1:13" x14ac:dyDescent="0.35">
      <c r="B71" s="1" t="s">
        <v>74</v>
      </c>
      <c r="C71" s="1" t="s">
        <v>75</v>
      </c>
      <c r="D71" s="1" t="s">
        <v>76</v>
      </c>
      <c r="E71" s="30" t="s">
        <v>77</v>
      </c>
      <c r="I71" s="1" t="s">
        <v>74</v>
      </c>
      <c r="J71" s="1" t="s">
        <v>75</v>
      </c>
      <c r="K71" s="1" t="s">
        <v>76</v>
      </c>
      <c r="L71" s="30" t="s">
        <v>77</v>
      </c>
    </row>
    <row r="72" spans="1:13" x14ac:dyDescent="0.35">
      <c r="A72" t="s">
        <v>35</v>
      </c>
      <c r="B72" s="11">
        <f>C41/4</f>
        <v>-3000</v>
      </c>
      <c r="C72" s="11">
        <f>B72</f>
        <v>-3000</v>
      </c>
      <c r="D72" s="11">
        <f t="shared" ref="D72:E73" si="15">C72</f>
        <v>-3000</v>
      </c>
      <c r="E72" s="31">
        <f t="shared" si="15"/>
        <v>-3000</v>
      </c>
      <c r="H72" t="s">
        <v>35</v>
      </c>
      <c r="I72" s="11">
        <f>D41/4</f>
        <v>-3000</v>
      </c>
      <c r="J72" s="11">
        <f>I72</f>
        <v>-3000</v>
      </c>
      <c r="K72" s="11">
        <f t="shared" ref="K72:L73" si="16">J72</f>
        <v>-3000</v>
      </c>
      <c r="L72" s="31">
        <f t="shared" si="16"/>
        <v>-3000</v>
      </c>
    </row>
    <row r="73" spans="1:13" x14ac:dyDescent="0.35">
      <c r="A73" t="s">
        <v>38</v>
      </c>
      <c r="B73" s="8">
        <f>$C$43/4</f>
        <v>31500</v>
      </c>
      <c r="C73" s="8">
        <f>B73</f>
        <v>31500</v>
      </c>
      <c r="D73" s="8">
        <f t="shared" si="15"/>
        <v>31500</v>
      </c>
      <c r="E73" s="32">
        <f t="shared" si="15"/>
        <v>31500</v>
      </c>
      <c r="H73" t="s">
        <v>38</v>
      </c>
      <c r="I73" s="8">
        <f>D43/4</f>
        <v>33075</v>
      </c>
      <c r="J73" s="8">
        <f>I73</f>
        <v>33075</v>
      </c>
      <c r="K73" s="8">
        <f t="shared" si="16"/>
        <v>33075</v>
      </c>
      <c r="L73" s="32">
        <f t="shared" si="16"/>
        <v>33075</v>
      </c>
    </row>
    <row r="74" spans="1:13" x14ac:dyDescent="0.35">
      <c r="A74" t="s">
        <v>40</v>
      </c>
      <c r="B74" s="29">
        <f>C44/4</f>
        <v>-1518615</v>
      </c>
      <c r="C74" s="29">
        <f>B74</f>
        <v>-1518615</v>
      </c>
      <c r="D74" s="29">
        <f>C74</f>
        <v>-1518615</v>
      </c>
      <c r="E74" s="33">
        <f>D74</f>
        <v>-1518615</v>
      </c>
      <c r="H74" t="s">
        <v>40</v>
      </c>
      <c r="I74" s="29">
        <f>$D$44/4</f>
        <v>-1594545.75</v>
      </c>
      <c r="J74" s="29">
        <f>I74</f>
        <v>-1594545.75</v>
      </c>
      <c r="K74" s="29">
        <f>J74</f>
        <v>-1594545.75</v>
      </c>
      <c r="L74" s="33">
        <f>K74</f>
        <v>-1594545.75</v>
      </c>
    </row>
    <row r="75" spans="1:13" x14ac:dyDescent="0.35">
      <c r="A75" t="s">
        <v>43</v>
      </c>
      <c r="B75" s="11">
        <f>$C$45/4</f>
        <v>-131250</v>
      </c>
      <c r="C75" s="11">
        <f t="shared" ref="C75:E75" si="17">$C$45/4</f>
        <v>-131250</v>
      </c>
      <c r="D75" s="11">
        <f t="shared" si="17"/>
        <v>-131250</v>
      </c>
      <c r="E75" s="31">
        <f t="shared" si="17"/>
        <v>-131250</v>
      </c>
      <c r="H75" t="s">
        <v>43</v>
      </c>
      <c r="I75" s="11">
        <f>$C$45/4</f>
        <v>-131250</v>
      </c>
      <c r="J75" s="11">
        <f t="shared" ref="J75:L75" si="18">$C$45/4</f>
        <v>-131250</v>
      </c>
      <c r="K75" s="11">
        <f t="shared" si="18"/>
        <v>-131250</v>
      </c>
      <c r="L75" s="31">
        <f t="shared" si="18"/>
        <v>-131250</v>
      </c>
    </row>
    <row r="76" spans="1:13" x14ac:dyDescent="0.35">
      <c r="A76" t="s">
        <v>45</v>
      </c>
      <c r="B76" s="11">
        <f>$C$46/4</f>
        <v>-225000</v>
      </c>
      <c r="C76" s="11">
        <f t="shared" ref="C76:E76" si="19">$C$46/4</f>
        <v>-225000</v>
      </c>
      <c r="D76" s="11">
        <f t="shared" si="19"/>
        <v>-225000</v>
      </c>
      <c r="E76" s="31">
        <f t="shared" si="19"/>
        <v>-225000</v>
      </c>
      <c r="H76" t="s">
        <v>45</v>
      </c>
      <c r="I76" s="11">
        <f>$C$46/4</f>
        <v>-225000</v>
      </c>
      <c r="J76" s="11">
        <f t="shared" ref="J76:L76" si="20">$C$46/4</f>
        <v>-225000</v>
      </c>
      <c r="K76" s="11">
        <f t="shared" si="20"/>
        <v>-225000</v>
      </c>
      <c r="L76" s="31">
        <f t="shared" si="20"/>
        <v>-225000</v>
      </c>
    </row>
    <row r="77" spans="1:13" x14ac:dyDescent="0.35">
      <c r="A77" t="s">
        <v>46</v>
      </c>
      <c r="B77" s="11">
        <f>SUM(B72:B76)-B73</f>
        <v>-1877865</v>
      </c>
      <c r="C77" s="11">
        <f t="shared" ref="C77:E77" si="21">SUM(C72:C76)-C73</f>
        <v>-1877865</v>
      </c>
      <c r="D77" s="11">
        <f t="shared" si="21"/>
        <v>-1877865</v>
      </c>
      <c r="E77" s="31">
        <f t="shared" si="21"/>
        <v>-1877865</v>
      </c>
      <c r="H77" t="s">
        <v>46</v>
      </c>
      <c r="I77" s="11">
        <f>SUM(I72:I76)-I73</f>
        <v>-1953795.75</v>
      </c>
      <c r="J77" s="11">
        <f t="shared" ref="J77" si="22">SUM(J72:J76)-J73</f>
        <v>-1953795.75</v>
      </c>
      <c r="K77" s="11">
        <f t="shared" ref="K77" si="23">SUM(K72:K76)-K73</f>
        <v>-1953795.75</v>
      </c>
      <c r="L77" s="31">
        <f t="shared" ref="L77" si="24">SUM(L72:L76)-L73</f>
        <v>-1953795.75</v>
      </c>
    </row>
    <row r="78" spans="1:13" x14ac:dyDescent="0.35">
      <c r="A78" t="s">
        <v>52</v>
      </c>
      <c r="B78" s="23">
        <f>$C$48/4</f>
        <v>2362500</v>
      </c>
      <c r="C78" s="23">
        <f t="shared" ref="C78:E78" si="25">$C$48/4</f>
        <v>2362500</v>
      </c>
      <c r="D78" s="23">
        <f t="shared" si="25"/>
        <v>2362500</v>
      </c>
      <c r="E78" s="34">
        <f t="shared" si="25"/>
        <v>2362500</v>
      </c>
      <c r="H78" t="s">
        <v>52</v>
      </c>
      <c r="I78" s="23">
        <f>$D$48/4</f>
        <v>2480625</v>
      </c>
      <c r="J78" s="23">
        <f>I78</f>
        <v>2480625</v>
      </c>
      <c r="K78" s="23">
        <f t="shared" ref="K78:L78" si="26">J78</f>
        <v>2480625</v>
      </c>
      <c r="L78" s="34">
        <f t="shared" si="26"/>
        <v>2480625</v>
      </c>
    </row>
    <row r="79" spans="1:13" x14ac:dyDescent="0.35">
      <c r="A79" t="s">
        <v>53</v>
      </c>
      <c r="B79" s="13">
        <f>B77+B78</f>
        <v>484635</v>
      </c>
      <c r="C79" s="13">
        <f t="shared" ref="C79:E79" si="27">C77+C78</f>
        <v>484635</v>
      </c>
      <c r="D79" s="13">
        <f t="shared" si="27"/>
        <v>484635</v>
      </c>
      <c r="E79" s="35">
        <f t="shared" si="27"/>
        <v>484635</v>
      </c>
      <c r="H79" t="s">
        <v>53</v>
      </c>
      <c r="I79" s="13">
        <f>I77+I78</f>
        <v>526829.25</v>
      </c>
      <c r="J79" s="13">
        <f t="shared" ref="J79:L79" si="28">J77+J78</f>
        <v>526829.25</v>
      </c>
      <c r="K79" s="13">
        <f t="shared" si="28"/>
        <v>526829.25</v>
      </c>
      <c r="L79" s="35">
        <f t="shared" si="28"/>
        <v>526829.25</v>
      </c>
    </row>
    <row r="80" spans="1:13" x14ac:dyDescent="0.35">
      <c r="A80" t="s">
        <v>54</v>
      </c>
      <c r="B80" s="13">
        <f>B79*$E$50</f>
        <v>101773.34999999999</v>
      </c>
      <c r="C80" s="13">
        <f t="shared" ref="C80:E80" si="29">C79*$E$50</f>
        <v>101773.34999999999</v>
      </c>
      <c r="D80" s="13">
        <f t="shared" si="29"/>
        <v>101773.34999999999</v>
      </c>
      <c r="E80" s="35">
        <f t="shared" si="29"/>
        <v>101773.34999999999</v>
      </c>
      <c r="H80" t="s">
        <v>54</v>
      </c>
      <c r="I80" s="13">
        <f>I79*$E$50</f>
        <v>110634.1425</v>
      </c>
      <c r="J80" s="13">
        <f t="shared" ref="J80:L80" si="30">J79*$E$50</f>
        <v>110634.1425</v>
      </c>
      <c r="K80" s="13">
        <f t="shared" si="30"/>
        <v>110634.1425</v>
      </c>
      <c r="L80" s="35">
        <f t="shared" si="30"/>
        <v>110634.1425</v>
      </c>
    </row>
    <row r="81" spans="1:12" x14ac:dyDescent="0.35">
      <c r="A81" t="s">
        <v>56</v>
      </c>
      <c r="B81" s="13">
        <f>B79-B80</f>
        <v>382861.65</v>
      </c>
      <c r="C81" s="13">
        <f t="shared" ref="C81:E81" si="31">C79-C80</f>
        <v>382861.65</v>
      </c>
      <c r="D81" s="13">
        <f t="shared" si="31"/>
        <v>382861.65</v>
      </c>
      <c r="E81" s="35">
        <f t="shared" si="31"/>
        <v>382861.65</v>
      </c>
      <c r="H81" t="s">
        <v>56</v>
      </c>
      <c r="I81" s="13">
        <f>I79-I80</f>
        <v>416195.10749999998</v>
      </c>
      <c r="J81" s="13">
        <f t="shared" ref="J81:L81" si="32">J79-J80</f>
        <v>416195.10749999998</v>
      </c>
      <c r="K81" s="13">
        <f t="shared" si="32"/>
        <v>416195.10749999998</v>
      </c>
      <c r="L81" s="35">
        <f t="shared" si="32"/>
        <v>416195.10749999998</v>
      </c>
    </row>
    <row r="82" spans="1:12" x14ac:dyDescent="0.35">
      <c r="F82" s="11"/>
    </row>
    <row r="84" spans="1:12" ht="26" x14ac:dyDescent="0.6">
      <c r="A84" s="66" t="s">
        <v>190</v>
      </c>
      <c r="B84" s="66"/>
      <c r="C84" s="66"/>
      <c r="D84" s="66"/>
    </row>
    <row r="85" spans="1:12" x14ac:dyDescent="0.35">
      <c r="B85" s="45" t="s">
        <v>30</v>
      </c>
      <c r="C85" s="45" t="s">
        <v>191</v>
      </c>
      <c r="D85" s="45" t="s">
        <v>32</v>
      </c>
    </row>
    <row r="86" spans="1:12" x14ac:dyDescent="0.35">
      <c r="A86" t="s">
        <v>192</v>
      </c>
      <c r="B86" s="23">
        <f>SUM('Break-Even Analysis'!$B$65:$M$65)</f>
        <v>3750000</v>
      </c>
      <c r="C86" s="23">
        <f>SUM('Break-Even Analysis'!$B$79:$M$79)</f>
        <v>9450000</v>
      </c>
      <c r="D86" s="23">
        <f>SUM('Break-Even Analysis'!$B$94:$M$94)</f>
        <v>9922500</v>
      </c>
    </row>
    <row r="87" spans="1:12" x14ac:dyDescent="0.35">
      <c r="A87" t="s">
        <v>193</v>
      </c>
      <c r="B87" s="11">
        <f>SUM('Break-Even Analysis'!$B$64:$M$64)</f>
        <v>-4174133.3333333326</v>
      </c>
      <c r="C87" s="11">
        <f>SUM('Break-Even Analysis'!$B$78:$M$78)</f>
        <v>-8419710</v>
      </c>
      <c r="D87" s="11">
        <f>SUM('Break-Even Analysis'!$B$93:$M$93)</f>
        <v>-8767533</v>
      </c>
    </row>
    <row r="88" spans="1:12" x14ac:dyDescent="0.35">
      <c r="A88" t="s">
        <v>194</v>
      </c>
      <c r="B88" s="13">
        <f>B87+B86</f>
        <v>-424133.33333333256</v>
      </c>
      <c r="C88" s="13">
        <f t="shared" ref="C88:D88" si="33">C87+C86</f>
        <v>1030290</v>
      </c>
      <c r="D88" s="13">
        <f t="shared" si="33"/>
        <v>1154967</v>
      </c>
    </row>
  </sheetData>
  <mergeCells count="7">
    <mergeCell ref="A84:D84"/>
    <mergeCell ref="B24:D24"/>
    <mergeCell ref="B38:D38"/>
    <mergeCell ref="A54:D54"/>
    <mergeCell ref="B55:M55"/>
    <mergeCell ref="B70:E70"/>
    <mergeCell ref="I70:L70"/>
  </mergeCells>
  <hyperlinks>
    <hyperlink ref="F50" r:id="rId1" xr:uid="{083DF6D3-86F1-4A49-B719-8F8F38027BF0}"/>
    <hyperlink ref="H2" r:id="rId2" location=":~:text=Seventy%20percent%20of%20U.S.%20households,and%2067%20percent%20in%202019." xr:uid="{BD7EAE37-78F2-4240-8268-5DF34E975F86}"/>
    <hyperlink ref="H3" r:id="rId3" location=":~:text=For%20most%20American%20families%2C%20cars,a%20day%20in%20the%20car." xr:uid="{37E7C642-236B-4086-83D8-F36DD841F50A}"/>
    <hyperlink ref="A16" r:id="rId4" xr:uid="{3E8127B6-EC49-495F-B683-E572B7B42643}"/>
    <hyperlink ref="A13" r:id="rId5" xr:uid="{D3BEFB20-6F7B-4725-A20F-3D7CB59C7775}"/>
    <hyperlink ref="A14" r:id="rId6" xr:uid="{FE4BC98B-0E8E-4BF9-9AE0-89BA83BD3737}"/>
    <hyperlink ref="A15" r:id="rId7" xr:uid="{DB4C20A2-ABB7-40DF-8B9E-97E0882BEBAD}"/>
  </hyperlinks>
  <pageMargins left="0.7" right="0.7" top="0.75" bottom="0.75" header="0.3" footer="0.3"/>
  <pageSetup orientation="portrait" r:id="rId8"/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5DE4761E03F4AAAA21620D1616052" ma:contentTypeVersion="13" ma:contentTypeDescription="Create a new document." ma:contentTypeScope="" ma:versionID="3c0d613504b952c4f44aebbc54a6219b">
  <xsd:schema xmlns:xsd="http://www.w3.org/2001/XMLSchema" xmlns:xs="http://www.w3.org/2001/XMLSchema" xmlns:p="http://schemas.microsoft.com/office/2006/metadata/properties" xmlns:ns3="fae77c4f-7f9b-4aff-ada3-fbcaff39b621" xmlns:ns4="48927070-ec2c-47ef-a538-d441225233ea" targetNamespace="http://schemas.microsoft.com/office/2006/metadata/properties" ma:root="true" ma:fieldsID="7f11c0d316e86a3c5e922c58c7c3a3be" ns3:_="" ns4:_="">
    <xsd:import namespace="fae77c4f-7f9b-4aff-ada3-fbcaff39b621"/>
    <xsd:import namespace="48927070-ec2c-47ef-a538-d441225233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77c4f-7f9b-4aff-ada3-fbcaff39b6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27070-ec2c-47ef-a538-d44122523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E8C8B-7276-4FF8-A05B-CDE38FB36D00}">
  <ds:schemaRefs>
    <ds:schemaRef ds:uri="fae77c4f-7f9b-4aff-ada3-fbcaff39b62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8927070-ec2c-47ef-a538-d441225233e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AB2B9B0-E6E5-4B72-933C-20D64028A1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DEFDFC-5B08-4CAF-851C-1DD2CDB74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77c4f-7f9b-4aff-ada3-fbcaff39b621"/>
    <ds:schemaRef ds:uri="48927070-ec2c-47ef-a538-d44122523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Assumptions</vt:lpstr>
      <vt:lpstr>Timeline</vt:lpstr>
      <vt:lpstr>Pro Forma Income Statement</vt:lpstr>
      <vt:lpstr>Break-Even Analysis</vt:lpstr>
      <vt:lpstr>Start-Up Budget</vt:lpstr>
      <vt:lpstr>Sources &amp; Usage of Funds</vt:lpstr>
      <vt:lpstr>Investment Offer &amp; Return</vt:lpstr>
      <vt:lpstr>Simple Income 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Carmichael</dc:creator>
  <cp:keywords/>
  <dc:description/>
  <cp:lastModifiedBy>Rahul Kotian</cp:lastModifiedBy>
  <cp:revision/>
  <dcterms:created xsi:type="dcterms:W3CDTF">2022-04-05T02:14:00Z</dcterms:created>
  <dcterms:modified xsi:type="dcterms:W3CDTF">2023-11-15T19:48:46Z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0x0101004215DE4761E03F4AAAA21620D1616052</vt:lpwstr>
  </property>
</Properties>
</file>