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Fall - 23/Group project/"/>
    </mc:Choice>
  </mc:AlternateContent>
  <xr:revisionPtr revIDLastSave="38" documentId="8_{036CFD67-C468-433A-B31B-4628699B7F78}" xr6:coauthVersionLast="47" xr6:coauthVersionMax="47" xr10:uidLastSave="{77047990-A151-4D02-B342-85121A8EE4A4}"/>
  <bookViews>
    <workbookView xWindow="28680" yWindow="-120" windowWidth="29040" windowHeight="15720" firstSheet="2" activeTab="3" xr2:uid="{00000000-000D-0000-FFFF-FFFF00000000}"/>
  </bookViews>
  <sheets>
    <sheet name="Assumptions" sheetId="1" r:id="rId1"/>
    <sheet name="Timeline" sheetId="2" r:id="rId2"/>
    <sheet name="Pro Forma Income Statement" sheetId="3" r:id="rId3"/>
    <sheet name="Break-Even Analysis" sheetId="4" r:id="rId4"/>
    <sheet name="Start-Up Budget" sheetId="5" r:id="rId5"/>
    <sheet name="Sources &amp; Usage of Funds" sheetId="6" r:id="rId6"/>
    <sheet name="Investment Offer &amp; Return" sheetId="7" r:id="rId7"/>
    <sheet name="Simple Income Statement" sheetId="8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14" i="2"/>
  <c r="D15" i="2"/>
  <c r="I63" i="4" l="1"/>
  <c r="C44" i="4"/>
  <c r="D44" i="4"/>
  <c r="B39" i="3"/>
  <c r="B36" i="4"/>
  <c r="C31" i="8"/>
  <c r="C28" i="4"/>
  <c r="D28" i="4"/>
  <c r="I66" i="3"/>
  <c r="C47" i="3"/>
  <c r="D47" i="3"/>
  <c r="D13" i="2"/>
  <c r="D12" i="2"/>
  <c r="D11" i="2"/>
  <c r="D10" i="2"/>
  <c r="D9" i="2"/>
  <c r="D8" i="2"/>
  <c r="D7" i="2"/>
  <c r="D6" i="2"/>
  <c r="D5" i="2"/>
  <c r="D4" i="2"/>
  <c r="D3" i="2"/>
  <c r="C50" i="3"/>
  <c r="D50" i="3"/>
  <c r="C31" i="3"/>
  <c r="C33" i="3"/>
  <c r="B49" i="3"/>
  <c r="B33" i="3"/>
  <c r="B11" i="5"/>
  <c r="B38" i="8"/>
  <c r="B39" i="8"/>
  <c r="D29" i="8"/>
  <c r="D33" i="8"/>
  <c r="B32" i="8"/>
  <c r="C32" i="8"/>
  <c r="D32" i="8"/>
  <c r="B33" i="8"/>
  <c r="C33" i="8"/>
  <c r="B34" i="8"/>
  <c r="C34" i="8"/>
  <c r="D34" i="8"/>
  <c r="B35" i="8"/>
  <c r="C35" i="8"/>
  <c r="D35" i="8"/>
  <c r="F19" i="8"/>
  <c r="F21" i="8" s="1"/>
  <c r="F9" i="8"/>
  <c r="F10" i="8"/>
  <c r="F11" i="8"/>
  <c r="I32" i="8" s="1"/>
  <c r="I64" i="4"/>
  <c r="I65" i="4"/>
  <c r="B47" i="4"/>
  <c r="B37" i="4"/>
  <c r="B124" i="4" s="1"/>
  <c r="B123" i="4"/>
  <c r="B33" i="4"/>
  <c r="B49" i="4" s="1"/>
  <c r="G67" i="4" s="1"/>
  <c r="B31" i="4"/>
  <c r="F16" i="4"/>
  <c r="F18" i="4" s="1"/>
  <c r="F6" i="4"/>
  <c r="F7" i="4" s="1"/>
  <c r="F8" i="4" s="1"/>
  <c r="I30" i="4" s="1"/>
  <c r="D118" i="4"/>
  <c r="D116" i="4"/>
  <c r="M66" i="4"/>
  <c r="L66" i="4"/>
  <c r="K66" i="4"/>
  <c r="J66" i="4"/>
  <c r="I66" i="4"/>
  <c r="H66" i="4"/>
  <c r="G66" i="4"/>
  <c r="F66" i="4"/>
  <c r="E66" i="4"/>
  <c r="D66" i="4"/>
  <c r="B66" i="4"/>
  <c r="J63" i="4"/>
  <c r="J65" i="4" s="1"/>
  <c r="B62" i="4"/>
  <c r="M61" i="4"/>
  <c r="L61" i="4"/>
  <c r="K61" i="4"/>
  <c r="J61" i="4"/>
  <c r="I61" i="4"/>
  <c r="H61" i="4"/>
  <c r="G61" i="4"/>
  <c r="F61" i="4"/>
  <c r="E61" i="4"/>
  <c r="D61" i="4"/>
  <c r="C61" i="4"/>
  <c r="B61" i="4"/>
  <c r="M60" i="4"/>
  <c r="L60" i="4"/>
  <c r="K60" i="4"/>
  <c r="J60" i="4"/>
  <c r="I60" i="4"/>
  <c r="H60" i="4"/>
  <c r="G60" i="4"/>
  <c r="F60" i="4"/>
  <c r="E60" i="4"/>
  <c r="C60" i="4"/>
  <c r="B60" i="4"/>
  <c r="B46" i="4"/>
  <c r="C47" i="4"/>
  <c r="D32" i="4"/>
  <c r="D48" i="4" s="1"/>
  <c r="C32" i="4"/>
  <c r="C48" i="4" s="1"/>
  <c r="B32" i="4"/>
  <c r="B119" i="4" s="1"/>
  <c r="C119" i="4" s="1"/>
  <c r="B30" i="4"/>
  <c r="B78" i="4"/>
  <c r="B80" i="4" s="1"/>
  <c r="D26" i="4"/>
  <c r="B93" i="4" s="1"/>
  <c r="C93" i="4" s="1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C26" i="4"/>
  <c r="B77" i="4" s="1"/>
  <c r="C77" i="4" s="1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B26" i="4"/>
  <c r="B117" i="4" s="1"/>
  <c r="I68" i="3"/>
  <c r="B34" i="3"/>
  <c r="B35" i="3"/>
  <c r="B95" i="3"/>
  <c r="C95" i="3" s="1"/>
  <c r="B40" i="3"/>
  <c r="B102" i="3" s="1"/>
  <c r="B36" i="3"/>
  <c r="B52" i="3" s="1"/>
  <c r="F19" i="3"/>
  <c r="F21" i="3" s="1"/>
  <c r="F9" i="3"/>
  <c r="D96" i="3"/>
  <c r="D94" i="3"/>
  <c r="J66" i="3"/>
  <c r="K66" i="3" s="1"/>
  <c r="K68" i="3" s="1"/>
  <c r="B65" i="3"/>
  <c r="I64" i="3"/>
  <c r="J64" i="3" s="1"/>
  <c r="K64" i="3" s="1"/>
  <c r="L64" i="3" s="1"/>
  <c r="M64" i="3" s="1"/>
  <c r="C64" i="3"/>
  <c r="D64" i="3" s="1"/>
  <c r="E64" i="3" s="1"/>
  <c r="D63" i="3"/>
  <c r="D60" i="4" s="1"/>
  <c r="C63" i="3"/>
  <c r="C45" i="3"/>
  <c r="B79" i="3" s="1"/>
  <c r="C79" i="3" s="1"/>
  <c r="D79" i="3" s="1"/>
  <c r="E79" i="3" s="1"/>
  <c r="B101" i="3"/>
  <c r="C35" i="3"/>
  <c r="C51" i="3" s="1"/>
  <c r="D29" i="3"/>
  <c r="D45" i="3" s="1"/>
  <c r="I79" i="3" s="1"/>
  <c r="J79" i="3" s="1"/>
  <c r="K79" i="3" s="1"/>
  <c r="L79" i="3" s="1"/>
  <c r="D36" i="8" l="1"/>
  <c r="B97" i="3"/>
  <c r="C97" i="3" s="1"/>
  <c r="C69" i="3"/>
  <c r="B50" i="3"/>
  <c r="J68" i="3"/>
  <c r="C36" i="8"/>
  <c r="B29" i="8"/>
  <c r="B36" i="8" s="1"/>
  <c r="C66" i="4"/>
  <c r="D121" i="4"/>
  <c r="C31" i="4"/>
  <c r="D42" i="4"/>
  <c r="C51" i="4"/>
  <c r="J69" i="4"/>
  <c r="B51" i="4"/>
  <c r="B81" i="4"/>
  <c r="C81" i="4" s="1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B97" i="4"/>
  <c r="C97" i="4" s="1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C30" i="4"/>
  <c r="C42" i="4"/>
  <c r="I69" i="4"/>
  <c r="B48" i="4"/>
  <c r="B67" i="4"/>
  <c r="B68" i="4" s="1"/>
  <c r="B70" i="4" s="1"/>
  <c r="B72" i="4" s="1"/>
  <c r="H67" i="4"/>
  <c r="H68" i="4" s="1"/>
  <c r="H70" i="4" s="1"/>
  <c r="H72" i="4" s="1"/>
  <c r="D31" i="4"/>
  <c r="I67" i="4"/>
  <c r="B42" i="4"/>
  <c r="J64" i="4"/>
  <c r="J67" i="4"/>
  <c r="G68" i="4"/>
  <c r="G70" i="4" s="1"/>
  <c r="G72" i="4" s="1"/>
  <c r="C117" i="4"/>
  <c r="D33" i="4"/>
  <c r="D49" i="4" s="1"/>
  <c r="B98" i="4" s="1"/>
  <c r="C98" i="4" s="1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B120" i="4"/>
  <c r="C120" i="4" s="1"/>
  <c r="C33" i="4"/>
  <c r="C78" i="4"/>
  <c r="C80" i="4" s="1"/>
  <c r="B79" i="4"/>
  <c r="C79" i="4" s="1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B84" i="4"/>
  <c r="B125" i="4"/>
  <c r="B34" i="4"/>
  <c r="K67" i="4"/>
  <c r="D47" i="4"/>
  <c r="D67" i="4"/>
  <c r="D68" i="4" s="1"/>
  <c r="D70" i="4" s="1"/>
  <c r="D72" i="4" s="1"/>
  <c r="L67" i="4"/>
  <c r="E67" i="4"/>
  <c r="E68" i="4" s="1"/>
  <c r="E70" i="4" s="1"/>
  <c r="E72" i="4" s="1"/>
  <c r="M67" i="4"/>
  <c r="C67" i="4"/>
  <c r="C46" i="4"/>
  <c r="K63" i="4"/>
  <c r="K65" i="4" s="1"/>
  <c r="F67" i="4"/>
  <c r="F68" i="4" s="1"/>
  <c r="F70" i="4" s="1"/>
  <c r="F72" i="4" s="1"/>
  <c r="C34" i="3"/>
  <c r="B29" i="3"/>
  <c r="D99" i="3"/>
  <c r="F10" i="3"/>
  <c r="F11" i="3" s="1"/>
  <c r="I33" i="3" s="1"/>
  <c r="I72" i="3"/>
  <c r="B54" i="3"/>
  <c r="B103" i="3"/>
  <c r="I67" i="3"/>
  <c r="J67" i="3" s="1"/>
  <c r="K67" i="3" s="1"/>
  <c r="L67" i="3" s="1"/>
  <c r="M67" i="3" s="1"/>
  <c r="C49" i="3"/>
  <c r="B81" i="3" s="1"/>
  <c r="C81" i="3" s="1"/>
  <c r="D81" i="3" s="1"/>
  <c r="E81" i="3" s="1"/>
  <c r="J72" i="3"/>
  <c r="B98" i="3"/>
  <c r="C98" i="3" s="1"/>
  <c r="L66" i="3"/>
  <c r="L68" i="3" s="1"/>
  <c r="K72" i="3"/>
  <c r="H70" i="3"/>
  <c r="C70" i="3"/>
  <c r="J70" i="3"/>
  <c r="G70" i="3"/>
  <c r="F70" i="3"/>
  <c r="I70" i="3"/>
  <c r="M70" i="3"/>
  <c r="E70" i="3"/>
  <c r="L70" i="3"/>
  <c r="D70" i="3"/>
  <c r="K70" i="3"/>
  <c r="B70" i="3"/>
  <c r="B71" i="3" s="1"/>
  <c r="B73" i="3" s="1"/>
  <c r="B75" i="3" s="1"/>
  <c r="F64" i="3"/>
  <c r="I82" i="3"/>
  <c r="E82" i="3"/>
  <c r="D82" i="3"/>
  <c r="C82" i="3"/>
  <c r="K82" i="3"/>
  <c r="B82" i="3"/>
  <c r="L82" i="3"/>
  <c r="J82" i="3"/>
  <c r="I80" i="3"/>
  <c r="D54" i="3"/>
  <c r="D49" i="3"/>
  <c r="I81" i="3" s="1"/>
  <c r="J81" i="3" s="1"/>
  <c r="K81" i="3" s="1"/>
  <c r="L81" i="3" s="1"/>
  <c r="D35" i="3"/>
  <c r="D51" i="3" s="1"/>
  <c r="B45" i="3"/>
  <c r="B51" i="3"/>
  <c r="B80" i="3"/>
  <c r="C36" i="3"/>
  <c r="C52" i="3" s="1"/>
  <c r="C54" i="3"/>
  <c r="D36" i="3"/>
  <c r="D52" i="3" s="1"/>
  <c r="D69" i="3"/>
  <c r="E69" i="3" s="1"/>
  <c r="F69" i="3" s="1"/>
  <c r="G69" i="3" s="1"/>
  <c r="H69" i="3" s="1"/>
  <c r="I69" i="3" s="1"/>
  <c r="J69" i="3" s="1"/>
  <c r="K69" i="3" s="1"/>
  <c r="L69" i="3" s="1"/>
  <c r="M69" i="3" s="1"/>
  <c r="C68" i="4" l="1"/>
  <c r="C70" i="4" s="1"/>
  <c r="C72" i="4" s="1"/>
  <c r="D34" i="3"/>
  <c r="D31" i="3"/>
  <c r="D30" i="4"/>
  <c r="D34" i="4" s="1"/>
  <c r="B82" i="4"/>
  <c r="C82" i="4" s="1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C34" i="4"/>
  <c r="C49" i="4"/>
  <c r="B50" i="4"/>
  <c r="B52" i="4" s="1"/>
  <c r="C50" i="4"/>
  <c r="C52" i="4" s="1"/>
  <c r="C53" i="4" s="1"/>
  <c r="J68" i="4"/>
  <c r="J70" i="4" s="1"/>
  <c r="J71" i="4" s="1"/>
  <c r="J72" i="4" s="1"/>
  <c r="I68" i="4"/>
  <c r="I70" i="4" s="1"/>
  <c r="I71" i="4" s="1"/>
  <c r="I72" i="4" s="1"/>
  <c r="C121" i="4"/>
  <c r="B121" i="4"/>
  <c r="L63" i="4"/>
  <c r="L65" i="4" s="1"/>
  <c r="K64" i="4"/>
  <c r="K68" i="4" s="1"/>
  <c r="K69" i="4"/>
  <c r="D46" i="4"/>
  <c r="D50" i="4" s="1"/>
  <c r="B94" i="4"/>
  <c r="B96" i="4" s="1"/>
  <c r="D51" i="4"/>
  <c r="B73" i="4"/>
  <c r="C73" i="4" s="1"/>
  <c r="D73" i="4" s="1"/>
  <c r="E73" i="4" s="1"/>
  <c r="F73" i="4" s="1"/>
  <c r="G73" i="4" s="1"/>
  <c r="H73" i="4" s="1"/>
  <c r="D78" i="4"/>
  <c r="D80" i="4" s="1"/>
  <c r="C83" i="4"/>
  <c r="C84" i="4"/>
  <c r="J71" i="3"/>
  <c r="J73" i="3" s="1"/>
  <c r="J74" i="3" s="1"/>
  <c r="J75" i="3" s="1"/>
  <c r="C53" i="3"/>
  <c r="C55" i="3" s="1"/>
  <c r="C37" i="3"/>
  <c r="I71" i="3"/>
  <c r="I73" i="3" s="1"/>
  <c r="I74" i="3" s="1"/>
  <c r="I75" i="3" s="1"/>
  <c r="B53" i="3"/>
  <c r="B55" i="3" s="1"/>
  <c r="C80" i="3"/>
  <c r="I85" i="3"/>
  <c r="J85" i="3" s="1"/>
  <c r="K85" i="3" s="1"/>
  <c r="L85" i="3" s="1"/>
  <c r="J80" i="3"/>
  <c r="E85" i="3"/>
  <c r="D85" i="3"/>
  <c r="C85" i="3"/>
  <c r="B85" i="3"/>
  <c r="D71" i="3"/>
  <c r="D73" i="3" s="1"/>
  <c r="D75" i="3" s="1"/>
  <c r="I83" i="3"/>
  <c r="I84" i="3" s="1"/>
  <c r="L83" i="3"/>
  <c r="E83" i="3"/>
  <c r="K83" i="3"/>
  <c r="J83" i="3"/>
  <c r="D83" i="3"/>
  <c r="C83" i="3"/>
  <c r="B83" i="3"/>
  <c r="B84" i="3" s="1"/>
  <c r="C71" i="3"/>
  <c r="C73" i="3" s="1"/>
  <c r="C75" i="3" s="1"/>
  <c r="K71" i="3"/>
  <c r="K73" i="3" s="1"/>
  <c r="B37" i="3"/>
  <c r="E71" i="3"/>
  <c r="E73" i="3" s="1"/>
  <c r="E75" i="3" s="1"/>
  <c r="L71" i="3"/>
  <c r="M66" i="3"/>
  <c r="M68" i="3" s="1"/>
  <c r="L72" i="3"/>
  <c r="D33" i="3"/>
  <c r="D53" i="3"/>
  <c r="D55" i="3" s="1"/>
  <c r="G64" i="3"/>
  <c r="F71" i="3"/>
  <c r="F73" i="3" s="1"/>
  <c r="F75" i="3" s="1"/>
  <c r="D37" i="3" l="1"/>
  <c r="B83" i="4"/>
  <c r="B85" i="4" s="1"/>
  <c r="B86" i="4" s="1"/>
  <c r="B87" i="4" s="1"/>
  <c r="C54" i="4"/>
  <c r="K70" i="4"/>
  <c r="E121" i="4"/>
  <c r="B128" i="4" s="1"/>
  <c r="I73" i="4"/>
  <c r="J73" i="4" s="1"/>
  <c r="C85" i="4"/>
  <c r="C86" i="4" s="1"/>
  <c r="C87" i="4" s="1"/>
  <c r="B100" i="4"/>
  <c r="B95" i="4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C94" i="4"/>
  <c r="C96" i="4" s="1"/>
  <c r="E78" i="4"/>
  <c r="E80" i="4" s="1"/>
  <c r="D83" i="4"/>
  <c r="D84" i="4"/>
  <c r="L69" i="4"/>
  <c r="L64" i="4"/>
  <c r="L68" i="4" s="1"/>
  <c r="L70" i="4" s="1"/>
  <c r="M63" i="4"/>
  <c r="M65" i="4" s="1"/>
  <c r="D52" i="4"/>
  <c r="B86" i="3"/>
  <c r="B87" i="3" s="1"/>
  <c r="B88" i="3" s="1"/>
  <c r="I86" i="3"/>
  <c r="I87" i="3" s="1"/>
  <c r="I88" i="3" s="1"/>
  <c r="L73" i="3"/>
  <c r="L74" i="3" s="1"/>
  <c r="L75" i="3" s="1"/>
  <c r="D56" i="3"/>
  <c r="D57" i="3" s="1"/>
  <c r="H64" i="3"/>
  <c r="H71" i="3" s="1"/>
  <c r="H73" i="3" s="1"/>
  <c r="H75" i="3" s="1"/>
  <c r="G71" i="3"/>
  <c r="G73" i="3" s="1"/>
  <c r="G75" i="3" s="1"/>
  <c r="C99" i="3"/>
  <c r="B99" i="3"/>
  <c r="M71" i="3"/>
  <c r="M72" i="3"/>
  <c r="C56" i="3"/>
  <c r="C57" i="3" s="1"/>
  <c r="D80" i="3"/>
  <c r="C84" i="3"/>
  <c r="C86" i="3" s="1"/>
  <c r="K74" i="3"/>
  <c r="K75" i="3" s="1"/>
  <c r="J84" i="3"/>
  <c r="J86" i="3" s="1"/>
  <c r="K80" i="3"/>
  <c r="K71" i="4" l="1"/>
  <c r="K72" i="4" s="1"/>
  <c r="K73" i="4" s="1"/>
  <c r="B99" i="4"/>
  <c r="B101" i="4" s="1"/>
  <c r="B102" i="4" s="1"/>
  <c r="B103" i="4" s="1"/>
  <c r="D85" i="4"/>
  <c r="D86" i="4" s="1"/>
  <c r="D87" i="4" s="1"/>
  <c r="E83" i="4"/>
  <c r="E84" i="4"/>
  <c r="F78" i="4"/>
  <c r="F80" i="4" s="1"/>
  <c r="C100" i="4"/>
  <c r="D94" i="4"/>
  <c r="D96" i="4" s="1"/>
  <c r="C99" i="4"/>
  <c r="M69" i="4"/>
  <c r="M64" i="4"/>
  <c r="M68" i="4" s="1"/>
  <c r="D53" i="4"/>
  <c r="D54" i="4" s="1"/>
  <c r="L71" i="4"/>
  <c r="L72" i="4" s="1"/>
  <c r="J87" i="3"/>
  <c r="J88" i="3" s="1"/>
  <c r="E80" i="3"/>
  <c r="E84" i="3" s="1"/>
  <c r="E86" i="3" s="1"/>
  <c r="D84" i="3"/>
  <c r="D86" i="3" s="1"/>
  <c r="L80" i="3"/>
  <c r="L84" i="3" s="1"/>
  <c r="L86" i="3" s="1"/>
  <c r="K84" i="3"/>
  <c r="K86" i="3" s="1"/>
  <c r="M73" i="3"/>
  <c r="E99" i="3"/>
  <c r="B106" i="3" s="1"/>
  <c r="C87" i="3"/>
  <c r="C88" i="3" s="1"/>
  <c r="M70" i="4" l="1"/>
  <c r="M71" i="4" s="1"/>
  <c r="E85" i="4"/>
  <c r="E86" i="4" s="1"/>
  <c r="E87" i="4" s="1"/>
  <c r="L73" i="4"/>
  <c r="F84" i="4"/>
  <c r="F83" i="4"/>
  <c r="F85" i="4" s="1"/>
  <c r="G78" i="4"/>
  <c r="G80" i="4" s="1"/>
  <c r="C101" i="4"/>
  <c r="D100" i="4"/>
  <c r="D99" i="4"/>
  <c r="E94" i="4"/>
  <c r="E96" i="4" s="1"/>
  <c r="M74" i="3"/>
  <c r="M75" i="3" s="1"/>
  <c r="B57" i="3" s="1"/>
  <c r="K87" i="3"/>
  <c r="K88" i="3" s="1"/>
  <c r="L87" i="3"/>
  <c r="L88" i="3" s="1"/>
  <c r="E87" i="3"/>
  <c r="E88" i="3" s="1"/>
  <c r="D87" i="3"/>
  <c r="D88" i="3" s="1"/>
  <c r="M72" i="4" l="1"/>
  <c r="B54" i="4" s="1"/>
  <c r="D101" i="4"/>
  <c r="D102" i="4" s="1"/>
  <c r="C102" i="4"/>
  <c r="C103" i="4" s="1"/>
  <c r="F86" i="4"/>
  <c r="F87" i="4" s="1"/>
  <c r="H78" i="4"/>
  <c r="H80" i="4" s="1"/>
  <c r="G84" i="4"/>
  <c r="G83" i="4"/>
  <c r="E100" i="4"/>
  <c r="F94" i="4"/>
  <c r="F96" i="4" s="1"/>
  <c r="E99" i="4"/>
  <c r="E101" i="4" l="1"/>
  <c r="M73" i="4"/>
  <c r="B88" i="4" s="1"/>
  <c r="C88" i="4" s="1"/>
  <c r="D88" i="4" s="1"/>
  <c r="E88" i="4" s="1"/>
  <c r="F88" i="4" s="1"/>
  <c r="D103" i="4"/>
  <c r="I78" i="4"/>
  <c r="I80" i="4" s="1"/>
  <c r="H84" i="4"/>
  <c r="H83" i="4"/>
  <c r="H85" i="4" s="1"/>
  <c r="E102" i="4"/>
  <c r="E103" i="4" s="1"/>
  <c r="G94" i="4"/>
  <c r="G96" i="4" s="1"/>
  <c r="F99" i="4"/>
  <c r="F100" i="4"/>
  <c r="G85" i="4"/>
  <c r="F101" i="4" l="1"/>
  <c r="F102" i="4" s="1"/>
  <c r="F103" i="4" s="1"/>
  <c r="H86" i="4"/>
  <c r="H87" i="4" s="1"/>
  <c r="I84" i="4"/>
  <c r="I83" i="4"/>
  <c r="I85" i="4" s="1"/>
  <c r="J78" i="4"/>
  <c r="J80" i="4" s="1"/>
  <c r="H94" i="4"/>
  <c r="H96" i="4" s="1"/>
  <c r="G99" i="4"/>
  <c r="G100" i="4"/>
  <c r="G86" i="4"/>
  <c r="G87" i="4" s="1"/>
  <c r="G88" i="4" s="1"/>
  <c r="G101" i="4" l="1"/>
  <c r="G102" i="4" s="1"/>
  <c r="G103" i="4" s="1"/>
  <c r="I86" i="4"/>
  <c r="I87" i="4" s="1"/>
  <c r="I94" i="4"/>
  <c r="I96" i="4" s="1"/>
  <c r="H100" i="4"/>
  <c r="H99" i="4"/>
  <c r="H101" i="4" s="1"/>
  <c r="J84" i="4"/>
  <c r="K78" i="4"/>
  <c r="K80" i="4" s="1"/>
  <c r="J83" i="4"/>
  <c r="J85" i="4" s="1"/>
  <c r="H88" i="4"/>
  <c r="J86" i="4" l="1"/>
  <c r="J87" i="4" s="1"/>
  <c r="H102" i="4"/>
  <c r="H103" i="4" s="1"/>
  <c r="I99" i="4"/>
  <c r="I100" i="4"/>
  <c r="J94" i="4"/>
  <c r="J96" i="4" s="1"/>
  <c r="L78" i="4"/>
  <c r="L80" i="4" s="1"/>
  <c r="K83" i="4"/>
  <c r="K84" i="4"/>
  <c r="I88" i="4"/>
  <c r="J88" i="4" l="1"/>
  <c r="K85" i="4"/>
  <c r="K86" i="4" s="1"/>
  <c r="K87" i="4" s="1"/>
  <c r="M78" i="4"/>
  <c r="M80" i="4" s="1"/>
  <c r="L84" i="4"/>
  <c r="L83" i="4"/>
  <c r="I101" i="4"/>
  <c r="J99" i="4"/>
  <c r="J100" i="4"/>
  <c r="K94" i="4"/>
  <c r="K96" i="4" s="1"/>
  <c r="K88" i="4" l="1"/>
  <c r="L85" i="4"/>
  <c r="L86" i="4" s="1"/>
  <c r="L87" i="4" s="1"/>
  <c r="J101" i="4"/>
  <c r="L94" i="4"/>
  <c r="L96" i="4" s="1"/>
  <c r="K100" i="4"/>
  <c r="K99" i="4"/>
  <c r="K101" i="4" s="1"/>
  <c r="I102" i="4"/>
  <c r="I103" i="4" s="1"/>
  <c r="M83" i="4"/>
  <c r="M84" i="4"/>
  <c r="L88" i="4" l="1"/>
  <c r="K102" i="4"/>
  <c r="K103" i="4" s="1"/>
  <c r="L100" i="4"/>
  <c r="M94" i="4"/>
  <c r="M96" i="4" s="1"/>
  <c r="L99" i="4"/>
  <c r="L101" i="4" s="1"/>
  <c r="M85" i="4"/>
  <c r="J102" i="4"/>
  <c r="J103" i="4" s="1"/>
  <c r="M86" i="4" l="1"/>
  <c r="M87" i="4" s="1"/>
  <c r="M88" i="4" s="1"/>
  <c r="B104" i="4" s="1"/>
  <c r="C104" i="4" s="1"/>
  <c r="D104" i="4" s="1"/>
  <c r="E104" i="4" s="1"/>
  <c r="F104" i="4" s="1"/>
  <c r="G104" i="4" s="1"/>
  <c r="H104" i="4" s="1"/>
  <c r="I104" i="4" s="1"/>
  <c r="J104" i="4" s="1"/>
  <c r="K104" i="4" s="1"/>
  <c r="L102" i="4"/>
  <c r="L103" i="4" s="1"/>
  <c r="M100" i="4"/>
  <c r="M99" i="4"/>
  <c r="M101" i="4" s="1"/>
  <c r="L104" i="4" l="1"/>
  <c r="M102" i="4"/>
  <c r="M103" i="4" s="1"/>
  <c r="M104" i="4" l="1"/>
</calcChain>
</file>

<file path=xl/sharedStrings.xml><?xml version="1.0" encoding="utf-8"?>
<sst xmlns="http://schemas.openxmlformats.org/spreadsheetml/2006/main" count="622" uniqueCount="184">
  <si>
    <t>Start</t>
  </si>
  <si>
    <t>End</t>
  </si>
  <si>
    <t xml:space="preserve">Raise Personal/ Friends/ Family Funds </t>
  </si>
  <si>
    <t>Seed Funding</t>
  </si>
  <si>
    <t>Incorporate Business</t>
  </si>
  <si>
    <t>Supplier relations</t>
  </si>
  <si>
    <t>Final Product Creation/Approval</t>
  </si>
  <si>
    <t>Amazon FBA Setup and Training</t>
  </si>
  <si>
    <t>Marketing Strategy Development</t>
  </si>
  <si>
    <t>Series A Funding</t>
  </si>
  <si>
    <t>Push to Retail</t>
  </si>
  <si>
    <t>Website Development</t>
  </si>
  <si>
    <t>Website Launch</t>
  </si>
  <si>
    <t>Start Acquisitions Analysis</t>
  </si>
  <si>
    <t>Evaluate IPO</t>
  </si>
  <si>
    <t>Months</t>
  </si>
  <si>
    <t>Starting Data</t>
  </si>
  <si>
    <t># of Families in USA</t>
  </si>
  <si>
    <t>Source</t>
  </si>
  <si>
    <t># of families with children under 18</t>
  </si>
  <si>
    <t>Total Available Market (TAM):</t>
  </si>
  <si>
    <t>Serviceable Available Market (SAM):</t>
  </si>
  <si>
    <t>Conservatively , at least 50% of parents want to be able to track their childs location (given recent events)</t>
  </si>
  <si>
    <t>Serviceable Obtainable Market (SOM):</t>
  </si>
  <si>
    <t>30% of people are willing to purchase our product</t>
  </si>
  <si>
    <t xml:space="preserve">What does it cost us to make? </t>
  </si>
  <si>
    <t>Alternatives:</t>
  </si>
  <si>
    <t>There is no product which matches exactly our product, so we will look at the alternatives</t>
  </si>
  <si>
    <t>Apple AirTag</t>
  </si>
  <si>
    <t>Tile Mate Bluetooth tracker</t>
  </si>
  <si>
    <t>Tracki GPS tracker</t>
  </si>
  <si>
    <t>*For each device a monthly fee of 19.95USD is required</t>
  </si>
  <si>
    <t>Tile sticker - tracker</t>
  </si>
  <si>
    <t>Average:</t>
  </si>
  <si>
    <t>&lt;- Average cost of competitors (excluded Tracki)</t>
  </si>
  <si>
    <t>Assuming Profit Margins of 35-45%, so 40%</t>
  </si>
  <si>
    <t>&lt;- Cost of DM per unit for alternatives</t>
  </si>
  <si>
    <t>Our technology is new and initially will be expensive</t>
  </si>
  <si>
    <t xml:space="preserve">More expensive initially as this is a new technology </t>
  </si>
  <si>
    <t>Salaries &amp; Benefits of team members</t>
  </si>
  <si>
    <t>per year, per group member</t>
  </si>
  <si>
    <t>Cost</t>
  </si>
  <si>
    <t>Startup Budget</t>
  </si>
  <si>
    <t>Year 1</t>
  </si>
  <si>
    <t>Year 2</t>
  </si>
  <si>
    <t>Year 3</t>
  </si>
  <si>
    <t>-</t>
  </si>
  <si>
    <t>&lt;- Website to showcase the product and its features (no e-commerce functionality)</t>
  </si>
  <si>
    <t>Website Maintenance</t>
  </si>
  <si>
    <t>&lt;- estimate</t>
  </si>
  <si>
    <t>LLC Incorporation</t>
  </si>
  <si>
    <t>Growth %</t>
  </si>
  <si>
    <t>Estimated Sales Qty.</t>
  </si>
  <si>
    <t>&lt;- assuming 110k orders in first year (8/1/2024-12/30/2024), 15% growth YoY</t>
  </si>
  <si>
    <t>COGM</t>
  </si>
  <si>
    <t>120,000 orders per year is:</t>
  </si>
  <si>
    <t>of SOM</t>
  </si>
  <si>
    <t>Amazon FBA</t>
  </si>
  <si>
    <t>Marketing &amp; Partnerships</t>
  </si>
  <si>
    <t>&lt;- Base $500,000k in Year 1, 5% growth annually, starting Marketing efforts in February 2024</t>
  </si>
  <si>
    <t>Salaries &amp; Benefits</t>
  </si>
  <si>
    <t>Total Estimated Costs:</t>
  </si>
  <si>
    <t>Product Cost:</t>
  </si>
  <si>
    <t>Expected Sale Price:</t>
  </si>
  <si>
    <t xml:space="preserve">&lt;- 40% profit margin </t>
  </si>
  <si>
    <t>Income</t>
  </si>
  <si>
    <t>Revenue:</t>
  </si>
  <si>
    <t>Profit Before Taxes:</t>
  </si>
  <si>
    <t>Taxes (21%)</t>
  </si>
  <si>
    <t>Tax Rate</t>
  </si>
  <si>
    <t>Net Profit:</t>
  </si>
  <si>
    <t>Pro Forma Income Statement (3 Years)</t>
  </si>
  <si>
    <t>Year 1 - 2024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</si>
  <si>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</si>
  <si>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</si>
  <si>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</si>
  <si>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</si>
  <si>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</si>
  <si>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</si>
  <si>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</si>
  <si>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</si>
  <si>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</si>
  <si>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</si>
  <si>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</si>
  <si>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</si>
  <si>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Net Profit/Loss:</t>
  </si>
  <si>
    <t>Year 2 - 2025</t>
  </si>
  <si>
    <t>Year 3 - 2026</t>
  </si>
  <si>
    <t>Q1</t>
  </si>
  <si>
    <t>Q2</t>
  </si>
  <si>
    <t>Q3</t>
  </si>
  <si>
    <t>Q4</t>
  </si>
  <si>
    <t>Break-Even Analysis</t>
  </si>
  <si>
    <t>Break-even volume in units = Fixed costs / Contribution margin per unit</t>
  </si>
  <si>
    <t>Our Fixed Costs:</t>
  </si>
  <si>
    <t>Yearly</t>
  </si>
  <si>
    <t>Monthly</t>
  </si>
  <si>
    <t>One-Time</t>
  </si>
  <si>
    <t>Total Estimated FC:</t>
  </si>
  <si>
    <t>in year 1</t>
  </si>
  <si>
    <t>Total Variable Cost:</t>
  </si>
  <si>
    <t>Total Revenue Per Unit:</t>
  </si>
  <si>
    <t>Contribution Margin:</t>
  </si>
  <si>
    <t>Break-even volume  =</t>
  </si>
  <si>
    <t>units</t>
  </si>
  <si>
    <t>1100,000 orders per year is:</t>
  </si>
  <si>
    <t>January 25'</t>
  </si>
  <si>
    <t>February 25'</t>
  </si>
  <si>
    <t>March 25'</t>
  </si>
  <si>
    <t>April 25'</t>
  </si>
  <si>
    <t>May 25'</t>
  </si>
  <si>
    <t>June 25'</t>
  </si>
  <si>
    <t>July 25'</t>
  </si>
  <si>
    <t>August 25'</t>
  </si>
  <si>
    <t>September 25'</t>
  </si>
  <si>
    <t>October 25'</t>
  </si>
  <si>
    <t>November 25'</t>
  </si>
  <si>
    <t>December 25'</t>
  </si>
  <si>
    <t>Cumulative:</t>
  </si>
  <si>
    <t>Start-Up Budget</t>
  </si>
  <si>
    <t>Capital Expenditures:</t>
  </si>
  <si>
    <t>Website:</t>
  </si>
  <si>
    <t>$0.00 </t>
  </si>
  <si>
    <t>LLC Incorporation:</t>
  </si>
  <si>
    <t>Expenses:</t>
  </si>
  <si>
    <t>Website Maintenance:</t>
  </si>
  <si>
    <t>COGM:</t>
  </si>
  <si>
    <t>Marketing &amp; Partnerships:</t>
  </si>
  <si>
    <t>Employee Salaries &amp; Benefits:</t>
  </si>
  <si>
    <t>Estimated Total/Break-Even Cost:</t>
  </si>
  <si>
    <t>Sources</t>
  </si>
  <si>
    <t>Friends/Family</t>
  </si>
  <si>
    <t>Series A fund</t>
  </si>
  <si>
    <t>Uses</t>
  </si>
  <si>
    <t>Salaries &amp; Benefits:</t>
  </si>
  <si>
    <t>Website, Maintenance, &amp; LLC:</t>
  </si>
  <si>
    <t>&lt;- assuming 50k orders in first year (8/1/2023-12/30/2023), 5% growth YoY</t>
  </si>
  <si>
    <t>&lt; + $7 shipping cost</t>
  </si>
  <si>
    <t>Year 4</t>
  </si>
  <si>
    <t>Year 5</t>
  </si>
  <si>
    <t xml:space="preserve"> - </t>
  </si>
  <si>
    <t>Cumulative</t>
  </si>
  <si>
    <t>Investment Offer &amp; Return</t>
  </si>
  <si>
    <t>Investment Period</t>
  </si>
  <si>
    <t>% Investment</t>
  </si>
  <si>
    <t>Investment Duration</t>
  </si>
  <si>
    <t>$ Return on Investment</t>
  </si>
  <si>
    <t>% Return</t>
  </si>
  <si>
    <t>years</t>
  </si>
  <si>
    <t>Total Investment:</t>
  </si>
  <si>
    <t>by:</t>
  </si>
  <si>
    <t>Total Return by:</t>
  </si>
  <si>
    <t>=</t>
  </si>
  <si>
    <t>&lt;- assuming 50k orders in first year (8/1/2024-12/30/2024), 5% growth YoY</t>
  </si>
  <si>
    <t>Summary Table of Income Statement</t>
  </si>
  <si>
    <t>Year2</t>
  </si>
  <si>
    <t>Costs:</t>
  </si>
  <si>
    <t>Income pre-Tax</t>
  </si>
  <si>
    <t>Income post-Tax</t>
  </si>
  <si>
    <t>Duration</t>
  </si>
  <si>
    <t>January 24'</t>
  </si>
  <si>
    <t>February 24'</t>
  </si>
  <si>
    <t>March 24'</t>
  </si>
  <si>
    <t>April 24'</t>
  </si>
  <si>
    <t>May 24'</t>
  </si>
  <si>
    <t>June 24'</t>
  </si>
  <si>
    <t>July 24'</t>
  </si>
  <si>
    <t>August 24'</t>
  </si>
  <si>
    <t>September 24'</t>
  </si>
  <si>
    <t>October 24'</t>
  </si>
  <si>
    <t>November 24'</t>
  </si>
  <si>
    <t>December 24'</t>
  </si>
  <si>
    <t>January 26'</t>
  </si>
  <si>
    <t>February 26'</t>
  </si>
  <si>
    <t>March 26'</t>
  </si>
  <si>
    <t>April 26'</t>
  </si>
  <si>
    <t>May 26'</t>
  </si>
  <si>
    <t>June 26'</t>
  </si>
  <si>
    <t>July 26'</t>
  </si>
  <si>
    <t>August 26'</t>
  </si>
  <si>
    <t>September 26'</t>
  </si>
  <si>
    <t>October 26'</t>
  </si>
  <si>
    <t>November 26'</t>
  </si>
  <si>
    <t>December 26'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</si>
</sst>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FF0000"/>
      <name val="Calibri"/>
      <charset val="1"/>
    </font>
    <font>
      <b/>
      <sz val="11"/>
      <color rgb="FFFF0000"/>
      <name val="Calibri"/>
      <charset val="1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</font>
    <font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3" fontId="0" fillId="0" borderId="0" xfId="0" applyNumberFormat="1"/>
    <xf numFmtId="0" fontId="4" fillId="0" borderId="0" xfId="4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0" fontId="3" fillId="0" borderId="0" xfId="0" applyFont="1"/>
    <xf numFmtId="8" fontId="0" fillId="0" borderId="0" xfId="0" applyNumberFormat="1"/>
    <xf numFmtId="0" fontId="4" fillId="0" borderId="1" xfId="4" applyBorder="1" applyAlignment="1">
      <alignment vertical="center"/>
    </xf>
    <xf numFmtId="8" fontId="0" fillId="0" borderId="2" xfId="0" applyNumberFormat="1" applyBorder="1"/>
    <xf numFmtId="8" fontId="3" fillId="0" borderId="0" xfId="0" applyNumberFormat="1" applyFont="1"/>
    <xf numFmtId="0" fontId="6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3" applyNumberFormat="1" applyFont="1"/>
    <xf numFmtId="10" fontId="3" fillId="0" borderId="0" xfId="3" applyNumberFormat="1" applyFont="1" applyAlignment="1">
      <alignment horizontal="center" vertical="center"/>
    </xf>
    <xf numFmtId="6" fontId="0" fillId="0" borderId="2" xfId="0" applyNumberFormat="1" applyBorder="1"/>
    <xf numFmtId="44" fontId="0" fillId="0" borderId="0" xfId="2" applyFont="1"/>
    <xf numFmtId="44" fontId="2" fillId="0" borderId="0" xfId="0" applyNumberFormat="1" applyFont="1"/>
    <xf numFmtId="44" fontId="0" fillId="0" borderId="0" xfId="0" applyNumberFormat="1"/>
    <xf numFmtId="44" fontId="0" fillId="0" borderId="0" xfId="0" applyNumberFormat="1" applyAlignment="1">
      <alignment horizontal="center"/>
    </xf>
    <xf numFmtId="6" fontId="2" fillId="0" borderId="0" xfId="0" applyNumberFormat="1" applyFont="1"/>
    <xf numFmtId="0" fontId="0" fillId="0" borderId="3" xfId="0" applyBorder="1" applyAlignment="1">
      <alignment horizontal="center"/>
    </xf>
    <xf numFmtId="44" fontId="0" fillId="0" borderId="4" xfId="2" applyFont="1" applyBorder="1"/>
    <xf numFmtId="6" fontId="0" fillId="0" borderId="4" xfId="0" applyNumberFormat="1" applyBorder="1"/>
    <xf numFmtId="164" fontId="0" fillId="0" borderId="0" xfId="1" applyNumberFormat="1" applyFont="1" applyAlignment="1"/>
    <xf numFmtId="164" fontId="0" fillId="0" borderId="4" xfId="1" applyNumberFormat="1" applyFont="1" applyBorder="1" applyAlignment="1"/>
    <xf numFmtId="8" fontId="0" fillId="0" borderId="4" xfId="0" applyNumberFormat="1" applyBorder="1"/>
    <xf numFmtId="164" fontId="2" fillId="0" borderId="0" xfId="0" applyNumberFormat="1" applyFont="1"/>
    <xf numFmtId="164" fontId="2" fillId="0" borderId="4" xfId="0" applyNumberFormat="1" applyFont="1" applyBorder="1"/>
    <xf numFmtId="43" fontId="0" fillId="0" borderId="0" xfId="0" applyNumberFormat="1"/>
    <xf numFmtId="43" fontId="0" fillId="0" borderId="4" xfId="0" applyNumberFormat="1" applyBorder="1"/>
    <xf numFmtId="164" fontId="0" fillId="0" borderId="4" xfId="0" applyNumberFormat="1" applyBorder="1"/>
    <xf numFmtId="44" fontId="2" fillId="0" borderId="0" xfId="2" applyFont="1"/>
    <xf numFmtId="44" fontId="2" fillId="0" borderId="4" xfId="2" applyFont="1" applyBorder="1"/>
    <xf numFmtId="44" fontId="0" fillId="0" borderId="4" xfId="0" applyNumberFormat="1" applyBorder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44" fontId="3" fillId="0" borderId="0" xfId="2" applyFont="1"/>
    <xf numFmtId="0" fontId="0" fillId="0" borderId="0" xfId="0" applyAlignment="1">
      <alignment horizontal="left"/>
    </xf>
    <xf numFmtId="0" fontId="8" fillId="0" borderId="0" xfId="0" applyFont="1"/>
    <xf numFmtId="43" fontId="0" fillId="0" borderId="0" xfId="1" applyFont="1"/>
    <xf numFmtId="9" fontId="0" fillId="0" borderId="0" xfId="3" applyFont="1"/>
    <xf numFmtId="0" fontId="0" fillId="0" borderId="4" xfId="0" applyBorder="1" applyAlignment="1">
      <alignment horizontal="center"/>
    </xf>
    <xf numFmtId="44" fontId="2" fillId="0" borderId="4" xfId="0" applyNumberFormat="1" applyFont="1" applyBorder="1"/>
    <xf numFmtId="44" fontId="0" fillId="0" borderId="0" xfId="2" applyFont="1" applyAlignment="1">
      <alignment horizontal="right"/>
    </xf>
    <xf numFmtId="8" fontId="9" fillId="0" borderId="0" xfId="0" applyNumberFormat="1" applyFont="1"/>
    <xf numFmtId="0" fontId="11" fillId="0" borderId="0" xfId="0" applyFont="1"/>
    <xf numFmtId="0" fontId="12" fillId="0" borderId="2" xfId="0" applyFont="1" applyBorder="1"/>
    <xf numFmtId="8" fontId="11" fillId="0" borderId="0" xfId="0" applyNumberFormat="1" applyFont="1"/>
    <xf numFmtId="0" fontId="13" fillId="0" borderId="0" xfId="0" applyFont="1"/>
    <xf numFmtId="0" fontId="13" fillId="0" borderId="2" xfId="0" applyFont="1" applyBorder="1"/>
    <xf numFmtId="0" fontId="14" fillId="0" borderId="0" xfId="0" applyFont="1"/>
    <xf numFmtId="6" fontId="15" fillId="0" borderId="0" xfId="0" applyNumberFormat="1" applyFont="1"/>
    <xf numFmtId="0" fontId="17" fillId="0" borderId="0" xfId="0" applyFont="1"/>
    <xf numFmtId="10" fontId="13" fillId="0" borderId="0" xfId="0" applyNumberFormat="1" applyFont="1"/>
    <xf numFmtId="14" fontId="11" fillId="0" borderId="0" xfId="0" applyNumberFormat="1" applyFont="1"/>
    <xf numFmtId="0" fontId="12" fillId="0" borderId="0" xfId="0" applyFont="1"/>
    <xf numFmtId="0" fontId="11" fillId="0" borderId="0" xfId="0" quotePrefix="1" applyFont="1"/>
    <xf numFmtId="10" fontId="11" fillId="0" borderId="0" xfId="0" applyNumberFormat="1" applyFont="1"/>
    <xf numFmtId="6" fontId="12" fillId="0" borderId="0" xfId="0" applyNumberFormat="1" applyFont="1"/>
    <xf numFmtId="14" fontId="12" fillId="0" borderId="0" xfId="0" applyNumberFormat="1" applyFont="1"/>
    <xf numFmtId="8" fontId="12" fillId="0" borderId="0" xfId="0" applyNumberFormat="1" applyFont="1"/>
    <xf numFmtId="0" fontId="19" fillId="0" borderId="0" xfId="0" applyFont="1"/>
    <xf numFmtId="3" fontId="19" fillId="0" borderId="0" xfId="0" applyNumberFormat="1" applyFont="1"/>
    <xf numFmtId="0" fontId="4" fillId="0" borderId="0" xfId="4" applyFill="1" applyBorder="1" applyAlignment="1"/>
    <xf numFmtId="9" fontId="19" fillId="0" borderId="0" xfId="0" applyNumberFormat="1" applyFont="1"/>
    <xf numFmtId="0" fontId="20" fillId="0" borderId="0" xfId="0" applyFont="1"/>
    <xf numFmtId="0" fontId="21" fillId="0" borderId="0" xfId="0" applyFont="1"/>
    <xf numFmtId="8" fontId="19" fillId="0" borderId="0" xfId="0" applyNumberFormat="1" applyFont="1"/>
    <xf numFmtId="0" fontId="4" fillId="0" borderId="1" xfId="4" applyFill="1" applyBorder="1" applyAlignment="1"/>
    <xf numFmtId="8" fontId="19" fillId="0" borderId="2" xfId="0" applyNumberFormat="1" applyFont="1" applyBorder="1"/>
    <xf numFmtId="8" fontId="21" fillId="0" borderId="0" xfId="0" applyNumberFormat="1" applyFont="1"/>
    <xf numFmtId="6" fontId="19" fillId="0" borderId="0" xfId="0" applyNumberFormat="1" applyFont="1"/>
    <xf numFmtId="6" fontId="22" fillId="0" borderId="0" xfId="0" applyNumberFormat="1" applyFont="1"/>
    <xf numFmtId="0" fontId="19" fillId="0" borderId="0" xfId="0" quotePrefix="1" applyFont="1"/>
    <xf numFmtId="8" fontId="22" fillId="0" borderId="0" xfId="0" applyNumberFormat="1" applyFont="1"/>
    <xf numFmtId="10" fontId="21" fillId="0" borderId="0" xfId="0" applyNumberFormat="1" applyFont="1"/>
    <xf numFmtId="6" fontId="22" fillId="0" borderId="2" xfId="0" applyNumberFormat="1" applyFont="1" applyBorder="1"/>
    <xf numFmtId="0" fontId="23" fillId="0" borderId="0" xfId="0" applyFont="1"/>
    <xf numFmtId="14" fontId="19" fillId="0" borderId="0" xfId="0" applyNumberFormat="1" applyFont="1"/>
    <xf numFmtId="10" fontId="19" fillId="0" borderId="0" xfId="0" applyNumberFormat="1" applyFont="1"/>
    <xf numFmtId="4" fontId="19" fillId="0" borderId="0" xfId="0" applyNumberFormat="1" applyFont="1"/>
    <xf numFmtId="6" fontId="21" fillId="0" borderId="0" xfId="0" applyNumberFormat="1" applyFont="1"/>
    <xf numFmtId="14" fontId="21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6" fontId="16" fillId="0" borderId="0" xfId="0" applyNumberFormat="1" applyFont="1"/>
    <xf numFmtId="0" fontId="16" fillId="0" borderId="0" xfId="0" applyFont="1"/>
    <xf numFmtId="0" fontId="18" fillId="3" borderId="2" xfId="0" applyFont="1" applyFill="1" applyBorder="1"/>
    <xf numFmtId="0" fontId="21" fillId="0" borderId="0" xfId="0" applyFont="1"/>
    <xf numFmtId="0" fontId="21" fillId="0" borderId="2" xfId="0" applyFont="1" applyBorder="1"/>
    <xf numFmtId="0" fontId="24" fillId="3" borderId="2" xfId="0" applyFont="1" applyFill="1" applyBorder="1"/>
    <xf numFmtId="0" fontId="10" fillId="3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Timeline!$B$2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Timeline!$A$3:$A$15</c:f>
              <c:strCache>
                <c:ptCount val="13"/>
                <c:pt idx="0">
                  <c:v>Raise Personal/ Friends/ Family Funds </c:v>
                </c:pt>
                <c:pt idx="1">
                  <c:v>Seed Funding</c:v>
                </c:pt>
                <c:pt idx="2">
                  <c:v>Incorporate Business</c:v>
                </c:pt>
                <c:pt idx="3">
                  <c:v>Supplier relations</c:v>
                </c:pt>
                <c:pt idx="4">
                  <c:v>Final Product Creation/Approval</c:v>
                </c:pt>
                <c:pt idx="5">
                  <c:v>Amazon FBA Setup and Training</c:v>
                </c:pt>
                <c:pt idx="6">
                  <c:v>Marketing Strategy Development</c:v>
                </c:pt>
                <c:pt idx="7">
                  <c:v>Series A Funding</c:v>
                </c:pt>
                <c:pt idx="8">
                  <c:v>Push to Retail</c:v>
                </c:pt>
                <c:pt idx="9">
                  <c:v>Website Development</c:v>
                </c:pt>
                <c:pt idx="10">
                  <c:v>Website Launch</c:v>
                </c:pt>
                <c:pt idx="11">
                  <c:v>Start Acquisitions Analysis</c:v>
                </c:pt>
                <c:pt idx="12">
                  <c:v>Evaluate IPO</c:v>
                </c:pt>
              </c:strCache>
            </c:strRef>
          </c:cat>
          <c:val>
            <c:numRef>
              <c:f>Timeline!$B$3:$B$15</c:f>
              <c:numCache>
                <c:formatCode>m/d/yyyy</c:formatCode>
                <c:ptCount val="13"/>
                <c:pt idx="0">
                  <c:v>45292</c:v>
                </c:pt>
                <c:pt idx="1">
                  <c:v>45292</c:v>
                </c:pt>
                <c:pt idx="2">
                  <c:v>45381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45458</c:v>
                </c:pt>
                <c:pt idx="7">
                  <c:v>45566</c:v>
                </c:pt>
                <c:pt idx="8">
                  <c:v>45777</c:v>
                </c:pt>
                <c:pt idx="9">
                  <c:v>45306</c:v>
                </c:pt>
                <c:pt idx="10">
                  <c:v>45868</c:v>
                </c:pt>
                <c:pt idx="11">
                  <c:v>45868</c:v>
                </c:pt>
                <c:pt idx="12">
                  <c:v>46023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3-4CA7-A6FF-9F2AFCA29153}"/>
            </c:ext>
          </c:extLst>
        </c:ser>
        <c:ser>
          <c:idx val="1"/>
          <c:order val="1"/>
          <c:tx>
            <c:strRef>
              <c:f>Timeline!$D$2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Timeline!$A$3:$A$15</c:f>
              <c:strCache>
                <c:ptCount val="13"/>
                <c:pt idx="0">
                  <c:v>Raise Personal/ Friends/ Family Funds </c:v>
                </c:pt>
                <c:pt idx="1">
                  <c:v>Seed Funding</c:v>
                </c:pt>
                <c:pt idx="2">
                  <c:v>Incorporate Business</c:v>
                </c:pt>
                <c:pt idx="3">
                  <c:v>Supplier relations</c:v>
                </c:pt>
                <c:pt idx="4">
                  <c:v>Final Product Creation/Approval</c:v>
                </c:pt>
                <c:pt idx="5">
                  <c:v>Amazon FBA Setup and Training</c:v>
                </c:pt>
                <c:pt idx="6">
                  <c:v>Marketing Strategy Development</c:v>
                </c:pt>
                <c:pt idx="7">
                  <c:v>Series A Funding</c:v>
                </c:pt>
                <c:pt idx="8">
                  <c:v>Push to Retail</c:v>
                </c:pt>
                <c:pt idx="9">
                  <c:v>Website Development</c:v>
                </c:pt>
                <c:pt idx="10">
                  <c:v>Website Launch</c:v>
                </c:pt>
                <c:pt idx="11">
                  <c:v>Start Acquisitions Analysis</c:v>
                </c:pt>
                <c:pt idx="12">
                  <c:v>Evaluate IPO</c:v>
                </c:pt>
              </c:strCache>
            </c:strRef>
          </c:cat>
          <c:val>
            <c:numRef>
              <c:f>Timeline!$D$3:$D$15</c:f>
              <c:numCache>
                <c:formatCode>General</c:formatCode>
                <c:ptCount val="13"/>
                <c:pt idx="0">
                  <c:v>58</c:v>
                </c:pt>
                <c:pt idx="1">
                  <c:v>89</c:v>
                </c:pt>
                <c:pt idx="2">
                  <c:v>31</c:v>
                </c:pt>
                <c:pt idx="3">
                  <c:v>91</c:v>
                </c:pt>
                <c:pt idx="4">
                  <c:v>31</c:v>
                </c:pt>
                <c:pt idx="5">
                  <c:v>61</c:v>
                </c:pt>
                <c:pt idx="6">
                  <c:v>92</c:v>
                </c:pt>
                <c:pt idx="7">
                  <c:v>122</c:v>
                </c:pt>
                <c:pt idx="8">
                  <c:v>91</c:v>
                </c:pt>
                <c:pt idx="9">
                  <c:v>60</c:v>
                </c:pt>
                <c:pt idx="10">
                  <c:v>31</c:v>
                </c:pt>
                <c:pt idx="11">
                  <c:v>92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3-4CA7-A6FF-9F2AFCA2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347647"/>
        <c:axId val="785713855"/>
      </c:barChart>
      <c:catAx>
        <c:axId val="7853476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13855"/>
        <c:crosses val="autoZero"/>
        <c:auto val="1"/>
        <c:lblAlgn val="ctr"/>
        <c:lblOffset val="100"/>
        <c:noMultiLvlLbl val="0"/>
      </c:catAx>
      <c:valAx>
        <c:axId val="785713855"/>
        <c:scaling>
          <c:orientation val="minMax"/>
          <c:min val="4529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Timeline!$B$2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Timeline!$A$3:$A$15</c:f>
              <c:strCache>
                <c:ptCount val="13"/>
                <c:pt idx="0">
                  <c:v>Raise Personal/ Friends/ Family Funds </c:v>
                </c:pt>
                <c:pt idx="1">
                  <c:v>Seed Funding</c:v>
                </c:pt>
                <c:pt idx="2">
                  <c:v>Incorporate Business</c:v>
                </c:pt>
                <c:pt idx="3">
                  <c:v>Supplier relations</c:v>
                </c:pt>
                <c:pt idx="4">
                  <c:v>Final Product Creation/Approval</c:v>
                </c:pt>
                <c:pt idx="5">
                  <c:v>Amazon FBA Setup and Training</c:v>
                </c:pt>
                <c:pt idx="6">
                  <c:v>Marketing Strategy Development</c:v>
                </c:pt>
                <c:pt idx="7">
                  <c:v>Series A Funding</c:v>
                </c:pt>
                <c:pt idx="8">
                  <c:v>Push to Retail</c:v>
                </c:pt>
                <c:pt idx="9">
                  <c:v>Website Development</c:v>
                </c:pt>
                <c:pt idx="10">
                  <c:v>Website Launch</c:v>
                </c:pt>
                <c:pt idx="11">
                  <c:v>Start Acquisitions Analysis</c:v>
                </c:pt>
                <c:pt idx="12">
                  <c:v>Evaluate IPO</c:v>
                </c:pt>
              </c:strCache>
            </c:strRef>
          </c:cat>
          <c:val>
            <c:numRef>
              <c:f>Timeline!$B$3:$B$15</c:f>
              <c:numCache>
                <c:formatCode>m/d/yyyy</c:formatCode>
                <c:ptCount val="13"/>
                <c:pt idx="0">
                  <c:v>45292</c:v>
                </c:pt>
                <c:pt idx="1">
                  <c:v>45292</c:v>
                </c:pt>
                <c:pt idx="2">
                  <c:v>45381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45458</c:v>
                </c:pt>
                <c:pt idx="7">
                  <c:v>45566</c:v>
                </c:pt>
                <c:pt idx="8">
                  <c:v>45777</c:v>
                </c:pt>
                <c:pt idx="9">
                  <c:v>45306</c:v>
                </c:pt>
                <c:pt idx="10">
                  <c:v>45868</c:v>
                </c:pt>
                <c:pt idx="11">
                  <c:v>45868</c:v>
                </c:pt>
                <c:pt idx="12">
                  <c:v>46023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7-46A0-9A4C-08A177DC4BE7}"/>
            </c:ext>
          </c:extLst>
        </c:ser>
        <c:ser>
          <c:idx val="1"/>
          <c:order val="1"/>
          <c:tx>
            <c:strRef>
              <c:f>Timeline!$D$2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Timeline!$A$3:$A$15</c:f>
              <c:strCache>
                <c:ptCount val="13"/>
                <c:pt idx="0">
                  <c:v>Raise Personal/ Friends/ Family Funds </c:v>
                </c:pt>
                <c:pt idx="1">
                  <c:v>Seed Funding</c:v>
                </c:pt>
                <c:pt idx="2">
                  <c:v>Incorporate Business</c:v>
                </c:pt>
                <c:pt idx="3">
                  <c:v>Supplier relations</c:v>
                </c:pt>
                <c:pt idx="4">
                  <c:v>Final Product Creation/Approval</c:v>
                </c:pt>
                <c:pt idx="5">
                  <c:v>Amazon FBA Setup and Training</c:v>
                </c:pt>
                <c:pt idx="6">
                  <c:v>Marketing Strategy Development</c:v>
                </c:pt>
                <c:pt idx="7">
                  <c:v>Series A Funding</c:v>
                </c:pt>
                <c:pt idx="8">
                  <c:v>Push to Retail</c:v>
                </c:pt>
                <c:pt idx="9">
                  <c:v>Website Development</c:v>
                </c:pt>
                <c:pt idx="10">
                  <c:v>Website Launch</c:v>
                </c:pt>
                <c:pt idx="11">
                  <c:v>Start Acquisitions Analysis</c:v>
                </c:pt>
                <c:pt idx="12">
                  <c:v>Evaluate IPO</c:v>
                </c:pt>
              </c:strCache>
            </c:strRef>
          </c:cat>
          <c:val>
            <c:numRef>
              <c:f>Timeline!$D$3:$D$15</c:f>
              <c:numCache>
                <c:formatCode>General</c:formatCode>
                <c:ptCount val="13"/>
                <c:pt idx="0">
                  <c:v>58</c:v>
                </c:pt>
                <c:pt idx="1">
                  <c:v>89</c:v>
                </c:pt>
                <c:pt idx="2">
                  <c:v>31</c:v>
                </c:pt>
                <c:pt idx="3">
                  <c:v>91</c:v>
                </c:pt>
                <c:pt idx="4">
                  <c:v>31</c:v>
                </c:pt>
                <c:pt idx="5">
                  <c:v>61</c:v>
                </c:pt>
                <c:pt idx="6">
                  <c:v>92</c:v>
                </c:pt>
                <c:pt idx="7">
                  <c:v>122</c:v>
                </c:pt>
                <c:pt idx="8">
                  <c:v>91</c:v>
                </c:pt>
                <c:pt idx="9">
                  <c:v>60</c:v>
                </c:pt>
                <c:pt idx="10">
                  <c:v>31</c:v>
                </c:pt>
                <c:pt idx="11">
                  <c:v>92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7-46A0-9A4C-08A177DC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347647"/>
        <c:axId val="785713855"/>
      </c:barChart>
      <c:catAx>
        <c:axId val="7853476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13855"/>
        <c:crosses val="autoZero"/>
        <c:auto val="1"/>
        <c:lblAlgn val="ctr"/>
        <c:lblOffset val="100"/>
        <c:noMultiLvlLbl val="0"/>
      </c:catAx>
      <c:valAx>
        <c:axId val="785713855"/>
        <c:scaling>
          <c:orientation val="minMax"/>
          <c:min val="4529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Break-Even</a:t>
            </a:r>
            <a:r>
              <a:rPr lang="en-US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Cash Inflow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('[1]Break-Even Analysis'!$B$56:$M$56,'[1]Break-Even Analysis'!$B$72:$M$72,'[1]Break-Even Analysis'!$B$87:$M$87)</c:f>
              <c:strCache>
                <c:ptCount val="36"/>
                <c:pt idx="0">
                  <c:v>January 23'</c:v>
                </c:pt>
                <c:pt idx="1">
                  <c:v>February 23'</c:v>
                </c:pt>
                <c:pt idx="2">
                  <c:v>March 23'</c:v>
                </c:pt>
                <c:pt idx="3">
                  <c:v>April 23'</c:v>
                </c:pt>
                <c:pt idx="4">
                  <c:v>May 23'</c:v>
                </c:pt>
                <c:pt idx="5">
                  <c:v>June 23'</c:v>
                </c:pt>
                <c:pt idx="6">
                  <c:v>July 23'</c:v>
                </c:pt>
                <c:pt idx="7">
                  <c:v>August 23'</c:v>
                </c:pt>
                <c:pt idx="8">
                  <c:v>September 23'</c:v>
                </c:pt>
                <c:pt idx="9">
                  <c:v>October 23'</c:v>
                </c:pt>
                <c:pt idx="10">
                  <c:v>November 23'</c:v>
                </c:pt>
                <c:pt idx="11">
                  <c:v>December 23'</c:v>
                </c:pt>
                <c:pt idx="12">
                  <c:v>January 24'</c:v>
                </c:pt>
                <c:pt idx="13">
                  <c:v>February 24'</c:v>
                </c:pt>
                <c:pt idx="14">
                  <c:v>March 24'</c:v>
                </c:pt>
                <c:pt idx="15">
                  <c:v>April 24'</c:v>
                </c:pt>
                <c:pt idx="16">
                  <c:v>May 24'</c:v>
                </c:pt>
                <c:pt idx="17">
                  <c:v>June 24'</c:v>
                </c:pt>
                <c:pt idx="18">
                  <c:v>July 24'</c:v>
                </c:pt>
                <c:pt idx="19">
                  <c:v>August 24'</c:v>
                </c:pt>
                <c:pt idx="20">
                  <c:v>September 24'</c:v>
                </c:pt>
                <c:pt idx="21">
                  <c:v>October 24'</c:v>
                </c:pt>
                <c:pt idx="22">
                  <c:v>November 24'</c:v>
                </c:pt>
                <c:pt idx="23">
                  <c:v>December 24'</c:v>
                </c:pt>
                <c:pt idx="24">
                  <c:v>January 25'</c:v>
                </c:pt>
                <c:pt idx="25">
                  <c:v>February 25'</c:v>
                </c:pt>
                <c:pt idx="26">
                  <c:v>March 25'</c:v>
                </c:pt>
                <c:pt idx="27">
                  <c:v>April 25'</c:v>
                </c:pt>
                <c:pt idx="28">
                  <c:v>May 25'</c:v>
                </c:pt>
                <c:pt idx="29">
                  <c:v>June 25'</c:v>
                </c:pt>
                <c:pt idx="30">
                  <c:v>July 25'</c:v>
                </c:pt>
                <c:pt idx="31">
                  <c:v>August 25'</c:v>
                </c:pt>
                <c:pt idx="32">
                  <c:v>September 25'</c:v>
                </c:pt>
                <c:pt idx="33">
                  <c:v>October 25'</c:v>
                </c:pt>
                <c:pt idx="34">
                  <c:v>November 25'</c:v>
                </c:pt>
                <c:pt idx="35">
                  <c:v>December 25'</c:v>
                </c:pt>
              </c:strCache>
            </c:strRef>
          </c:cat>
          <c:val>
            <c:numRef>
              <c:f>('Break-Even Analysis'!$B$69:$M$69,'Break-Even Analysis'!$B$84:$M$84,'Break-Even Analysis'!$B$100:$M$100)</c:f>
              <c:numCache>
                <c:formatCode>_("$"* #,##0.00_);_("$"* \(#,##0.00\);_("$"*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1848000</c:v>
                </c:pt>
                <c:pt idx="8">
                  <c:v>1848000</c:v>
                </c:pt>
                <c:pt idx="9">
                  <c:v>1848000</c:v>
                </c:pt>
                <c:pt idx="10">
                  <c:v>1848000</c:v>
                </c:pt>
                <c:pt idx="11">
                  <c:v>1848000</c:v>
                </c:pt>
                <c:pt idx="12">
                  <c:v>882000</c:v>
                </c:pt>
                <c:pt idx="13">
                  <c:v>882000</c:v>
                </c:pt>
                <c:pt idx="14">
                  <c:v>882000</c:v>
                </c:pt>
                <c:pt idx="15">
                  <c:v>882000</c:v>
                </c:pt>
                <c:pt idx="16">
                  <c:v>882000</c:v>
                </c:pt>
                <c:pt idx="17">
                  <c:v>882000</c:v>
                </c:pt>
                <c:pt idx="18">
                  <c:v>882000</c:v>
                </c:pt>
                <c:pt idx="19">
                  <c:v>882000</c:v>
                </c:pt>
                <c:pt idx="20">
                  <c:v>882000</c:v>
                </c:pt>
                <c:pt idx="21">
                  <c:v>882000</c:v>
                </c:pt>
                <c:pt idx="22">
                  <c:v>882000</c:v>
                </c:pt>
                <c:pt idx="23">
                  <c:v>882000</c:v>
                </c:pt>
                <c:pt idx="24">
                  <c:v>1015000</c:v>
                </c:pt>
                <c:pt idx="25">
                  <c:v>1015000</c:v>
                </c:pt>
                <c:pt idx="26">
                  <c:v>1015000</c:v>
                </c:pt>
                <c:pt idx="27">
                  <c:v>1015000</c:v>
                </c:pt>
                <c:pt idx="28">
                  <c:v>1015000</c:v>
                </c:pt>
                <c:pt idx="29">
                  <c:v>1015000</c:v>
                </c:pt>
                <c:pt idx="30">
                  <c:v>1015000</c:v>
                </c:pt>
                <c:pt idx="31">
                  <c:v>1015000</c:v>
                </c:pt>
                <c:pt idx="32">
                  <c:v>1015000</c:v>
                </c:pt>
                <c:pt idx="33">
                  <c:v>1015000</c:v>
                </c:pt>
                <c:pt idx="34">
                  <c:v>1015000</c:v>
                </c:pt>
                <c:pt idx="35">
                  <c:v>1015000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45A0-8363-2046612EB1C2}"/>
            </c:ext>
          </c:extLst>
        </c:ser>
        <c:ser>
          <c:idx val="1"/>
          <c:order val="1"/>
          <c:tx>
            <c:v>Cash Outflow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('[1]Break-Even Analysis'!$B$56:$M$56,'[1]Break-Even Analysis'!$B$72:$M$72,'[1]Break-Even Analysis'!$B$87:$M$87)</c:f>
              <c:strCache>
                <c:ptCount val="36"/>
                <c:pt idx="0">
                  <c:v>January 23'</c:v>
                </c:pt>
                <c:pt idx="1">
                  <c:v>February 23'</c:v>
                </c:pt>
                <c:pt idx="2">
                  <c:v>March 23'</c:v>
                </c:pt>
                <c:pt idx="3">
                  <c:v>April 23'</c:v>
                </c:pt>
                <c:pt idx="4">
                  <c:v>May 23'</c:v>
                </c:pt>
                <c:pt idx="5">
                  <c:v>June 23'</c:v>
                </c:pt>
                <c:pt idx="6">
                  <c:v>July 23'</c:v>
                </c:pt>
                <c:pt idx="7">
                  <c:v>August 23'</c:v>
                </c:pt>
                <c:pt idx="8">
                  <c:v>September 23'</c:v>
                </c:pt>
                <c:pt idx="9">
                  <c:v>October 23'</c:v>
                </c:pt>
                <c:pt idx="10">
                  <c:v>November 23'</c:v>
                </c:pt>
                <c:pt idx="11">
                  <c:v>December 23'</c:v>
                </c:pt>
                <c:pt idx="12">
                  <c:v>January 24'</c:v>
                </c:pt>
                <c:pt idx="13">
                  <c:v>February 24'</c:v>
                </c:pt>
                <c:pt idx="14">
                  <c:v>March 24'</c:v>
                </c:pt>
                <c:pt idx="15">
                  <c:v>April 24'</c:v>
                </c:pt>
                <c:pt idx="16">
                  <c:v>May 24'</c:v>
                </c:pt>
                <c:pt idx="17">
                  <c:v>June 24'</c:v>
                </c:pt>
                <c:pt idx="18">
                  <c:v>July 24'</c:v>
                </c:pt>
                <c:pt idx="19">
                  <c:v>August 24'</c:v>
                </c:pt>
                <c:pt idx="20">
                  <c:v>September 24'</c:v>
                </c:pt>
                <c:pt idx="21">
                  <c:v>October 24'</c:v>
                </c:pt>
                <c:pt idx="22">
                  <c:v>November 24'</c:v>
                </c:pt>
                <c:pt idx="23">
                  <c:v>December 24'</c:v>
                </c:pt>
                <c:pt idx="24">
                  <c:v>January 25'</c:v>
                </c:pt>
                <c:pt idx="25">
                  <c:v>February 25'</c:v>
                </c:pt>
                <c:pt idx="26">
                  <c:v>March 25'</c:v>
                </c:pt>
                <c:pt idx="27">
                  <c:v>April 25'</c:v>
                </c:pt>
                <c:pt idx="28">
                  <c:v>May 25'</c:v>
                </c:pt>
                <c:pt idx="29">
                  <c:v>June 25'</c:v>
                </c:pt>
                <c:pt idx="30">
                  <c:v>July 25'</c:v>
                </c:pt>
                <c:pt idx="31">
                  <c:v>August 25'</c:v>
                </c:pt>
                <c:pt idx="32">
                  <c:v>September 25'</c:v>
                </c:pt>
                <c:pt idx="33">
                  <c:v>October 25'</c:v>
                </c:pt>
                <c:pt idx="34">
                  <c:v>November 25'</c:v>
                </c:pt>
                <c:pt idx="35">
                  <c:v>December 25'</c:v>
                </c:pt>
              </c:strCache>
            </c:strRef>
          </c:cat>
          <c:val>
            <c:numRef>
              <c:f>('Break-Even Analysis'!$B$68:$M$68,'Break-Even Analysis'!$B$83:$M$83,'Break-Even Analysis'!$B$99:$M$99)</c:f>
              <c:numCache>
                <c:formatCode>"$"#,##0_);[Red]\("$"#,##0\)</c:formatCode>
                <c:ptCount val="36"/>
                <c:pt idx="0">
                  <c:v>-41966.666666666664</c:v>
                </c:pt>
                <c:pt idx="1">
                  <c:v>-83333.333333333328</c:v>
                </c:pt>
                <c:pt idx="2">
                  <c:v>-93333.333333333328</c:v>
                </c:pt>
                <c:pt idx="3">
                  <c:v>-83333.333333333328</c:v>
                </c:pt>
                <c:pt idx="4">
                  <c:v>-83333.333333333328</c:v>
                </c:pt>
                <c:pt idx="5">
                  <c:v>-83333.333333333328</c:v>
                </c:pt>
                <c:pt idx="6">
                  <c:v>-83333.333333333328</c:v>
                </c:pt>
                <c:pt idx="7" formatCode="_(* #,##0_);_(* \(#,##0\);_(* &quot;-&quot;??_);_(@_)">
                  <c:v>-1622333.3333333335</c:v>
                </c:pt>
                <c:pt idx="8" formatCode="_(* #,##0_);_(* \(#,##0\);_(* &quot;-&quot;??_);_(@_)">
                  <c:v>-1622333.3333333335</c:v>
                </c:pt>
                <c:pt idx="9" formatCode="_(* #,##0_);_(* \(#,##0\);_(* &quot;-&quot;??_);_(@_)">
                  <c:v>-1622333.3333333335</c:v>
                </c:pt>
                <c:pt idx="10" formatCode="_(* #,##0_);_(* \(#,##0\);_(* &quot;-&quot;??_);_(@_)">
                  <c:v>-1622333.3333333335</c:v>
                </c:pt>
                <c:pt idx="11" formatCode="_(* #,##0_);_(* \(#,##0\);_(* &quot;-&quot;??_);_(@_)">
                  <c:v>-1622333.3333333335</c:v>
                </c:pt>
                <c:pt idx="12">
                  <c:v>-823604.16666666663</c:v>
                </c:pt>
                <c:pt idx="13">
                  <c:v>-823604.16666666663</c:v>
                </c:pt>
                <c:pt idx="14">
                  <c:v>-823604.16666666663</c:v>
                </c:pt>
                <c:pt idx="15">
                  <c:v>-823604.16666666663</c:v>
                </c:pt>
                <c:pt idx="16">
                  <c:v>-823604.16666666663</c:v>
                </c:pt>
                <c:pt idx="17">
                  <c:v>-823604.16666666663</c:v>
                </c:pt>
                <c:pt idx="18">
                  <c:v>-823604.16666666663</c:v>
                </c:pt>
                <c:pt idx="19">
                  <c:v>-823604.16666666663</c:v>
                </c:pt>
                <c:pt idx="20">
                  <c:v>-823604.16666666663</c:v>
                </c:pt>
                <c:pt idx="21">
                  <c:v>-823604.16666666663</c:v>
                </c:pt>
                <c:pt idx="22">
                  <c:v>-823604.16666666663</c:v>
                </c:pt>
                <c:pt idx="23">
                  <c:v>-823604.16666666663</c:v>
                </c:pt>
                <c:pt idx="24">
                  <c:v>-934437.5</c:v>
                </c:pt>
                <c:pt idx="25">
                  <c:v>-934437.5</c:v>
                </c:pt>
                <c:pt idx="26">
                  <c:v>-934437.5</c:v>
                </c:pt>
                <c:pt idx="27">
                  <c:v>-934437.5</c:v>
                </c:pt>
                <c:pt idx="28">
                  <c:v>-934437.5</c:v>
                </c:pt>
                <c:pt idx="29">
                  <c:v>-934437.5</c:v>
                </c:pt>
                <c:pt idx="30">
                  <c:v>-934437.5</c:v>
                </c:pt>
                <c:pt idx="31">
                  <c:v>-934437.5</c:v>
                </c:pt>
                <c:pt idx="32">
                  <c:v>-934437.5</c:v>
                </c:pt>
                <c:pt idx="33">
                  <c:v>-934437.5</c:v>
                </c:pt>
                <c:pt idx="34">
                  <c:v>-934437.5</c:v>
                </c:pt>
                <c:pt idx="35">
                  <c:v>-934437.5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4-45A0-8363-2046612EB1C2}"/>
            </c:ext>
          </c:extLst>
        </c:ser>
        <c:ser>
          <c:idx val="2"/>
          <c:order val="2"/>
          <c:tx>
            <c:v>Cumulative / Break-Even 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('[1]Break-Even Analysis'!$B$56:$M$56,'[1]Break-Even Analysis'!$B$72:$M$72,'[1]Break-Even Analysis'!$B$87:$M$87)</c:f>
              <c:strCache>
                <c:ptCount val="36"/>
                <c:pt idx="0">
                  <c:v>January 23'</c:v>
                </c:pt>
                <c:pt idx="1">
                  <c:v>February 23'</c:v>
                </c:pt>
                <c:pt idx="2">
                  <c:v>March 23'</c:v>
                </c:pt>
                <c:pt idx="3">
                  <c:v>April 23'</c:v>
                </c:pt>
                <c:pt idx="4">
                  <c:v>May 23'</c:v>
                </c:pt>
                <c:pt idx="5">
                  <c:v>June 23'</c:v>
                </c:pt>
                <c:pt idx="6">
                  <c:v>July 23'</c:v>
                </c:pt>
                <c:pt idx="7">
                  <c:v>August 23'</c:v>
                </c:pt>
                <c:pt idx="8">
                  <c:v>September 23'</c:v>
                </c:pt>
                <c:pt idx="9">
                  <c:v>October 23'</c:v>
                </c:pt>
                <c:pt idx="10">
                  <c:v>November 23'</c:v>
                </c:pt>
                <c:pt idx="11">
                  <c:v>December 23'</c:v>
                </c:pt>
                <c:pt idx="12">
                  <c:v>January 24'</c:v>
                </c:pt>
                <c:pt idx="13">
                  <c:v>February 24'</c:v>
                </c:pt>
                <c:pt idx="14">
                  <c:v>March 24'</c:v>
                </c:pt>
                <c:pt idx="15">
                  <c:v>April 24'</c:v>
                </c:pt>
                <c:pt idx="16">
                  <c:v>May 24'</c:v>
                </c:pt>
                <c:pt idx="17">
                  <c:v>June 24'</c:v>
                </c:pt>
                <c:pt idx="18">
                  <c:v>July 24'</c:v>
                </c:pt>
                <c:pt idx="19">
                  <c:v>August 24'</c:v>
                </c:pt>
                <c:pt idx="20">
                  <c:v>September 24'</c:v>
                </c:pt>
                <c:pt idx="21">
                  <c:v>October 24'</c:v>
                </c:pt>
                <c:pt idx="22">
                  <c:v>November 24'</c:v>
                </c:pt>
                <c:pt idx="23">
                  <c:v>December 24'</c:v>
                </c:pt>
                <c:pt idx="24">
                  <c:v>January 25'</c:v>
                </c:pt>
                <c:pt idx="25">
                  <c:v>February 25'</c:v>
                </c:pt>
                <c:pt idx="26">
                  <c:v>March 25'</c:v>
                </c:pt>
                <c:pt idx="27">
                  <c:v>April 25'</c:v>
                </c:pt>
                <c:pt idx="28">
                  <c:v>May 25'</c:v>
                </c:pt>
                <c:pt idx="29">
                  <c:v>June 25'</c:v>
                </c:pt>
                <c:pt idx="30">
                  <c:v>July 25'</c:v>
                </c:pt>
                <c:pt idx="31">
                  <c:v>August 25'</c:v>
                </c:pt>
                <c:pt idx="32">
                  <c:v>September 25'</c:v>
                </c:pt>
                <c:pt idx="33">
                  <c:v>October 25'</c:v>
                </c:pt>
                <c:pt idx="34">
                  <c:v>November 25'</c:v>
                </c:pt>
                <c:pt idx="35">
                  <c:v>December 25'</c:v>
                </c:pt>
              </c:strCache>
            </c:strRef>
          </c:cat>
          <c:val>
            <c:numRef>
              <c:f>('Break-Even Analysis'!$B$73:$M$73,'Break-Even Analysis'!$B$88:$M$88,'Break-Even Analysis'!$B$104:$M$104)</c:f>
              <c:numCache>
                <c:formatCode>"$"#,##0_);[Red]\("$"#,##0\)</c:formatCode>
                <c:ptCount val="36"/>
                <c:pt idx="0">
                  <c:v>-41966.666666666664</c:v>
                </c:pt>
                <c:pt idx="1">
                  <c:v>-125300</c:v>
                </c:pt>
                <c:pt idx="2">
                  <c:v>-218633.33333333331</c:v>
                </c:pt>
                <c:pt idx="3">
                  <c:v>-301966.66666666663</c:v>
                </c:pt>
                <c:pt idx="4">
                  <c:v>-385299.99999999994</c:v>
                </c:pt>
                <c:pt idx="5">
                  <c:v>-468633.33333333326</c:v>
                </c:pt>
                <c:pt idx="6">
                  <c:v>-551966.66666666663</c:v>
                </c:pt>
                <c:pt idx="7">
                  <c:v>-373690.00000000012</c:v>
                </c:pt>
                <c:pt idx="8">
                  <c:v>-195413.33333333358</c:v>
                </c:pt>
                <c:pt idx="9">
                  <c:v>-17136.666666667035</c:v>
                </c:pt>
                <c:pt idx="10">
                  <c:v>161139.99999999951</c:v>
                </c:pt>
                <c:pt idx="11">
                  <c:v>339416.66666666605</c:v>
                </c:pt>
                <c:pt idx="12" formatCode="&quot;$&quot;#,##0.00_);[Red]\(&quot;$&quot;#,##0.00\)">
                  <c:v>385549.37499999942</c:v>
                </c:pt>
                <c:pt idx="13" formatCode="&quot;$&quot;#,##0.00_);[Red]\(&quot;$&quot;#,##0.00\)">
                  <c:v>431682.08333333279</c:v>
                </c:pt>
                <c:pt idx="14" formatCode="&quot;$&quot;#,##0.00_);[Red]\(&quot;$&quot;#,##0.00\)">
                  <c:v>477814.79166666616</c:v>
                </c:pt>
                <c:pt idx="15" formatCode="&quot;$&quot;#,##0.00_);[Red]\(&quot;$&quot;#,##0.00\)">
                  <c:v>523947.49999999953</c:v>
                </c:pt>
                <c:pt idx="16" formatCode="&quot;$&quot;#,##0.00_);[Red]\(&quot;$&quot;#,##0.00\)">
                  <c:v>570080.20833333291</c:v>
                </c:pt>
                <c:pt idx="17" formatCode="&quot;$&quot;#,##0.00_);[Red]\(&quot;$&quot;#,##0.00\)">
                  <c:v>616212.91666666628</c:v>
                </c:pt>
                <c:pt idx="18" formatCode="&quot;$&quot;#,##0.00_);[Red]\(&quot;$&quot;#,##0.00\)">
                  <c:v>662345.62499999965</c:v>
                </c:pt>
                <c:pt idx="19" formatCode="&quot;$&quot;#,##0.00_);[Red]\(&quot;$&quot;#,##0.00\)">
                  <c:v>708478.33333333302</c:v>
                </c:pt>
                <c:pt idx="20" formatCode="&quot;$&quot;#,##0.00_);[Red]\(&quot;$&quot;#,##0.00\)">
                  <c:v>754611.0416666664</c:v>
                </c:pt>
                <c:pt idx="21" formatCode="&quot;$&quot;#,##0.00_);[Red]\(&quot;$&quot;#,##0.00\)">
                  <c:v>800743.74999999977</c:v>
                </c:pt>
                <c:pt idx="22" formatCode="&quot;$&quot;#,##0.00_);[Red]\(&quot;$&quot;#,##0.00\)">
                  <c:v>846876.45833333314</c:v>
                </c:pt>
                <c:pt idx="23" formatCode="&quot;$&quot;#,##0.00_);[Red]\(&quot;$&quot;#,##0.00\)">
                  <c:v>893009.16666666651</c:v>
                </c:pt>
                <c:pt idx="24" formatCode="&quot;$&quot;#,##0.00_);[Red]\(&quot;$&quot;#,##0.00\)">
                  <c:v>956653.54166666651</c:v>
                </c:pt>
                <c:pt idx="25" formatCode="&quot;$&quot;#,##0.00_);[Red]\(&quot;$&quot;#,##0.00\)">
                  <c:v>1020297.9166666665</c:v>
                </c:pt>
                <c:pt idx="26" formatCode="&quot;$&quot;#,##0.00_);[Red]\(&quot;$&quot;#,##0.00\)">
                  <c:v>1083942.2916666665</c:v>
                </c:pt>
                <c:pt idx="27" formatCode="&quot;$&quot;#,##0.00_);[Red]\(&quot;$&quot;#,##0.00\)">
                  <c:v>1147586.6666666665</c:v>
                </c:pt>
                <c:pt idx="28" formatCode="&quot;$&quot;#,##0.00_);[Red]\(&quot;$&quot;#,##0.00\)">
                  <c:v>1211231.0416666665</c:v>
                </c:pt>
                <c:pt idx="29" formatCode="&quot;$&quot;#,##0.00_);[Red]\(&quot;$&quot;#,##0.00\)">
                  <c:v>1274875.4166666665</c:v>
                </c:pt>
                <c:pt idx="30" formatCode="&quot;$&quot;#,##0.00_);[Red]\(&quot;$&quot;#,##0.00\)">
                  <c:v>1338519.7916666665</c:v>
                </c:pt>
                <c:pt idx="31" formatCode="&quot;$&quot;#,##0.00_);[Red]\(&quot;$&quot;#,##0.00\)">
                  <c:v>1402164.1666666665</c:v>
                </c:pt>
                <c:pt idx="32" formatCode="&quot;$&quot;#,##0.00_);[Red]\(&quot;$&quot;#,##0.00\)">
                  <c:v>1465808.5416666665</c:v>
                </c:pt>
                <c:pt idx="33" formatCode="&quot;$&quot;#,##0.00_);[Red]\(&quot;$&quot;#,##0.00\)">
                  <c:v>1529452.9166666665</c:v>
                </c:pt>
                <c:pt idx="34" formatCode="&quot;$&quot;#,##0.00_);[Red]\(&quot;$&quot;#,##0.00\)">
                  <c:v>1593097.2916666665</c:v>
                </c:pt>
                <c:pt idx="35" formatCode="&quot;$&quot;#,##0.00_);[Red]\(&quot;$&quot;#,##0.00\)">
                  <c:v>1656741.6666666665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4-45A0-8363-2046612E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70751"/>
        <c:axId val="1397965343"/>
      </c:lineChart>
      <c:catAx>
        <c:axId val="13979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65343"/>
        <c:crosses val="autoZero"/>
        <c:auto val="1"/>
        <c:lblAlgn val="ctr"/>
        <c:lblOffset val="100"/>
        <c:noMultiLvlLbl val="0"/>
      </c:catAx>
      <c:valAx>
        <c:axId val="13979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7-493B-ABC2-98CC79DAA1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C7-493B-ABC2-98CC79DAA1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7-493B-ABC2-98CC79DAA1D0}"/>
              </c:ext>
            </c:extLst>
          </c:dPt>
          <c:cat>
            <c:strRef>
              <c:f>'Sources &amp; Usage of Funds'!$A$3:$A$5</c:f>
              <c:strCache>
                <c:ptCount val="3"/>
                <c:pt idx="0">
                  <c:v>Friends/Family</c:v>
                </c:pt>
                <c:pt idx="1">
                  <c:v>Seed Funding</c:v>
                </c:pt>
                <c:pt idx="2">
                  <c:v>Series A fund</c:v>
                </c:pt>
              </c:strCache>
            </c:strRef>
          </c:cat>
          <c:val>
            <c:numRef>
              <c:f>'Sources &amp; Usage of Funds'!$B$3:$B$5</c:f>
              <c:numCache>
                <c:formatCode>"$"#,##0_);[Red]\("$"#,##0\)</c:formatCode>
                <c:ptCount val="3"/>
                <c:pt idx="0">
                  <c:v>40000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D-4873-B637-53F8ADBA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Uses</a:t>
            </a:r>
          </a:p>
        </c:rich>
      </c:tx>
      <c:layout>
        <c:manualLayout>
          <c:xMode val="edge"/>
          <c:yMode val="edge"/>
          <c:x val="0.419909667541557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0-4656-8FFB-EC4216C77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0-4656-8FFB-EC4216C776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0-4656-8FFB-EC4216C776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47-4776-95B3-711CA12ADBCB}"/>
              </c:ext>
            </c:extLst>
          </c:dPt>
          <c:cat>
            <c:strRef>
              <c:f>'Sources &amp; Usage of Funds'!$A$8:$A$11</c:f>
              <c:strCache>
                <c:ptCount val="3"/>
                <c:pt idx="0">
                  <c:v>Salaries &amp; Benefits:</c:v>
                </c:pt>
                <c:pt idx="1">
                  <c:v>Marketing &amp; Partnerships:</c:v>
                </c:pt>
                <c:pt idx="2">
                  <c:v>Website, Maintenance, &amp; LLC:</c:v>
                </c:pt>
              </c:strCache>
            </c:strRef>
          </c:cat>
          <c:val>
            <c:numRef>
              <c:f>'Sources &amp; Usage of Funds'!$B$8:$B$11</c:f>
              <c:numCache>
                <c:formatCode>0.00%</c:formatCode>
                <c:ptCount val="4"/>
                <c:pt idx="0">
                  <c:v>0.4879</c:v>
                </c:pt>
                <c:pt idx="1">
                  <c:v>0.49919999999999998</c:v>
                </c:pt>
                <c:pt idx="2">
                  <c:v>1.29E-2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7-42F1-82F5-81460342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447676</xdr:colOff>
      <xdr:row>13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103B80-82FD-4860-9D29-2CA0552B5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1</xdr:row>
      <xdr:rowOff>38100</xdr:rowOff>
    </xdr:from>
    <xdr:to>
      <xdr:col>15</xdr:col>
      <xdr:colOff>349250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AB66-7F6F-C0D0-C52F-0FBE4C755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108</xdr:row>
      <xdr:rowOff>4761</xdr:rowOff>
    </xdr:from>
    <xdr:to>
      <xdr:col>18</xdr:col>
      <xdr:colOff>390525</xdr:colOff>
      <xdr:row>125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AAC8C-31F9-4C02-AB25-989F149A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76200</xdr:rowOff>
    </xdr:from>
    <xdr:to>
      <xdr:col>12</xdr:col>
      <xdr:colOff>342900</xdr:colOff>
      <xdr:row>14</xdr:row>
      <xdr:rowOff>171450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5DCEC741-3D22-82A7-B57E-DCD3465BB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2</xdr:row>
      <xdr:rowOff>76200</xdr:rowOff>
    </xdr:from>
    <xdr:to>
      <xdr:col>19</xdr:col>
      <xdr:colOff>371475</xdr:colOff>
      <xdr:row>14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3916119-976C-4613-98DF-FA211BD9011E}"/>
            </a:ext>
            <a:ext uri="{147F2762-F138-4A5C-976F-8EAC2B608ADB}">
              <a16:predDERef xmlns:a16="http://schemas.microsoft.com/office/drawing/2014/main" pred="{5DCEC741-3D22-82A7-B57E-DCD3465BB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hul.kotian\AppData\Roaming\Microsoft\Excel\Pack%20n%20Pet%20Appendix%20Financials%20(version%201).xlsb" TargetMode="External"/><Relationship Id="rId1" Type="http://schemas.openxmlformats.org/officeDocument/2006/relationships/externalLinkPath" Target="file:///C:\Users\rahul.kotian\AppData\Roaming\Microsoft\Excel\Pack%20n%20Pet%20Appendix%20Financial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umptions"/>
      <sheetName val="Timeline"/>
      <sheetName val="Pro Forma Income Statement"/>
      <sheetName val="Break-Even Analysis"/>
      <sheetName val="Start-Up Budget"/>
      <sheetName val="Sources &amp; Usage of Funds"/>
      <sheetName val="Investment Offer &amp; Return"/>
      <sheetName val="Simple Income Statement"/>
    </sheetNames>
    <sheetDataSet>
      <sheetData sheetId="0"/>
      <sheetData sheetId="1">
        <row r="3">
          <cell r="A3" t="str">
            <v>Friends/Family Rounds</v>
          </cell>
        </row>
      </sheetData>
      <sheetData sheetId="2">
        <row r="27">
          <cell r="B27">
            <v>-5000</v>
          </cell>
          <cell r="C27">
            <v>-12000</v>
          </cell>
          <cell r="D27">
            <v>-12000</v>
          </cell>
        </row>
        <row r="31">
          <cell r="B31">
            <v>-458333.33333333331</v>
          </cell>
          <cell r="C31">
            <v>-525000</v>
          </cell>
          <cell r="D31">
            <v>-551250</v>
          </cell>
        </row>
        <row r="57">
          <cell r="B57">
            <v>0</v>
          </cell>
          <cell r="C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1000</v>
          </cell>
          <cell r="J58">
            <v>1000</v>
          </cell>
          <cell r="K58">
            <v>1000</v>
          </cell>
          <cell r="L58">
            <v>1000</v>
          </cell>
          <cell r="M58">
            <v>1000</v>
          </cell>
        </row>
        <row r="62">
          <cell r="B62">
            <v>0</v>
          </cell>
          <cell r="D62">
            <v>-41666.666666666664</v>
          </cell>
          <cell r="E62">
            <v>-41666.666666666664</v>
          </cell>
          <cell r="F62">
            <v>-41666.666666666664</v>
          </cell>
          <cell r="G62">
            <v>-41666.666666666664</v>
          </cell>
          <cell r="H62">
            <v>-41666.666666666664</v>
          </cell>
          <cell r="I62">
            <v>-41666.666666666664</v>
          </cell>
          <cell r="J62">
            <v>-41666.666666666664</v>
          </cell>
          <cell r="K62">
            <v>-41666.666666666664</v>
          </cell>
          <cell r="L62">
            <v>-41666.666666666664</v>
          </cell>
          <cell r="M62">
            <v>-41666.666666666664</v>
          </cell>
        </row>
      </sheetData>
      <sheetData sheetId="3">
        <row r="56">
          <cell r="B56" t="str">
            <v>January 23'</v>
          </cell>
          <cell r="C56" t="str">
            <v>February 23'</v>
          </cell>
          <cell r="D56" t="str">
            <v>March 23'</v>
          </cell>
          <cell r="E56" t="str">
            <v>April 23'</v>
          </cell>
          <cell r="F56" t="str">
            <v>May 23'</v>
          </cell>
          <cell r="G56" t="str">
            <v>June 23'</v>
          </cell>
          <cell r="H56" t="str">
            <v>July 23'</v>
          </cell>
          <cell r="I56" t="str">
            <v>August 23'</v>
          </cell>
          <cell r="J56" t="str">
            <v>September 23'</v>
          </cell>
          <cell r="K56" t="str">
            <v>October 23'</v>
          </cell>
          <cell r="L56" t="str">
            <v>November 23'</v>
          </cell>
          <cell r="M56" t="str">
            <v>December 23'</v>
          </cell>
        </row>
        <row r="64">
          <cell r="B64">
            <v>-75300</v>
          </cell>
          <cell r="C64">
            <v>-116666.66666666666</v>
          </cell>
          <cell r="D64">
            <v>-176666.66666666666</v>
          </cell>
          <cell r="E64">
            <v>-116666.66666666666</v>
          </cell>
          <cell r="F64">
            <v>-116666.66666666666</v>
          </cell>
          <cell r="G64">
            <v>-116666.66666666666</v>
          </cell>
          <cell r="H64">
            <v>-116666.66666666666</v>
          </cell>
          <cell r="I64">
            <v>-667766.66666666663</v>
          </cell>
          <cell r="J64">
            <v>-667766.66666666663</v>
          </cell>
          <cell r="K64">
            <v>-667766.66666666663</v>
          </cell>
          <cell r="L64">
            <v>-667766.66666666663</v>
          </cell>
          <cell r="M64">
            <v>-667766.66666666663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750000</v>
          </cell>
          <cell r="J65">
            <v>750000</v>
          </cell>
          <cell r="K65">
            <v>750000</v>
          </cell>
          <cell r="L65">
            <v>750000</v>
          </cell>
          <cell r="M65">
            <v>750000</v>
          </cell>
        </row>
        <row r="69">
          <cell r="B69">
            <v>-75300</v>
          </cell>
          <cell r="C69">
            <v>-191966.66666666666</v>
          </cell>
          <cell r="D69">
            <v>-368633.33333333331</v>
          </cell>
          <cell r="E69">
            <v>-485300</v>
          </cell>
          <cell r="F69">
            <v>-601966.66666666663</v>
          </cell>
          <cell r="G69">
            <v>-718633.33333333326</v>
          </cell>
          <cell r="H69">
            <v>-835299.99999999988</v>
          </cell>
          <cell r="I69">
            <v>-770335.66666666651</v>
          </cell>
          <cell r="J69">
            <v>-705371.33333333314</v>
          </cell>
          <cell r="K69">
            <v>-640406.99999999977</v>
          </cell>
          <cell r="L69">
            <v>-575442.6666666664</v>
          </cell>
          <cell r="M69">
            <v>-510478.33333333302</v>
          </cell>
        </row>
        <row r="72">
          <cell r="B72" t="str">
            <v>January 24'</v>
          </cell>
          <cell r="C72" t="str">
            <v>February 24'</v>
          </cell>
          <cell r="D72" t="str">
            <v>March 24'</v>
          </cell>
          <cell r="E72" t="str">
            <v>April 24'</v>
          </cell>
          <cell r="F72" t="str">
            <v>May 24'</v>
          </cell>
          <cell r="G72" t="str">
            <v>June 24'</v>
          </cell>
          <cell r="H72" t="str">
            <v>July 24'</v>
          </cell>
          <cell r="I72" t="str">
            <v>August 24'</v>
          </cell>
          <cell r="J72" t="str">
            <v>September 24'</v>
          </cell>
          <cell r="K72" t="str">
            <v>October 24'</v>
          </cell>
          <cell r="L72" t="str">
            <v>November 24'</v>
          </cell>
          <cell r="M72" t="str">
            <v>December 24'</v>
          </cell>
        </row>
        <row r="78">
          <cell r="B78">
            <v>-701642.5</v>
          </cell>
          <cell r="C78">
            <v>-701642.5</v>
          </cell>
          <cell r="D78">
            <v>-701642.5</v>
          </cell>
          <cell r="E78">
            <v>-701642.5</v>
          </cell>
          <cell r="F78">
            <v>-701642.5</v>
          </cell>
          <cell r="G78">
            <v>-701642.5</v>
          </cell>
          <cell r="H78">
            <v>-701642.5</v>
          </cell>
          <cell r="I78">
            <v>-701642.5</v>
          </cell>
          <cell r="J78">
            <v>-701642.5</v>
          </cell>
          <cell r="K78">
            <v>-701642.5</v>
          </cell>
          <cell r="L78">
            <v>-701642.5</v>
          </cell>
          <cell r="M78">
            <v>-701642.5</v>
          </cell>
        </row>
        <row r="79">
          <cell r="B79">
            <v>787500</v>
          </cell>
          <cell r="C79">
            <v>787500</v>
          </cell>
          <cell r="D79">
            <v>787500</v>
          </cell>
          <cell r="E79">
            <v>787500</v>
          </cell>
          <cell r="F79">
            <v>787500</v>
          </cell>
          <cell r="G79">
            <v>787500</v>
          </cell>
          <cell r="H79">
            <v>787500</v>
          </cell>
          <cell r="I79">
            <v>787500</v>
          </cell>
          <cell r="J79">
            <v>787500</v>
          </cell>
          <cell r="K79">
            <v>787500</v>
          </cell>
          <cell r="L79">
            <v>787500</v>
          </cell>
          <cell r="M79">
            <v>787500</v>
          </cell>
        </row>
        <row r="83">
          <cell r="B83">
            <v>-442650.90833333303</v>
          </cell>
          <cell r="C83">
            <v>-374823.48333333305</v>
          </cell>
          <cell r="D83">
            <v>-306996.05833333306</v>
          </cell>
          <cell r="E83">
            <v>-239168.63333333307</v>
          </cell>
          <cell r="F83">
            <v>-171341.20833333308</v>
          </cell>
          <cell r="G83">
            <v>-103513.78333333308</v>
          </cell>
          <cell r="H83">
            <v>-35686.358333333075</v>
          </cell>
          <cell r="I83">
            <v>32141.066666666928</v>
          </cell>
          <cell r="J83">
            <v>99968.491666666931</v>
          </cell>
          <cell r="K83">
            <v>167795.91666666692</v>
          </cell>
          <cell r="L83">
            <v>235623.34166666691</v>
          </cell>
          <cell r="M83">
            <v>303450.7666666669</v>
          </cell>
        </row>
        <row r="87">
          <cell r="B87" t="str">
            <v>January 25'</v>
          </cell>
          <cell r="C87" t="str">
            <v>February 25'</v>
          </cell>
          <cell r="D87" t="str">
            <v>March 25'</v>
          </cell>
          <cell r="E87" t="str">
            <v>April 25'</v>
          </cell>
          <cell r="F87" t="str">
            <v>May 25'</v>
          </cell>
          <cell r="G87" t="str">
            <v>June 25'</v>
          </cell>
          <cell r="H87" t="str">
            <v>July 25'</v>
          </cell>
          <cell r="I87" t="str">
            <v>August 25'</v>
          </cell>
          <cell r="J87" t="str">
            <v>September 25'</v>
          </cell>
          <cell r="K87" t="str">
            <v>October 25'</v>
          </cell>
          <cell r="L87" t="str">
            <v>November 25'</v>
          </cell>
          <cell r="M87" t="str">
            <v>December 25'</v>
          </cell>
        </row>
        <row r="93">
          <cell r="B93">
            <v>-730627.75</v>
          </cell>
          <cell r="C93">
            <v>-730627.75</v>
          </cell>
          <cell r="D93">
            <v>-730627.75</v>
          </cell>
          <cell r="E93">
            <v>-730627.75</v>
          </cell>
          <cell r="F93">
            <v>-730627.75</v>
          </cell>
          <cell r="G93">
            <v>-730627.75</v>
          </cell>
          <cell r="H93">
            <v>-730627.75</v>
          </cell>
          <cell r="I93">
            <v>-730627.75</v>
          </cell>
          <cell r="J93">
            <v>-730627.75</v>
          </cell>
          <cell r="K93">
            <v>-730627.75</v>
          </cell>
          <cell r="L93">
            <v>-730627.75</v>
          </cell>
          <cell r="M93">
            <v>-730627.75</v>
          </cell>
        </row>
        <row r="94">
          <cell r="B94">
            <v>826875</v>
          </cell>
          <cell r="C94">
            <v>826875</v>
          </cell>
          <cell r="D94">
            <v>826875</v>
          </cell>
          <cell r="E94">
            <v>826875</v>
          </cell>
          <cell r="F94">
            <v>826875</v>
          </cell>
          <cell r="G94">
            <v>826875</v>
          </cell>
          <cell r="H94">
            <v>826875</v>
          </cell>
          <cell r="I94">
            <v>826875</v>
          </cell>
          <cell r="J94">
            <v>826875</v>
          </cell>
          <cell r="K94">
            <v>826875</v>
          </cell>
          <cell r="L94">
            <v>826875</v>
          </cell>
          <cell r="M94">
            <v>826875</v>
          </cell>
        </row>
        <row r="98">
          <cell r="B98">
            <v>379486.09416666691</v>
          </cell>
          <cell r="C98">
            <v>455521.42166666692</v>
          </cell>
          <cell r="D98">
            <v>531556.74916666688</v>
          </cell>
          <cell r="E98">
            <v>607592.07666666689</v>
          </cell>
          <cell r="F98">
            <v>683627.40416666691</v>
          </cell>
          <cell r="G98">
            <v>759662.73166666692</v>
          </cell>
          <cell r="H98">
            <v>835698.05916666694</v>
          </cell>
          <cell r="I98">
            <v>911733.38666666695</v>
          </cell>
          <cell r="J98">
            <v>987768.71416666696</v>
          </cell>
          <cell r="K98">
            <v>1063804.041666667</v>
          </cell>
          <cell r="L98">
            <v>1139839.3691666669</v>
          </cell>
          <cell r="M98">
            <v>1215874.6966666668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itsmallbusiness.com/fulfillment-by-amazon/" TargetMode="External"/><Relationship Id="rId3" Type="http://schemas.openxmlformats.org/officeDocument/2006/relationships/hyperlink" Target="https://www.amazon.com/Tile-Bluetooth-Battery-Water-Resistant-Compatible/dp/B09998MBFM/ref=sr_1_3?keywords=tile+mate&amp;qid=1699389931&amp;sr=8-3" TargetMode="External"/><Relationship Id="rId7" Type="http://schemas.openxmlformats.org/officeDocument/2006/relationships/hyperlink" Target="https://www.apple.com/shop/buy-airtag/airtag" TargetMode="External"/><Relationship Id="rId2" Type="http://schemas.openxmlformats.org/officeDocument/2006/relationships/hyperlink" Target="https://www.investopedia.com/terms/c/corporatetax.asp" TargetMode="External"/><Relationship Id="rId1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6" Type="http://schemas.openxmlformats.org/officeDocument/2006/relationships/hyperlink" Target="https://www.census.gov/newsroom/press-releases/2022/americas-families-and-living-arrangements.html" TargetMode="External"/><Relationship Id="rId5" Type="http://schemas.openxmlformats.org/officeDocument/2006/relationships/hyperlink" Target="https://www.statista.com/statistics/183659/number-of-families-in-the-us/" TargetMode="External"/><Relationship Id="rId4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itsmallbusiness.com/fulfillment-by-amazon/" TargetMode="External"/><Relationship Id="rId3" Type="http://schemas.openxmlformats.org/officeDocument/2006/relationships/hyperlink" Target="https://www.census.gov/newsroom/press-releases/2022/americas-families-and-living-arrangements.html" TargetMode="External"/><Relationship Id="rId7" Type="http://schemas.openxmlformats.org/officeDocument/2006/relationships/hyperlink" Target="https://www.apple.com/shop/buy-airtag/airtag" TargetMode="External"/><Relationship Id="rId2" Type="http://schemas.openxmlformats.org/officeDocument/2006/relationships/hyperlink" Target="https://www.statista.com/statistics/183659/number-of-families-in-the-us/" TargetMode="External"/><Relationship Id="rId1" Type="http://schemas.openxmlformats.org/officeDocument/2006/relationships/hyperlink" Target="https://www.investopedia.com/terms/c/corporatetax.asp" TargetMode="External"/><Relationship Id="rId6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Relationship Id="rId5" Type="http://schemas.openxmlformats.org/officeDocument/2006/relationships/hyperlink" Target="https://www.amazon.com/Tile-Bluetooth-Battery-Water-Resistant-Compatible/dp/B09998MBFM/ref=sr_1_3?keywords=tile+mate&amp;qid=1699389931&amp;sr=8-3" TargetMode="External"/><Relationship Id="rId4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9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stopedia.com/terms/c/corporatetax.asp" TargetMode="External"/><Relationship Id="rId3" Type="http://schemas.openxmlformats.org/officeDocument/2006/relationships/hyperlink" Target="https://www.apple.com/shop/buy-airtag/airtag" TargetMode="External"/><Relationship Id="rId7" Type="http://schemas.openxmlformats.org/officeDocument/2006/relationships/hyperlink" Target="https://fitsmallbusiness.com/fulfillment-by-amazon/" TargetMode="External"/><Relationship Id="rId2" Type="http://schemas.openxmlformats.org/officeDocument/2006/relationships/hyperlink" Target="https://www.census.gov/newsroom/press-releases/2022/americas-families-and-living-arrangements.html" TargetMode="External"/><Relationship Id="rId1" Type="http://schemas.openxmlformats.org/officeDocument/2006/relationships/hyperlink" Target="https://www.statista.com/statistics/183659/number-of-families-in-the-us/" TargetMode="External"/><Relationship Id="rId6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5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Relationship Id="rId4" Type="http://schemas.openxmlformats.org/officeDocument/2006/relationships/hyperlink" Target="https://www.amazon.com/Tile-Bluetooth-Battery-Water-Resistant-Compatible/dp/B09998MBFM/ref=sr_1_3?keywords=tile+mate&amp;qid=1699389931&amp;sr=8-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stopedia.com/terms/c/corporatetax.asp" TargetMode="External"/><Relationship Id="rId3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Relationship Id="rId7" Type="http://schemas.openxmlformats.org/officeDocument/2006/relationships/hyperlink" Target="https://fitsmallbusiness.com/fulfillment-by-amazon/" TargetMode="External"/><Relationship Id="rId2" Type="http://schemas.openxmlformats.org/officeDocument/2006/relationships/hyperlink" Target="https://www.amazon.com/Tile-Bluetooth-Battery-Water-Resistant-Compatible/dp/B09998MBFM/ref=sr_1_3?keywords=tile+mate&amp;qid=1699389931&amp;sr=8-3" TargetMode="External"/><Relationship Id="rId1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6" Type="http://schemas.openxmlformats.org/officeDocument/2006/relationships/hyperlink" Target="https://www.apple.com/shop/buy-airtag/airtag" TargetMode="External"/><Relationship Id="rId5" Type="http://schemas.openxmlformats.org/officeDocument/2006/relationships/hyperlink" Target="https://www.census.gov/newsroom/press-releases/2022/americas-families-and-living-arrangements.html" TargetMode="External"/><Relationship Id="rId4" Type="http://schemas.openxmlformats.org/officeDocument/2006/relationships/hyperlink" Target="https://www.statista.com/statistics/183659/number-of-families-in-the-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workbookViewId="0">
      <selection activeCell="B13" sqref="B13"/>
    </sheetView>
  </sheetViews>
  <sheetFormatPr defaultRowHeight="14.5" x14ac:dyDescent="0.35"/>
  <cols>
    <col min="1" max="1" width="15.453125" customWidth="1"/>
    <col min="2" max="2" width="30" customWidth="1"/>
    <col min="3" max="3" width="13.1796875" customWidth="1"/>
    <col min="4" max="4" width="12.453125" customWidth="1"/>
    <col min="5" max="5" width="14.26953125" customWidth="1"/>
    <col min="10" max="10" width="15" customWidth="1"/>
    <col min="11" max="11" width="11.08984375" bestFit="1" customWidth="1"/>
  </cols>
  <sheetData>
    <row r="1" spans="1:4" x14ac:dyDescent="0.35">
      <c r="A1" s="90" t="s">
        <v>15</v>
      </c>
      <c r="B1" s="90"/>
      <c r="C1" s="90"/>
    </row>
    <row r="2" spans="1:4" x14ac:dyDescent="0.35">
      <c r="B2" s="16" t="s">
        <v>0</v>
      </c>
      <c r="C2" s="16" t="s">
        <v>1</v>
      </c>
      <c r="D2" t="s">
        <v>159</v>
      </c>
    </row>
    <row r="3" spans="1:4" ht="60" customHeight="1" x14ac:dyDescent="0.35">
      <c r="A3" s="1" t="s">
        <v>2</v>
      </c>
      <c r="B3" s="2">
        <v>45292</v>
      </c>
      <c r="C3" s="2">
        <v>45350</v>
      </c>
      <c r="D3">
        <f t="shared" ref="D3:D9" si="0">C3-B3</f>
        <v>58</v>
      </c>
    </row>
    <row r="4" spans="1:4" x14ac:dyDescent="0.35">
      <c r="A4" t="s">
        <v>3</v>
      </c>
      <c r="B4" s="2">
        <v>45292</v>
      </c>
      <c r="C4" s="2">
        <v>45381</v>
      </c>
      <c r="D4">
        <f t="shared" si="0"/>
        <v>89</v>
      </c>
    </row>
    <row r="5" spans="1:4" x14ac:dyDescent="0.35">
      <c r="A5" t="s">
        <v>4</v>
      </c>
      <c r="B5" s="2">
        <v>45381</v>
      </c>
      <c r="C5" s="2">
        <v>45412</v>
      </c>
      <c r="D5">
        <f t="shared" si="0"/>
        <v>31</v>
      </c>
    </row>
    <row r="6" spans="1:4" x14ac:dyDescent="0.35">
      <c r="A6" t="s">
        <v>5</v>
      </c>
      <c r="B6" s="2">
        <v>45383</v>
      </c>
      <c r="C6" s="2">
        <v>45474</v>
      </c>
      <c r="D6">
        <f t="shared" si="0"/>
        <v>91</v>
      </c>
    </row>
    <row r="7" spans="1:4" x14ac:dyDescent="0.35">
      <c r="A7" t="s">
        <v>6</v>
      </c>
      <c r="B7" s="2">
        <v>45413</v>
      </c>
      <c r="C7" s="2">
        <v>45444</v>
      </c>
      <c r="D7">
        <f t="shared" si="0"/>
        <v>31</v>
      </c>
    </row>
    <row r="8" spans="1:4" x14ac:dyDescent="0.35">
      <c r="A8" t="s">
        <v>7</v>
      </c>
      <c r="B8" s="2">
        <v>45444</v>
      </c>
      <c r="C8" s="2">
        <v>45505</v>
      </c>
      <c r="D8">
        <f t="shared" si="0"/>
        <v>61</v>
      </c>
    </row>
    <row r="9" spans="1:4" x14ac:dyDescent="0.35">
      <c r="A9" t="s">
        <v>8</v>
      </c>
      <c r="B9" s="2">
        <v>45458</v>
      </c>
      <c r="C9" s="2">
        <v>45550</v>
      </c>
      <c r="D9">
        <f t="shared" si="0"/>
        <v>92</v>
      </c>
    </row>
    <row r="10" spans="1:4" x14ac:dyDescent="0.35">
      <c r="A10" t="s">
        <v>9</v>
      </c>
      <c r="B10" s="2">
        <v>45566</v>
      </c>
      <c r="C10" s="2">
        <v>45688</v>
      </c>
      <c r="D10">
        <f>C10-B10</f>
        <v>122</v>
      </c>
    </row>
    <row r="11" spans="1:4" x14ac:dyDescent="0.35">
      <c r="A11" s="51" t="s">
        <v>10</v>
      </c>
      <c r="B11" s="60">
        <v>45777</v>
      </c>
      <c r="C11" s="60">
        <v>45868</v>
      </c>
      <c r="D11">
        <f>C11-B11</f>
        <v>91</v>
      </c>
    </row>
    <row r="12" spans="1:4" x14ac:dyDescent="0.35">
      <c r="A12" s="51" t="s">
        <v>11</v>
      </c>
      <c r="B12" s="60">
        <v>45777</v>
      </c>
      <c r="C12" s="60">
        <v>45868</v>
      </c>
      <c r="D12">
        <f>C12-B12</f>
        <v>91</v>
      </c>
    </row>
    <row r="13" spans="1:4" x14ac:dyDescent="0.35">
      <c r="A13" s="51" t="s">
        <v>12</v>
      </c>
      <c r="B13" s="60">
        <v>45868</v>
      </c>
      <c r="C13" s="60">
        <v>45899</v>
      </c>
      <c r="D13">
        <f>C13-B13</f>
        <v>31</v>
      </c>
    </row>
    <row r="14" spans="1:4" x14ac:dyDescent="0.35">
      <c r="A14" s="51" t="s">
        <v>13</v>
      </c>
      <c r="B14" s="60">
        <v>45868</v>
      </c>
      <c r="C14" s="60">
        <v>45960</v>
      </c>
      <c r="D14">
        <f t="shared" ref="D14:D15" si="1">C14-B14</f>
        <v>92</v>
      </c>
    </row>
    <row r="15" spans="1:4" x14ac:dyDescent="0.35">
      <c r="A15" s="51" t="s">
        <v>14</v>
      </c>
      <c r="B15" s="60">
        <v>46023</v>
      </c>
      <c r="C15" s="60">
        <v>46203</v>
      </c>
      <c r="D15">
        <f t="shared" si="1"/>
        <v>180</v>
      </c>
    </row>
    <row r="24" spans="2:5" x14ac:dyDescent="0.35">
      <c r="B24" s="1"/>
      <c r="C24" s="2"/>
      <c r="E24" s="2"/>
    </row>
    <row r="25" spans="2:5" x14ac:dyDescent="0.35">
      <c r="C25" s="2"/>
      <c r="E25" s="2"/>
    </row>
    <row r="26" spans="2:5" x14ac:dyDescent="0.35">
      <c r="C26" s="2"/>
      <c r="E26" s="2"/>
    </row>
    <row r="27" spans="2:5" x14ac:dyDescent="0.35">
      <c r="C27" s="2"/>
      <c r="E27" s="2"/>
    </row>
    <row r="28" spans="2:5" x14ac:dyDescent="0.35">
      <c r="C28" s="2"/>
      <c r="E28" s="2"/>
    </row>
    <row r="29" spans="2:5" x14ac:dyDescent="0.35">
      <c r="C29" s="2"/>
      <c r="E29" s="2"/>
    </row>
    <row r="30" spans="2:5" x14ac:dyDescent="0.35">
      <c r="C30" s="2"/>
      <c r="E30" s="2"/>
    </row>
    <row r="31" spans="2:5" x14ac:dyDescent="0.35">
      <c r="C31" s="2"/>
      <c r="E31" s="2"/>
    </row>
    <row r="32" spans="2:5" x14ac:dyDescent="0.35">
      <c r="B32" s="51"/>
      <c r="C32" s="60"/>
      <c r="E32" s="60"/>
    </row>
    <row r="33" spans="2:8" x14ac:dyDescent="0.35">
      <c r="B33" s="51"/>
      <c r="C33" s="60"/>
      <c r="E33" s="60"/>
    </row>
    <row r="34" spans="2:8" x14ac:dyDescent="0.35">
      <c r="B34" s="51"/>
      <c r="C34" s="60"/>
      <c r="E34" s="60"/>
    </row>
    <row r="35" spans="2:8" x14ac:dyDescent="0.35">
      <c r="B35" s="51"/>
      <c r="C35" s="60"/>
      <c r="E35" s="60"/>
    </row>
    <row r="36" spans="2:8" x14ac:dyDescent="0.35">
      <c r="B36" s="51"/>
      <c r="C36" s="60"/>
      <c r="E36" s="60"/>
    </row>
    <row r="41" spans="2:8" x14ac:dyDescent="0.35">
      <c r="H41" s="4"/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108B-9FC0-4181-BD27-3553335E8BCC}">
  <dimension ref="A1:D15"/>
  <sheetViews>
    <sheetView workbookViewId="0">
      <selection activeCell="F25" sqref="F25"/>
    </sheetView>
  </sheetViews>
  <sheetFormatPr defaultRowHeight="14.5" x14ac:dyDescent="0.35"/>
  <cols>
    <col min="1" max="1" width="23.54296875" bestFit="1" customWidth="1"/>
    <col min="2" max="3" width="11.26953125" bestFit="1" customWidth="1"/>
    <col min="5" max="5" width="10.7265625" bestFit="1" customWidth="1"/>
    <col min="6" max="6" width="25" customWidth="1"/>
    <col min="7" max="7" width="13.7265625" customWidth="1"/>
    <col min="12" max="12" width="9.7265625" bestFit="1" customWidth="1"/>
    <col min="13" max="13" width="10.81640625" customWidth="1"/>
    <col min="14" max="14" width="12.54296875" bestFit="1" customWidth="1"/>
    <col min="31" max="31" width="10.90625" bestFit="1" customWidth="1"/>
  </cols>
  <sheetData>
    <row r="1" spans="1:4" x14ac:dyDescent="0.35">
      <c r="A1" s="90" t="s">
        <v>15</v>
      </c>
      <c r="B1" s="90"/>
      <c r="C1" s="90"/>
    </row>
    <row r="2" spans="1:4" x14ac:dyDescent="0.35">
      <c r="B2" s="16" t="s">
        <v>0</v>
      </c>
      <c r="C2" s="16" t="s">
        <v>1</v>
      </c>
      <c r="D2" t="s">
        <v>159</v>
      </c>
    </row>
    <row r="3" spans="1:4" ht="29" x14ac:dyDescent="0.35">
      <c r="A3" s="1" t="s">
        <v>2</v>
      </c>
      <c r="B3" s="2">
        <v>45292</v>
      </c>
      <c r="C3" s="2">
        <v>45350</v>
      </c>
      <c r="D3">
        <f t="shared" ref="D3:D9" si="0">C3-B3</f>
        <v>58</v>
      </c>
    </row>
    <row r="4" spans="1:4" x14ac:dyDescent="0.35">
      <c r="A4" t="s">
        <v>3</v>
      </c>
      <c r="B4" s="2">
        <v>45292</v>
      </c>
      <c r="C4" s="2">
        <v>45381</v>
      </c>
      <c r="D4">
        <f t="shared" si="0"/>
        <v>89</v>
      </c>
    </row>
    <row r="5" spans="1:4" x14ac:dyDescent="0.35">
      <c r="A5" t="s">
        <v>4</v>
      </c>
      <c r="B5" s="2">
        <v>45381</v>
      </c>
      <c r="C5" s="2">
        <v>45412</v>
      </c>
      <c r="D5">
        <f t="shared" si="0"/>
        <v>31</v>
      </c>
    </row>
    <row r="6" spans="1:4" x14ac:dyDescent="0.35">
      <c r="A6" t="s">
        <v>5</v>
      </c>
      <c r="B6" s="2">
        <v>45383</v>
      </c>
      <c r="C6" s="2">
        <v>45474</v>
      </c>
      <c r="D6">
        <f t="shared" si="0"/>
        <v>91</v>
      </c>
    </row>
    <row r="7" spans="1:4" x14ac:dyDescent="0.35">
      <c r="A7" t="s">
        <v>6</v>
      </c>
      <c r="B7" s="2">
        <v>45413</v>
      </c>
      <c r="C7" s="2">
        <v>45444</v>
      </c>
      <c r="D7">
        <f t="shared" si="0"/>
        <v>31</v>
      </c>
    </row>
    <row r="8" spans="1:4" x14ac:dyDescent="0.35">
      <c r="A8" t="s">
        <v>7</v>
      </c>
      <c r="B8" s="2">
        <v>45444</v>
      </c>
      <c r="C8" s="2">
        <v>45505</v>
      </c>
      <c r="D8">
        <f t="shared" si="0"/>
        <v>61</v>
      </c>
    </row>
    <row r="9" spans="1:4" x14ac:dyDescent="0.35">
      <c r="A9" t="s">
        <v>8</v>
      </c>
      <c r="B9" s="2">
        <v>45458</v>
      </c>
      <c r="C9" s="2">
        <v>45550</v>
      </c>
      <c r="D9">
        <f t="shared" si="0"/>
        <v>92</v>
      </c>
    </row>
    <row r="10" spans="1:4" x14ac:dyDescent="0.35">
      <c r="A10" t="s">
        <v>9</v>
      </c>
      <c r="B10" s="2">
        <v>45566</v>
      </c>
      <c r="C10" s="2">
        <v>45688</v>
      </c>
      <c r="D10">
        <f>C10-B10</f>
        <v>122</v>
      </c>
    </row>
    <row r="11" spans="1:4" x14ac:dyDescent="0.35">
      <c r="A11" s="51" t="s">
        <v>10</v>
      </c>
      <c r="B11" s="60">
        <v>45777</v>
      </c>
      <c r="C11" s="60">
        <v>45868</v>
      </c>
      <c r="D11">
        <f>C11-B11</f>
        <v>91</v>
      </c>
    </row>
    <row r="12" spans="1:4" x14ac:dyDescent="0.35">
      <c r="A12" s="51" t="s">
        <v>11</v>
      </c>
      <c r="B12" s="60">
        <v>45306</v>
      </c>
      <c r="C12" s="60">
        <v>45366</v>
      </c>
      <c r="D12">
        <f>C12-B12</f>
        <v>60</v>
      </c>
    </row>
    <row r="13" spans="1:4" x14ac:dyDescent="0.35">
      <c r="A13" s="51" t="s">
        <v>12</v>
      </c>
      <c r="B13" s="60">
        <v>45868</v>
      </c>
      <c r="C13" s="60">
        <v>45899</v>
      </c>
      <c r="D13">
        <f>C13-B13</f>
        <v>31</v>
      </c>
    </row>
    <row r="14" spans="1:4" x14ac:dyDescent="0.35">
      <c r="A14" s="51" t="s">
        <v>13</v>
      </c>
      <c r="B14" s="60">
        <v>45868</v>
      </c>
      <c r="C14" s="60">
        <v>45960</v>
      </c>
      <c r="D14">
        <f t="shared" ref="D14:D15" si="1">C14-B14</f>
        <v>92</v>
      </c>
    </row>
    <row r="15" spans="1:4" x14ac:dyDescent="0.35">
      <c r="A15" s="51" t="s">
        <v>14</v>
      </c>
      <c r="B15" s="60">
        <v>46023</v>
      </c>
      <c r="C15" s="60">
        <v>46203</v>
      </c>
      <c r="D15">
        <f t="shared" si="1"/>
        <v>180</v>
      </c>
    </row>
  </sheetData>
  <mergeCells count="1">
    <mergeCell ref="A1:C1"/>
  </mergeCells>
  <phoneticPr fontId="2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0D51-C9ED-483B-8FAD-7FEA2CE9AFEF}">
  <dimension ref="A1:M106"/>
  <sheetViews>
    <sheetView topLeftCell="B59" workbookViewId="0">
      <selection activeCell="A32" sqref="A32"/>
    </sheetView>
  </sheetViews>
  <sheetFormatPr defaultRowHeight="14.5" x14ac:dyDescent="0.35"/>
  <cols>
    <col min="1" max="1" width="23.81640625" bestFit="1" customWidth="1"/>
    <col min="2" max="7" width="15.26953125" customWidth="1"/>
    <col min="8" max="8" width="23.81640625" bestFit="1" customWidth="1"/>
    <col min="9" max="13" width="15.26953125" customWidth="1"/>
    <col min="14" max="14" width="11.26953125" bestFit="1" customWidth="1"/>
  </cols>
  <sheetData>
    <row r="1" spans="1:10" x14ac:dyDescent="0.35">
      <c r="A1" t="s">
        <v>16</v>
      </c>
    </row>
    <row r="2" spans="1:10" x14ac:dyDescent="0.35">
      <c r="A2" t="s">
        <v>17</v>
      </c>
      <c r="F2" s="3">
        <v>84230000</v>
      </c>
      <c r="H2" s="4" t="s">
        <v>18</v>
      </c>
    </row>
    <row r="3" spans="1:10" x14ac:dyDescent="0.35">
      <c r="A3" t="s">
        <v>19</v>
      </c>
      <c r="F3" s="46">
        <v>0.4</v>
      </c>
      <c r="H3" s="4" t="s">
        <v>18</v>
      </c>
    </row>
    <row r="4" spans="1:10" x14ac:dyDescent="0.35">
      <c r="F4" s="3"/>
      <c r="H4" s="4"/>
    </row>
    <row r="5" spans="1:10" x14ac:dyDescent="0.35">
      <c r="F5" s="5"/>
      <c r="H5" s="4"/>
    </row>
    <row r="9" spans="1:10" x14ac:dyDescent="0.35">
      <c r="A9" t="s">
        <v>20</v>
      </c>
      <c r="F9" s="6">
        <f>F2*F3</f>
        <v>33692000</v>
      </c>
    </row>
    <row r="10" spans="1:10" x14ac:dyDescent="0.35">
      <c r="A10" t="s">
        <v>21</v>
      </c>
      <c r="F10" s="7">
        <f>F9*50%</f>
        <v>16846000</v>
      </c>
      <c r="G10" t="s">
        <v>22</v>
      </c>
    </row>
    <row r="11" spans="1:10" x14ac:dyDescent="0.35">
      <c r="A11" t="s">
        <v>23</v>
      </c>
      <c r="F11" s="7">
        <f>F10*30%</f>
        <v>5053800</v>
      </c>
      <c r="G11" s="8" t="s">
        <v>24</v>
      </c>
    </row>
    <row r="12" spans="1:10" x14ac:dyDescent="0.35">
      <c r="F12" s="7"/>
      <c r="G12" s="8"/>
    </row>
    <row r="13" spans="1:10" x14ac:dyDescent="0.35">
      <c r="A13" s="9" t="s">
        <v>25</v>
      </c>
    </row>
    <row r="14" spans="1:10" x14ac:dyDescent="0.35">
      <c r="A14" t="s">
        <v>26</v>
      </c>
      <c r="G14" t="s">
        <v>27</v>
      </c>
    </row>
    <row r="15" spans="1:10" x14ac:dyDescent="0.35">
      <c r="A15" s="4" t="s">
        <v>28</v>
      </c>
      <c r="F15" s="10">
        <v>29</v>
      </c>
      <c r="J15" s="10"/>
    </row>
    <row r="16" spans="1:10" ht="15" thickBot="1" x14ac:dyDescent="0.4">
      <c r="A16" s="4" t="s">
        <v>29</v>
      </c>
      <c r="F16" s="10">
        <v>25</v>
      </c>
      <c r="J16" s="10"/>
    </row>
    <row r="17" spans="1:10" ht="15" thickBot="1" x14ac:dyDescent="0.4">
      <c r="A17" s="11" t="s">
        <v>30</v>
      </c>
      <c r="F17" s="10">
        <v>9.8800000000000008</v>
      </c>
      <c r="G17" t="s">
        <v>31</v>
      </c>
      <c r="J17" s="10"/>
    </row>
    <row r="18" spans="1:10" x14ac:dyDescent="0.35">
      <c r="A18" s="4" t="s">
        <v>32</v>
      </c>
      <c r="F18" s="12">
        <v>29.88</v>
      </c>
      <c r="J18" s="10"/>
    </row>
    <row r="19" spans="1:10" x14ac:dyDescent="0.35">
      <c r="A19" s="9" t="s">
        <v>33</v>
      </c>
      <c r="F19" s="13">
        <f>AVERAGE(F15, F16,F18)</f>
        <v>27.959999999999997</v>
      </c>
      <c r="G19" t="s">
        <v>34</v>
      </c>
      <c r="J19" s="10"/>
    </row>
    <row r="20" spans="1:10" x14ac:dyDescent="0.35">
      <c r="J20" s="10"/>
    </row>
    <row r="21" spans="1:10" x14ac:dyDescent="0.35">
      <c r="A21" t="s">
        <v>35</v>
      </c>
      <c r="F21" s="13">
        <f>60%*F19</f>
        <v>16.775999999999996</v>
      </c>
      <c r="G21" t="s">
        <v>36</v>
      </c>
    </row>
    <row r="22" spans="1:10" x14ac:dyDescent="0.35">
      <c r="A22" t="s">
        <v>37</v>
      </c>
      <c r="E22" s="10"/>
      <c r="F22" s="10">
        <v>60</v>
      </c>
      <c r="G22" s="8" t="s">
        <v>38</v>
      </c>
    </row>
    <row r="24" spans="1:10" x14ac:dyDescent="0.35">
      <c r="A24" t="s">
        <v>39</v>
      </c>
      <c r="F24" s="15">
        <v>100000</v>
      </c>
      <c r="G24" t="s">
        <v>40</v>
      </c>
    </row>
    <row r="26" spans="1:10" x14ac:dyDescent="0.35">
      <c r="B26" s="90" t="s">
        <v>41</v>
      </c>
      <c r="C26" s="90"/>
      <c r="D26" s="90"/>
    </row>
    <row r="27" spans="1:10" x14ac:dyDescent="0.35">
      <c r="A27" t="s">
        <v>42</v>
      </c>
      <c r="B27" s="16" t="s">
        <v>43</v>
      </c>
      <c r="C27" s="16" t="s">
        <v>44</v>
      </c>
      <c r="D27" s="16" t="s">
        <v>45</v>
      </c>
    </row>
    <row r="28" spans="1:10" x14ac:dyDescent="0.35">
      <c r="A28" t="s">
        <v>11</v>
      </c>
      <c r="B28" s="15">
        <v>-10000</v>
      </c>
      <c r="C28" s="16" t="s">
        <v>46</v>
      </c>
      <c r="D28" s="16" t="s">
        <v>46</v>
      </c>
      <c r="G28" t="s">
        <v>47</v>
      </c>
    </row>
    <row r="29" spans="1:10" x14ac:dyDescent="0.35">
      <c r="A29" t="s">
        <v>48</v>
      </c>
      <c r="B29" s="15">
        <f>-SUM($I$64:$M$64)</f>
        <v>-5000</v>
      </c>
      <c r="C29" s="15">
        <v>-12000</v>
      </c>
      <c r="D29" s="15">
        <f>C29</f>
        <v>-12000</v>
      </c>
      <c r="G29" t="s">
        <v>49</v>
      </c>
    </row>
    <row r="30" spans="1:10" x14ac:dyDescent="0.35">
      <c r="A30" t="s">
        <v>50</v>
      </c>
      <c r="B30" s="15">
        <v>-300</v>
      </c>
      <c r="C30" s="16" t="s">
        <v>46</v>
      </c>
      <c r="D30" s="16" t="s">
        <v>46</v>
      </c>
    </row>
    <row r="31" spans="1:10" x14ac:dyDescent="0.35">
      <c r="A31" t="s">
        <v>51</v>
      </c>
      <c r="B31" s="5">
        <v>0</v>
      </c>
      <c r="C31" s="5">
        <f>(C32-B32)/B32</f>
        <v>0.14545454545454545</v>
      </c>
      <c r="D31" s="5">
        <f>(D32-C32)/C32</f>
        <v>0.15079365079365079</v>
      </c>
    </row>
    <row r="32" spans="1:10" x14ac:dyDescent="0.35">
      <c r="A32" t="s">
        <v>52</v>
      </c>
      <c r="B32" s="6">
        <v>110000</v>
      </c>
      <c r="C32" s="17">
        <v>126000</v>
      </c>
      <c r="D32" s="17">
        <v>145000</v>
      </c>
      <c r="E32" s="7"/>
      <c r="G32" t="s">
        <v>53</v>
      </c>
    </row>
    <row r="33" spans="1:13" x14ac:dyDescent="0.35">
      <c r="A33" t="s">
        <v>54</v>
      </c>
      <c r="B33" s="15">
        <f>-B32*$F$22</f>
        <v>-6600000</v>
      </c>
      <c r="C33" s="10">
        <f>-C32*$F$22</f>
        <v>-7560000</v>
      </c>
      <c r="D33" s="10">
        <f>-D32*$F$22</f>
        <v>-8700000</v>
      </c>
      <c r="F33" s="18"/>
      <c r="G33" t="s">
        <v>55</v>
      </c>
      <c r="I33" s="19">
        <f>120000/F11</f>
        <v>2.3744509082274726E-2</v>
      </c>
      <c r="J33" t="s">
        <v>56</v>
      </c>
      <c r="M33" s="5">
        <v>0.05</v>
      </c>
    </row>
    <row r="34" spans="1:13" x14ac:dyDescent="0.35">
      <c r="A34" s="4" t="s">
        <v>57</v>
      </c>
      <c r="B34" s="15">
        <f>-B32*10</f>
        <v>-1100000</v>
      </c>
      <c r="C34" s="15">
        <f>-C32*10</f>
        <v>-1260000</v>
      </c>
      <c r="D34" s="15">
        <f>-D32*10</f>
        <v>-1450000</v>
      </c>
      <c r="F34" s="18"/>
      <c r="I34" s="19"/>
      <c r="M34" s="5"/>
    </row>
    <row r="35" spans="1:13" x14ac:dyDescent="0.35">
      <c r="A35" t="s">
        <v>58</v>
      </c>
      <c r="B35" s="15">
        <f>(-500000/12)*11</f>
        <v>-458333.33333333331</v>
      </c>
      <c r="C35" s="15">
        <f>(-500000*1.05)</f>
        <v>-525000</v>
      </c>
      <c r="D35" s="15">
        <f>C35*1.05</f>
        <v>-551250</v>
      </c>
      <c r="G35" t="s">
        <v>59</v>
      </c>
    </row>
    <row r="36" spans="1:13" x14ac:dyDescent="0.35">
      <c r="A36" t="s">
        <v>60</v>
      </c>
      <c r="B36" s="20">
        <f>-$F$24*5</f>
        <v>-500000</v>
      </c>
      <c r="C36" s="20">
        <f>$B$36</f>
        <v>-500000</v>
      </c>
      <c r="D36" s="20">
        <f>$B$36</f>
        <v>-500000</v>
      </c>
    </row>
    <row r="37" spans="1:13" x14ac:dyDescent="0.35">
      <c r="A37" t="s">
        <v>61</v>
      </c>
      <c r="B37" s="15">
        <f>SUM(B28:B36)-B32</f>
        <v>-8673633.3333333321</v>
      </c>
      <c r="C37" s="15">
        <f>SUM(C28:C36)-C32</f>
        <v>-9856999.8545454554</v>
      </c>
      <c r="D37" s="15">
        <f>SUM(D28:D36)-D32</f>
        <v>-11213249.849206349</v>
      </c>
    </row>
    <row r="39" spans="1:13" x14ac:dyDescent="0.35">
      <c r="A39" t="s">
        <v>62</v>
      </c>
      <c r="B39" s="10">
        <f>$F$22</f>
        <v>60</v>
      </c>
    </row>
    <row r="40" spans="1:13" x14ac:dyDescent="0.35">
      <c r="A40" t="s">
        <v>63</v>
      </c>
      <c r="B40" s="10">
        <f>1.4*F22</f>
        <v>84</v>
      </c>
      <c r="G40" s="14" t="s">
        <v>64</v>
      </c>
      <c r="J40" s="10"/>
    </row>
    <row r="42" spans="1:13" x14ac:dyDescent="0.35">
      <c r="B42" s="90" t="s">
        <v>65</v>
      </c>
      <c r="C42" s="90"/>
      <c r="D42" s="90"/>
    </row>
    <row r="43" spans="1:13" x14ac:dyDescent="0.35">
      <c r="A43" t="s">
        <v>42</v>
      </c>
      <c r="B43" s="16" t="s">
        <v>43</v>
      </c>
      <c r="C43" s="16" t="s">
        <v>44</v>
      </c>
      <c r="D43" s="16" t="s">
        <v>45</v>
      </c>
    </row>
    <row r="44" spans="1:13" x14ac:dyDescent="0.35">
      <c r="A44" t="s">
        <v>11</v>
      </c>
      <c r="B44" s="15">
        <v>-10000</v>
      </c>
      <c r="C44" s="16" t="s">
        <v>46</v>
      </c>
      <c r="D44" s="16" t="s">
        <v>46</v>
      </c>
    </row>
    <row r="45" spans="1:13" x14ac:dyDescent="0.35">
      <c r="A45" t="s">
        <v>48</v>
      </c>
      <c r="B45" s="15">
        <f>-SUM($I$64:$M$64)</f>
        <v>-5000</v>
      </c>
      <c r="C45" s="15">
        <f>C29</f>
        <v>-12000</v>
      </c>
      <c r="D45" s="15">
        <f>D29</f>
        <v>-12000</v>
      </c>
    </row>
    <row r="46" spans="1:13" x14ac:dyDescent="0.35">
      <c r="A46" t="s">
        <v>50</v>
      </c>
      <c r="B46" s="15">
        <v>-300</v>
      </c>
      <c r="C46" s="16" t="s">
        <v>46</v>
      </c>
      <c r="D46" s="16" t="s">
        <v>46</v>
      </c>
    </row>
    <row r="47" spans="1:13" x14ac:dyDescent="0.35">
      <c r="A47" t="s">
        <v>51</v>
      </c>
      <c r="B47" s="5">
        <v>0</v>
      </c>
      <c r="C47" s="5">
        <f>(C48-B48)/B48</f>
        <v>0.14545454545454545</v>
      </c>
      <c r="D47" s="5">
        <f>(D48-C48)/C48</f>
        <v>0.15079365079365079</v>
      </c>
    </row>
    <row r="48" spans="1:13" x14ac:dyDescent="0.35">
      <c r="A48" t="s">
        <v>52</v>
      </c>
      <c r="B48" s="6">
        <v>110000</v>
      </c>
      <c r="C48" s="17">
        <v>126000</v>
      </c>
      <c r="D48" s="17">
        <v>145000</v>
      </c>
    </row>
    <row r="49" spans="1:13" x14ac:dyDescent="0.35">
      <c r="A49" t="s">
        <v>54</v>
      </c>
      <c r="B49" s="15">
        <f>-B48*$F$22</f>
        <v>-6600000</v>
      </c>
      <c r="C49" s="10">
        <f>-C48*$F$22</f>
        <v>-7560000</v>
      </c>
      <c r="D49" s="10">
        <f>-D48*$F$22</f>
        <v>-8700000</v>
      </c>
    </row>
    <row r="50" spans="1:13" x14ac:dyDescent="0.35">
      <c r="A50" t="s">
        <v>57</v>
      </c>
      <c r="B50" s="15">
        <f>-B48*10</f>
        <v>-1100000</v>
      </c>
      <c r="C50" s="15">
        <f t="shared" ref="C50:D50" si="0">-C48*10</f>
        <v>-1260000</v>
      </c>
      <c r="D50" s="15">
        <f t="shared" si="0"/>
        <v>-1450000</v>
      </c>
    </row>
    <row r="51" spans="1:13" x14ac:dyDescent="0.35">
      <c r="A51" t="s">
        <v>58</v>
      </c>
      <c r="B51" s="15">
        <f t="shared" ref="B51:D52" si="1">B35</f>
        <v>-458333.33333333331</v>
      </c>
      <c r="C51" s="15">
        <f t="shared" si="1"/>
        <v>-525000</v>
      </c>
      <c r="D51" s="15">
        <f t="shared" si="1"/>
        <v>-551250</v>
      </c>
    </row>
    <row r="52" spans="1:13" x14ac:dyDescent="0.35">
      <c r="A52" t="s">
        <v>60</v>
      </c>
      <c r="B52" s="20">
        <f t="shared" si="1"/>
        <v>-500000</v>
      </c>
      <c r="C52" s="20">
        <f t="shared" si="1"/>
        <v>-500000</v>
      </c>
      <c r="D52" s="20">
        <f t="shared" si="1"/>
        <v>-500000</v>
      </c>
    </row>
    <row r="53" spans="1:13" x14ac:dyDescent="0.35">
      <c r="A53" t="s">
        <v>61</v>
      </c>
      <c r="B53" s="15">
        <f>SUM(B44:B52)-B48</f>
        <v>-8673633.3333333321</v>
      </c>
      <c r="C53" s="15">
        <f>SUM(C44:C52)-C48</f>
        <v>-9856999.8545454554</v>
      </c>
      <c r="D53" s="15">
        <f>SUM(D44:D52)-D48</f>
        <v>-11213249.849206349</v>
      </c>
    </row>
    <row r="54" spans="1:13" x14ac:dyDescent="0.35">
      <c r="A54" t="s">
        <v>66</v>
      </c>
      <c r="B54" s="21">
        <f>B48*$B$40</f>
        <v>9240000</v>
      </c>
      <c r="C54" s="21">
        <f>C48*$B$40</f>
        <v>10584000</v>
      </c>
      <c r="D54" s="21">
        <f>D48*$B$40</f>
        <v>12180000</v>
      </c>
    </row>
    <row r="55" spans="1:13" x14ac:dyDescent="0.35">
      <c r="A55" t="s">
        <v>67</v>
      </c>
      <c r="B55" s="22">
        <f>B54+B53</f>
        <v>566366.66666666791</v>
      </c>
      <c r="C55" s="23">
        <f>C54+C53</f>
        <v>727000.14545454457</v>
      </c>
      <c r="D55" s="23">
        <f>D54+D53</f>
        <v>966750.15079365112</v>
      </c>
    </row>
    <row r="56" spans="1:13" x14ac:dyDescent="0.35">
      <c r="A56" t="s">
        <v>68</v>
      </c>
      <c r="B56" s="24" t="s">
        <v>46</v>
      </c>
      <c r="C56" s="23">
        <f>C55*$E$56</f>
        <v>152670.03054545436</v>
      </c>
      <c r="D56" s="23">
        <f>D55*$E$56</f>
        <v>203017.53166666673</v>
      </c>
      <c r="E56" s="5">
        <v>0.21</v>
      </c>
      <c r="F56" s="4" t="s">
        <v>69</v>
      </c>
    </row>
    <row r="57" spans="1:13" x14ac:dyDescent="0.35">
      <c r="A57" t="s">
        <v>70</v>
      </c>
      <c r="B57" s="25">
        <f>SUM(B75:M75)</f>
        <v>339416.66666666605</v>
      </c>
      <c r="C57" s="23">
        <f>C55-C56</f>
        <v>574330.11490909022</v>
      </c>
      <c r="D57" s="23">
        <f>D55-D56</f>
        <v>763732.61912698438</v>
      </c>
    </row>
    <row r="60" spans="1:13" ht="18.5" x14ac:dyDescent="0.45">
      <c r="A60" s="91" t="s">
        <v>71</v>
      </c>
      <c r="B60" s="91"/>
      <c r="C60" s="91"/>
      <c r="D60" s="91"/>
    </row>
    <row r="61" spans="1:13" ht="18.5" x14ac:dyDescent="0.45">
      <c r="A61" s="16"/>
      <c r="B61" s="92" t="s">
        <v>72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</row>
    <row r="62" spans="1:13" x14ac:dyDescent="0.35">
      <c r="A62" s="16"/>
      <c r="B62" s="16" t="s">
        <v>73</v>
      </c>
      <c r="C62" s="16" t="s">
        <v>74</v>
      </c>
      <c r="D62" s="16" t="s">
        <v>75</v>
      </c>
      <c r="E62" s="16" t="s">
        <v>76</v>
      </c>
      <c r="F62" s="16" t="s">
        <v>77</v>
      </c>
      <c r="G62" s="16" t="s">
        <v>78</v>
      </c>
      <c r="H62" s="16" t="s">
        <v>79</v>
      </c>
      <c r="I62" s="16" t="s">
        <v>80</v>
      </c>
      <c r="J62" s="16" t="s">
        <v>81</v>
      </c>
      <c r="K62" s="16" t="s">
        <v>82</v>
      </c>
      <c r="L62" s="16" t="s">
        <v>83</v>
      </c>
      <c r="M62" s="26" t="s">
        <v>84</v>
      </c>
    </row>
    <row r="63" spans="1:13" x14ac:dyDescent="0.35">
      <c r="A63" t="s">
        <v>11</v>
      </c>
      <c r="B63" s="21">
        <v>0</v>
      </c>
      <c r="C63" s="21">
        <f>B63</f>
        <v>0</v>
      </c>
      <c r="D63" s="15">
        <f>$B$44</f>
        <v>-10000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7">
        <v>0</v>
      </c>
    </row>
    <row r="64" spans="1:13" x14ac:dyDescent="0.35">
      <c r="A64" t="s">
        <v>48</v>
      </c>
      <c r="B64" s="21">
        <v>0</v>
      </c>
      <c r="C64" s="21">
        <f>B64</f>
        <v>0</v>
      </c>
      <c r="D64" s="21">
        <f t="shared" ref="D64:M64" si="2">C64</f>
        <v>0</v>
      </c>
      <c r="E64" s="21">
        <f t="shared" si="2"/>
        <v>0</v>
      </c>
      <c r="F64" s="21">
        <f t="shared" si="2"/>
        <v>0</v>
      </c>
      <c r="G64" s="21">
        <f t="shared" si="2"/>
        <v>0</v>
      </c>
      <c r="H64" s="21">
        <f t="shared" si="2"/>
        <v>0</v>
      </c>
      <c r="I64" s="15">
        <f>12000/12</f>
        <v>1000</v>
      </c>
      <c r="J64" s="15">
        <f t="shared" si="2"/>
        <v>1000</v>
      </c>
      <c r="K64" s="15">
        <f t="shared" si="2"/>
        <v>1000</v>
      </c>
      <c r="L64" s="15">
        <f t="shared" si="2"/>
        <v>1000</v>
      </c>
      <c r="M64" s="28">
        <f t="shared" si="2"/>
        <v>1000</v>
      </c>
    </row>
    <row r="65" spans="1:13" x14ac:dyDescent="0.35">
      <c r="A65" t="s">
        <v>50</v>
      </c>
      <c r="B65" s="15">
        <f>B46</f>
        <v>-300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7">
        <v>0</v>
      </c>
    </row>
    <row r="66" spans="1:13" x14ac:dyDescent="0.35">
      <c r="A66" t="s">
        <v>52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9">
        <f>B32/5</f>
        <v>22000</v>
      </c>
      <c r="J66" s="29">
        <f>I66</f>
        <v>22000</v>
      </c>
      <c r="K66" s="29">
        <f t="shared" ref="K66:M67" si="3">J66</f>
        <v>22000</v>
      </c>
      <c r="L66" s="29">
        <f t="shared" si="3"/>
        <v>22000</v>
      </c>
      <c r="M66" s="30">
        <f t="shared" si="3"/>
        <v>22000</v>
      </c>
    </row>
    <row r="67" spans="1:13" x14ac:dyDescent="0.35">
      <c r="A67" t="s">
        <v>54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10">
        <f>-I66*$B$39</f>
        <v>-1320000</v>
      </c>
      <c r="J67" s="10">
        <f>I67</f>
        <v>-1320000</v>
      </c>
      <c r="K67" s="10">
        <f t="shared" si="3"/>
        <v>-1320000</v>
      </c>
      <c r="L67" s="10">
        <f t="shared" si="3"/>
        <v>-1320000</v>
      </c>
      <c r="M67" s="31">
        <f t="shared" si="3"/>
        <v>-1320000</v>
      </c>
    </row>
    <row r="68" spans="1:13" x14ac:dyDescent="0.35">
      <c r="A68" t="s">
        <v>57</v>
      </c>
      <c r="B68" s="21"/>
      <c r="C68" s="21"/>
      <c r="D68" s="21"/>
      <c r="E68" s="21"/>
      <c r="F68" s="21"/>
      <c r="G68" s="21"/>
      <c r="H68" s="21"/>
      <c r="I68" s="10">
        <f>-I66*10</f>
        <v>-220000</v>
      </c>
      <c r="J68" s="10">
        <f t="shared" ref="J68:M68" si="4">-J66*10</f>
        <v>-220000</v>
      </c>
      <c r="K68" s="10">
        <f t="shared" si="4"/>
        <v>-220000</v>
      </c>
      <c r="L68" s="10">
        <f t="shared" si="4"/>
        <v>-220000</v>
      </c>
      <c r="M68" s="10">
        <f t="shared" si="4"/>
        <v>-220000</v>
      </c>
    </row>
    <row r="69" spans="1:13" x14ac:dyDescent="0.35">
      <c r="A69" t="s">
        <v>58</v>
      </c>
      <c r="B69" s="21">
        <v>0</v>
      </c>
      <c r="C69" s="15">
        <f>$B$35/11</f>
        <v>-41666.666666666664</v>
      </c>
      <c r="D69" s="15">
        <f>C69</f>
        <v>-41666.666666666664</v>
      </c>
      <c r="E69" s="15">
        <f t="shared" ref="E69:M69" si="5">D69</f>
        <v>-41666.666666666664</v>
      </c>
      <c r="F69" s="15">
        <f t="shared" si="5"/>
        <v>-41666.666666666664</v>
      </c>
      <c r="G69" s="15">
        <f t="shared" si="5"/>
        <v>-41666.666666666664</v>
      </c>
      <c r="H69" s="15">
        <f t="shared" si="5"/>
        <v>-41666.666666666664</v>
      </c>
      <c r="I69" s="15">
        <f t="shared" si="5"/>
        <v>-41666.666666666664</v>
      </c>
      <c r="J69" s="15">
        <f t="shared" si="5"/>
        <v>-41666.666666666664</v>
      </c>
      <c r="K69" s="15">
        <f t="shared" si="5"/>
        <v>-41666.666666666664</v>
      </c>
      <c r="L69" s="15">
        <f t="shared" si="5"/>
        <v>-41666.666666666664</v>
      </c>
      <c r="M69" s="28">
        <f t="shared" si="5"/>
        <v>-41666.666666666664</v>
      </c>
    </row>
    <row r="70" spans="1:13" x14ac:dyDescent="0.35">
      <c r="A70" t="s">
        <v>60</v>
      </c>
      <c r="B70" s="15">
        <f>$B$52/12</f>
        <v>-41666.666666666664</v>
      </c>
      <c r="C70" s="15">
        <f t="shared" ref="C70:M70" si="6">$B$52/12</f>
        <v>-41666.666666666664</v>
      </c>
      <c r="D70" s="15">
        <f t="shared" si="6"/>
        <v>-41666.666666666664</v>
      </c>
      <c r="E70" s="15">
        <f t="shared" si="6"/>
        <v>-41666.666666666664</v>
      </c>
      <c r="F70" s="15">
        <f t="shared" si="6"/>
        <v>-41666.666666666664</v>
      </c>
      <c r="G70" s="15">
        <f t="shared" si="6"/>
        <v>-41666.666666666664</v>
      </c>
      <c r="H70" s="15">
        <f t="shared" si="6"/>
        <v>-41666.666666666664</v>
      </c>
      <c r="I70" s="15">
        <f t="shared" si="6"/>
        <v>-41666.666666666664</v>
      </c>
      <c r="J70" s="15">
        <f t="shared" si="6"/>
        <v>-41666.666666666664</v>
      </c>
      <c r="K70" s="15">
        <f t="shared" si="6"/>
        <v>-41666.666666666664</v>
      </c>
      <c r="L70" s="15">
        <f t="shared" si="6"/>
        <v>-41666.666666666664</v>
      </c>
      <c r="M70" s="28">
        <f t="shared" si="6"/>
        <v>-41666.666666666664</v>
      </c>
    </row>
    <row r="71" spans="1:13" x14ac:dyDescent="0.35">
      <c r="A71" t="s">
        <v>61</v>
      </c>
      <c r="B71" s="15">
        <f>SUM(B63:B70)</f>
        <v>-41966.666666666664</v>
      </c>
      <c r="C71" s="15">
        <f t="shared" ref="C71:H71" si="7">SUM(C63:C70)</f>
        <v>-83333.333333333328</v>
      </c>
      <c r="D71" s="15">
        <f>SUM(D63:D70)</f>
        <v>-93333.333333333328</v>
      </c>
      <c r="E71" s="15">
        <f t="shared" si="7"/>
        <v>-83333.333333333328</v>
      </c>
      <c r="F71" s="15">
        <f t="shared" si="7"/>
        <v>-83333.333333333328</v>
      </c>
      <c r="G71" s="15">
        <f t="shared" si="7"/>
        <v>-83333.333333333328</v>
      </c>
      <c r="H71" s="15">
        <f t="shared" si="7"/>
        <v>-83333.333333333328</v>
      </c>
      <c r="I71" s="32">
        <f>SUM(I63:I70)-I66</f>
        <v>-1622333.3333333335</v>
      </c>
      <c r="J71" s="32">
        <f>SUM(J63:J70)-J66</f>
        <v>-1622333.3333333335</v>
      </c>
      <c r="K71" s="32">
        <f>SUM(K63:K70)-K66</f>
        <v>-1622333.3333333335</v>
      </c>
      <c r="L71" s="32">
        <f>SUM(L63:L70)-L66</f>
        <v>-1622333.3333333335</v>
      </c>
      <c r="M71" s="33">
        <f>SUM(M63:M70)-M66</f>
        <v>-1622333.3333333335</v>
      </c>
    </row>
    <row r="72" spans="1:13" x14ac:dyDescent="0.35">
      <c r="A72" t="s">
        <v>66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f>I66*$B$40</f>
        <v>1848000</v>
      </c>
      <c r="J72" s="21">
        <f>J66*$B$40</f>
        <v>1848000</v>
      </c>
      <c r="K72" s="21">
        <f>K66*$B$40</f>
        <v>1848000</v>
      </c>
      <c r="L72" s="21">
        <f>L66*$B$40</f>
        <v>1848000</v>
      </c>
      <c r="M72" s="27">
        <f>M66*$B$40</f>
        <v>1848000</v>
      </c>
    </row>
    <row r="73" spans="1:13" x14ac:dyDescent="0.35">
      <c r="A73" t="s">
        <v>67</v>
      </c>
      <c r="B73" s="15">
        <f>SUM(B71)</f>
        <v>-41966.666666666664</v>
      </c>
      <c r="C73" s="15">
        <f t="shared" ref="C73:H73" si="8">SUM(C71)</f>
        <v>-83333.333333333328</v>
      </c>
      <c r="D73" s="15">
        <f t="shared" si="8"/>
        <v>-93333.333333333328</v>
      </c>
      <c r="E73" s="15">
        <f t="shared" si="8"/>
        <v>-83333.333333333328</v>
      </c>
      <c r="F73" s="15">
        <f t="shared" si="8"/>
        <v>-83333.333333333328</v>
      </c>
      <c r="G73" s="15">
        <f t="shared" si="8"/>
        <v>-83333.333333333328</v>
      </c>
      <c r="H73" s="15">
        <f t="shared" si="8"/>
        <v>-83333.333333333328</v>
      </c>
      <c r="I73" s="34">
        <f>SUM(I71+I72)</f>
        <v>225666.66666666651</v>
      </c>
      <c r="J73" s="34">
        <f>SUM(J71+J72)</f>
        <v>225666.66666666651</v>
      </c>
      <c r="K73" s="34">
        <f>SUM(K71+K72)</f>
        <v>225666.66666666651</v>
      </c>
      <c r="L73" s="34">
        <f>SUM(L71+L72)</f>
        <v>225666.66666666651</v>
      </c>
      <c r="M73" s="35">
        <f>SUM(M71+M72)</f>
        <v>225666.66666666651</v>
      </c>
    </row>
    <row r="74" spans="1:13" x14ac:dyDescent="0.35">
      <c r="A74" t="s">
        <v>68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34">
        <f>I73*$E$56</f>
        <v>47389.999999999964</v>
      </c>
      <c r="J74" s="34">
        <f>J73*$E$56</f>
        <v>47389.999999999964</v>
      </c>
      <c r="K74" s="34">
        <f>K73*$E$56</f>
        <v>47389.999999999964</v>
      </c>
      <c r="L74" s="34">
        <f>L73*$E$56</f>
        <v>47389.999999999964</v>
      </c>
      <c r="M74" s="35">
        <f>M73*$E$56</f>
        <v>47389.999999999964</v>
      </c>
    </row>
    <row r="75" spans="1:13" x14ac:dyDescent="0.35">
      <c r="A75" t="s">
        <v>85</v>
      </c>
      <c r="B75" s="15">
        <f>B73</f>
        <v>-41966.666666666664</v>
      </c>
      <c r="C75" s="15">
        <f t="shared" ref="C75:H75" si="9">C73</f>
        <v>-83333.333333333328</v>
      </c>
      <c r="D75" s="15">
        <f t="shared" si="9"/>
        <v>-93333.333333333328</v>
      </c>
      <c r="E75" s="15">
        <f t="shared" si="9"/>
        <v>-83333.333333333328</v>
      </c>
      <c r="F75" s="15">
        <f t="shared" si="9"/>
        <v>-83333.333333333328</v>
      </c>
      <c r="G75" s="15">
        <f t="shared" si="9"/>
        <v>-83333.333333333328</v>
      </c>
      <c r="H75" s="15">
        <f t="shared" si="9"/>
        <v>-83333.333333333328</v>
      </c>
      <c r="I75" s="34">
        <f>I73-I74</f>
        <v>178276.66666666654</v>
      </c>
      <c r="J75" s="34">
        <f>J73-J74</f>
        <v>178276.66666666654</v>
      </c>
      <c r="K75" s="34">
        <f>K73-K74</f>
        <v>178276.66666666654</v>
      </c>
      <c r="L75" s="34">
        <f>L73-L74</f>
        <v>178276.66666666654</v>
      </c>
      <c r="M75" s="35">
        <f>M73-M74</f>
        <v>178276.66666666654</v>
      </c>
    </row>
    <row r="77" spans="1:13" ht="18.5" x14ac:dyDescent="0.45">
      <c r="B77" s="92" t="s">
        <v>86</v>
      </c>
      <c r="C77" s="92"/>
      <c r="D77" s="92"/>
      <c r="E77" s="92"/>
      <c r="F77" s="16"/>
      <c r="I77" s="92" t="s">
        <v>87</v>
      </c>
      <c r="J77" s="92"/>
      <c r="K77" s="92"/>
      <c r="L77" s="92"/>
      <c r="M77" s="16"/>
    </row>
    <row r="78" spans="1:13" x14ac:dyDescent="0.35">
      <c r="B78" s="16" t="s">
        <v>88</v>
      </c>
      <c r="C78" s="16" t="s">
        <v>89</v>
      </c>
      <c r="D78" s="16" t="s">
        <v>90</v>
      </c>
      <c r="E78" s="26" t="s">
        <v>91</v>
      </c>
      <c r="I78" s="16" t="s">
        <v>88</v>
      </c>
      <c r="J78" s="16" t="s">
        <v>89</v>
      </c>
      <c r="K78" s="16" t="s">
        <v>90</v>
      </c>
      <c r="L78" s="26" t="s">
        <v>91</v>
      </c>
    </row>
    <row r="79" spans="1:13" x14ac:dyDescent="0.35">
      <c r="A79" t="s">
        <v>48</v>
      </c>
      <c r="B79" s="15">
        <f>C45/4</f>
        <v>-3000</v>
      </c>
      <c r="C79" s="15">
        <f t="shared" ref="C79:E81" si="10">B79</f>
        <v>-3000</v>
      </c>
      <c r="D79" s="15">
        <f t="shared" si="10"/>
        <v>-3000</v>
      </c>
      <c r="E79" s="28">
        <f t="shared" si="10"/>
        <v>-3000</v>
      </c>
      <c r="H79" t="s">
        <v>48</v>
      </c>
      <c r="I79" s="15">
        <f>D45/4</f>
        <v>-3000</v>
      </c>
      <c r="J79" s="15">
        <f t="shared" ref="J79:L81" si="11">I79</f>
        <v>-3000</v>
      </c>
      <c r="K79" s="15">
        <f t="shared" si="11"/>
        <v>-3000</v>
      </c>
      <c r="L79" s="28">
        <f t="shared" si="11"/>
        <v>-3000</v>
      </c>
    </row>
    <row r="80" spans="1:13" x14ac:dyDescent="0.35">
      <c r="A80" t="s">
        <v>52</v>
      </c>
      <c r="B80" s="7">
        <f>$C$48/4</f>
        <v>31500</v>
      </c>
      <c r="C80" s="7">
        <f t="shared" si="10"/>
        <v>31500</v>
      </c>
      <c r="D80" s="7">
        <f t="shared" si="10"/>
        <v>31500</v>
      </c>
      <c r="E80" s="36">
        <f t="shared" si="10"/>
        <v>31500</v>
      </c>
      <c r="H80" t="s">
        <v>52</v>
      </c>
      <c r="I80" s="7">
        <f>D48/4</f>
        <v>36250</v>
      </c>
      <c r="J80" s="7">
        <f t="shared" si="11"/>
        <v>36250</v>
      </c>
      <c r="K80" s="7">
        <f t="shared" si="11"/>
        <v>36250</v>
      </c>
      <c r="L80" s="36">
        <f t="shared" si="11"/>
        <v>36250</v>
      </c>
    </row>
    <row r="81" spans="1:12" x14ac:dyDescent="0.35">
      <c r="A81" t="s">
        <v>54</v>
      </c>
      <c r="B81" s="37">
        <f>C49/4</f>
        <v>-1890000</v>
      </c>
      <c r="C81" s="37">
        <f t="shared" si="10"/>
        <v>-1890000</v>
      </c>
      <c r="D81" s="37">
        <f t="shared" si="10"/>
        <v>-1890000</v>
      </c>
      <c r="E81" s="38">
        <f t="shared" si="10"/>
        <v>-1890000</v>
      </c>
      <c r="H81" t="s">
        <v>54</v>
      </c>
      <c r="I81" s="37">
        <f>$D$49/4</f>
        <v>-2175000</v>
      </c>
      <c r="J81" s="37">
        <f t="shared" si="11"/>
        <v>-2175000</v>
      </c>
      <c r="K81" s="37">
        <f t="shared" si="11"/>
        <v>-2175000</v>
      </c>
      <c r="L81" s="38">
        <f t="shared" si="11"/>
        <v>-2175000</v>
      </c>
    </row>
    <row r="82" spans="1:12" x14ac:dyDescent="0.35">
      <c r="A82" t="s">
        <v>58</v>
      </c>
      <c r="B82" s="15">
        <f>$C$51/4</f>
        <v>-131250</v>
      </c>
      <c r="C82" s="15">
        <f>$C$51/4</f>
        <v>-131250</v>
      </c>
      <c r="D82" s="15">
        <f>$C$51/4</f>
        <v>-131250</v>
      </c>
      <c r="E82" s="28">
        <f>$C$51/4</f>
        <v>-131250</v>
      </c>
      <c r="H82" t="s">
        <v>58</v>
      </c>
      <c r="I82" s="15">
        <f>$C$51/4</f>
        <v>-131250</v>
      </c>
      <c r="J82" s="15">
        <f>$C$51/4</f>
        <v>-131250</v>
      </c>
      <c r="K82" s="15">
        <f>$C$51/4</f>
        <v>-131250</v>
      </c>
      <c r="L82" s="28">
        <f>$C$51/4</f>
        <v>-131250</v>
      </c>
    </row>
    <row r="83" spans="1:12" x14ac:dyDescent="0.35">
      <c r="A83" t="s">
        <v>60</v>
      </c>
      <c r="B83" s="15">
        <f>$C$52/4</f>
        <v>-125000</v>
      </c>
      <c r="C83" s="15">
        <f>$C$52/4</f>
        <v>-125000</v>
      </c>
      <c r="D83" s="15">
        <f>$C$52/4</f>
        <v>-125000</v>
      </c>
      <c r="E83" s="28">
        <f>$C$52/4</f>
        <v>-125000</v>
      </c>
      <c r="H83" t="s">
        <v>60</v>
      </c>
      <c r="I83" s="15">
        <f>$C$52/4</f>
        <v>-125000</v>
      </c>
      <c r="J83" s="15">
        <f>$C$52/4</f>
        <v>-125000</v>
      </c>
      <c r="K83" s="15">
        <f>$C$52/4</f>
        <v>-125000</v>
      </c>
      <c r="L83" s="28">
        <f>$C$52/4</f>
        <v>-125000</v>
      </c>
    </row>
    <row r="84" spans="1:12" x14ac:dyDescent="0.35">
      <c r="A84" t="s">
        <v>61</v>
      </c>
      <c r="B84" s="15">
        <f>SUM(B79:B83)-B80</f>
        <v>-2149250</v>
      </c>
      <c r="C84" s="15">
        <f>SUM(C79:C83)-C80</f>
        <v>-2149250</v>
      </c>
      <c r="D84" s="15">
        <f>SUM(D79:D83)-D80</f>
        <v>-2149250</v>
      </c>
      <c r="E84" s="28">
        <f>SUM(E79:E83)-E80</f>
        <v>-2149250</v>
      </c>
      <c r="H84" t="s">
        <v>61</v>
      </c>
      <c r="I84" s="15">
        <f>SUM(I79:I83)-I80</f>
        <v>-2434250</v>
      </c>
      <c r="J84" s="15">
        <f>SUM(J79:J83)-J80</f>
        <v>-2434250</v>
      </c>
      <c r="K84" s="15">
        <f>SUM(K79:K83)-K80</f>
        <v>-2434250</v>
      </c>
      <c r="L84" s="28">
        <f>SUM(L79:L83)-L80</f>
        <v>-2434250</v>
      </c>
    </row>
    <row r="85" spans="1:12" x14ac:dyDescent="0.35">
      <c r="A85" t="s">
        <v>66</v>
      </c>
      <c r="B85" s="23">
        <f>$C$54/4</f>
        <v>2646000</v>
      </c>
      <c r="C85" s="23">
        <f>$C$54/4</f>
        <v>2646000</v>
      </c>
      <c r="D85" s="23">
        <f>$C$54/4</f>
        <v>2646000</v>
      </c>
      <c r="E85" s="39">
        <f>$C$54/4</f>
        <v>2646000</v>
      </c>
      <c r="H85" t="s">
        <v>66</v>
      </c>
      <c r="I85" s="23">
        <f>$D$54/4</f>
        <v>3045000</v>
      </c>
      <c r="J85" s="23">
        <f>I85</f>
        <v>3045000</v>
      </c>
      <c r="K85" s="23">
        <f>J85</f>
        <v>3045000</v>
      </c>
      <c r="L85" s="39">
        <f>K85</f>
        <v>3045000</v>
      </c>
    </row>
    <row r="86" spans="1:12" x14ac:dyDescent="0.35">
      <c r="A86" t="s">
        <v>67</v>
      </c>
      <c r="B86" s="10">
        <f>B84+B85</f>
        <v>496750</v>
      </c>
      <c r="C86" s="10">
        <f>C84+C85</f>
        <v>496750</v>
      </c>
      <c r="D86" s="10">
        <f>D84+D85</f>
        <v>496750</v>
      </c>
      <c r="E86" s="31">
        <f>E84+E85</f>
        <v>496750</v>
      </c>
      <c r="H86" t="s">
        <v>67</v>
      </c>
      <c r="I86" s="10">
        <f>I84+I85</f>
        <v>610750</v>
      </c>
      <c r="J86" s="10">
        <f>J84+J85</f>
        <v>610750</v>
      </c>
      <c r="K86" s="10">
        <f>K84+K85</f>
        <v>610750</v>
      </c>
      <c r="L86" s="31">
        <f>L84+L85</f>
        <v>610750</v>
      </c>
    </row>
    <row r="87" spans="1:12" x14ac:dyDescent="0.35">
      <c r="A87" t="s">
        <v>68</v>
      </c>
      <c r="B87" s="10">
        <f>B86*$E$56</f>
        <v>104317.5</v>
      </c>
      <c r="C87" s="10">
        <f>C86*$E$56</f>
        <v>104317.5</v>
      </c>
      <c r="D87" s="10">
        <f>D86*$E$56</f>
        <v>104317.5</v>
      </c>
      <c r="E87" s="31">
        <f>E86*$E$56</f>
        <v>104317.5</v>
      </c>
      <c r="H87" t="s">
        <v>68</v>
      </c>
      <c r="I87" s="10">
        <f>I86*$E$56</f>
        <v>128257.5</v>
      </c>
      <c r="J87" s="10">
        <f>J86*$E$56</f>
        <v>128257.5</v>
      </c>
      <c r="K87" s="10">
        <f>K86*$E$56</f>
        <v>128257.5</v>
      </c>
      <c r="L87" s="31">
        <f>L86*$E$56</f>
        <v>128257.5</v>
      </c>
    </row>
    <row r="88" spans="1:12" x14ac:dyDescent="0.35">
      <c r="A88" t="s">
        <v>70</v>
      </c>
      <c r="B88" s="10">
        <f>B86-B87</f>
        <v>392432.5</v>
      </c>
      <c r="C88" s="10">
        <f>C86-C87</f>
        <v>392432.5</v>
      </c>
      <c r="D88" s="10">
        <f>D86-D87</f>
        <v>392432.5</v>
      </c>
      <c r="E88" s="31">
        <f>E86-E87</f>
        <v>392432.5</v>
      </c>
      <c r="H88" t="s">
        <v>70</v>
      </c>
      <c r="I88" s="10">
        <f>I86-I87</f>
        <v>482492.5</v>
      </c>
      <c r="J88" s="10">
        <f>J86-J87</f>
        <v>482492.5</v>
      </c>
      <c r="K88" s="10">
        <f>K86-K87</f>
        <v>482492.5</v>
      </c>
      <c r="L88" s="31">
        <f>L86-L87</f>
        <v>482492.5</v>
      </c>
    </row>
    <row r="89" spans="1:12" x14ac:dyDescent="0.35">
      <c r="F89" s="15"/>
    </row>
    <row r="91" spans="1:12" ht="18.5" x14ac:dyDescent="0.45">
      <c r="A91" s="91" t="s">
        <v>92</v>
      </c>
      <c r="B91" s="91"/>
      <c r="C91" s="91"/>
      <c r="D91" s="91"/>
    </row>
    <row r="92" spans="1:12" x14ac:dyDescent="0.35">
      <c r="A92" t="s">
        <v>93</v>
      </c>
    </row>
    <row r="93" spans="1:12" x14ac:dyDescent="0.35">
      <c r="A93" s="9" t="s">
        <v>94</v>
      </c>
      <c r="B93" t="s">
        <v>95</v>
      </c>
      <c r="C93" t="s">
        <v>96</v>
      </c>
      <c r="D93" t="s">
        <v>97</v>
      </c>
    </row>
    <row r="94" spans="1:12" x14ac:dyDescent="0.35">
      <c r="A94" s="40" t="s">
        <v>11</v>
      </c>
      <c r="B94" s="16" t="s">
        <v>46</v>
      </c>
      <c r="C94" s="16" t="s">
        <v>46</v>
      </c>
      <c r="D94" s="15">
        <f>B28</f>
        <v>-10000</v>
      </c>
    </row>
    <row r="95" spans="1:12" x14ac:dyDescent="0.35">
      <c r="A95" s="40" t="s">
        <v>48</v>
      </c>
      <c r="B95" s="15">
        <f>C29</f>
        <v>-12000</v>
      </c>
      <c r="C95" s="15">
        <f>B95/12</f>
        <v>-1000</v>
      </c>
      <c r="D95" s="16" t="s">
        <v>46</v>
      </c>
    </row>
    <row r="96" spans="1:12" x14ac:dyDescent="0.35">
      <c r="A96" s="40" t="s">
        <v>50</v>
      </c>
      <c r="B96" s="16" t="s">
        <v>46</v>
      </c>
      <c r="C96" s="16" t="s">
        <v>46</v>
      </c>
      <c r="D96" s="15">
        <f>B30</f>
        <v>-300</v>
      </c>
    </row>
    <row r="97" spans="1:6" x14ac:dyDescent="0.35">
      <c r="A97" s="40" t="s">
        <v>58</v>
      </c>
      <c r="B97" s="15">
        <f>B35</f>
        <v>-458333.33333333331</v>
      </c>
      <c r="C97" s="15">
        <f>B97/12</f>
        <v>-38194.444444444445</v>
      </c>
      <c r="D97" s="16" t="s">
        <v>46</v>
      </c>
    </row>
    <row r="98" spans="1:6" x14ac:dyDescent="0.35">
      <c r="A98" s="40" t="s">
        <v>60</v>
      </c>
      <c r="B98" s="15">
        <f>B36</f>
        <v>-500000</v>
      </c>
      <c r="C98" s="15">
        <f>B98/12</f>
        <v>-41666.666666666664</v>
      </c>
      <c r="D98" s="16" t="s">
        <v>46</v>
      </c>
    </row>
    <row r="99" spans="1:6" x14ac:dyDescent="0.35">
      <c r="A99" s="41" t="s">
        <v>98</v>
      </c>
      <c r="B99">
        <f>SUM(B94:B98)</f>
        <v>-970333.33333333326</v>
      </c>
      <c r="C99">
        <f>SUM(C94:C98)</f>
        <v>-80861.111111111109</v>
      </c>
      <c r="D99">
        <f>SUM(D94:D98)</f>
        <v>-10300</v>
      </c>
      <c r="E99" s="42">
        <f>SUM(B99:D99)</f>
        <v>-1061494.4444444443</v>
      </c>
      <c r="F99" t="s">
        <v>99</v>
      </c>
    </row>
    <row r="101" spans="1:6" x14ac:dyDescent="0.35">
      <c r="A101" s="43" t="s">
        <v>100</v>
      </c>
      <c r="B101" s="10">
        <f>$B$39</f>
        <v>60</v>
      </c>
    </row>
    <row r="102" spans="1:6" x14ac:dyDescent="0.35">
      <c r="A102" t="s">
        <v>101</v>
      </c>
      <c r="B102" s="12">
        <f>$B$40</f>
        <v>84</v>
      </c>
    </row>
    <row r="103" spans="1:6" x14ac:dyDescent="0.35">
      <c r="A103" t="s">
        <v>102</v>
      </c>
      <c r="B103" s="13">
        <f>B102-B101</f>
        <v>24</v>
      </c>
    </row>
    <row r="105" spans="1:6" x14ac:dyDescent="0.35">
      <c r="A105" s="44" t="s">
        <v>93</v>
      </c>
    </row>
    <row r="106" spans="1:6" x14ac:dyDescent="0.35">
      <c r="A106" t="s">
        <v>103</v>
      </c>
      <c r="B106" s="45">
        <f>-E99/B103</f>
        <v>44228.935185185175</v>
      </c>
      <c r="C106" t="s">
        <v>104</v>
      </c>
    </row>
  </sheetData>
  <mergeCells count="7">
    <mergeCell ref="A91:D91"/>
    <mergeCell ref="B26:D26"/>
    <mergeCell ref="B42:D42"/>
    <mergeCell ref="A60:D60"/>
    <mergeCell ref="B61:M61"/>
    <mergeCell ref="B77:E77"/>
    <mergeCell ref="I77:L77"/>
  </mergeCells>
  <hyperlinks>
    <hyperlink ref="A18" r:id="rId1" xr:uid="{F1C336FF-7E07-40BF-8DF0-B6D3D55AE015}"/>
    <hyperlink ref="F56" r:id="rId2" xr:uid="{ECEF13BA-8BB9-496F-97E2-D8BA7DE54AAE}"/>
    <hyperlink ref="A16" r:id="rId3" xr:uid="{74BDACE3-9F45-4210-8E4A-D666EF9371CD}"/>
    <hyperlink ref="A17" r:id="rId4" xr:uid="{0F732277-1B43-4467-9FBF-A95D17C5888D}"/>
    <hyperlink ref="H2" r:id="rId5" xr:uid="{48050C26-F2EA-406A-A3D4-78DE72C594B7}"/>
    <hyperlink ref="H3" r:id="rId6" xr:uid="{2EB8FFE4-A3CF-4DA9-A381-E382A43D986C}"/>
    <hyperlink ref="A15" r:id="rId7" xr:uid="{98592AA8-6321-4611-8297-9CAD81E9CA48}"/>
    <hyperlink ref="A34" r:id="rId8" xr:uid="{7758A4E6-D702-424E-A1E9-DC93FC07F2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FDBF-862D-4032-B19A-0E844C50B2C6}">
  <dimension ref="A1:M128"/>
  <sheetViews>
    <sheetView tabSelected="1" topLeftCell="A71" workbookViewId="0">
      <selection activeCell="B92" sqref="B92:M92"/>
    </sheetView>
  </sheetViews>
  <sheetFormatPr defaultRowHeight="14.5" x14ac:dyDescent="0.35"/>
  <cols>
    <col min="1" max="1" width="23.81640625" bestFit="1" customWidth="1"/>
    <col min="2" max="13" width="15.26953125" customWidth="1"/>
    <col min="14" max="14" width="11.26953125" bestFit="1" customWidth="1"/>
  </cols>
  <sheetData>
    <row r="1" spans="1:10" x14ac:dyDescent="0.35">
      <c r="A1" t="s">
        <v>16</v>
      </c>
    </row>
    <row r="2" spans="1:10" x14ac:dyDescent="0.35">
      <c r="A2" t="s">
        <v>17</v>
      </c>
      <c r="F2" s="3">
        <v>84230000</v>
      </c>
      <c r="H2" s="4" t="s">
        <v>18</v>
      </c>
    </row>
    <row r="3" spans="1:10" x14ac:dyDescent="0.35">
      <c r="A3" t="s">
        <v>19</v>
      </c>
      <c r="F3" s="46">
        <v>0.4</v>
      </c>
      <c r="H3" s="4" t="s">
        <v>18</v>
      </c>
    </row>
    <row r="6" spans="1:10" x14ac:dyDescent="0.35">
      <c r="A6" t="s">
        <v>20</v>
      </c>
      <c r="F6" s="6">
        <f>F2*F3</f>
        <v>33692000</v>
      </c>
    </row>
    <row r="7" spans="1:10" x14ac:dyDescent="0.35">
      <c r="A7" t="s">
        <v>21</v>
      </c>
      <c r="F7" s="7">
        <f>F6*50%</f>
        <v>16846000</v>
      </c>
      <c r="G7" t="s">
        <v>22</v>
      </c>
    </row>
    <row r="8" spans="1:10" x14ac:dyDescent="0.35">
      <c r="A8" t="s">
        <v>23</v>
      </c>
      <c r="F8" s="7">
        <f>F7*30%</f>
        <v>5053800</v>
      </c>
      <c r="G8" s="8" t="s">
        <v>24</v>
      </c>
    </row>
    <row r="9" spans="1:10" x14ac:dyDescent="0.35">
      <c r="F9" s="7"/>
      <c r="G9" s="8"/>
    </row>
    <row r="10" spans="1:10" x14ac:dyDescent="0.35">
      <c r="A10" s="9" t="s">
        <v>25</v>
      </c>
    </row>
    <row r="11" spans="1:10" x14ac:dyDescent="0.35">
      <c r="A11" t="s">
        <v>26</v>
      </c>
      <c r="G11" t="s">
        <v>27</v>
      </c>
    </row>
    <row r="12" spans="1:10" x14ac:dyDescent="0.35">
      <c r="A12" s="4" t="s">
        <v>28</v>
      </c>
      <c r="F12" s="10">
        <v>29</v>
      </c>
      <c r="J12" s="10"/>
    </row>
    <row r="13" spans="1:10" ht="15" thickBot="1" x14ac:dyDescent="0.4">
      <c r="A13" s="4" t="s">
        <v>29</v>
      </c>
      <c r="F13" s="10">
        <v>25</v>
      </c>
      <c r="J13" s="10"/>
    </row>
    <row r="14" spans="1:10" ht="15" thickBot="1" x14ac:dyDescent="0.4">
      <c r="A14" s="11" t="s">
        <v>30</v>
      </c>
      <c r="F14" s="10">
        <v>9.8800000000000008</v>
      </c>
      <c r="G14" t="s">
        <v>31</v>
      </c>
      <c r="J14" s="10"/>
    </row>
    <row r="15" spans="1:10" x14ac:dyDescent="0.35">
      <c r="A15" s="4" t="s">
        <v>32</v>
      </c>
      <c r="F15" s="12">
        <v>29.88</v>
      </c>
      <c r="J15" s="10"/>
    </row>
    <row r="16" spans="1:10" x14ac:dyDescent="0.35">
      <c r="A16" s="9" t="s">
        <v>33</v>
      </c>
      <c r="F16" s="13">
        <f>AVERAGE(F12, F13,F15)</f>
        <v>27.959999999999997</v>
      </c>
      <c r="G16" t="s">
        <v>34</v>
      </c>
      <c r="J16" s="10"/>
    </row>
    <row r="17" spans="1:13" x14ac:dyDescent="0.35">
      <c r="J17" s="10"/>
    </row>
    <row r="18" spans="1:13" x14ac:dyDescent="0.35">
      <c r="A18" t="s">
        <v>35</v>
      </c>
      <c r="F18" s="13">
        <f>60%*F16</f>
        <v>16.775999999999996</v>
      </c>
      <c r="G18" t="s">
        <v>36</v>
      </c>
    </row>
    <row r="19" spans="1:13" x14ac:dyDescent="0.35">
      <c r="A19" t="s">
        <v>37</v>
      </c>
      <c r="E19" s="10"/>
      <c r="F19" s="10">
        <v>60</v>
      </c>
      <c r="G19" s="8" t="s">
        <v>38</v>
      </c>
    </row>
    <row r="21" spans="1:13" x14ac:dyDescent="0.35">
      <c r="A21" t="s">
        <v>39</v>
      </c>
      <c r="F21" s="15">
        <v>100000</v>
      </c>
      <c r="G21" t="s">
        <v>40</v>
      </c>
    </row>
    <row r="23" spans="1:13" x14ac:dyDescent="0.35">
      <c r="B23" s="90" t="s">
        <v>41</v>
      </c>
      <c r="C23" s="90"/>
      <c r="D23" s="90"/>
    </row>
    <row r="24" spans="1:13" x14ac:dyDescent="0.35">
      <c r="A24" t="s">
        <v>42</v>
      </c>
      <c r="B24" s="16" t="s">
        <v>43</v>
      </c>
      <c r="C24" s="16" t="s">
        <v>44</v>
      </c>
      <c r="D24" s="16" t="s">
        <v>45</v>
      </c>
    </row>
    <row r="25" spans="1:13" x14ac:dyDescent="0.35">
      <c r="A25" t="s">
        <v>11</v>
      </c>
      <c r="B25" s="15">
        <v>-10000</v>
      </c>
      <c r="C25" s="16" t="s">
        <v>46</v>
      </c>
      <c r="D25" s="16" t="s">
        <v>46</v>
      </c>
      <c r="G25" t="s">
        <v>47</v>
      </c>
    </row>
    <row r="26" spans="1:13" x14ac:dyDescent="0.35">
      <c r="A26" t="s">
        <v>48</v>
      </c>
      <c r="B26" s="15">
        <f>'[1]Pro Forma Income Statement'!B27</f>
        <v>-5000</v>
      </c>
      <c r="C26" s="15">
        <f>'[1]Pro Forma Income Statement'!C27</f>
        <v>-12000</v>
      </c>
      <c r="D26" s="15">
        <f>'[1]Pro Forma Income Statement'!D27</f>
        <v>-12000</v>
      </c>
      <c r="G26" t="s">
        <v>49</v>
      </c>
    </row>
    <row r="27" spans="1:13" x14ac:dyDescent="0.35">
      <c r="A27" t="s">
        <v>50</v>
      </c>
      <c r="B27" s="15">
        <v>-300</v>
      </c>
      <c r="C27" s="16" t="s">
        <v>46</v>
      </c>
      <c r="D27" s="16" t="s">
        <v>46</v>
      </c>
    </row>
    <row r="28" spans="1:13" x14ac:dyDescent="0.35">
      <c r="A28" t="s">
        <v>51</v>
      </c>
      <c r="B28" s="5">
        <v>0</v>
      </c>
      <c r="C28" s="5">
        <f>(C29-B29)/B29</f>
        <v>0.14545454545454545</v>
      </c>
      <c r="D28" s="5">
        <f>(D29-C29)/C29</f>
        <v>0.15079365079365079</v>
      </c>
    </row>
    <row r="29" spans="1:13" x14ac:dyDescent="0.35">
      <c r="A29" t="s">
        <v>52</v>
      </c>
      <c r="B29" s="6">
        <v>110000</v>
      </c>
      <c r="C29" s="17">
        <v>126000</v>
      </c>
      <c r="D29" s="17">
        <v>145000</v>
      </c>
      <c r="E29" s="7"/>
      <c r="G29" t="s">
        <v>53</v>
      </c>
    </row>
    <row r="30" spans="1:13" x14ac:dyDescent="0.35">
      <c r="A30" t="s">
        <v>54</v>
      </c>
      <c r="B30" s="15">
        <f>-B29*$F$19</f>
        <v>-6600000</v>
      </c>
      <c r="C30" s="10">
        <f>-C29*$F$19</f>
        <v>-7560000</v>
      </c>
      <c r="D30" s="10">
        <f>-D29*$F$19</f>
        <v>-8700000</v>
      </c>
      <c r="F30" s="18"/>
      <c r="G30" t="s">
        <v>105</v>
      </c>
      <c r="I30" s="19">
        <f>1100000/F8</f>
        <v>0.21765799992085164</v>
      </c>
      <c r="J30" t="s">
        <v>56</v>
      </c>
      <c r="M30" s="5">
        <v>0.05</v>
      </c>
    </row>
    <row r="31" spans="1:13" x14ac:dyDescent="0.35">
      <c r="A31" s="4" t="s">
        <v>57</v>
      </c>
      <c r="B31" s="15">
        <f>-B29*10</f>
        <v>-1100000</v>
      </c>
      <c r="C31" s="15">
        <f>-C29*10</f>
        <v>-1260000</v>
      </c>
      <c r="D31" s="15">
        <f>-D29*10</f>
        <v>-1450000</v>
      </c>
      <c r="F31" s="18"/>
      <c r="I31" s="19"/>
      <c r="M31" s="5"/>
    </row>
    <row r="32" spans="1:13" x14ac:dyDescent="0.35">
      <c r="A32" t="s">
        <v>58</v>
      </c>
      <c r="B32" s="15">
        <f>'[1]Pro Forma Income Statement'!B31</f>
        <v>-458333.33333333331</v>
      </c>
      <c r="C32" s="15">
        <f>'[1]Pro Forma Income Statement'!C31</f>
        <v>-525000</v>
      </c>
      <c r="D32" s="15">
        <f>'[1]Pro Forma Income Statement'!D31</f>
        <v>-551250</v>
      </c>
    </row>
    <row r="33" spans="1:7" x14ac:dyDescent="0.35">
      <c r="A33" t="s">
        <v>60</v>
      </c>
      <c r="B33" s="20">
        <f>-$F$21*5</f>
        <v>-500000</v>
      </c>
      <c r="C33" s="20">
        <f>$B$33</f>
        <v>-500000</v>
      </c>
      <c r="D33" s="20">
        <f>$B$33</f>
        <v>-500000</v>
      </c>
    </row>
    <row r="34" spans="1:7" x14ac:dyDescent="0.35">
      <c r="A34" t="s">
        <v>61</v>
      </c>
      <c r="B34" s="15">
        <f>SUM(B25:B33)-B29</f>
        <v>-8673633.3333333321</v>
      </c>
      <c r="C34" s="15">
        <f>SUM(C25:C33)-C29</f>
        <v>-9856999.8545454554</v>
      </c>
      <c r="D34" s="15">
        <f>SUM(D25:D33)-D29</f>
        <v>-11213249.849206349</v>
      </c>
    </row>
    <row r="36" spans="1:7" x14ac:dyDescent="0.35">
      <c r="A36" t="s">
        <v>62</v>
      </c>
      <c r="B36" s="10">
        <f>F19</f>
        <v>60</v>
      </c>
    </row>
    <row r="37" spans="1:7" x14ac:dyDescent="0.35">
      <c r="A37" t="s">
        <v>63</v>
      </c>
      <c r="B37" s="10">
        <f>1.4*F19</f>
        <v>84</v>
      </c>
      <c r="G37" s="14" t="s">
        <v>64</v>
      </c>
    </row>
    <row r="39" spans="1:7" x14ac:dyDescent="0.35">
      <c r="B39" s="90" t="s">
        <v>65</v>
      </c>
      <c r="C39" s="90"/>
      <c r="D39" s="90"/>
    </row>
    <row r="40" spans="1:7" x14ac:dyDescent="0.35">
      <c r="A40" t="s">
        <v>42</v>
      </c>
      <c r="B40" s="16" t="s">
        <v>43</v>
      </c>
      <c r="C40" s="16" t="s">
        <v>44</v>
      </c>
      <c r="D40" s="16" t="s">
        <v>45</v>
      </c>
    </row>
    <row r="41" spans="1:7" x14ac:dyDescent="0.35">
      <c r="A41" t="s">
        <v>11</v>
      </c>
      <c r="B41" s="15">
        <v>-10000</v>
      </c>
      <c r="C41" s="16" t="s">
        <v>46</v>
      </c>
      <c r="D41" s="16" t="s">
        <v>46</v>
      </c>
    </row>
    <row r="42" spans="1:7" x14ac:dyDescent="0.35">
      <c r="A42" t="s">
        <v>48</v>
      </c>
      <c r="B42" s="15">
        <f>B26</f>
        <v>-5000</v>
      </c>
      <c r="C42" s="15">
        <f>C26</f>
        <v>-12000</v>
      </c>
      <c r="D42" s="15">
        <f>D26</f>
        <v>-12000</v>
      </c>
    </row>
    <row r="43" spans="1:7" x14ac:dyDescent="0.35">
      <c r="A43" t="s">
        <v>50</v>
      </c>
      <c r="B43" s="15">
        <v>-300</v>
      </c>
      <c r="C43" s="16" t="s">
        <v>46</v>
      </c>
      <c r="D43" s="16" t="s">
        <v>46</v>
      </c>
    </row>
    <row r="44" spans="1:7" x14ac:dyDescent="0.35">
      <c r="A44" t="s">
        <v>51</v>
      </c>
      <c r="B44" s="5">
        <v>0</v>
      </c>
      <c r="C44" s="5">
        <f>(C45-B45)/B45</f>
        <v>0.14545454545454545</v>
      </c>
      <c r="D44" s="5">
        <f>(D45-C45)/C45</f>
        <v>0.15079365079365079</v>
      </c>
    </row>
    <row r="45" spans="1:7" x14ac:dyDescent="0.35">
      <c r="A45" t="s">
        <v>52</v>
      </c>
      <c r="B45" s="6">
        <v>110000</v>
      </c>
      <c r="C45" s="17">
        <v>126000</v>
      </c>
      <c r="D45" s="17">
        <v>145000</v>
      </c>
    </row>
    <row r="46" spans="1:7" x14ac:dyDescent="0.35">
      <c r="A46" t="s">
        <v>54</v>
      </c>
      <c r="B46" s="15">
        <f>-B45*$F$19</f>
        <v>-6600000</v>
      </c>
      <c r="C46" s="10">
        <f>-C45*$F$19</f>
        <v>-7560000</v>
      </c>
      <c r="D46" s="10">
        <f>-D45*$F$19</f>
        <v>-8700000</v>
      </c>
    </row>
    <row r="47" spans="1:7" x14ac:dyDescent="0.35">
      <c r="A47" t="s">
        <v>57</v>
      </c>
      <c r="B47" s="15">
        <f>-B45*10</f>
        <v>-1100000</v>
      </c>
      <c r="C47" s="15">
        <f t="shared" ref="C47:D47" si="0">-C45*10</f>
        <v>-1260000</v>
      </c>
      <c r="D47" s="15">
        <f t="shared" si="0"/>
        <v>-1450000</v>
      </c>
    </row>
    <row r="48" spans="1:7" x14ac:dyDescent="0.35">
      <c r="A48" t="s">
        <v>58</v>
      </c>
      <c r="B48" s="15">
        <f t="shared" ref="B48:D49" si="1">B32</f>
        <v>-458333.33333333331</v>
      </c>
      <c r="C48" s="15">
        <f t="shared" si="1"/>
        <v>-525000</v>
      </c>
      <c r="D48" s="15">
        <f t="shared" si="1"/>
        <v>-551250</v>
      </c>
    </row>
    <row r="49" spans="1:13" x14ac:dyDescent="0.35">
      <c r="A49" t="s">
        <v>60</v>
      </c>
      <c r="B49" s="20">
        <f t="shared" si="1"/>
        <v>-500000</v>
      </c>
      <c r="C49" s="20">
        <f t="shared" si="1"/>
        <v>-500000</v>
      </c>
      <c r="D49" s="20">
        <f t="shared" si="1"/>
        <v>-500000</v>
      </c>
    </row>
    <row r="50" spans="1:13" x14ac:dyDescent="0.35">
      <c r="A50" t="s">
        <v>61</v>
      </c>
      <c r="B50" s="15">
        <f>SUM(B41:B49)-B45</f>
        <v>-8673633.3333333321</v>
      </c>
      <c r="C50" s="15">
        <f>SUM(C41:C49)-C45</f>
        <v>-9856999.8545454554</v>
      </c>
      <c r="D50" s="15">
        <f>SUM(D41:D49)-D45</f>
        <v>-11213249.849206349</v>
      </c>
    </row>
    <row r="51" spans="1:13" x14ac:dyDescent="0.35">
      <c r="A51" t="s">
        <v>66</v>
      </c>
      <c r="B51" s="21">
        <f>B45*$B$37</f>
        <v>9240000</v>
      </c>
      <c r="C51" s="21">
        <f>C45*$B$37</f>
        <v>10584000</v>
      </c>
      <c r="D51" s="21">
        <f>D45*$B$37</f>
        <v>12180000</v>
      </c>
    </row>
    <row r="52" spans="1:13" x14ac:dyDescent="0.35">
      <c r="A52" t="s">
        <v>67</v>
      </c>
      <c r="B52" s="22">
        <f>B51+B50</f>
        <v>566366.66666666791</v>
      </c>
      <c r="C52" s="23">
        <f>C51+C50</f>
        <v>727000.14545454457</v>
      </c>
      <c r="D52" s="23">
        <f>D51+D50</f>
        <v>966750.15079365112</v>
      </c>
    </row>
    <row r="53" spans="1:13" x14ac:dyDescent="0.35">
      <c r="A53" t="s">
        <v>68</v>
      </c>
      <c r="B53" s="24" t="s">
        <v>46</v>
      </c>
      <c r="C53" s="23">
        <f>C52*$E$53</f>
        <v>152670.03054545436</v>
      </c>
      <c r="D53" s="23">
        <f>D52*$E$53</f>
        <v>203017.53166666673</v>
      </c>
      <c r="E53" s="5">
        <v>0.21</v>
      </c>
      <c r="F53" s="4" t="s">
        <v>69</v>
      </c>
    </row>
    <row r="54" spans="1:13" x14ac:dyDescent="0.35">
      <c r="A54" t="s">
        <v>70</v>
      </c>
      <c r="B54" s="25">
        <f>SUM(B72:M72)</f>
        <v>339416.66666666605</v>
      </c>
      <c r="C54" s="23">
        <f>C52-C53</f>
        <v>574330.11490909022</v>
      </c>
      <c r="D54" s="23">
        <f>D52-D53</f>
        <v>763732.61912698438</v>
      </c>
    </row>
    <row r="57" spans="1:13" ht="18.5" x14ac:dyDescent="0.45">
      <c r="A57" s="91" t="s">
        <v>92</v>
      </c>
      <c r="B57" s="91"/>
      <c r="C57" s="91"/>
      <c r="D57" s="91"/>
    </row>
    <row r="58" spans="1:13" ht="18.5" x14ac:dyDescent="0.45">
      <c r="A58" s="16"/>
      <c r="B58" s="92" t="s">
        <v>72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</row>
    <row r="59" spans="1:13" x14ac:dyDescent="0.35">
      <c r="A59" s="16"/>
      <c r="B59" s="16" t="s">
        <v>160</v>
      </c>
      <c r="C59" s="16" t="s">
        <v>161</v>
      </c>
      <c r="D59" s="16" t="s">
        <v>162</v>
      </c>
      <c r="E59" s="16" t="s">
        <v>163</v>
      </c>
      <c r="F59" s="16" t="s">
        <v>164</v>
      </c>
      <c r="G59" s="16" t="s">
        <v>165</v>
      </c>
      <c r="H59" s="16" t="s">
        <v>166</v>
      </c>
      <c r="I59" s="16" t="s">
        <v>167</v>
      </c>
      <c r="J59" s="16" t="s">
        <v>168</v>
      </c>
      <c r="K59" s="16" t="s">
        <v>169</v>
      </c>
      <c r="L59" s="16" t="s">
        <v>170</v>
      </c>
      <c r="M59" s="26" t="s">
        <v>171</v>
      </c>
    </row>
    <row r="60" spans="1:13" x14ac:dyDescent="0.35">
      <c r="A60" t="s">
        <v>11</v>
      </c>
      <c r="B60" s="23">
        <f>'[1]Pro Forma Income Statement'!B57</f>
        <v>0</v>
      </c>
      <c r="C60" s="23">
        <f>'[1]Pro Forma Income Statement'!C57</f>
        <v>0</v>
      </c>
      <c r="D60" s="25">
        <f>'Pro Forma Income Statement'!D63</f>
        <v>-10000</v>
      </c>
      <c r="E60" s="23">
        <f>'[1]Pro Forma Income Statement'!E57</f>
        <v>0</v>
      </c>
      <c r="F60" s="23">
        <f>'[1]Pro Forma Income Statement'!F57</f>
        <v>0</v>
      </c>
      <c r="G60" s="23">
        <f>'[1]Pro Forma Income Statement'!G57</f>
        <v>0</v>
      </c>
      <c r="H60" s="23">
        <f>'[1]Pro Forma Income Statement'!H57</f>
        <v>0</v>
      </c>
      <c r="I60" s="23">
        <f>'[1]Pro Forma Income Statement'!I57</f>
        <v>0</v>
      </c>
      <c r="J60" s="23">
        <f>'[1]Pro Forma Income Statement'!J57</f>
        <v>0</v>
      </c>
      <c r="K60" s="23">
        <f>'[1]Pro Forma Income Statement'!K57</f>
        <v>0</v>
      </c>
      <c r="L60" s="23">
        <f>'[1]Pro Forma Income Statement'!L57</f>
        <v>0</v>
      </c>
      <c r="M60" s="39">
        <f>'[1]Pro Forma Income Statement'!M57</f>
        <v>0</v>
      </c>
    </row>
    <row r="61" spans="1:13" x14ac:dyDescent="0.35">
      <c r="A61" t="s">
        <v>48</v>
      </c>
      <c r="B61" s="23">
        <f>'[1]Pro Forma Income Statement'!B58</f>
        <v>0</v>
      </c>
      <c r="C61" s="23">
        <f>'[1]Pro Forma Income Statement'!C58</f>
        <v>0</v>
      </c>
      <c r="D61" s="23">
        <f>'[1]Pro Forma Income Statement'!D58</f>
        <v>0</v>
      </c>
      <c r="E61" s="23">
        <f>'[1]Pro Forma Income Statement'!E58</f>
        <v>0</v>
      </c>
      <c r="F61" s="23">
        <f>'[1]Pro Forma Income Statement'!F58</f>
        <v>0</v>
      </c>
      <c r="G61" s="23">
        <f>'[1]Pro Forma Income Statement'!G58</f>
        <v>0</v>
      </c>
      <c r="H61" s="23">
        <f>'[1]Pro Forma Income Statement'!H58</f>
        <v>0</v>
      </c>
      <c r="I61" s="23">
        <f>'[1]Pro Forma Income Statement'!I58</f>
        <v>1000</v>
      </c>
      <c r="J61" s="23">
        <f>'[1]Pro Forma Income Statement'!J58</f>
        <v>1000</v>
      </c>
      <c r="K61" s="23">
        <f>'[1]Pro Forma Income Statement'!K58</f>
        <v>1000</v>
      </c>
      <c r="L61" s="23">
        <f>'[1]Pro Forma Income Statement'!L58</f>
        <v>1000</v>
      </c>
      <c r="M61" s="39">
        <f>'[1]Pro Forma Income Statement'!M58</f>
        <v>1000</v>
      </c>
    </row>
    <row r="62" spans="1:13" x14ac:dyDescent="0.35">
      <c r="A62" t="s">
        <v>50</v>
      </c>
      <c r="B62" s="15">
        <f>B43</f>
        <v>-300</v>
      </c>
      <c r="I62" s="16" t="s">
        <v>46</v>
      </c>
      <c r="J62" s="16" t="s">
        <v>46</v>
      </c>
      <c r="K62" s="16" t="s">
        <v>46</v>
      </c>
      <c r="L62" s="16" t="s">
        <v>46</v>
      </c>
      <c r="M62" s="47" t="s">
        <v>46</v>
      </c>
    </row>
    <row r="63" spans="1:13" x14ac:dyDescent="0.35">
      <c r="A63" t="s">
        <v>52</v>
      </c>
      <c r="B63" s="16" t="s">
        <v>46</v>
      </c>
      <c r="C63" s="16" t="s">
        <v>46</v>
      </c>
      <c r="D63" s="16" t="s">
        <v>46</v>
      </c>
      <c r="E63" s="16" t="s">
        <v>46</v>
      </c>
      <c r="F63" s="16" t="s">
        <v>46</v>
      </c>
      <c r="G63" s="16" t="s">
        <v>46</v>
      </c>
      <c r="H63" s="16" t="s">
        <v>46</v>
      </c>
      <c r="I63" s="29">
        <f>B45/5</f>
        <v>22000</v>
      </c>
      <c r="J63" s="29">
        <f>I63</f>
        <v>22000</v>
      </c>
      <c r="K63" s="29">
        <f>J63</f>
        <v>22000</v>
      </c>
      <c r="L63" s="29">
        <f>K63</f>
        <v>22000</v>
      </c>
      <c r="M63" s="30">
        <f>L63</f>
        <v>22000</v>
      </c>
    </row>
    <row r="64" spans="1:13" x14ac:dyDescent="0.35">
      <c r="A64" t="s">
        <v>54</v>
      </c>
      <c r="B64" s="16" t="s">
        <v>46</v>
      </c>
      <c r="C64" s="16" t="s">
        <v>46</v>
      </c>
      <c r="D64" s="16" t="s">
        <v>46</v>
      </c>
      <c r="E64" s="16" t="s">
        <v>46</v>
      </c>
      <c r="F64" s="16" t="s">
        <v>46</v>
      </c>
      <c r="G64" s="16" t="s">
        <v>46</v>
      </c>
      <c r="H64" s="16" t="s">
        <v>46</v>
      </c>
      <c r="I64" s="10">
        <f>-I63*$B$36</f>
        <v>-1320000</v>
      </c>
      <c r="J64" s="10">
        <f>-J63*$B$36</f>
        <v>-1320000</v>
      </c>
      <c r="K64" s="10">
        <f>-K63*$B$36</f>
        <v>-1320000</v>
      </c>
      <c r="L64" s="10">
        <f>-L63*$B$36</f>
        <v>-1320000</v>
      </c>
      <c r="M64" s="31">
        <f>-M63*$B$36</f>
        <v>-1320000</v>
      </c>
    </row>
    <row r="65" spans="1:13" x14ac:dyDescent="0.35">
      <c r="A65" t="s">
        <v>57</v>
      </c>
      <c r="B65" s="21"/>
      <c r="C65" s="21"/>
      <c r="D65" s="21"/>
      <c r="E65" s="21"/>
      <c r="F65" s="21"/>
      <c r="G65" s="21"/>
      <c r="H65" s="21"/>
      <c r="I65" s="10">
        <f>-I63*10</f>
        <v>-220000</v>
      </c>
      <c r="J65" s="10">
        <f t="shared" ref="J65:M65" si="2">-J63*10</f>
        <v>-220000</v>
      </c>
      <c r="K65" s="10">
        <f t="shared" si="2"/>
        <v>-220000</v>
      </c>
      <c r="L65" s="10">
        <f t="shared" si="2"/>
        <v>-220000</v>
      </c>
      <c r="M65" s="10">
        <f t="shared" si="2"/>
        <v>-220000</v>
      </c>
    </row>
    <row r="66" spans="1:13" x14ac:dyDescent="0.35">
      <c r="A66" t="s">
        <v>58</v>
      </c>
      <c r="B66" s="23">
        <f>'[1]Pro Forma Income Statement'!B62</f>
        <v>0</v>
      </c>
      <c r="C66" s="22">
        <f>B32/11</f>
        <v>-41666.666666666664</v>
      </c>
      <c r="D66" s="22">
        <f>'[1]Pro Forma Income Statement'!D62</f>
        <v>-41666.666666666664</v>
      </c>
      <c r="E66" s="22">
        <f>'[1]Pro Forma Income Statement'!E62</f>
        <v>-41666.666666666664</v>
      </c>
      <c r="F66" s="22">
        <f>'[1]Pro Forma Income Statement'!F62</f>
        <v>-41666.666666666664</v>
      </c>
      <c r="G66" s="22">
        <f>'[1]Pro Forma Income Statement'!G62</f>
        <v>-41666.666666666664</v>
      </c>
      <c r="H66" s="22">
        <f>'[1]Pro Forma Income Statement'!H62</f>
        <v>-41666.666666666664</v>
      </c>
      <c r="I66" s="22">
        <f>'[1]Pro Forma Income Statement'!I62</f>
        <v>-41666.666666666664</v>
      </c>
      <c r="J66" s="22">
        <f>'[1]Pro Forma Income Statement'!J62</f>
        <v>-41666.666666666664</v>
      </c>
      <c r="K66" s="22">
        <f>'[1]Pro Forma Income Statement'!K62</f>
        <v>-41666.666666666664</v>
      </c>
      <c r="L66" s="22">
        <f>'[1]Pro Forma Income Statement'!L62</f>
        <v>-41666.666666666664</v>
      </c>
      <c r="M66" s="48">
        <f>'[1]Pro Forma Income Statement'!M62</f>
        <v>-41666.666666666664</v>
      </c>
    </row>
    <row r="67" spans="1:13" x14ac:dyDescent="0.35">
      <c r="A67" t="s">
        <v>60</v>
      </c>
      <c r="B67" s="15">
        <f>$B$49/12</f>
        <v>-41666.666666666664</v>
      </c>
      <c r="C67" s="15">
        <f t="shared" ref="C67:M67" si="3">$B$49/12</f>
        <v>-41666.666666666664</v>
      </c>
      <c r="D67" s="15">
        <f t="shared" si="3"/>
        <v>-41666.666666666664</v>
      </c>
      <c r="E67" s="15">
        <f t="shared" si="3"/>
        <v>-41666.666666666664</v>
      </c>
      <c r="F67" s="15">
        <f t="shared" si="3"/>
        <v>-41666.666666666664</v>
      </c>
      <c r="G67" s="15">
        <f t="shared" si="3"/>
        <v>-41666.666666666664</v>
      </c>
      <c r="H67" s="15">
        <f t="shared" si="3"/>
        <v>-41666.666666666664</v>
      </c>
      <c r="I67" s="15">
        <f t="shared" si="3"/>
        <v>-41666.666666666664</v>
      </c>
      <c r="J67" s="15">
        <f t="shared" si="3"/>
        <v>-41666.666666666664</v>
      </c>
      <c r="K67" s="15">
        <f t="shared" si="3"/>
        <v>-41666.666666666664</v>
      </c>
      <c r="L67" s="15">
        <f t="shared" si="3"/>
        <v>-41666.666666666664</v>
      </c>
      <c r="M67" s="28">
        <f t="shared" si="3"/>
        <v>-41666.666666666664</v>
      </c>
    </row>
    <row r="68" spans="1:13" x14ac:dyDescent="0.35">
      <c r="A68" t="s">
        <v>61</v>
      </c>
      <c r="B68" s="15">
        <f>SUM(B60:B67)</f>
        <v>-41966.666666666664</v>
      </c>
      <c r="C68" s="15">
        <f t="shared" ref="C68:H68" si="4">SUM(C60:C67)</f>
        <v>-83333.333333333328</v>
      </c>
      <c r="D68" s="15">
        <f t="shared" si="4"/>
        <v>-93333.333333333328</v>
      </c>
      <c r="E68" s="15">
        <f t="shared" si="4"/>
        <v>-83333.333333333328</v>
      </c>
      <c r="F68" s="15">
        <f t="shared" si="4"/>
        <v>-83333.333333333328</v>
      </c>
      <c r="G68" s="15">
        <f t="shared" si="4"/>
        <v>-83333.333333333328</v>
      </c>
      <c r="H68" s="15">
        <f t="shared" si="4"/>
        <v>-83333.333333333328</v>
      </c>
      <c r="I68" s="32">
        <f>SUM(I60:I67)-I63</f>
        <v>-1622333.3333333335</v>
      </c>
      <c r="J68" s="32">
        <f>SUM(J60:J67)-J63</f>
        <v>-1622333.3333333335</v>
      </c>
      <c r="K68" s="32">
        <f>SUM(K60:K67)-K63</f>
        <v>-1622333.3333333335</v>
      </c>
      <c r="L68" s="32">
        <f>SUM(L60:L67)-L63</f>
        <v>-1622333.3333333335</v>
      </c>
      <c r="M68" s="33">
        <f>SUM(M60:M67)-M63</f>
        <v>-1622333.3333333335</v>
      </c>
    </row>
    <row r="69" spans="1:13" x14ac:dyDescent="0.35">
      <c r="A69" t="s">
        <v>66</v>
      </c>
      <c r="B69" s="49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21">
        <f>I63*$B$37</f>
        <v>1848000</v>
      </c>
      <c r="J69" s="21">
        <f>J63*$B$37</f>
        <v>1848000</v>
      </c>
      <c r="K69" s="21">
        <f>K63*$B$37</f>
        <v>1848000</v>
      </c>
      <c r="L69" s="21">
        <f>L63*$B$37</f>
        <v>1848000</v>
      </c>
      <c r="M69" s="27">
        <f>M63*$B$37</f>
        <v>1848000</v>
      </c>
    </row>
    <row r="70" spans="1:13" x14ac:dyDescent="0.35">
      <c r="A70" t="s">
        <v>67</v>
      </c>
      <c r="B70" s="15">
        <f>SUM(B68)</f>
        <v>-41966.666666666664</v>
      </c>
      <c r="C70" s="15">
        <f t="shared" ref="C70:H70" si="5">SUM(C68)</f>
        <v>-83333.333333333328</v>
      </c>
      <c r="D70" s="15">
        <f t="shared" si="5"/>
        <v>-93333.333333333328</v>
      </c>
      <c r="E70" s="15">
        <f t="shared" si="5"/>
        <v>-83333.333333333328</v>
      </c>
      <c r="F70" s="15">
        <f t="shared" si="5"/>
        <v>-83333.333333333328</v>
      </c>
      <c r="G70" s="15">
        <f t="shared" si="5"/>
        <v>-83333.333333333328</v>
      </c>
      <c r="H70" s="15">
        <f t="shared" si="5"/>
        <v>-83333.333333333328</v>
      </c>
      <c r="I70" s="34">
        <f>SUM(I68+I69)</f>
        <v>225666.66666666651</v>
      </c>
      <c r="J70" s="34">
        <f>SUM(J68+J69)</f>
        <v>225666.66666666651</v>
      </c>
      <c r="K70" s="34">
        <f>SUM(K68+K69)</f>
        <v>225666.66666666651</v>
      </c>
      <c r="L70" s="34">
        <f>SUM(L68+L69)</f>
        <v>225666.66666666651</v>
      </c>
      <c r="M70" s="35">
        <f>SUM(M68+M69)</f>
        <v>225666.66666666651</v>
      </c>
    </row>
    <row r="71" spans="1:13" x14ac:dyDescent="0.35">
      <c r="A71" t="s">
        <v>68</v>
      </c>
      <c r="B71" s="16" t="s">
        <v>46</v>
      </c>
      <c r="C71" s="16" t="s">
        <v>46</v>
      </c>
      <c r="D71" s="16" t="s">
        <v>46</v>
      </c>
      <c r="E71" s="16" t="s">
        <v>46</v>
      </c>
      <c r="F71" s="16" t="s">
        <v>46</v>
      </c>
      <c r="G71" s="16" t="s">
        <v>46</v>
      </c>
      <c r="H71" s="16" t="s">
        <v>46</v>
      </c>
      <c r="I71" s="34">
        <f>I70*$E$53</f>
        <v>47389.999999999964</v>
      </c>
      <c r="J71" s="34">
        <f>J70*$E$53</f>
        <v>47389.999999999964</v>
      </c>
      <c r="K71" s="34">
        <f>K70*$E$53</f>
        <v>47389.999999999964</v>
      </c>
      <c r="L71" s="34">
        <f>L70*$E$53</f>
        <v>47389.999999999964</v>
      </c>
      <c r="M71" s="35">
        <f>M70*$E$53</f>
        <v>47389.999999999964</v>
      </c>
    </row>
    <row r="72" spans="1:13" x14ac:dyDescent="0.35">
      <c r="A72" t="s">
        <v>85</v>
      </c>
      <c r="B72" s="15">
        <f>B70</f>
        <v>-41966.666666666664</v>
      </c>
      <c r="C72" s="15">
        <f t="shared" ref="C72:H72" si="6">C70</f>
        <v>-83333.333333333328</v>
      </c>
      <c r="D72" s="15">
        <f t="shared" si="6"/>
        <v>-93333.333333333328</v>
      </c>
      <c r="E72" s="15">
        <f t="shared" si="6"/>
        <v>-83333.333333333328</v>
      </c>
      <c r="F72" s="15">
        <f t="shared" si="6"/>
        <v>-83333.333333333328</v>
      </c>
      <c r="G72" s="15">
        <f t="shared" si="6"/>
        <v>-83333.333333333328</v>
      </c>
      <c r="H72" s="15">
        <f t="shared" si="6"/>
        <v>-83333.333333333328</v>
      </c>
      <c r="I72" s="34">
        <f>I70-I71</f>
        <v>178276.66666666654</v>
      </c>
      <c r="J72" s="34">
        <f>J70-J71</f>
        <v>178276.66666666654</v>
      </c>
      <c r="K72" s="34">
        <f>K70-K71</f>
        <v>178276.66666666654</v>
      </c>
      <c r="L72" s="34">
        <f>L70-L71</f>
        <v>178276.66666666654</v>
      </c>
      <c r="M72" s="35">
        <f>M70-M71</f>
        <v>178276.66666666654</v>
      </c>
    </row>
    <row r="73" spans="1:13" x14ac:dyDescent="0.35">
      <c r="A73" s="44" t="s">
        <v>118</v>
      </c>
      <c r="B73" s="15">
        <f>B72</f>
        <v>-41966.666666666664</v>
      </c>
      <c r="C73" s="15">
        <f>B73+C72</f>
        <v>-125300</v>
      </c>
      <c r="D73" s="15">
        <f t="shared" ref="D73:M73" si="7">C73+D72</f>
        <v>-218633.33333333331</v>
      </c>
      <c r="E73" s="15">
        <f t="shared" si="7"/>
        <v>-301966.66666666663</v>
      </c>
      <c r="F73" s="15">
        <f t="shared" si="7"/>
        <v>-385299.99999999994</v>
      </c>
      <c r="G73" s="15">
        <f t="shared" si="7"/>
        <v>-468633.33333333326</v>
      </c>
      <c r="H73" s="15">
        <f t="shared" si="7"/>
        <v>-551966.66666666663</v>
      </c>
      <c r="I73" s="15">
        <f t="shared" si="7"/>
        <v>-373690.00000000012</v>
      </c>
      <c r="J73" s="15">
        <f t="shared" si="7"/>
        <v>-195413.33333333358</v>
      </c>
      <c r="K73" s="15">
        <f t="shared" si="7"/>
        <v>-17136.666666667035</v>
      </c>
      <c r="L73" s="15">
        <f t="shared" si="7"/>
        <v>161139.99999999951</v>
      </c>
      <c r="M73" s="15">
        <f t="shared" si="7"/>
        <v>339416.66666666605</v>
      </c>
    </row>
    <row r="75" spans="1:13" ht="18.5" x14ac:dyDescent="0.45">
      <c r="B75" s="92" t="s">
        <v>86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</row>
    <row r="76" spans="1:13" x14ac:dyDescent="0.35">
      <c r="A76" s="16"/>
      <c r="B76" s="16" t="s">
        <v>106</v>
      </c>
      <c r="C76" s="16" t="s">
        <v>107</v>
      </c>
      <c r="D76" s="16" t="s">
        <v>108</v>
      </c>
      <c r="E76" s="16" t="s">
        <v>109</v>
      </c>
      <c r="F76" s="16" t="s">
        <v>110</v>
      </c>
      <c r="G76" s="16" t="s">
        <v>111</v>
      </c>
      <c r="H76" s="16" t="s">
        <v>112</v>
      </c>
      <c r="I76" s="16" t="s">
        <v>113</v>
      </c>
      <c r="J76" s="16" t="s">
        <v>114</v>
      </c>
      <c r="K76" s="16" t="s">
        <v>115</v>
      </c>
      <c r="L76" s="16" t="s">
        <v>116</v>
      </c>
      <c r="M76" s="26" t="s">
        <v>117</v>
      </c>
    </row>
    <row r="77" spans="1:13" x14ac:dyDescent="0.35">
      <c r="A77" t="s">
        <v>48</v>
      </c>
      <c r="B77" s="15">
        <f>C26/12</f>
        <v>-1000</v>
      </c>
      <c r="C77" s="15">
        <f>B77</f>
        <v>-1000</v>
      </c>
      <c r="D77" s="15">
        <f t="shared" ref="D77:M82" si="8">C77</f>
        <v>-1000</v>
      </c>
      <c r="E77" s="15">
        <f t="shared" si="8"/>
        <v>-1000</v>
      </c>
      <c r="F77" s="15">
        <f t="shared" si="8"/>
        <v>-1000</v>
      </c>
      <c r="G77" s="15">
        <f t="shared" si="8"/>
        <v>-1000</v>
      </c>
      <c r="H77" s="15">
        <f t="shared" si="8"/>
        <v>-1000</v>
      </c>
      <c r="I77" s="15">
        <f t="shared" si="8"/>
        <v>-1000</v>
      </c>
      <c r="J77" s="15">
        <f t="shared" si="8"/>
        <v>-1000</v>
      </c>
      <c r="K77" s="15">
        <f t="shared" si="8"/>
        <v>-1000</v>
      </c>
      <c r="L77" s="15">
        <f t="shared" si="8"/>
        <v>-1000</v>
      </c>
      <c r="M77" s="15">
        <f t="shared" si="8"/>
        <v>-1000</v>
      </c>
    </row>
    <row r="78" spans="1:13" x14ac:dyDescent="0.35">
      <c r="A78" t="s">
        <v>52</v>
      </c>
      <c r="B78" s="7">
        <f>C29/12</f>
        <v>10500</v>
      </c>
      <c r="C78" s="7">
        <f>B78</f>
        <v>10500</v>
      </c>
      <c r="D78" s="7">
        <f t="shared" si="8"/>
        <v>10500</v>
      </c>
      <c r="E78" s="7">
        <f t="shared" si="8"/>
        <v>10500</v>
      </c>
      <c r="F78" s="7">
        <f t="shared" si="8"/>
        <v>10500</v>
      </c>
      <c r="G78" s="7">
        <f t="shared" si="8"/>
        <v>10500</v>
      </c>
      <c r="H78" s="7">
        <f t="shared" si="8"/>
        <v>10500</v>
      </c>
      <c r="I78" s="7">
        <f t="shared" si="8"/>
        <v>10500</v>
      </c>
      <c r="J78" s="7">
        <f t="shared" si="8"/>
        <v>10500</v>
      </c>
      <c r="K78" s="7">
        <f t="shared" si="8"/>
        <v>10500</v>
      </c>
      <c r="L78" s="7">
        <f t="shared" si="8"/>
        <v>10500</v>
      </c>
      <c r="M78" s="7">
        <f t="shared" si="8"/>
        <v>10500</v>
      </c>
    </row>
    <row r="79" spans="1:13" x14ac:dyDescent="0.35">
      <c r="A79" t="s">
        <v>54</v>
      </c>
      <c r="B79" s="10">
        <f>-B78*$B$36</f>
        <v>-630000</v>
      </c>
      <c r="C79" s="10">
        <f>B79</f>
        <v>-630000</v>
      </c>
      <c r="D79" s="10">
        <f t="shared" si="8"/>
        <v>-630000</v>
      </c>
      <c r="E79" s="10">
        <f t="shared" si="8"/>
        <v>-630000</v>
      </c>
      <c r="F79" s="10">
        <f t="shared" si="8"/>
        <v>-630000</v>
      </c>
      <c r="G79" s="10">
        <f t="shared" si="8"/>
        <v>-630000</v>
      </c>
      <c r="H79" s="10">
        <f t="shared" si="8"/>
        <v>-630000</v>
      </c>
      <c r="I79" s="10">
        <f t="shared" si="8"/>
        <v>-630000</v>
      </c>
      <c r="J79" s="10">
        <f t="shared" si="8"/>
        <v>-630000</v>
      </c>
      <c r="K79" s="10">
        <f t="shared" si="8"/>
        <v>-630000</v>
      </c>
      <c r="L79" s="10">
        <f t="shared" si="8"/>
        <v>-630000</v>
      </c>
      <c r="M79" s="10">
        <f t="shared" si="8"/>
        <v>-630000</v>
      </c>
    </row>
    <row r="80" spans="1:13" x14ac:dyDescent="0.35">
      <c r="A80" t="s">
        <v>57</v>
      </c>
      <c r="B80" s="37">
        <f>-B78*10</f>
        <v>-105000</v>
      </c>
      <c r="C80" s="37">
        <f>-C78*10</f>
        <v>-105000</v>
      </c>
      <c r="D80" s="37">
        <f t="shared" ref="D80:M80" si="9">-D78*10</f>
        <v>-105000</v>
      </c>
      <c r="E80" s="37">
        <f t="shared" si="9"/>
        <v>-105000</v>
      </c>
      <c r="F80" s="37">
        <f t="shared" si="9"/>
        <v>-105000</v>
      </c>
      <c r="G80" s="37">
        <f t="shared" si="9"/>
        <v>-105000</v>
      </c>
      <c r="H80" s="37">
        <f t="shared" si="9"/>
        <v>-105000</v>
      </c>
      <c r="I80" s="37">
        <f t="shared" si="9"/>
        <v>-105000</v>
      </c>
      <c r="J80" s="37">
        <f t="shared" si="9"/>
        <v>-105000</v>
      </c>
      <c r="K80" s="37">
        <f t="shared" si="9"/>
        <v>-105000</v>
      </c>
      <c r="L80" s="37">
        <f t="shared" si="9"/>
        <v>-105000</v>
      </c>
      <c r="M80" s="37">
        <f t="shared" si="9"/>
        <v>-105000</v>
      </c>
    </row>
    <row r="81" spans="1:13" x14ac:dyDescent="0.35">
      <c r="A81" t="s">
        <v>58</v>
      </c>
      <c r="B81" s="15">
        <f>D48/12</f>
        <v>-45937.5</v>
      </c>
      <c r="C81" s="15">
        <f>B81</f>
        <v>-45937.5</v>
      </c>
      <c r="D81" s="15">
        <f t="shared" si="8"/>
        <v>-45937.5</v>
      </c>
      <c r="E81" s="15">
        <f t="shared" si="8"/>
        <v>-45937.5</v>
      </c>
      <c r="F81" s="15">
        <f t="shared" si="8"/>
        <v>-45937.5</v>
      </c>
      <c r="G81" s="15">
        <f t="shared" si="8"/>
        <v>-45937.5</v>
      </c>
      <c r="H81" s="15">
        <f t="shared" si="8"/>
        <v>-45937.5</v>
      </c>
      <c r="I81" s="15">
        <f t="shared" si="8"/>
        <v>-45937.5</v>
      </c>
      <c r="J81" s="15">
        <f t="shared" si="8"/>
        <v>-45937.5</v>
      </c>
      <c r="K81" s="15">
        <f t="shared" si="8"/>
        <v>-45937.5</v>
      </c>
      <c r="L81" s="15">
        <f t="shared" si="8"/>
        <v>-45937.5</v>
      </c>
      <c r="M81" s="15">
        <f t="shared" si="8"/>
        <v>-45937.5</v>
      </c>
    </row>
    <row r="82" spans="1:13" x14ac:dyDescent="0.35">
      <c r="A82" t="s">
        <v>60</v>
      </c>
      <c r="B82" s="15">
        <f>D49/12</f>
        <v>-41666.666666666664</v>
      </c>
      <c r="C82" s="15">
        <f>B82</f>
        <v>-41666.666666666664</v>
      </c>
      <c r="D82" s="15">
        <f t="shared" si="8"/>
        <v>-41666.666666666664</v>
      </c>
      <c r="E82" s="15">
        <f t="shared" si="8"/>
        <v>-41666.666666666664</v>
      </c>
      <c r="F82" s="15">
        <f t="shared" si="8"/>
        <v>-41666.666666666664</v>
      </c>
      <c r="G82" s="15">
        <f t="shared" si="8"/>
        <v>-41666.666666666664</v>
      </c>
      <c r="H82" s="15">
        <f t="shared" si="8"/>
        <v>-41666.666666666664</v>
      </c>
      <c r="I82" s="15">
        <f t="shared" si="8"/>
        <v>-41666.666666666664</v>
      </c>
      <c r="J82" s="15">
        <f t="shared" si="8"/>
        <v>-41666.666666666664</v>
      </c>
      <c r="K82" s="15">
        <f t="shared" si="8"/>
        <v>-41666.666666666664</v>
      </c>
      <c r="L82" s="15">
        <f t="shared" si="8"/>
        <v>-41666.666666666664</v>
      </c>
      <c r="M82" s="15">
        <f t="shared" si="8"/>
        <v>-41666.666666666664</v>
      </c>
    </row>
    <row r="83" spans="1:13" x14ac:dyDescent="0.35">
      <c r="A83" t="s">
        <v>61</v>
      </c>
      <c r="B83" s="15">
        <f>SUM(B77:B82)-B78</f>
        <v>-823604.16666666663</v>
      </c>
      <c r="C83" s="15">
        <f t="shared" ref="C83:M83" si="10">SUM(C77:C82)-C78</f>
        <v>-823604.16666666663</v>
      </c>
      <c r="D83" s="15">
        <f t="shared" si="10"/>
        <v>-823604.16666666663</v>
      </c>
      <c r="E83" s="15">
        <f t="shared" si="10"/>
        <v>-823604.16666666663</v>
      </c>
      <c r="F83" s="15">
        <f t="shared" si="10"/>
        <v>-823604.16666666663</v>
      </c>
      <c r="G83" s="15">
        <f t="shared" si="10"/>
        <v>-823604.16666666663</v>
      </c>
      <c r="H83" s="15">
        <f t="shared" si="10"/>
        <v>-823604.16666666663</v>
      </c>
      <c r="I83" s="15">
        <f t="shared" si="10"/>
        <v>-823604.16666666663</v>
      </c>
      <c r="J83" s="15">
        <f t="shared" si="10"/>
        <v>-823604.16666666663</v>
      </c>
      <c r="K83" s="15">
        <f t="shared" si="10"/>
        <v>-823604.16666666663</v>
      </c>
      <c r="L83" s="15">
        <f t="shared" si="10"/>
        <v>-823604.16666666663</v>
      </c>
      <c r="M83" s="15">
        <f t="shared" si="10"/>
        <v>-823604.16666666663</v>
      </c>
    </row>
    <row r="84" spans="1:13" x14ac:dyDescent="0.35">
      <c r="A84" t="s">
        <v>66</v>
      </c>
      <c r="B84" s="21">
        <f>B78*$B$37</f>
        <v>882000</v>
      </c>
      <c r="C84" s="21">
        <f t="shared" ref="C84:M84" si="11">C78*$B$37</f>
        <v>882000</v>
      </c>
      <c r="D84" s="21">
        <f t="shared" si="11"/>
        <v>882000</v>
      </c>
      <c r="E84" s="21">
        <f t="shared" si="11"/>
        <v>882000</v>
      </c>
      <c r="F84" s="21">
        <f t="shared" si="11"/>
        <v>882000</v>
      </c>
      <c r="G84" s="21">
        <f t="shared" si="11"/>
        <v>882000</v>
      </c>
      <c r="H84" s="21">
        <f t="shared" si="11"/>
        <v>882000</v>
      </c>
      <c r="I84" s="21">
        <f t="shared" si="11"/>
        <v>882000</v>
      </c>
      <c r="J84" s="21">
        <f t="shared" si="11"/>
        <v>882000</v>
      </c>
      <c r="K84" s="21">
        <f t="shared" si="11"/>
        <v>882000</v>
      </c>
      <c r="L84" s="21">
        <f t="shared" si="11"/>
        <v>882000</v>
      </c>
      <c r="M84" s="21">
        <f t="shared" si="11"/>
        <v>882000</v>
      </c>
    </row>
    <row r="85" spans="1:13" x14ac:dyDescent="0.35">
      <c r="A85" t="s">
        <v>67</v>
      </c>
      <c r="B85" s="10">
        <f>B83+B84</f>
        <v>58395.833333333372</v>
      </c>
      <c r="C85" s="10">
        <f t="shared" ref="C85:M85" si="12">C83+C84</f>
        <v>58395.833333333372</v>
      </c>
      <c r="D85" s="10">
        <f t="shared" si="12"/>
        <v>58395.833333333372</v>
      </c>
      <c r="E85" s="10">
        <f t="shared" si="12"/>
        <v>58395.833333333372</v>
      </c>
      <c r="F85" s="10">
        <f t="shared" si="12"/>
        <v>58395.833333333372</v>
      </c>
      <c r="G85" s="10">
        <f t="shared" si="12"/>
        <v>58395.833333333372</v>
      </c>
      <c r="H85" s="10">
        <f t="shared" si="12"/>
        <v>58395.833333333372</v>
      </c>
      <c r="I85" s="10">
        <f t="shared" si="12"/>
        <v>58395.833333333372</v>
      </c>
      <c r="J85" s="10">
        <f t="shared" si="12"/>
        <v>58395.833333333372</v>
      </c>
      <c r="K85" s="10">
        <f t="shared" si="12"/>
        <v>58395.833333333372</v>
      </c>
      <c r="L85" s="10">
        <f t="shared" si="12"/>
        <v>58395.833333333372</v>
      </c>
      <c r="M85" s="10">
        <f t="shared" si="12"/>
        <v>58395.833333333372</v>
      </c>
    </row>
    <row r="86" spans="1:13" x14ac:dyDescent="0.35">
      <c r="A86" t="s">
        <v>68</v>
      </c>
      <c r="B86" s="10">
        <f>B85*$E$53</f>
        <v>12263.125000000007</v>
      </c>
      <c r="C86" s="10">
        <f t="shared" ref="C86:M86" si="13">C85*$E$53</f>
        <v>12263.125000000007</v>
      </c>
      <c r="D86" s="10">
        <f t="shared" si="13"/>
        <v>12263.125000000007</v>
      </c>
      <c r="E86" s="10">
        <f t="shared" si="13"/>
        <v>12263.125000000007</v>
      </c>
      <c r="F86" s="10">
        <f t="shared" si="13"/>
        <v>12263.125000000007</v>
      </c>
      <c r="G86" s="10">
        <f t="shared" si="13"/>
        <v>12263.125000000007</v>
      </c>
      <c r="H86" s="10">
        <f t="shared" si="13"/>
        <v>12263.125000000007</v>
      </c>
      <c r="I86" s="10">
        <f t="shared" si="13"/>
        <v>12263.125000000007</v>
      </c>
      <c r="J86" s="10">
        <f t="shared" si="13"/>
        <v>12263.125000000007</v>
      </c>
      <c r="K86" s="10">
        <f t="shared" si="13"/>
        <v>12263.125000000007</v>
      </c>
      <c r="L86" s="10">
        <f t="shared" si="13"/>
        <v>12263.125000000007</v>
      </c>
      <c r="M86" s="10">
        <f t="shared" si="13"/>
        <v>12263.125000000007</v>
      </c>
    </row>
    <row r="87" spans="1:13" x14ac:dyDescent="0.35">
      <c r="A87" t="s">
        <v>85</v>
      </c>
      <c r="B87" s="10">
        <f>B85-B86</f>
        <v>46132.708333333365</v>
      </c>
      <c r="C87" s="10">
        <f t="shared" ref="C87:M87" si="14">C85-C86</f>
        <v>46132.708333333365</v>
      </c>
      <c r="D87" s="10">
        <f t="shared" si="14"/>
        <v>46132.708333333365</v>
      </c>
      <c r="E87" s="10">
        <f t="shared" si="14"/>
        <v>46132.708333333365</v>
      </c>
      <c r="F87" s="10">
        <f t="shared" si="14"/>
        <v>46132.708333333365</v>
      </c>
      <c r="G87" s="10">
        <f t="shared" si="14"/>
        <v>46132.708333333365</v>
      </c>
      <c r="H87" s="10">
        <f t="shared" si="14"/>
        <v>46132.708333333365</v>
      </c>
      <c r="I87" s="10">
        <f t="shared" si="14"/>
        <v>46132.708333333365</v>
      </c>
      <c r="J87" s="10">
        <f t="shared" si="14"/>
        <v>46132.708333333365</v>
      </c>
      <c r="K87" s="10">
        <f t="shared" si="14"/>
        <v>46132.708333333365</v>
      </c>
      <c r="L87" s="10">
        <f t="shared" si="14"/>
        <v>46132.708333333365</v>
      </c>
      <c r="M87" s="10">
        <f t="shared" si="14"/>
        <v>46132.708333333365</v>
      </c>
    </row>
    <row r="88" spans="1:13" x14ac:dyDescent="0.35">
      <c r="A88" s="44" t="s">
        <v>118</v>
      </c>
      <c r="B88" s="10">
        <f>M73+B87</f>
        <v>385549.37499999942</v>
      </c>
      <c r="C88" s="10">
        <f>B88+C87</f>
        <v>431682.08333333279</v>
      </c>
      <c r="D88" s="10">
        <f t="shared" ref="D88:M88" si="15">C88+D87</f>
        <v>477814.79166666616</v>
      </c>
      <c r="E88" s="50">
        <f t="shared" si="15"/>
        <v>523947.49999999953</v>
      </c>
      <c r="F88" s="10">
        <f t="shared" si="15"/>
        <v>570080.20833333291</v>
      </c>
      <c r="G88" s="10">
        <f t="shared" si="15"/>
        <v>616212.91666666628</v>
      </c>
      <c r="H88" s="10">
        <f t="shared" si="15"/>
        <v>662345.62499999965</v>
      </c>
      <c r="I88" s="10">
        <f t="shared" si="15"/>
        <v>708478.33333333302</v>
      </c>
      <c r="J88" s="10">
        <f t="shared" si="15"/>
        <v>754611.0416666664</v>
      </c>
      <c r="K88" s="10">
        <f t="shared" si="15"/>
        <v>800743.74999999977</v>
      </c>
      <c r="L88" s="10">
        <f t="shared" si="15"/>
        <v>846876.45833333314</v>
      </c>
      <c r="M88" s="10">
        <f t="shared" si="15"/>
        <v>893009.16666666651</v>
      </c>
    </row>
    <row r="91" spans="1:13" ht="18.5" x14ac:dyDescent="0.45">
      <c r="B91" s="92" t="s">
        <v>87</v>
      </c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</row>
    <row r="92" spans="1:13" x14ac:dyDescent="0.35">
      <c r="A92" s="16"/>
      <c r="B92" s="16" t="s">
        <v>172</v>
      </c>
      <c r="C92" s="16" t="s">
        <v>173</v>
      </c>
      <c r="D92" s="16" t="s">
        <v>174</v>
      </c>
      <c r="E92" s="16" t="s">
        <v>175</v>
      </c>
      <c r="F92" s="16" t="s">
        <v>176</v>
      </c>
      <c r="G92" s="16" t="s">
        <v>177</v>
      </c>
      <c r="H92" s="16" t="s">
        <v>178</v>
      </c>
      <c r="I92" s="16" t="s">
        <v>179</v>
      </c>
      <c r="J92" s="16" t="s">
        <v>180</v>
      </c>
      <c r="K92" s="16" t="s">
        <v>181</v>
      </c>
      <c r="L92" s="16" t="s">
        <v>182</v>
      </c>
      <c r="M92" s="26" t="s">
        <v>183</v>
      </c>
    </row>
    <row r="93" spans="1:13" x14ac:dyDescent="0.35">
      <c r="A93" t="s">
        <v>48</v>
      </c>
      <c r="B93" s="15">
        <f>D26/12</f>
        <v>-1000</v>
      </c>
      <c r="C93" s="15">
        <f t="shared" ref="C93:M98" si="16">B93</f>
        <v>-1000</v>
      </c>
      <c r="D93" s="15">
        <f t="shared" si="16"/>
        <v>-1000</v>
      </c>
      <c r="E93" s="15">
        <f t="shared" si="16"/>
        <v>-1000</v>
      </c>
      <c r="F93" s="15">
        <f t="shared" si="16"/>
        <v>-1000</v>
      </c>
      <c r="G93" s="15">
        <f t="shared" si="16"/>
        <v>-1000</v>
      </c>
      <c r="H93" s="15">
        <f t="shared" si="16"/>
        <v>-1000</v>
      </c>
      <c r="I93" s="15">
        <f t="shared" si="16"/>
        <v>-1000</v>
      </c>
      <c r="J93" s="15">
        <f t="shared" si="16"/>
        <v>-1000</v>
      </c>
      <c r="K93" s="15">
        <f t="shared" si="16"/>
        <v>-1000</v>
      </c>
      <c r="L93" s="15">
        <f t="shared" si="16"/>
        <v>-1000</v>
      </c>
      <c r="M93" s="15">
        <f t="shared" si="16"/>
        <v>-1000</v>
      </c>
    </row>
    <row r="94" spans="1:13" x14ac:dyDescent="0.35">
      <c r="A94" t="s">
        <v>52</v>
      </c>
      <c r="B94" s="7">
        <f>D45/12</f>
        <v>12083.333333333334</v>
      </c>
      <c r="C94" s="7">
        <f t="shared" si="16"/>
        <v>12083.333333333334</v>
      </c>
      <c r="D94" s="7">
        <f t="shared" si="16"/>
        <v>12083.333333333334</v>
      </c>
      <c r="E94" s="7">
        <f t="shared" si="16"/>
        <v>12083.333333333334</v>
      </c>
      <c r="F94" s="7">
        <f t="shared" si="16"/>
        <v>12083.333333333334</v>
      </c>
      <c r="G94" s="7">
        <f t="shared" si="16"/>
        <v>12083.333333333334</v>
      </c>
      <c r="H94" s="7">
        <f t="shared" si="16"/>
        <v>12083.333333333334</v>
      </c>
      <c r="I94" s="7">
        <f t="shared" si="16"/>
        <v>12083.333333333334</v>
      </c>
      <c r="J94" s="7">
        <f t="shared" si="16"/>
        <v>12083.333333333334</v>
      </c>
      <c r="K94" s="7">
        <f t="shared" si="16"/>
        <v>12083.333333333334</v>
      </c>
      <c r="L94" s="7">
        <f t="shared" si="16"/>
        <v>12083.333333333334</v>
      </c>
      <c r="M94" s="7">
        <f t="shared" si="16"/>
        <v>12083.333333333334</v>
      </c>
    </row>
    <row r="95" spans="1:13" x14ac:dyDescent="0.35">
      <c r="A95" t="s">
        <v>54</v>
      </c>
      <c r="B95" s="10">
        <f>-B94*$B$36</f>
        <v>-725000</v>
      </c>
      <c r="C95" s="10">
        <f t="shared" si="16"/>
        <v>-725000</v>
      </c>
      <c r="D95" s="10">
        <f t="shared" si="16"/>
        <v>-725000</v>
      </c>
      <c r="E95" s="10">
        <f t="shared" si="16"/>
        <v>-725000</v>
      </c>
      <c r="F95" s="10">
        <f t="shared" si="16"/>
        <v>-725000</v>
      </c>
      <c r="G95" s="10">
        <f t="shared" si="16"/>
        <v>-725000</v>
      </c>
      <c r="H95" s="10">
        <f t="shared" si="16"/>
        <v>-725000</v>
      </c>
      <c r="I95" s="10">
        <f t="shared" si="16"/>
        <v>-725000</v>
      </c>
      <c r="J95" s="10">
        <f t="shared" si="16"/>
        <v>-725000</v>
      </c>
      <c r="K95" s="10">
        <f t="shared" si="16"/>
        <v>-725000</v>
      </c>
      <c r="L95" s="10">
        <f t="shared" si="16"/>
        <v>-725000</v>
      </c>
      <c r="M95" s="10">
        <f t="shared" si="16"/>
        <v>-725000</v>
      </c>
    </row>
    <row r="96" spans="1:13" x14ac:dyDescent="0.35">
      <c r="A96" t="s">
        <v>57</v>
      </c>
      <c r="B96" s="37">
        <f>-B94*10</f>
        <v>-120833.33333333334</v>
      </c>
      <c r="C96" s="37">
        <f>-C94*10</f>
        <v>-120833.33333333334</v>
      </c>
      <c r="D96" s="37">
        <f t="shared" ref="D96:M96" si="17">-D94*10</f>
        <v>-120833.33333333334</v>
      </c>
      <c r="E96" s="37">
        <f t="shared" si="17"/>
        <v>-120833.33333333334</v>
      </c>
      <c r="F96" s="37">
        <f t="shared" si="17"/>
        <v>-120833.33333333334</v>
      </c>
      <c r="G96" s="37">
        <f t="shared" si="17"/>
        <v>-120833.33333333334</v>
      </c>
      <c r="H96" s="37">
        <f t="shared" si="17"/>
        <v>-120833.33333333334</v>
      </c>
      <c r="I96" s="37">
        <f t="shared" si="17"/>
        <v>-120833.33333333334</v>
      </c>
      <c r="J96" s="37">
        <f t="shared" si="17"/>
        <v>-120833.33333333334</v>
      </c>
      <c r="K96" s="37">
        <f t="shared" si="17"/>
        <v>-120833.33333333334</v>
      </c>
      <c r="L96" s="37">
        <f t="shared" si="17"/>
        <v>-120833.33333333334</v>
      </c>
      <c r="M96" s="37">
        <f t="shared" si="17"/>
        <v>-120833.33333333334</v>
      </c>
    </row>
    <row r="97" spans="1:13" x14ac:dyDescent="0.35">
      <c r="A97" t="s">
        <v>58</v>
      </c>
      <c r="B97" s="15">
        <f>D48/12</f>
        <v>-45937.5</v>
      </c>
      <c r="C97" s="15">
        <f t="shared" si="16"/>
        <v>-45937.5</v>
      </c>
      <c r="D97" s="15">
        <f t="shared" si="16"/>
        <v>-45937.5</v>
      </c>
      <c r="E97" s="15">
        <f t="shared" si="16"/>
        <v>-45937.5</v>
      </c>
      <c r="F97" s="15">
        <f t="shared" si="16"/>
        <v>-45937.5</v>
      </c>
      <c r="G97" s="15">
        <f t="shared" si="16"/>
        <v>-45937.5</v>
      </c>
      <c r="H97" s="15">
        <f t="shared" si="16"/>
        <v>-45937.5</v>
      </c>
      <c r="I97" s="15">
        <f t="shared" si="16"/>
        <v>-45937.5</v>
      </c>
      <c r="J97" s="15">
        <f t="shared" si="16"/>
        <v>-45937.5</v>
      </c>
      <c r="K97" s="15">
        <f t="shared" si="16"/>
        <v>-45937.5</v>
      </c>
      <c r="L97" s="15">
        <f t="shared" si="16"/>
        <v>-45937.5</v>
      </c>
      <c r="M97" s="15">
        <f t="shared" si="16"/>
        <v>-45937.5</v>
      </c>
    </row>
    <row r="98" spans="1:13" x14ac:dyDescent="0.35">
      <c r="A98" t="s">
        <v>60</v>
      </c>
      <c r="B98" s="15">
        <f>D49/12</f>
        <v>-41666.666666666664</v>
      </c>
      <c r="C98" s="15">
        <f t="shared" si="16"/>
        <v>-41666.666666666664</v>
      </c>
      <c r="D98" s="15">
        <f t="shared" si="16"/>
        <v>-41666.666666666664</v>
      </c>
      <c r="E98" s="15">
        <f t="shared" si="16"/>
        <v>-41666.666666666664</v>
      </c>
      <c r="F98" s="15">
        <f t="shared" si="16"/>
        <v>-41666.666666666664</v>
      </c>
      <c r="G98" s="15">
        <f t="shared" si="16"/>
        <v>-41666.666666666664</v>
      </c>
      <c r="H98" s="15">
        <f t="shared" si="16"/>
        <v>-41666.666666666664</v>
      </c>
      <c r="I98" s="15">
        <f t="shared" si="16"/>
        <v>-41666.666666666664</v>
      </c>
      <c r="J98" s="15">
        <f t="shared" si="16"/>
        <v>-41666.666666666664</v>
      </c>
      <c r="K98" s="15">
        <f t="shared" si="16"/>
        <v>-41666.666666666664</v>
      </c>
      <c r="L98" s="15">
        <f t="shared" si="16"/>
        <v>-41666.666666666664</v>
      </c>
      <c r="M98" s="15">
        <f t="shared" si="16"/>
        <v>-41666.666666666664</v>
      </c>
    </row>
    <row r="99" spans="1:13" x14ac:dyDescent="0.35">
      <c r="A99" t="s">
        <v>61</v>
      </c>
      <c r="B99" s="15">
        <f>SUM(B93:B98)-B94</f>
        <v>-934437.5</v>
      </c>
      <c r="C99" s="15">
        <f t="shared" ref="C99:M99" si="18">SUM(C93:C98)-C94</f>
        <v>-934437.5</v>
      </c>
      <c r="D99" s="15">
        <f t="shared" si="18"/>
        <v>-934437.5</v>
      </c>
      <c r="E99" s="15">
        <f t="shared" si="18"/>
        <v>-934437.5</v>
      </c>
      <c r="F99" s="15">
        <f t="shared" si="18"/>
        <v>-934437.5</v>
      </c>
      <c r="G99" s="15">
        <f t="shared" si="18"/>
        <v>-934437.5</v>
      </c>
      <c r="H99" s="15">
        <f t="shared" si="18"/>
        <v>-934437.5</v>
      </c>
      <c r="I99" s="15">
        <f t="shared" si="18"/>
        <v>-934437.5</v>
      </c>
      <c r="J99" s="15">
        <f t="shared" si="18"/>
        <v>-934437.5</v>
      </c>
      <c r="K99" s="15">
        <f t="shared" si="18"/>
        <v>-934437.5</v>
      </c>
      <c r="L99" s="15">
        <f t="shared" si="18"/>
        <v>-934437.5</v>
      </c>
      <c r="M99" s="15">
        <f t="shared" si="18"/>
        <v>-934437.5</v>
      </c>
    </row>
    <row r="100" spans="1:13" x14ac:dyDescent="0.35">
      <c r="A100" t="s">
        <v>66</v>
      </c>
      <c r="B100" s="21">
        <f>B94*$B$37</f>
        <v>1015000</v>
      </c>
      <c r="C100" s="21">
        <f t="shared" ref="C100:M100" si="19">C94*$B$37</f>
        <v>1015000</v>
      </c>
      <c r="D100" s="21">
        <f t="shared" si="19"/>
        <v>1015000</v>
      </c>
      <c r="E100" s="21">
        <f t="shared" si="19"/>
        <v>1015000</v>
      </c>
      <c r="F100" s="21">
        <f t="shared" si="19"/>
        <v>1015000</v>
      </c>
      <c r="G100" s="21">
        <f t="shared" si="19"/>
        <v>1015000</v>
      </c>
      <c r="H100" s="21">
        <f t="shared" si="19"/>
        <v>1015000</v>
      </c>
      <c r="I100" s="21">
        <f t="shared" si="19"/>
        <v>1015000</v>
      </c>
      <c r="J100" s="21">
        <f t="shared" si="19"/>
        <v>1015000</v>
      </c>
      <c r="K100" s="21">
        <f t="shared" si="19"/>
        <v>1015000</v>
      </c>
      <c r="L100" s="21">
        <f t="shared" si="19"/>
        <v>1015000</v>
      </c>
      <c r="M100" s="21">
        <f t="shared" si="19"/>
        <v>1015000</v>
      </c>
    </row>
    <row r="101" spans="1:13" x14ac:dyDescent="0.35">
      <c r="A101" t="s">
        <v>67</v>
      </c>
      <c r="B101" s="10">
        <f>B99+B100</f>
        <v>80562.5</v>
      </c>
      <c r="C101" s="10">
        <f t="shared" ref="C101:M101" si="20">C99+C100</f>
        <v>80562.5</v>
      </c>
      <c r="D101" s="10">
        <f t="shared" si="20"/>
        <v>80562.5</v>
      </c>
      <c r="E101" s="10">
        <f t="shared" si="20"/>
        <v>80562.5</v>
      </c>
      <c r="F101" s="10">
        <f t="shared" si="20"/>
        <v>80562.5</v>
      </c>
      <c r="G101" s="10">
        <f t="shared" si="20"/>
        <v>80562.5</v>
      </c>
      <c r="H101" s="10">
        <f t="shared" si="20"/>
        <v>80562.5</v>
      </c>
      <c r="I101" s="10">
        <f t="shared" si="20"/>
        <v>80562.5</v>
      </c>
      <c r="J101" s="10">
        <f t="shared" si="20"/>
        <v>80562.5</v>
      </c>
      <c r="K101" s="10">
        <f t="shared" si="20"/>
        <v>80562.5</v>
      </c>
      <c r="L101" s="10">
        <f t="shared" si="20"/>
        <v>80562.5</v>
      </c>
      <c r="M101" s="10">
        <f t="shared" si="20"/>
        <v>80562.5</v>
      </c>
    </row>
    <row r="102" spans="1:13" x14ac:dyDescent="0.35">
      <c r="A102" t="s">
        <v>68</v>
      </c>
      <c r="B102" s="10">
        <f>B101*$E$53</f>
        <v>16918.125</v>
      </c>
      <c r="C102" s="10">
        <f t="shared" ref="C102:M102" si="21">C101*$E$53</f>
        <v>16918.125</v>
      </c>
      <c r="D102" s="10">
        <f t="shared" si="21"/>
        <v>16918.125</v>
      </c>
      <c r="E102" s="10">
        <f t="shared" si="21"/>
        <v>16918.125</v>
      </c>
      <c r="F102" s="10">
        <f t="shared" si="21"/>
        <v>16918.125</v>
      </c>
      <c r="G102" s="10">
        <f t="shared" si="21"/>
        <v>16918.125</v>
      </c>
      <c r="H102" s="10">
        <f t="shared" si="21"/>
        <v>16918.125</v>
      </c>
      <c r="I102" s="10">
        <f t="shared" si="21"/>
        <v>16918.125</v>
      </c>
      <c r="J102" s="10">
        <f t="shared" si="21"/>
        <v>16918.125</v>
      </c>
      <c r="K102" s="10">
        <f t="shared" si="21"/>
        <v>16918.125</v>
      </c>
      <c r="L102" s="10">
        <f t="shared" si="21"/>
        <v>16918.125</v>
      </c>
      <c r="M102" s="10">
        <f t="shared" si="21"/>
        <v>16918.125</v>
      </c>
    </row>
    <row r="103" spans="1:13" x14ac:dyDescent="0.35">
      <c r="A103" t="s">
        <v>85</v>
      </c>
      <c r="B103" s="10">
        <f>B101-B102</f>
        <v>63644.375</v>
      </c>
      <c r="C103" s="10">
        <f t="shared" ref="C103:M103" si="22">C101-C102</f>
        <v>63644.375</v>
      </c>
      <c r="D103" s="10">
        <f t="shared" si="22"/>
        <v>63644.375</v>
      </c>
      <c r="E103" s="10">
        <f t="shared" si="22"/>
        <v>63644.375</v>
      </c>
      <c r="F103" s="10">
        <f t="shared" si="22"/>
        <v>63644.375</v>
      </c>
      <c r="G103" s="10">
        <f t="shared" si="22"/>
        <v>63644.375</v>
      </c>
      <c r="H103" s="10">
        <f t="shared" si="22"/>
        <v>63644.375</v>
      </c>
      <c r="I103" s="10">
        <f t="shared" si="22"/>
        <v>63644.375</v>
      </c>
      <c r="J103" s="10">
        <f t="shared" si="22"/>
        <v>63644.375</v>
      </c>
      <c r="K103" s="10">
        <f t="shared" si="22"/>
        <v>63644.375</v>
      </c>
      <c r="L103" s="10">
        <f t="shared" si="22"/>
        <v>63644.375</v>
      </c>
      <c r="M103" s="10">
        <f t="shared" si="22"/>
        <v>63644.375</v>
      </c>
    </row>
    <row r="104" spans="1:13" x14ac:dyDescent="0.35">
      <c r="A104" s="44" t="s">
        <v>118</v>
      </c>
      <c r="B104" s="10">
        <f>M88+B103</f>
        <v>956653.54166666651</v>
      </c>
      <c r="C104" s="10">
        <f t="shared" ref="C104:M104" si="23">B104+C103</f>
        <v>1020297.9166666665</v>
      </c>
      <c r="D104" s="10">
        <f t="shared" si="23"/>
        <v>1083942.2916666665</v>
      </c>
      <c r="E104" s="50">
        <f t="shared" si="23"/>
        <v>1147586.6666666665</v>
      </c>
      <c r="F104" s="10">
        <f t="shared" si="23"/>
        <v>1211231.0416666665</v>
      </c>
      <c r="G104" s="10">
        <f t="shared" si="23"/>
        <v>1274875.4166666665</v>
      </c>
      <c r="H104" s="10">
        <f t="shared" si="23"/>
        <v>1338519.7916666665</v>
      </c>
      <c r="I104" s="50">
        <f t="shared" si="23"/>
        <v>1402164.1666666665</v>
      </c>
      <c r="J104" s="10">
        <f t="shared" si="23"/>
        <v>1465808.5416666665</v>
      </c>
      <c r="K104" s="10">
        <f t="shared" si="23"/>
        <v>1529452.9166666665</v>
      </c>
      <c r="L104" s="10">
        <f t="shared" si="23"/>
        <v>1593097.2916666665</v>
      </c>
      <c r="M104" s="10">
        <f t="shared" si="23"/>
        <v>1656741.6666666665</v>
      </c>
    </row>
    <row r="113" spans="1:6" ht="18.5" x14ac:dyDescent="0.45">
      <c r="A113" s="91" t="s">
        <v>92</v>
      </c>
      <c r="B113" s="91"/>
      <c r="C113" s="91"/>
      <c r="D113" s="91"/>
    </row>
    <row r="114" spans="1:6" x14ac:dyDescent="0.35">
      <c r="A114" t="s">
        <v>93</v>
      </c>
    </row>
    <row r="115" spans="1:6" x14ac:dyDescent="0.35">
      <c r="A115" s="9" t="s">
        <v>94</v>
      </c>
      <c r="B115" t="s">
        <v>95</v>
      </c>
      <c r="C115" t="s">
        <v>96</v>
      </c>
      <c r="D115" t="s">
        <v>97</v>
      </c>
    </row>
    <row r="116" spans="1:6" x14ac:dyDescent="0.35">
      <c r="A116" s="40" t="s">
        <v>11</v>
      </c>
      <c r="B116" s="16" t="s">
        <v>46</v>
      </c>
      <c r="C116" s="16" t="s">
        <v>46</v>
      </c>
      <c r="D116" s="15">
        <f>B25</f>
        <v>-10000</v>
      </c>
    </row>
    <row r="117" spans="1:6" x14ac:dyDescent="0.35">
      <c r="A117" s="40" t="s">
        <v>48</v>
      </c>
      <c r="B117" s="15">
        <f>B26</f>
        <v>-5000</v>
      </c>
      <c r="C117" s="15">
        <f>B117/12</f>
        <v>-416.66666666666669</v>
      </c>
      <c r="D117" s="16" t="s">
        <v>46</v>
      </c>
    </row>
    <row r="118" spans="1:6" x14ac:dyDescent="0.35">
      <c r="A118" s="40" t="s">
        <v>50</v>
      </c>
      <c r="B118" s="16" t="s">
        <v>46</v>
      </c>
      <c r="C118" s="16" t="s">
        <v>46</v>
      </c>
      <c r="D118" s="15">
        <f>B27</f>
        <v>-300</v>
      </c>
    </row>
    <row r="119" spans="1:6" x14ac:dyDescent="0.35">
      <c r="A119" s="40" t="s">
        <v>58</v>
      </c>
      <c r="B119" s="15">
        <f>B32</f>
        <v>-458333.33333333331</v>
      </c>
      <c r="C119" s="15">
        <f>B119/12</f>
        <v>-38194.444444444445</v>
      </c>
      <c r="D119" s="16" t="s">
        <v>46</v>
      </c>
    </row>
    <row r="120" spans="1:6" x14ac:dyDescent="0.35">
      <c r="A120" s="40" t="s">
        <v>60</v>
      </c>
      <c r="B120" s="15">
        <f>B33</f>
        <v>-500000</v>
      </c>
      <c r="C120" s="15">
        <f>B120/12</f>
        <v>-41666.666666666664</v>
      </c>
      <c r="D120" s="16" t="s">
        <v>46</v>
      </c>
    </row>
    <row r="121" spans="1:6" x14ac:dyDescent="0.35">
      <c r="A121" s="41" t="s">
        <v>98</v>
      </c>
      <c r="B121">
        <f>SUM(B116:B120)</f>
        <v>-963333.33333333326</v>
      </c>
      <c r="C121">
        <f>SUM(C116:C120)</f>
        <v>-80277.777777777781</v>
      </c>
      <c r="D121">
        <f>SUM(D116:D120)</f>
        <v>-10300</v>
      </c>
      <c r="E121" s="42">
        <f>SUM(B121:D121)</f>
        <v>-1053911.111111111</v>
      </c>
      <c r="F121" t="s">
        <v>99</v>
      </c>
    </row>
    <row r="123" spans="1:6" x14ac:dyDescent="0.35">
      <c r="A123" s="43" t="s">
        <v>100</v>
      </c>
      <c r="B123" s="10">
        <f>$B$36</f>
        <v>60</v>
      </c>
    </row>
    <row r="124" spans="1:6" x14ac:dyDescent="0.35">
      <c r="A124" t="s">
        <v>101</v>
      </c>
      <c r="B124" s="12">
        <f>$B$37</f>
        <v>84</v>
      </c>
    </row>
    <row r="125" spans="1:6" x14ac:dyDescent="0.35">
      <c r="A125" t="s">
        <v>102</v>
      </c>
      <c r="B125" s="13">
        <f>B124-B123</f>
        <v>24</v>
      </c>
    </row>
    <row r="127" spans="1:6" x14ac:dyDescent="0.35">
      <c r="A127" s="44" t="s">
        <v>93</v>
      </c>
    </row>
    <row r="128" spans="1:6" x14ac:dyDescent="0.35">
      <c r="A128" t="s">
        <v>103</v>
      </c>
      <c r="B128" s="6">
        <f>-E121/B125</f>
        <v>43912.962962962956</v>
      </c>
      <c r="C128" t="s">
        <v>104</v>
      </c>
    </row>
  </sheetData>
  <mergeCells count="7">
    <mergeCell ref="A113:D113"/>
    <mergeCell ref="B23:D23"/>
    <mergeCell ref="B39:D39"/>
    <mergeCell ref="A57:D57"/>
    <mergeCell ref="B58:M58"/>
    <mergeCell ref="B75:M75"/>
    <mergeCell ref="B91:M91"/>
  </mergeCells>
  <hyperlinks>
    <hyperlink ref="F53" r:id="rId1" xr:uid="{25659847-D1B9-49E3-A1F5-6C1652C856B1}"/>
    <hyperlink ref="H2" r:id="rId2" xr:uid="{9650BF73-046C-4298-AE2F-88966578DFC7}"/>
    <hyperlink ref="H3" r:id="rId3" xr:uid="{9CB731F3-7505-4301-A4FC-C9C8D3C28718}"/>
    <hyperlink ref="A15" r:id="rId4" xr:uid="{610CDB0E-B0F8-48CB-84D4-0A76096E3D7E}"/>
    <hyperlink ref="A13" r:id="rId5" xr:uid="{5BCD9BF6-66C2-4646-A4E9-61618C4161BB}"/>
    <hyperlink ref="A14" r:id="rId6" xr:uid="{097A15E6-744D-41E2-8267-BDE74C83BCFD}"/>
    <hyperlink ref="A12" r:id="rId7" xr:uid="{D12157B0-A6F2-46CB-A657-7E352F25818E}"/>
    <hyperlink ref="A31" r:id="rId8" xr:uid="{72984879-B2C0-4486-83AE-67AEC5A32CE1}"/>
  </hyperlinks>
  <pageMargins left="0.7" right="0.7" top="0.75" bottom="0.75" header="0.3" footer="0.3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615D-942F-43A7-B82A-22B4E37C1467}">
  <dimension ref="A1:E12"/>
  <sheetViews>
    <sheetView workbookViewId="0"/>
  </sheetViews>
  <sheetFormatPr defaultRowHeight="14.5" x14ac:dyDescent="0.35"/>
  <cols>
    <col min="1" max="1" width="33.54296875" customWidth="1"/>
    <col min="2" max="2" width="14.26953125" customWidth="1"/>
    <col min="3" max="3" width="13.1796875" customWidth="1"/>
    <col min="4" max="4" width="13.7265625" customWidth="1"/>
  </cols>
  <sheetData>
    <row r="1" spans="1:5" x14ac:dyDescent="0.35">
      <c r="A1" s="54" t="s">
        <v>119</v>
      </c>
      <c r="B1" s="54"/>
      <c r="C1" s="54"/>
      <c r="D1" s="54"/>
      <c r="E1" s="54"/>
    </row>
    <row r="2" spans="1:5" x14ac:dyDescent="0.35">
      <c r="A2" s="54"/>
      <c r="B2" s="55">
        <v>2023</v>
      </c>
      <c r="C2" s="55">
        <v>2024</v>
      </c>
      <c r="D2" s="55">
        <v>2025</v>
      </c>
      <c r="E2" s="54"/>
    </row>
    <row r="3" spans="1:5" x14ac:dyDescent="0.35">
      <c r="A3" s="56" t="s">
        <v>120</v>
      </c>
      <c r="B3" s="54"/>
      <c r="C3" s="54"/>
      <c r="D3" s="54"/>
      <c r="E3" s="54"/>
    </row>
    <row r="4" spans="1:5" x14ac:dyDescent="0.35">
      <c r="A4" s="54" t="s">
        <v>121</v>
      </c>
      <c r="B4" s="57">
        <v>-10000</v>
      </c>
      <c r="C4" s="54" t="s">
        <v>122</v>
      </c>
      <c r="D4" s="54" t="s">
        <v>122</v>
      </c>
      <c r="E4" s="54"/>
    </row>
    <row r="5" spans="1:5" x14ac:dyDescent="0.35">
      <c r="A5" s="54" t="s">
        <v>123</v>
      </c>
      <c r="B5" s="57">
        <v>-300</v>
      </c>
      <c r="C5" s="54" t="s">
        <v>122</v>
      </c>
      <c r="D5" s="54" t="s">
        <v>122</v>
      </c>
      <c r="E5" s="54"/>
    </row>
    <row r="6" spans="1:5" x14ac:dyDescent="0.35">
      <c r="A6" s="56" t="s">
        <v>124</v>
      </c>
      <c r="B6" s="54"/>
      <c r="C6" s="54"/>
      <c r="D6" s="54"/>
      <c r="E6" s="54"/>
    </row>
    <row r="7" spans="1:5" x14ac:dyDescent="0.35">
      <c r="A7" s="54" t="s">
        <v>125</v>
      </c>
      <c r="B7" s="57">
        <v>-5000</v>
      </c>
      <c r="C7" s="57">
        <v>-12000</v>
      </c>
      <c r="D7" s="57">
        <v>-12000</v>
      </c>
      <c r="E7" s="54"/>
    </row>
    <row r="8" spans="1:5" x14ac:dyDescent="0.35">
      <c r="A8" s="54" t="s">
        <v>126</v>
      </c>
      <c r="B8" s="57">
        <v>-3000000</v>
      </c>
      <c r="C8" s="57">
        <v>-7560000</v>
      </c>
      <c r="D8" s="57">
        <v>-7938000</v>
      </c>
      <c r="E8" s="54"/>
    </row>
    <row r="9" spans="1:5" x14ac:dyDescent="0.35">
      <c r="A9" s="54" t="s">
        <v>127</v>
      </c>
      <c r="B9" s="57">
        <v>-458333</v>
      </c>
      <c r="C9" s="57">
        <v>-525000</v>
      </c>
      <c r="D9" s="57">
        <v>-551250</v>
      </c>
      <c r="E9" s="54"/>
    </row>
    <row r="10" spans="1:5" x14ac:dyDescent="0.35">
      <c r="A10" s="54" t="s">
        <v>128</v>
      </c>
      <c r="B10" s="57">
        <v>-500000</v>
      </c>
      <c r="C10" s="57">
        <v>-500000</v>
      </c>
      <c r="D10" s="57">
        <v>-500000</v>
      </c>
      <c r="E10" s="54"/>
    </row>
    <row r="11" spans="1:5" x14ac:dyDescent="0.35">
      <c r="A11" s="56" t="s">
        <v>129</v>
      </c>
      <c r="B11" s="93">
        <f>SUM(B4:D10)</f>
        <v>-21571883</v>
      </c>
      <c r="C11" s="94"/>
      <c r="D11" s="94"/>
      <c r="E11" s="54"/>
    </row>
    <row r="12" spans="1:5" x14ac:dyDescent="0.35">
      <c r="A12" s="54"/>
      <c r="B12" s="54"/>
      <c r="C12" s="54"/>
      <c r="D12" s="54"/>
      <c r="E12" s="54"/>
    </row>
  </sheetData>
  <mergeCells count="1">
    <mergeCell ref="B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5DA7-2459-4A48-A69C-7637622ADA2A}">
  <dimension ref="A2:D10"/>
  <sheetViews>
    <sheetView workbookViewId="0">
      <selection activeCell="E8" sqref="E8"/>
    </sheetView>
  </sheetViews>
  <sheetFormatPr defaultRowHeight="14.5" x14ac:dyDescent="0.35"/>
  <cols>
    <col min="1" max="1" width="32.81640625" customWidth="1"/>
    <col min="2" max="2" width="20.453125" customWidth="1"/>
  </cols>
  <sheetData>
    <row r="2" spans="1:4" x14ac:dyDescent="0.35">
      <c r="A2" s="58" t="s">
        <v>130</v>
      </c>
    </row>
    <row r="3" spans="1:4" x14ac:dyDescent="0.35">
      <c r="A3" t="s">
        <v>131</v>
      </c>
      <c r="B3" s="15">
        <v>40000</v>
      </c>
    </row>
    <row r="4" spans="1:4" x14ac:dyDescent="0.35">
      <c r="A4" t="s">
        <v>3</v>
      </c>
      <c r="B4" s="15">
        <v>500000</v>
      </c>
    </row>
    <row r="5" spans="1:4" x14ac:dyDescent="0.35">
      <c r="A5" t="s">
        <v>132</v>
      </c>
      <c r="B5" s="15">
        <v>1000000</v>
      </c>
    </row>
    <row r="7" spans="1:4" x14ac:dyDescent="0.35">
      <c r="A7" s="56" t="s">
        <v>133</v>
      </c>
      <c r="B7" s="54"/>
      <c r="C7" s="54"/>
      <c r="D7" s="54"/>
    </row>
    <row r="8" spans="1:4" x14ac:dyDescent="0.35">
      <c r="A8" s="54" t="s">
        <v>134</v>
      </c>
      <c r="B8" s="59">
        <v>0.4879</v>
      </c>
      <c r="C8" s="54"/>
      <c r="D8" s="54"/>
    </row>
    <row r="9" spans="1:4" x14ac:dyDescent="0.35">
      <c r="A9" s="54" t="s">
        <v>127</v>
      </c>
      <c r="B9" s="59">
        <v>0.49919999999999998</v>
      </c>
      <c r="C9" s="54"/>
      <c r="D9" s="54"/>
    </row>
    <row r="10" spans="1:4" x14ac:dyDescent="0.35">
      <c r="A10" s="54" t="s">
        <v>135</v>
      </c>
      <c r="B10" s="59">
        <v>1.29E-2</v>
      </c>
      <c r="C10" s="54"/>
      <c r="D10" s="5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B787-370D-459C-96D4-C2129E6C7699}">
  <dimension ref="A1:N141"/>
  <sheetViews>
    <sheetView topLeftCell="A40" workbookViewId="0">
      <selection activeCell="A52" sqref="A52:F52"/>
    </sheetView>
  </sheetViews>
  <sheetFormatPr defaultRowHeight="14.5" x14ac:dyDescent="0.35"/>
  <cols>
    <col min="1" max="1" width="44.54296875" bestFit="1" customWidth="1"/>
    <col min="2" max="2" width="21.1796875" customWidth="1"/>
    <col min="3" max="3" width="17.453125" bestFit="1" customWidth="1"/>
    <col min="4" max="4" width="16.81640625" customWidth="1"/>
    <col min="5" max="5" width="17.1796875" customWidth="1"/>
    <col min="6" max="6" width="16.81640625" customWidth="1"/>
    <col min="7" max="7" width="20.1796875" customWidth="1"/>
    <col min="8" max="8" width="15" customWidth="1"/>
    <col min="9" max="9" width="13" customWidth="1"/>
    <col min="10" max="10" width="15.1796875" customWidth="1"/>
    <col min="11" max="11" width="16.26953125" customWidth="1"/>
    <col min="12" max="12" width="14.1796875" customWidth="1"/>
    <col min="13" max="13" width="16.26953125" customWidth="1"/>
  </cols>
  <sheetData>
    <row r="1" spans="1:14" x14ac:dyDescent="0.35">
      <c r="A1" s="67" t="s">
        <v>16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35">
      <c r="A2" s="67" t="s">
        <v>17</v>
      </c>
      <c r="B2" s="67"/>
      <c r="C2" s="67"/>
      <c r="D2" s="67"/>
      <c r="E2" s="67"/>
      <c r="F2" s="68">
        <v>84230000</v>
      </c>
      <c r="G2" s="67"/>
      <c r="H2" s="69" t="s">
        <v>18</v>
      </c>
      <c r="I2" s="67"/>
      <c r="J2" s="67"/>
      <c r="K2" s="67"/>
      <c r="L2" s="67"/>
      <c r="M2" s="67"/>
      <c r="N2" s="67"/>
    </row>
    <row r="3" spans="1:14" x14ac:dyDescent="0.35">
      <c r="A3" s="67" t="s">
        <v>19</v>
      </c>
      <c r="B3" s="67"/>
      <c r="C3" s="67"/>
      <c r="D3" s="67"/>
      <c r="E3" s="67"/>
      <c r="F3" s="70">
        <v>0.4</v>
      </c>
      <c r="G3" s="67"/>
      <c r="H3" s="69" t="s">
        <v>18</v>
      </c>
      <c r="I3" s="67"/>
      <c r="J3" s="67"/>
      <c r="K3" s="67"/>
      <c r="L3" s="67"/>
      <c r="M3" s="67"/>
      <c r="N3" s="67"/>
    </row>
    <row r="4" spans="1:14" x14ac:dyDescent="0.3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</row>
    <row r="5" spans="1:14" x14ac:dyDescent="0.3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x14ac:dyDescent="0.35">
      <c r="A6" s="67" t="s">
        <v>20</v>
      </c>
      <c r="B6" s="67"/>
      <c r="C6" s="67"/>
      <c r="D6" s="67"/>
      <c r="E6" s="67"/>
      <c r="F6" s="68">
        <v>33692000</v>
      </c>
      <c r="G6" s="67"/>
      <c r="H6" s="67"/>
      <c r="I6" s="67"/>
      <c r="J6" s="67"/>
      <c r="K6" s="67"/>
      <c r="L6" s="67"/>
      <c r="M6" s="67"/>
      <c r="N6" s="67"/>
    </row>
    <row r="7" spans="1:14" x14ac:dyDescent="0.35">
      <c r="A7" s="67" t="s">
        <v>21</v>
      </c>
      <c r="B7" s="67"/>
      <c r="C7" s="67"/>
      <c r="D7" s="67"/>
      <c r="E7" s="67"/>
      <c r="F7" s="68">
        <v>16846000</v>
      </c>
      <c r="G7" s="67" t="s">
        <v>22</v>
      </c>
      <c r="H7" s="67"/>
      <c r="I7" s="67"/>
      <c r="J7" s="67"/>
      <c r="K7" s="67"/>
      <c r="L7" s="67"/>
      <c r="M7" s="67"/>
      <c r="N7" s="67"/>
    </row>
    <row r="8" spans="1:14" x14ac:dyDescent="0.35">
      <c r="A8" s="67" t="s">
        <v>23</v>
      </c>
      <c r="B8" s="67"/>
      <c r="C8" s="67"/>
      <c r="D8" s="67"/>
      <c r="E8" s="67"/>
      <c r="F8" s="68">
        <v>5053800</v>
      </c>
      <c r="G8" s="71" t="s">
        <v>24</v>
      </c>
      <c r="H8" s="71"/>
      <c r="I8" s="71"/>
      <c r="J8" s="67"/>
      <c r="K8" s="67"/>
      <c r="L8" s="67"/>
      <c r="M8" s="67"/>
      <c r="N8" s="67"/>
    </row>
    <row r="9" spans="1:14" x14ac:dyDescent="0.35">
      <c r="A9" s="67"/>
      <c r="B9" s="67"/>
      <c r="C9" s="67"/>
      <c r="D9" s="67"/>
      <c r="E9" s="67"/>
      <c r="F9" s="67"/>
      <c r="G9" s="71"/>
      <c r="H9" s="67"/>
      <c r="I9" s="67"/>
      <c r="J9" s="67"/>
      <c r="K9" s="67"/>
      <c r="L9" s="67"/>
      <c r="M9" s="67"/>
      <c r="N9" s="67"/>
    </row>
    <row r="10" spans="1:14" x14ac:dyDescent="0.35">
      <c r="A10" s="72" t="s">
        <v>25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x14ac:dyDescent="0.35">
      <c r="A11" s="67" t="s">
        <v>26</v>
      </c>
      <c r="B11" s="67"/>
      <c r="C11" s="67"/>
      <c r="D11" s="67"/>
      <c r="E11" s="67"/>
      <c r="F11" s="67"/>
      <c r="G11" s="67" t="s">
        <v>27</v>
      </c>
      <c r="H11" s="67"/>
      <c r="I11" s="67"/>
      <c r="J11" s="67"/>
      <c r="K11" s="67"/>
      <c r="L11" s="67"/>
      <c r="M11" s="67"/>
      <c r="N11" s="67"/>
    </row>
    <row r="12" spans="1:14" x14ac:dyDescent="0.35">
      <c r="A12" s="69" t="s">
        <v>28</v>
      </c>
      <c r="B12" s="67"/>
      <c r="C12" s="67"/>
      <c r="D12" s="67"/>
      <c r="E12" s="67"/>
      <c r="F12" s="73">
        <v>29</v>
      </c>
      <c r="G12" s="67"/>
      <c r="H12" s="67"/>
      <c r="I12" s="67"/>
      <c r="J12" s="67"/>
      <c r="K12" s="67"/>
      <c r="L12" s="67"/>
      <c r="M12" s="67"/>
      <c r="N12" s="67"/>
    </row>
    <row r="13" spans="1:14" x14ac:dyDescent="0.35">
      <c r="A13" s="69" t="s">
        <v>29</v>
      </c>
      <c r="B13" s="67"/>
      <c r="C13" s="67"/>
      <c r="D13" s="67"/>
      <c r="E13" s="67"/>
      <c r="F13" s="73">
        <v>25</v>
      </c>
      <c r="G13" s="67"/>
      <c r="H13" s="67"/>
      <c r="I13" s="67"/>
      <c r="J13" s="67"/>
      <c r="K13" s="67"/>
      <c r="L13" s="67"/>
      <c r="M13" s="67"/>
      <c r="N13" s="67"/>
    </row>
    <row r="14" spans="1:14" x14ac:dyDescent="0.35">
      <c r="A14" s="74" t="s">
        <v>30</v>
      </c>
      <c r="B14" s="67"/>
      <c r="C14" s="67"/>
      <c r="D14" s="67"/>
      <c r="E14" s="67"/>
      <c r="F14" s="73">
        <v>9.8800000000000008</v>
      </c>
      <c r="G14" s="67" t="s">
        <v>31</v>
      </c>
      <c r="H14" s="67"/>
      <c r="I14" s="67"/>
      <c r="J14" s="67"/>
      <c r="K14" s="67"/>
      <c r="L14" s="67"/>
      <c r="M14" s="67"/>
      <c r="N14" s="67"/>
    </row>
    <row r="15" spans="1:14" x14ac:dyDescent="0.35">
      <c r="A15" s="69" t="s">
        <v>32</v>
      </c>
      <c r="B15" s="67"/>
      <c r="C15" s="67"/>
      <c r="D15" s="67"/>
      <c r="E15" s="67"/>
      <c r="F15" s="75">
        <v>29.88</v>
      </c>
      <c r="G15" s="67"/>
      <c r="H15" s="67"/>
      <c r="I15" s="67"/>
      <c r="J15" s="67"/>
      <c r="K15" s="67"/>
      <c r="L15" s="67"/>
      <c r="M15" s="67"/>
      <c r="N15" s="67"/>
    </row>
    <row r="16" spans="1:14" x14ac:dyDescent="0.35">
      <c r="A16" s="72" t="s">
        <v>33</v>
      </c>
      <c r="B16" s="67"/>
      <c r="C16" s="67"/>
      <c r="D16" s="67"/>
      <c r="E16" s="67"/>
      <c r="F16" s="76">
        <v>27.96</v>
      </c>
      <c r="G16" s="67" t="s">
        <v>34</v>
      </c>
      <c r="H16" s="67"/>
      <c r="I16" s="67"/>
      <c r="J16" s="67"/>
      <c r="K16" s="67"/>
      <c r="L16" s="67"/>
      <c r="M16" s="67"/>
      <c r="N16" s="67"/>
    </row>
    <row r="17" spans="1:14" x14ac:dyDescent="0.3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18" spans="1:14" x14ac:dyDescent="0.35">
      <c r="A18" s="67" t="s">
        <v>35</v>
      </c>
      <c r="B18" s="67"/>
      <c r="C18" s="67"/>
      <c r="D18" s="67"/>
      <c r="E18" s="67"/>
      <c r="F18" s="76">
        <v>16.78</v>
      </c>
      <c r="G18" s="67" t="s">
        <v>36</v>
      </c>
      <c r="H18" s="67"/>
      <c r="I18" s="67"/>
      <c r="J18" s="67"/>
      <c r="K18" s="67"/>
      <c r="L18" s="67"/>
      <c r="M18" s="67"/>
      <c r="N18" s="67"/>
    </row>
    <row r="19" spans="1:14" x14ac:dyDescent="0.35">
      <c r="A19" s="67" t="s">
        <v>37</v>
      </c>
      <c r="B19" s="67"/>
      <c r="C19" s="67"/>
      <c r="D19" s="67"/>
      <c r="E19" s="67"/>
      <c r="F19" s="73">
        <v>60</v>
      </c>
      <c r="G19" s="71" t="s">
        <v>38</v>
      </c>
      <c r="H19" s="71"/>
      <c r="I19" s="71"/>
      <c r="J19" s="67"/>
      <c r="K19" s="67"/>
      <c r="L19" s="67"/>
      <c r="M19" s="67"/>
      <c r="N19" s="67"/>
    </row>
    <row r="20" spans="1:14" x14ac:dyDescent="0.3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</row>
    <row r="21" spans="1:14" x14ac:dyDescent="0.35">
      <c r="A21" s="67" t="s">
        <v>39</v>
      </c>
      <c r="B21" s="67"/>
      <c r="C21" s="67"/>
      <c r="D21" s="67"/>
      <c r="E21" s="67"/>
      <c r="F21" s="77">
        <v>100000</v>
      </c>
      <c r="G21" s="67" t="s">
        <v>40</v>
      </c>
      <c r="H21" s="67"/>
      <c r="I21" s="67"/>
      <c r="J21" s="67"/>
      <c r="K21" s="67"/>
      <c r="L21" s="67"/>
      <c r="M21" s="67"/>
      <c r="N21" s="67"/>
    </row>
    <row r="22" spans="1:14" x14ac:dyDescent="0.3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</row>
    <row r="23" spans="1:14" x14ac:dyDescent="0.35">
      <c r="A23" s="67"/>
      <c r="B23" s="97" t="s">
        <v>41</v>
      </c>
      <c r="C23" s="97"/>
      <c r="D23" s="97"/>
      <c r="E23" s="67"/>
      <c r="F23" s="67"/>
      <c r="G23" s="67"/>
      <c r="H23" s="67"/>
      <c r="I23" s="67"/>
      <c r="J23" s="67"/>
      <c r="K23" s="67"/>
      <c r="L23" s="67"/>
      <c r="M23" s="67"/>
      <c r="N23" s="67"/>
    </row>
    <row r="24" spans="1:14" x14ac:dyDescent="0.35">
      <c r="A24" s="67" t="s">
        <v>42</v>
      </c>
      <c r="B24" s="67" t="s">
        <v>43</v>
      </c>
      <c r="C24" s="67" t="s">
        <v>44</v>
      </c>
      <c r="D24" s="67" t="s">
        <v>45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</row>
    <row r="25" spans="1:14" x14ac:dyDescent="0.35">
      <c r="A25" s="67" t="s">
        <v>11</v>
      </c>
      <c r="B25" s="78">
        <v>-10000</v>
      </c>
      <c r="C25" s="79" t="s">
        <v>46</v>
      </c>
      <c r="D25" s="79" t="s">
        <v>46</v>
      </c>
      <c r="E25" s="67"/>
      <c r="F25" s="67"/>
      <c r="G25" s="67" t="s">
        <v>47</v>
      </c>
      <c r="H25" s="67"/>
      <c r="I25" s="67"/>
      <c r="J25" s="67"/>
      <c r="K25" s="67"/>
      <c r="L25" s="67"/>
      <c r="M25" s="67"/>
      <c r="N25" s="67"/>
    </row>
    <row r="26" spans="1:14" x14ac:dyDescent="0.35">
      <c r="A26" s="67" t="s">
        <v>48</v>
      </c>
      <c r="B26" s="78">
        <v>-5000</v>
      </c>
      <c r="C26" s="78">
        <v>-12000</v>
      </c>
      <c r="D26" s="78">
        <v>-12000</v>
      </c>
      <c r="E26" s="67"/>
      <c r="F26" s="67"/>
      <c r="G26" s="67" t="s">
        <v>49</v>
      </c>
      <c r="H26" s="67"/>
      <c r="I26" s="67"/>
      <c r="J26" s="67"/>
      <c r="K26" s="67"/>
      <c r="L26" s="67"/>
      <c r="M26" s="67"/>
      <c r="N26" s="67"/>
    </row>
    <row r="27" spans="1:14" x14ac:dyDescent="0.35">
      <c r="A27" s="67" t="s">
        <v>50</v>
      </c>
      <c r="B27" s="78">
        <v>-300</v>
      </c>
      <c r="C27" s="79" t="s">
        <v>46</v>
      </c>
      <c r="D27" s="79" t="s">
        <v>46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</row>
    <row r="28" spans="1:14" x14ac:dyDescent="0.35">
      <c r="A28" s="67" t="s">
        <v>52</v>
      </c>
      <c r="B28" s="68">
        <v>50000</v>
      </c>
      <c r="C28" s="68">
        <v>126000</v>
      </c>
      <c r="D28" s="68">
        <v>132300</v>
      </c>
      <c r="E28" s="67"/>
      <c r="F28" s="67"/>
      <c r="G28" s="67" t="s">
        <v>136</v>
      </c>
      <c r="H28" s="67"/>
      <c r="I28" s="67"/>
      <c r="J28" s="67"/>
      <c r="K28" s="67"/>
      <c r="L28" s="67"/>
      <c r="M28" s="67"/>
      <c r="N28" s="67"/>
    </row>
    <row r="29" spans="1:14" x14ac:dyDescent="0.35">
      <c r="A29" s="67" t="s">
        <v>54</v>
      </c>
      <c r="B29" s="78">
        <v>-3000000</v>
      </c>
      <c r="C29" s="80">
        <v>-7560000</v>
      </c>
      <c r="D29" s="80">
        <v>-7938000</v>
      </c>
      <c r="E29" s="67"/>
      <c r="F29" s="67"/>
      <c r="G29" s="67" t="s">
        <v>55</v>
      </c>
      <c r="H29" s="67"/>
      <c r="I29" s="81">
        <v>2.3699999999999999E-2</v>
      </c>
      <c r="J29" s="67" t="s">
        <v>56</v>
      </c>
      <c r="K29" s="67"/>
      <c r="L29" s="67"/>
      <c r="M29" s="70">
        <v>0.05</v>
      </c>
      <c r="N29" s="67"/>
    </row>
    <row r="30" spans="1:14" x14ac:dyDescent="0.35">
      <c r="A30" s="69" t="s">
        <v>57</v>
      </c>
      <c r="B30" s="78">
        <v>-500000</v>
      </c>
      <c r="C30" s="78">
        <v>-1260000</v>
      </c>
      <c r="D30" s="78">
        <v>-1323000</v>
      </c>
      <c r="E30" s="67"/>
      <c r="F30" s="67"/>
      <c r="G30" s="67"/>
      <c r="H30" s="67"/>
      <c r="I30" s="72"/>
      <c r="J30" s="67"/>
      <c r="K30" s="67"/>
      <c r="L30" s="67"/>
      <c r="M30" s="67"/>
      <c r="N30" s="67"/>
    </row>
    <row r="31" spans="1:14" x14ac:dyDescent="0.35">
      <c r="A31" s="67" t="s">
        <v>58</v>
      </c>
      <c r="B31" s="78">
        <v>-458333</v>
      </c>
      <c r="C31" s="78">
        <v>-525000</v>
      </c>
      <c r="D31" s="78">
        <v>-551250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</row>
    <row r="32" spans="1:14" x14ac:dyDescent="0.35">
      <c r="A32" s="67" t="s">
        <v>60</v>
      </c>
      <c r="B32" s="82">
        <v>-500000</v>
      </c>
      <c r="C32" s="82">
        <v>-500000</v>
      </c>
      <c r="D32" s="82">
        <v>-500000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</row>
    <row r="33" spans="1:14" x14ac:dyDescent="0.35">
      <c r="A33" s="67" t="s">
        <v>61</v>
      </c>
      <c r="B33" s="78">
        <v>-4473633</v>
      </c>
      <c r="C33" s="78">
        <v>-9857000</v>
      </c>
      <c r="D33" s="78">
        <v>-10324250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1:14" x14ac:dyDescent="0.3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</row>
    <row r="35" spans="1:14" x14ac:dyDescent="0.35">
      <c r="A35" s="67" t="s">
        <v>62</v>
      </c>
      <c r="B35" s="73">
        <v>67</v>
      </c>
      <c r="C35" s="67" t="s">
        <v>137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1:14" x14ac:dyDescent="0.35">
      <c r="A36" s="67" t="s">
        <v>63</v>
      </c>
      <c r="B36" s="73">
        <v>84</v>
      </c>
      <c r="C36" s="67"/>
      <c r="D36" s="67"/>
      <c r="E36" s="67"/>
      <c r="F36" s="67"/>
      <c r="G36" s="83" t="s">
        <v>64</v>
      </c>
      <c r="H36" s="67"/>
      <c r="I36" s="67"/>
      <c r="J36" s="67"/>
      <c r="K36" s="67"/>
      <c r="L36" s="67"/>
      <c r="M36" s="67"/>
      <c r="N36" s="67"/>
    </row>
    <row r="37" spans="1:14" x14ac:dyDescent="0.3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1:14" x14ac:dyDescent="0.35">
      <c r="A38" s="67"/>
      <c r="B38" s="96" t="s">
        <v>65</v>
      </c>
      <c r="C38" s="96"/>
      <c r="D38" s="96"/>
      <c r="E38" s="96"/>
      <c r="F38" s="96"/>
      <c r="G38" s="67"/>
      <c r="H38" s="67"/>
      <c r="I38" s="67"/>
      <c r="J38" s="67"/>
      <c r="K38" s="67"/>
      <c r="L38" s="67"/>
      <c r="M38" s="67"/>
      <c r="N38" s="67"/>
    </row>
    <row r="39" spans="1:14" x14ac:dyDescent="0.35">
      <c r="A39" s="67" t="s">
        <v>42</v>
      </c>
      <c r="B39" s="67" t="s">
        <v>43</v>
      </c>
      <c r="C39" s="67" t="s">
        <v>44</v>
      </c>
      <c r="D39" s="67" t="s">
        <v>45</v>
      </c>
      <c r="E39" s="67" t="s">
        <v>138</v>
      </c>
      <c r="F39" s="67" t="s">
        <v>139</v>
      </c>
      <c r="G39" s="67"/>
      <c r="H39" s="67"/>
      <c r="I39" s="67"/>
      <c r="J39" s="67"/>
      <c r="K39" s="67"/>
      <c r="L39" s="67"/>
      <c r="M39" s="67"/>
      <c r="N39" s="67"/>
    </row>
    <row r="40" spans="1:14" x14ac:dyDescent="0.35">
      <c r="A40" s="67" t="s">
        <v>11</v>
      </c>
      <c r="B40" s="78">
        <v>-10000</v>
      </c>
      <c r="C40" s="79" t="s">
        <v>46</v>
      </c>
      <c r="D40" s="79" t="s">
        <v>46</v>
      </c>
      <c r="E40" s="79" t="s">
        <v>46</v>
      </c>
      <c r="F40" s="79" t="s">
        <v>46</v>
      </c>
      <c r="G40" s="67"/>
      <c r="H40" s="67"/>
      <c r="I40" s="67"/>
      <c r="J40" s="67"/>
      <c r="K40" s="67"/>
      <c r="L40" s="67"/>
      <c r="M40" s="67"/>
      <c r="N40" s="67"/>
    </row>
    <row r="41" spans="1:14" x14ac:dyDescent="0.35">
      <c r="A41" s="67" t="s">
        <v>48</v>
      </c>
      <c r="B41" s="78">
        <v>-5000</v>
      </c>
      <c r="C41" s="78">
        <v>-12000</v>
      </c>
      <c r="D41" s="78">
        <v>-12000</v>
      </c>
      <c r="E41" s="78">
        <v>-12000</v>
      </c>
      <c r="F41" s="78">
        <v>-12000</v>
      </c>
      <c r="G41" s="67"/>
      <c r="H41" s="67"/>
      <c r="I41" s="67"/>
      <c r="J41" s="67"/>
      <c r="K41" s="67"/>
      <c r="L41" s="67"/>
      <c r="M41" s="67"/>
      <c r="N41" s="67"/>
    </row>
    <row r="42" spans="1:14" x14ac:dyDescent="0.35">
      <c r="A42" s="67" t="s">
        <v>50</v>
      </c>
      <c r="B42" s="78">
        <v>-300</v>
      </c>
      <c r="C42" s="79" t="s">
        <v>46</v>
      </c>
      <c r="D42" s="79" t="s">
        <v>46</v>
      </c>
      <c r="E42" s="79" t="s">
        <v>46</v>
      </c>
      <c r="F42" s="79" t="s">
        <v>46</v>
      </c>
      <c r="G42" s="67"/>
      <c r="H42" s="67"/>
      <c r="I42" s="67"/>
      <c r="J42" s="67"/>
      <c r="K42" s="67"/>
      <c r="L42" s="67"/>
      <c r="M42" s="67"/>
      <c r="N42" s="67"/>
    </row>
    <row r="43" spans="1:14" x14ac:dyDescent="0.35">
      <c r="A43" s="67" t="s">
        <v>52</v>
      </c>
      <c r="B43" s="68">
        <v>100000</v>
      </c>
      <c r="C43" s="68">
        <v>115000</v>
      </c>
      <c r="D43" s="68">
        <v>132250</v>
      </c>
      <c r="E43" s="68">
        <v>152088</v>
      </c>
      <c r="F43" s="68">
        <v>174901</v>
      </c>
      <c r="G43" s="67"/>
      <c r="H43" s="67"/>
      <c r="I43" s="67"/>
      <c r="J43" s="67"/>
      <c r="K43" s="67"/>
      <c r="L43" s="67"/>
      <c r="M43" s="67"/>
      <c r="N43" s="67"/>
    </row>
    <row r="44" spans="1:14" x14ac:dyDescent="0.35">
      <c r="A44" s="67" t="s">
        <v>54</v>
      </c>
      <c r="B44" s="78">
        <v>-6000000</v>
      </c>
      <c r="C44" s="80">
        <v>-6900000</v>
      </c>
      <c r="D44" s="80">
        <v>-7935000</v>
      </c>
      <c r="E44" s="80">
        <v>-9125250</v>
      </c>
      <c r="F44" s="80">
        <v>-10494037.5</v>
      </c>
      <c r="G44" s="67"/>
      <c r="H44" s="67"/>
      <c r="I44" s="67"/>
      <c r="J44" s="67"/>
      <c r="K44" s="67"/>
      <c r="L44" s="67"/>
      <c r="M44" s="67"/>
      <c r="N44" s="67"/>
    </row>
    <row r="45" spans="1:14" x14ac:dyDescent="0.35">
      <c r="A45" s="67" t="s">
        <v>57</v>
      </c>
      <c r="B45" s="78">
        <v>-1000000</v>
      </c>
      <c r="C45" s="78">
        <v>-1150000</v>
      </c>
      <c r="D45" s="78">
        <v>-1322500</v>
      </c>
      <c r="E45" s="78">
        <v>-1520875</v>
      </c>
      <c r="F45" s="78">
        <v>-1749006</v>
      </c>
      <c r="G45" s="67"/>
      <c r="H45" s="67"/>
      <c r="I45" s="67"/>
      <c r="J45" s="67"/>
      <c r="K45" s="67"/>
      <c r="L45" s="67"/>
      <c r="M45" s="67"/>
      <c r="N45" s="67"/>
    </row>
    <row r="46" spans="1:14" x14ac:dyDescent="0.35">
      <c r="A46" s="67" t="s">
        <v>58</v>
      </c>
      <c r="B46" s="78">
        <v>-458333</v>
      </c>
      <c r="C46" s="78">
        <v>-525000</v>
      </c>
      <c r="D46" s="78">
        <v>-551250</v>
      </c>
      <c r="E46" s="78">
        <v>-578813</v>
      </c>
      <c r="F46" s="78">
        <v>-607753</v>
      </c>
      <c r="G46" s="67"/>
      <c r="H46" s="67"/>
      <c r="I46" s="67"/>
      <c r="J46" s="67"/>
      <c r="K46" s="67"/>
      <c r="L46" s="67"/>
      <c r="M46" s="67"/>
      <c r="N46" s="67"/>
    </row>
    <row r="47" spans="1:14" x14ac:dyDescent="0.35">
      <c r="A47" s="67" t="s">
        <v>60</v>
      </c>
      <c r="B47" s="82">
        <v>-500000</v>
      </c>
      <c r="C47" s="82">
        <v>-500000</v>
      </c>
      <c r="D47" s="82">
        <v>-500000</v>
      </c>
      <c r="E47" s="82">
        <v>-500000</v>
      </c>
      <c r="F47" s="82">
        <v>-500000</v>
      </c>
      <c r="G47" s="67"/>
      <c r="H47" s="67"/>
      <c r="I47" s="67"/>
      <c r="J47" s="67"/>
      <c r="K47" s="67"/>
      <c r="L47" s="67"/>
      <c r="M47" s="67"/>
      <c r="N47" s="67"/>
    </row>
    <row r="48" spans="1:14" x14ac:dyDescent="0.35">
      <c r="A48" s="67" t="s">
        <v>61</v>
      </c>
      <c r="B48" s="78">
        <v>-7973633</v>
      </c>
      <c r="C48" s="78">
        <v>-9087000</v>
      </c>
      <c r="D48" s="78">
        <v>-10320750</v>
      </c>
      <c r="E48" s="78">
        <v>-11736938</v>
      </c>
      <c r="F48" s="78">
        <v>-13362797</v>
      </c>
      <c r="G48" s="67"/>
      <c r="H48" s="67"/>
      <c r="I48" s="67"/>
      <c r="J48" s="67"/>
      <c r="K48" s="67"/>
      <c r="L48" s="67"/>
      <c r="M48" s="67"/>
      <c r="N48" s="67"/>
    </row>
    <row r="49" spans="1:14" x14ac:dyDescent="0.35">
      <c r="A49" s="67" t="s">
        <v>66</v>
      </c>
      <c r="B49" s="73">
        <v>8400000</v>
      </c>
      <c r="C49" s="73">
        <v>9660000</v>
      </c>
      <c r="D49" s="73">
        <v>11109000</v>
      </c>
      <c r="E49" s="73">
        <v>12775350</v>
      </c>
      <c r="F49" s="73">
        <v>14691652.5</v>
      </c>
      <c r="G49" s="67"/>
      <c r="H49" s="67"/>
      <c r="I49" s="67"/>
      <c r="J49" s="67"/>
      <c r="K49" s="67"/>
      <c r="L49" s="67"/>
      <c r="M49" s="67"/>
      <c r="N49" s="67"/>
    </row>
    <row r="50" spans="1:14" x14ac:dyDescent="0.35">
      <c r="A50" s="67" t="s">
        <v>67</v>
      </c>
      <c r="B50" s="80">
        <v>426366.67</v>
      </c>
      <c r="C50" s="73">
        <v>573000</v>
      </c>
      <c r="D50" s="73">
        <v>788250</v>
      </c>
      <c r="E50" s="73">
        <v>1038412.5</v>
      </c>
      <c r="F50" s="73">
        <v>1328855.6299999999</v>
      </c>
      <c r="G50" s="67"/>
      <c r="H50" s="67"/>
      <c r="I50" s="67"/>
      <c r="J50" s="67"/>
      <c r="K50" s="67"/>
      <c r="L50" s="67"/>
      <c r="M50" s="67"/>
      <c r="N50" s="67"/>
    </row>
    <row r="51" spans="1:14" x14ac:dyDescent="0.35">
      <c r="A51" s="67" t="s">
        <v>68</v>
      </c>
      <c r="B51" s="67" t="s">
        <v>140</v>
      </c>
      <c r="C51" s="73">
        <v>120330</v>
      </c>
      <c r="D51" s="73">
        <v>165532.5</v>
      </c>
      <c r="E51" s="73">
        <v>218066.63</v>
      </c>
      <c r="F51" s="73">
        <v>279059.68</v>
      </c>
      <c r="G51" s="67"/>
      <c r="H51" s="70">
        <v>0.21</v>
      </c>
      <c r="I51" s="69" t="s">
        <v>69</v>
      </c>
      <c r="J51" s="67"/>
      <c r="K51" s="67"/>
      <c r="L51" s="67"/>
      <c r="M51" s="67"/>
      <c r="N51" s="67"/>
    </row>
    <row r="52" spans="1:14" x14ac:dyDescent="0.35">
      <c r="A52" s="67" t="s">
        <v>70</v>
      </c>
      <c r="B52" s="80">
        <v>426366.67</v>
      </c>
      <c r="C52" s="73">
        <v>452670</v>
      </c>
      <c r="D52" s="73">
        <v>622717.5</v>
      </c>
      <c r="E52" s="73">
        <v>820345.87</v>
      </c>
      <c r="F52" s="73">
        <v>1049795.94</v>
      </c>
      <c r="G52" s="67"/>
      <c r="H52" s="67"/>
      <c r="I52" s="67"/>
      <c r="J52" s="67"/>
      <c r="K52" s="67"/>
      <c r="L52" s="67"/>
      <c r="M52" s="67"/>
      <c r="N52" s="67"/>
    </row>
    <row r="53" spans="1:14" x14ac:dyDescent="0.35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</row>
    <row r="54" spans="1:14" x14ac:dyDescent="0.35">
      <c r="A54" s="67" t="s">
        <v>141</v>
      </c>
      <c r="B54" s="73">
        <v>3371895.99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</row>
    <row r="55" spans="1:14" x14ac:dyDescent="0.3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</row>
    <row r="56" spans="1:14" ht="21" customHeight="1" x14ac:dyDescent="0.5">
      <c r="A56" s="98" t="s">
        <v>142</v>
      </c>
      <c r="B56" s="98"/>
      <c r="C56" s="98"/>
      <c r="D56" s="98"/>
      <c r="E56" s="98"/>
      <c r="F56" s="98"/>
      <c r="G56" s="98"/>
      <c r="H56" s="98"/>
      <c r="I56" s="98"/>
      <c r="J56" s="98"/>
      <c r="K56" s="67"/>
      <c r="L56" s="67"/>
      <c r="M56" s="67"/>
      <c r="N56" s="67"/>
    </row>
    <row r="57" spans="1:14" x14ac:dyDescent="0.35">
      <c r="A57" s="61" t="s">
        <v>130</v>
      </c>
      <c r="B57" s="67"/>
      <c r="C57" s="67" t="s">
        <v>143</v>
      </c>
      <c r="D57" s="67" t="s">
        <v>144</v>
      </c>
      <c r="E57" s="67" t="s">
        <v>145</v>
      </c>
      <c r="F57" s="67"/>
      <c r="G57" s="67" t="s">
        <v>146</v>
      </c>
      <c r="H57" s="67" t="s">
        <v>147</v>
      </c>
      <c r="I57" s="67"/>
      <c r="J57" s="67"/>
      <c r="K57" s="67"/>
      <c r="L57" s="67"/>
      <c r="M57" s="67"/>
      <c r="N57" s="67"/>
    </row>
    <row r="58" spans="1:14" x14ac:dyDescent="0.35">
      <c r="A58" s="67" t="s">
        <v>131</v>
      </c>
      <c r="B58" s="77">
        <v>40000</v>
      </c>
      <c r="C58" s="84">
        <v>45292</v>
      </c>
      <c r="D58" s="85">
        <v>2.5899999999999999E-2</v>
      </c>
      <c r="E58" s="67">
        <v>5</v>
      </c>
      <c r="F58" s="67" t="s">
        <v>148</v>
      </c>
      <c r="G58" s="86">
        <v>87332.11</v>
      </c>
      <c r="H58" s="85">
        <v>1.18</v>
      </c>
      <c r="I58" s="67"/>
      <c r="J58" s="67"/>
      <c r="K58" s="67"/>
      <c r="L58" s="67"/>
      <c r="M58" s="67"/>
      <c r="N58" s="67"/>
    </row>
    <row r="59" spans="1:14" x14ac:dyDescent="0.35">
      <c r="A59" s="67" t="s">
        <v>3</v>
      </c>
      <c r="B59" s="77">
        <v>500000</v>
      </c>
      <c r="C59" s="84">
        <v>45292</v>
      </c>
      <c r="D59" s="85">
        <v>0.32469999999999999</v>
      </c>
      <c r="E59" s="67">
        <v>5</v>
      </c>
      <c r="F59" s="67" t="s">
        <v>148</v>
      </c>
      <c r="G59" s="86">
        <v>1094854.6299999999</v>
      </c>
      <c r="H59" s="85">
        <v>1.18</v>
      </c>
      <c r="I59" s="67"/>
      <c r="J59" s="67"/>
      <c r="K59" s="67"/>
      <c r="L59" s="67"/>
      <c r="M59" s="67"/>
      <c r="N59" s="67"/>
    </row>
    <row r="60" spans="1:14" x14ac:dyDescent="0.35">
      <c r="A60" s="67" t="s">
        <v>132</v>
      </c>
      <c r="B60" s="77">
        <v>1000000</v>
      </c>
      <c r="C60" s="84">
        <v>45566</v>
      </c>
      <c r="D60" s="85">
        <v>0.64939999999999998</v>
      </c>
      <c r="E60" s="67">
        <v>5</v>
      </c>
      <c r="F60" s="67" t="s">
        <v>148</v>
      </c>
      <c r="G60" s="86">
        <v>2189709.25</v>
      </c>
      <c r="H60" s="85">
        <v>1.18</v>
      </c>
      <c r="I60" s="67"/>
      <c r="J60" s="67"/>
      <c r="K60" s="67"/>
      <c r="L60" s="67"/>
      <c r="M60" s="67"/>
      <c r="N60" s="67"/>
    </row>
    <row r="61" spans="1:14" x14ac:dyDescent="0.3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x14ac:dyDescent="0.35">
      <c r="A62" s="72" t="s">
        <v>149</v>
      </c>
      <c r="B62" s="87">
        <v>1540000</v>
      </c>
      <c r="C62" s="67" t="s">
        <v>150</v>
      </c>
      <c r="D62" s="84">
        <v>45566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</row>
    <row r="63" spans="1:14" x14ac:dyDescent="0.35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</row>
    <row r="64" spans="1:14" x14ac:dyDescent="0.35">
      <c r="A64" s="67" t="s">
        <v>151</v>
      </c>
      <c r="B64" s="88">
        <v>47117</v>
      </c>
      <c r="C64" s="79" t="s">
        <v>152</v>
      </c>
      <c r="D64" s="76">
        <v>3371895.99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</row>
    <row r="65" spans="1:13" x14ac:dyDescent="0.3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28"/>
    </row>
    <row r="66" spans="1:13" x14ac:dyDescent="0.35">
      <c r="B66" s="15"/>
      <c r="C66" s="15"/>
      <c r="D66" s="15"/>
      <c r="E66" s="15"/>
      <c r="F66" s="15"/>
      <c r="G66" s="15"/>
      <c r="H66" s="15"/>
      <c r="I66" s="32"/>
      <c r="J66" s="32"/>
      <c r="K66" s="32"/>
      <c r="L66" s="32"/>
      <c r="M66" s="33"/>
    </row>
    <row r="67" spans="1:13" x14ac:dyDescent="0.35">
      <c r="B67" s="49"/>
      <c r="C67" s="49"/>
      <c r="D67" s="49"/>
      <c r="E67" s="49"/>
      <c r="F67" s="49"/>
      <c r="G67" s="49"/>
      <c r="H67" s="49"/>
      <c r="I67" s="21"/>
      <c r="J67" s="21"/>
      <c r="K67" s="21"/>
      <c r="L67" s="21"/>
      <c r="M67" s="27"/>
    </row>
    <row r="68" spans="1:13" x14ac:dyDescent="0.35">
      <c r="B68" s="15"/>
      <c r="C68" s="15"/>
      <c r="D68" s="15"/>
      <c r="E68" s="15"/>
      <c r="F68" s="15"/>
      <c r="G68" s="15"/>
      <c r="H68" s="15"/>
      <c r="I68" s="34"/>
      <c r="J68" s="34"/>
      <c r="K68" s="34"/>
      <c r="L68" s="34"/>
      <c r="M68" s="35"/>
    </row>
    <row r="69" spans="1:13" x14ac:dyDescent="0.35">
      <c r="B69" s="16"/>
      <c r="C69" s="16"/>
      <c r="D69" s="16"/>
      <c r="E69" s="16"/>
      <c r="F69" s="16"/>
      <c r="G69" s="16"/>
      <c r="H69" s="16"/>
      <c r="I69" s="34"/>
      <c r="J69" s="34"/>
      <c r="K69" s="34"/>
      <c r="L69" s="34"/>
      <c r="M69" s="35"/>
    </row>
    <row r="70" spans="1:13" x14ac:dyDescent="0.35">
      <c r="B70" s="15"/>
      <c r="C70" s="15"/>
      <c r="D70" s="15"/>
      <c r="E70" s="15"/>
      <c r="F70" s="15"/>
      <c r="G70" s="15"/>
      <c r="H70" s="15"/>
      <c r="I70" s="34"/>
      <c r="J70" s="34"/>
      <c r="K70" s="34"/>
      <c r="L70" s="34"/>
      <c r="M70" s="35"/>
    </row>
    <row r="71" spans="1:13" x14ac:dyDescent="0.35">
      <c r="A71" s="4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3" spans="1:13" ht="18.5" x14ac:dyDescent="0.45"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</row>
    <row r="74" spans="1:13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6"/>
    </row>
    <row r="75" spans="1:13" x14ac:dyDescent="0.3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x14ac:dyDescent="0.3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 x14ac:dyDescent="0.3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 x14ac:dyDescent="0.3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x14ac:dyDescent="0.3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</row>
    <row r="83" spans="1:13" x14ac:dyDescent="0.3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3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3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35">
      <c r="A86" s="44"/>
      <c r="B86" s="10"/>
      <c r="C86" s="10"/>
      <c r="D86" s="10"/>
      <c r="E86" s="50"/>
      <c r="F86" s="10"/>
      <c r="G86" s="10"/>
      <c r="H86" s="10"/>
      <c r="I86" s="10"/>
      <c r="J86" s="10"/>
      <c r="K86" s="10"/>
      <c r="L86" s="10"/>
      <c r="M86" s="10"/>
    </row>
    <row r="89" spans="1:13" ht="18.5" x14ac:dyDescent="0.45"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</row>
    <row r="90" spans="1:13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6"/>
    </row>
    <row r="91" spans="1:13" x14ac:dyDescent="0.3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x14ac:dyDescent="0.3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</row>
    <row r="95" spans="1:13" x14ac:dyDescent="0.3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spans="1:13" x14ac:dyDescent="0.3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 x14ac:dyDescent="0.3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</row>
    <row r="99" spans="1:13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35">
      <c r="A102" s="44"/>
      <c r="B102" s="10"/>
      <c r="C102" s="10"/>
      <c r="D102" s="10"/>
      <c r="E102" s="50"/>
      <c r="F102" s="10"/>
      <c r="G102" s="10"/>
      <c r="H102" s="10"/>
      <c r="I102" s="50"/>
      <c r="J102" s="10"/>
      <c r="K102" s="10"/>
      <c r="L102" s="10"/>
      <c r="M102" s="10"/>
    </row>
    <row r="107" spans="1:13" ht="21" customHeight="1" x14ac:dyDescent="0.35"/>
    <row r="133" spans="1:10" ht="21" x14ac:dyDescent="0.5">
      <c r="A133" s="95"/>
      <c r="B133" s="95"/>
      <c r="C133" s="95"/>
      <c r="D133" s="95"/>
      <c r="E133" s="95"/>
      <c r="F133" s="95"/>
      <c r="G133" s="95"/>
      <c r="H133" s="95"/>
      <c r="I133" s="95"/>
      <c r="J133" s="95"/>
    </row>
    <row r="134" spans="1:10" x14ac:dyDescent="0.35">
      <c r="A134" s="58"/>
      <c r="C134" s="51"/>
      <c r="D134" s="51"/>
      <c r="E134" s="51"/>
      <c r="F134" s="51"/>
      <c r="G134" s="51"/>
      <c r="H134" s="51"/>
      <c r="I134" s="51"/>
      <c r="J134" s="51"/>
    </row>
    <row r="135" spans="1:10" x14ac:dyDescent="0.35">
      <c r="B135" s="15"/>
      <c r="C135" s="60"/>
      <c r="D135" s="63"/>
      <c r="E135" s="51"/>
      <c r="F135" s="51"/>
      <c r="G135" s="51"/>
      <c r="H135" s="51"/>
      <c r="I135" s="51"/>
      <c r="J135" s="51"/>
    </row>
    <row r="136" spans="1:10" x14ac:dyDescent="0.35">
      <c r="B136" s="15"/>
      <c r="C136" s="60"/>
      <c r="D136" s="63"/>
      <c r="E136" s="51"/>
      <c r="F136" s="51"/>
      <c r="G136" s="53"/>
      <c r="H136" s="63"/>
      <c r="I136" s="63"/>
      <c r="J136" s="51"/>
    </row>
    <row r="137" spans="1:10" x14ac:dyDescent="0.35">
      <c r="B137" s="15"/>
      <c r="C137" s="2"/>
      <c r="D137" s="63"/>
      <c r="E137" s="51"/>
      <c r="F137" s="51"/>
      <c r="G137" s="53"/>
      <c r="H137" s="63"/>
      <c r="I137" s="63"/>
      <c r="J137" s="51"/>
    </row>
    <row r="138" spans="1:10" x14ac:dyDescent="0.35">
      <c r="A138" s="51"/>
      <c r="B138" s="53"/>
      <c r="C138" s="60"/>
      <c r="D138" s="63"/>
      <c r="E138" s="51"/>
      <c r="F138" s="51"/>
      <c r="G138" s="53"/>
      <c r="H138" s="63"/>
      <c r="I138" s="63"/>
      <c r="J138" s="51"/>
    </row>
    <row r="139" spans="1:10" x14ac:dyDescent="0.35">
      <c r="A139" s="61"/>
      <c r="B139" s="64"/>
      <c r="C139" s="51"/>
      <c r="D139" s="2"/>
      <c r="E139" s="51"/>
      <c r="F139" s="51"/>
      <c r="G139" s="51"/>
      <c r="H139" s="51"/>
      <c r="I139" s="51"/>
      <c r="J139" s="51"/>
    </row>
    <row r="140" spans="1:10" x14ac:dyDescent="0.35">
      <c r="A140" s="51"/>
      <c r="B140" s="51"/>
      <c r="C140" s="51"/>
      <c r="D140" s="51"/>
      <c r="E140" s="51"/>
      <c r="F140" s="51"/>
      <c r="G140" s="51"/>
      <c r="H140" s="51"/>
      <c r="I140" s="51"/>
      <c r="J140" s="51"/>
    </row>
    <row r="141" spans="1:10" x14ac:dyDescent="0.35">
      <c r="A141" s="51"/>
      <c r="B141" s="65"/>
      <c r="C141" s="62"/>
      <c r="D141" s="66"/>
      <c r="E141" s="51"/>
      <c r="F141" s="51"/>
      <c r="G141" s="51"/>
      <c r="H141" s="51"/>
      <c r="I141" s="51"/>
      <c r="J141" s="51"/>
    </row>
  </sheetData>
  <mergeCells count="6">
    <mergeCell ref="A133:J133"/>
    <mergeCell ref="B38:F38"/>
    <mergeCell ref="B23:D23"/>
    <mergeCell ref="B73:M73"/>
    <mergeCell ref="B89:M89"/>
    <mergeCell ref="A56:J56"/>
  </mergeCells>
  <hyperlinks>
    <hyperlink ref="H2" r:id="rId1" xr:uid="{1BE7E8B7-20DA-4D86-85B8-00CFB70ECFCE}"/>
    <hyperlink ref="H3" r:id="rId2" xr:uid="{96468729-C3E5-44EE-BE89-168CB6417D4C}"/>
    <hyperlink ref="A12" r:id="rId3" xr:uid="{E251D5D4-2989-43F9-9B5F-C9BEA4A9033D}"/>
    <hyperlink ref="A13" r:id="rId4" xr:uid="{A720CCB4-7C12-4D43-8028-9A58F4D1F9E9}"/>
    <hyperlink ref="A14" r:id="rId5" xr:uid="{149C288B-6D02-4568-8C8E-4C7DA1E057EC}"/>
    <hyperlink ref="A15" r:id="rId6" xr:uid="{37A18801-C378-4E82-AE79-D1C0BCA846C8}"/>
    <hyperlink ref="A30" r:id="rId7" xr:uid="{48B0B7F3-DDF3-4AED-9F7D-CD0A0C6DD144}"/>
    <hyperlink ref="I51" r:id="rId8" xr:uid="{77624110-9FE6-4DA2-AAEB-EE2F9A415AB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36B6-6A66-4E97-9379-4A2503328E97}">
  <dimension ref="A1:M65"/>
  <sheetViews>
    <sheetView workbookViewId="0">
      <selection activeCell="M17" sqref="M17"/>
    </sheetView>
  </sheetViews>
  <sheetFormatPr defaultRowHeight="14.5" x14ac:dyDescent="0.35"/>
  <cols>
    <col min="1" max="1" width="30.453125" customWidth="1"/>
    <col min="2" max="2" width="15.453125" customWidth="1"/>
    <col min="3" max="3" width="18" customWidth="1"/>
    <col min="4" max="4" width="15.54296875" customWidth="1"/>
    <col min="5" max="5" width="14.54296875" customWidth="1"/>
    <col min="6" max="6" width="15.453125" customWidth="1"/>
    <col min="7" max="7" width="16" customWidth="1"/>
    <col min="8" max="8" width="22.81640625" customWidth="1"/>
    <col min="9" max="9" width="17.7265625" customWidth="1"/>
    <col min="10" max="10" width="14.7265625" customWidth="1"/>
    <col min="11" max="11" width="14.54296875" customWidth="1"/>
    <col min="12" max="13" width="14.26953125" customWidth="1"/>
  </cols>
  <sheetData>
    <row r="1" spans="1:10" x14ac:dyDescent="0.35">
      <c r="A1" t="s">
        <v>16</v>
      </c>
    </row>
    <row r="2" spans="1:10" x14ac:dyDescent="0.35">
      <c r="A2" t="s">
        <v>17</v>
      </c>
      <c r="F2" s="3">
        <v>84230000</v>
      </c>
      <c r="H2" s="4" t="s">
        <v>18</v>
      </c>
    </row>
    <row r="3" spans="1:10" x14ac:dyDescent="0.35">
      <c r="A3" t="s">
        <v>19</v>
      </c>
      <c r="F3" s="46">
        <v>0.4</v>
      </c>
      <c r="H3" s="4" t="s">
        <v>18</v>
      </c>
    </row>
    <row r="4" spans="1:10" x14ac:dyDescent="0.35">
      <c r="F4" s="3"/>
      <c r="H4" s="4"/>
    </row>
    <row r="5" spans="1:10" x14ac:dyDescent="0.35">
      <c r="F5" s="5"/>
      <c r="H5" s="4"/>
    </row>
    <row r="9" spans="1:10" x14ac:dyDescent="0.35">
      <c r="A9" t="s">
        <v>20</v>
      </c>
      <c r="F9" s="6">
        <f>F2*F3</f>
        <v>33692000</v>
      </c>
    </row>
    <row r="10" spans="1:10" x14ac:dyDescent="0.35">
      <c r="A10" t="s">
        <v>21</v>
      </c>
      <c r="F10" s="7">
        <f>F9*50%</f>
        <v>16846000</v>
      </c>
      <c r="G10" t="s">
        <v>22</v>
      </c>
    </row>
    <row r="11" spans="1:10" x14ac:dyDescent="0.35">
      <c r="A11" t="s">
        <v>23</v>
      </c>
      <c r="F11" s="7">
        <f>F10*30%</f>
        <v>5053800</v>
      </c>
      <c r="G11" s="8" t="s">
        <v>24</v>
      </c>
    </row>
    <row r="12" spans="1:10" x14ac:dyDescent="0.35">
      <c r="F12" s="7"/>
      <c r="G12" s="8"/>
    </row>
    <row r="13" spans="1:10" x14ac:dyDescent="0.35">
      <c r="A13" s="9" t="s">
        <v>25</v>
      </c>
    </row>
    <row r="14" spans="1:10" x14ac:dyDescent="0.35">
      <c r="A14" t="s">
        <v>26</v>
      </c>
      <c r="G14" t="s">
        <v>27</v>
      </c>
    </row>
    <row r="15" spans="1:10" x14ac:dyDescent="0.35">
      <c r="A15" s="4" t="s">
        <v>28</v>
      </c>
      <c r="F15" s="10">
        <v>29</v>
      </c>
      <c r="J15" s="10"/>
    </row>
    <row r="16" spans="1:10" ht="15" thickBot="1" x14ac:dyDescent="0.4">
      <c r="A16" s="4" t="s">
        <v>29</v>
      </c>
      <c r="F16" s="10">
        <v>25</v>
      </c>
      <c r="J16" s="10"/>
    </row>
    <row r="17" spans="1:13" ht="15" thickBot="1" x14ac:dyDescent="0.4">
      <c r="A17" s="11" t="s">
        <v>30</v>
      </c>
      <c r="F17" s="10">
        <v>9.8800000000000008</v>
      </c>
      <c r="G17" t="s">
        <v>31</v>
      </c>
      <c r="J17" s="10"/>
    </row>
    <row r="18" spans="1:13" x14ac:dyDescent="0.35">
      <c r="A18" s="4" t="s">
        <v>32</v>
      </c>
      <c r="F18" s="12">
        <v>29.88</v>
      </c>
      <c r="J18" s="10"/>
    </row>
    <row r="19" spans="1:13" x14ac:dyDescent="0.35">
      <c r="A19" s="9" t="s">
        <v>33</v>
      </c>
      <c r="F19" s="13">
        <f>AVERAGE(F15, F16,F18)</f>
        <v>27.959999999999997</v>
      </c>
      <c r="G19" t="s">
        <v>34</v>
      </c>
      <c r="J19" s="10"/>
    </row>
    <row r="20" spans="1:13" x14ac:dyDescent="0.35">
      <c r="J20" s="10"/>
    </row>
    <row r="21" spans="1:13" x14ac:dyDescent="0.35">
      <c r="A21" t="s">
        <v>35</v>
      </c>
      <c r="F21" s="13">
        <f>60%*F19</f>
        <v>16.775999999999996</v>
      </c>
      <c r="G21" t="s">
        <v>36</v>
      </c>
    </row>
    <row r="22" spans="1:13" x14ac:dyDescent="0.35">
      <c r="A22" t="s">
        <v>37</v>
      </c>
      <c r="E22" s="10"/>
      <c r="F22" s="10">
        <v>60</v>
      </c>
      <c r="G22" s="8" t="s">
        <v>38</v>
      </c>
    </row>
    <row r="24" spans="1:13" x14ac:dyDescent="0.35">
      <c r="A24" t="s">
        <v>39</v>
      </c>
      <c r="F24" s="15">
        <v>100000</v>
      </c>
      <c r="G24" t="s">
        <v>40</v>
      </c>
    </row>
    <row r="26" spans="1:13" x14ac:dyDescent="0.35">
      <c r="B26" s="90" t="s">
        <v>41</v>
      </c>
      <c r="C26" s="90"/>
      <c r="D26" s="90"/>
    </row>
    <row r="27" spans="1:13" x14ac:dyDescent="0.35">
      <c r="A27" t="s">
        <v>42</v>
      </c>
      <c r="B27" s="16" t="s">
        <v>43</v>
      </c>
      <c r="C27" s="16" t="s">
        <v>44</v>
      </c>
      <c r="D27" s="16" t="s">
        <v>45</v>
      </c>
    </row>
    <row r="28" spans="1:13" x14ac:dyDescent="0.35">
      <c r="A28" t="s">
        <v>11</v>
      </c>
      <c r="B28" s="15">
        <v>-10000</v>
      </c>
      <c r="C28" s="16" t="s">
        <v>46</v>
      </c>
      <c r="D28" s="16" t="s">
        <v>46</v>
      </c>
      <c r="G28" t="s">
        <v>47</v>
      </c>
    </row>
    <row r="29" spans="1:13" x14ac:dyDescent="0.35">
      <c r="A29" t="s">
        <v>48</v>
      </c>
      <c r="B29" s="15" t="e">
        <f>-SUM(#REF!)</f>
        <v>#REF!</v>
      </c>
      <c r="C29" s="15">
        <v>-12000</v>
      </c>
      <c r="D29" s="15">
        <f>C29</f>
        <v>-12000</v>
      </c>
      <c r="G29" t="s">
        <v>49</v>
      </c>
    </row>
    <row r="30" spans="1:13" x14ac:dyDescent="0.35">
      <c r="A30" t="s">
        <v>50</v>
      </c>
      <c r="B30" s="15">
        <v>-300</v>
      </c>
      <c r="C30" s="16" t="s">
        <v>46</v>
      </c>
      <c r="D30" s="16" t="s">
        <v>46</v>
      </c>
    </row>
    <row r="31" spans="1:13" x14ac:dyDescent="0.35">
      <c r="A31" t="s">
        <v>52</v>
      </c>
      <c r="B31" s="6">
        <v>100000</v>
      </c>
      <c r="C31" s="17">
        <f>100000*1.15</f>
        <v>114999.99999999999</v>
      </c>
      <c r="D31" s="17">
        <v>132250</v>
      </c>
      <c r="E31" s="7"/>
      <c r="G31" t="s">
        <v>153</v>
      </c>
    </row>
    <row r="32" spans="1:13" x14ac:dyDescent="0.35">
      <c r="A32" t="s">
        <v>54</v>
      </c>
      <c r="B32" s="15">
        <f>-B31*$F$22</f>
        <v>-6000000</v>
      </c>
      <c r="C32" s="10">
        <f>-C31*$F$22</f>
        <v>-6899999.9999999991</v>
      </c>
      <c r="D32" s="10">
        <f>-D31*$F$22</f>
        <v>-7935000</v>
      </c>
      <c r="F32" s="18"/>
      <c r="G32" t="s">
        <v>55</v>
      </c>
      <c r="I32" s="19">
        <f>120000/F11</f>
        <v>2.3744509082274726E-2</v>
      </c>
      <c r="J32" t="s">
        <v>56</v>
      </c>
      <c r="M32" s="5">
        <v>0.05</v>
      </c>
    </row>
    <row r="33" spans="1:13" x14ac:dyDescent="0.35">
      <c r="A33" s="4" t="s">
        <v>57</v>
      </c>
      <c r="B33" s="15">
        <f>-B31*10</f>
        <v>-1000000</v>
      </c>
      <c r="C33" s="15">
        <f>-C31*10</f>
        <v>-1149999.9999999998</v>
      </c>
      <c r="D33" s="15">
        <f>-D31*10</f>
        <v>-1322500</v>
      </c>
      <c r="F33" s="18"/>
      <c r="I33" s="19"/>
      <c r="M33" s="5"/>
    </row>
    <row r="34" spans="1:13" x14ac:dyDescent="0.35">
      <c r="A34" t="s">
        <v>58</v>
      </c>
      <c r="B34" s="15">
        <f>(-500000/12)*11</f>
        <v>-458333.33333333331</v>
      </c>
      <c r="C34" s="15">
        <f>(-500000*1.05)</f>
        <v>-525000</v>
      </c>
      <c r="D34" s="15">
        <f>C34*1.05</f>
        <v>-551250</v>
      </c>
      <c r="G34" t="s">
        <v>59</v>
      </c>
    </row>
    <row r="35" spans="1:13" x14ac:dyDescent="0.35">
      <c r="A35" t="s">
        <v>60</v>
      </c>
      <c r="B35" s="20">
        <f>-$F$24*5</f>
        <v>-500000</v>
      </c>
      <c r="C35" s="20">
        <f>$B$35</f>
        <v>-500000</v>
      </c>
      <c r="D35" s="20">
        <f>$B$35</f>
        <v>-500000</v>
      </c>
    </row>
    <row r="36" spans="1:13" x14ac:dyDescent="0.35">
      <c r="A36" t="s">
        <v>61</v>
      </c>
      <c r="B36" s="15" t="e">
        <f>SUM(B28:B35)-B31</f>
        <v>#REF!</v>
      </c>
      <c r="C36" s="15">
        <f>SUM(C28:C35)-C31</f>
        <v>-9087000</v>
      </c>
      <c r="D36" s="15">
        <f>SUM(D28:D35)-D31</f>
        <v>-10320750</v>
      </c>
    </row>
    <row r="38" spans="1:13" x14ac:dyDescent="0.35">
      <c r="A38" t="s">
        <v>62</v>
      </c>
      <c r="B38" s="10">
        <f>$F$22+7</f>
        <v>67</v>
      </c>
      <c r="C38" t="s">
        <v>137</v>
      </c>
    </row>
    <row r="39" spans="1:13" x14ac:dyDescent="0.35">
      <c r="A39" t="s">
        <v>63</v>
      </c>
      <c r="B39" s="10">
        <f>1.4*F22</f>
        <v>84</v>
      </c>
      <c r="G39" s="14" t="s">
        <v>64</v>
      </c>
      <c r="J39" s="10"/>
    </row>
    <row r="41" spans="1:13" x14ac:dyDescent="0.35">
      <c r="B41" s="89" t="s">
        <v>65</v>
      </c>
      <c r="C41" s="89"/>
      <c r="D41" s="89"/>
    </row>
    <row r="42" spans="1:13" ht="14.5" customHeight="1" x14ac:dyDescent="0.35">
      <c r="A42" s="67"/>
      <c r="B42" s="96" t="s">
        <v>65</v>
      </c>
      <c r="C42" s="96"/>
      <c r="D42" s="96"/>
      <c r="E42" s="96"/>
      <c r="F42" s="96"/>
    </row>
    <row r="43" spans="1:13" x14ac:dyDescent="0.35">
      <c r="A43" s="67" t="s">
        <v>42</v>
      </c>
      <c r="B43" s="67" t="s">
        <v>43</v>
      </c>
      <c r="C43" s="67" t="s">
        <v>44</v>
      </c>
      <c r="D43" s="67" t="s">
        <v>45</v>
      </c>
      <c r="E43" s="67" t="s">
        <v>138</v>
      </c>
      <c r="F43" s="67" t="s">
        <v>139</v>
      </c>
    </row>
    <row r="44" spans="1:13" x14ac:dyDescent="0.35">
      <c r="A44" s="67" t="s">
        <v>11</v>
      </c>
      <c r="B44" s="78">
        <v>-10000</v>
      </c>
      <c r="C44" s="79" t="s">
        <v>46</v>
      </c>
      <c r="D44" s="79" t="s">
        <v>46</v>
      </c>
      <c r="E44" s="79" t="s">
        <v>46</v>
      </c>
      <c r="F44" s="79" t="s">
        <v>46</v>
      </c>
    </row>
    <row r="45" spans="1:13" x14ac:dyDescent="0.35">
      <c r="A45" s="67" t="s">
        <v>48</v>
      </c>
      <c r="B45" s="78">
        <v>-5000</v>
      </c>
      <c r="C45" s="78">
        <v>-12000</v>
      </c>
      <c r="D45" s="78">
        <v>-12000</v>
      </c>
      <c r="E45" s="78">
        <v>-12000</v>
      </c>
      <c r="F45" s="78">
        <v>-12000</v>
      </c>
    </row>
    <row r="46" spans="1:13" x14ac:dyDescent="0.35">
      <c r="A46" s="67" t="s">
        <v>50</v>
      </c>
      <c r="B46" s="78">
        <v>-300</v>
      </c>
      <c r="C46" s="79" t="s">
        <v>46</v>
      </c>
      <c r="D46" s="79" t="s">
        <v>46</v>
      </c>
      <c r="E46" s="79" t="s">
        <v>46</v>
      </c>
      <c r="F46" s="79" t="s">
        <v>46</v>
      </c>
    </row>
    <row r="47" spans="1:13" x14ac:dyDescent="0.35">
      <c r="A47" s="67" t="s">
        <v>52</v>
      </c>
      <c r="B47" s="68">
        <v>100000</v>
      </c>
      <c r="C47" s="68">
        <v>115000</v>
      </c>
      <c r="D47" s="68">
        <v>132250</v>
      </c>
      <c r="E47" s="68">
        <v>152088</v>
      </c>
      <c r="F47" s="68">
        <v>174901</v>
      </c>
    </row>
    <row r="48" spans="1:13" x14ac:dyDescent="0.35">
      <c r="A48" s="67" t="s">
        <v>54</v>
      </c>
      <c r="B48" s="78">
        <v>-6000000</v>
      </c>
      <c r="C48" s="80">
        <v>-6900000</v>
      </c>
      <c r="D48" s="80">
        <v>-7935000</v>
      </c>
      <c r="E48" s="80">
        <v>-9125250</v>
      </c>
      <c r="F48" s="80">
        <v>-10494037.5</v>
      </c>
    </row>
    <row r="49" spans="1:11" x14ac:dyDescent="0.35">
      <c r="A49" s="67" t="s">
        <v>57</v>
      </c>
      <c r="B49" s="78">
        <v>-1000000</v>
      </c>
      <c r="C49" s="78">
        <v>-1150000</v>
      </c>
      <c r="D49" s="78">
        <v>-1322500</v>
      </c>
      <c r="E49" s="78">
        <v>-1520875</v>
      </c>
      <c r="F49" s="78">
        <v>-1749006</v>
      </c>
    </row>
    <row r="50" spans="1:11" x14ac:dyDescent="0.35">
      <c r="A50" s="67" t="s">
        <v>58</v>
      </c>
      <c r="B50" s="78">
        <v>-458333</v>
      </c>
      <c r="C50" s="78">
        <v>-525000</v>
      </c>
      <c r="D50" s="78">
        <v>-551250</v>
      </c>
      <c r="E50" s="78">
        <v>-578813</v>
      </c>
      <c r="F50" s="78">
        <v>-607753</v>
      </c>
    </row>
    <row r="51" spans="1:11" x14ac:dyDescent="0.35">
      <c r="A51" s="67" t="s">
        <v>60</v>
      </c>
      <c r="B51" s="82">
        <v>-500000</v>
      </c>
      <c r="C51" s="82">
        <v>-500000</v>
      </c>
      <c r="D51" s="82">
        <v>-500000</v>
      </c>
      <c r="E51" s="82">
        <v>-500000</v>
      </c>
      <c r="F51" s="82">
        <v>-500000</v>
      </c>
    </row>
    <row r="52" spans="1:11" x14ac:dyDescent="0.35">
      <c r="A52" s="67" t="s">
        <v>61</v>
      </c>
      <c r="B52" s="78">
        <v>-7973633</v>
      </c>
      <c r="C52" s="78">
        <v>-9087000</v>
      </c>
      <c r="D52" s="78">
        <v>-10320750</v>
      </c>
      <c r="E52" s="78">
        <v>-11736938</v>
      </c>
      <c r="F52" s="78">
        <v>-13362797</v>
      </c>
    </row>
    <row r="53" spans="1:11" x14ac:dyDescent="0.35">
      <c r="A53" s="67" t="s">
        <v>66</v>
      </c>
      <c r="B53" s="73">
        <v>8400000</v>
      </c>
      <c r="C53" s="73">
        <v>9660000</v>
      </c>
      <c r="D53" s="73">
        <v>11109000</v>
      </c>
      <c r="E53" s="73">
        <v>12775350</v>
      </c>
      <c r="F53" s="73">
        <v>14691652.5</v>
      </c>
    </row>
    <row r="54" spans="1:11" x14ac:dyDescent="0.35">
      <c r="A54" s="67" t="s">
        <v>67</v>
      </c>
      <c r="B54" s="80">
        <v>426366.67</v>
      </c>
      <c r="C54" s="73">
        <v>573000</v>
      </c>
      <c r="D54" s="73">
        <v>788250</v>
      </c>
      <c r="E54" s="73">
        <v>1038412.5</v>
      </c>
      <c r="F54" s="73">
        <v>1328855.6299999999</v>
      </c>
      <c r="I54" s="5">
        <v>0.21</v>
      </c>
      <c r="J54" s="5">
        <v>0.21</v>
      </c>
      <c r="K54" s="4" t="s">
        <v>69</v>
      </c>
    </row>
    <row r="55" spans="1:11" x14ac:dyDescent="0.35">
      <c r="A55" s="67" t="s">
        <v>68</v>
      </c>
      <c r="B55" s="67" t="s">
        <v>140</v>
      </c>
      <c r="C55" s="73">
        <v>120330</v>
      </c>
      <c r="D55" s="73">
        <v>165532.5</v>
      </c>
      <c r="E55" s="73">
        <v>218066.63</v>
      </c>
      <c r="F55" s="73">
        <v>279059.68</v>
      </c>
    </row>
    <row r="56" spans="1:11" x14ac:dyDescent="0.35">
      <c r="A56" s="67" t="s">
        <v>70</v>
      </c>
      <c r="B56" s="80">
        <v>426366.67</v>
      </c>
      <c r="C56" s="73">
        <v>452670</v>
      </c>
      <c r="D56" s="73">
        <v>622717.5</v>
      </c>
      <c r="E56" s="73">
        <v>820345.87</v>
      </c>
      <c r="F56" s="73">
        <v>1049795.94</v>
      </c>
    </row>
    <row r="60" spans="1:11" ht="26.15" customHeight="1" x14ac:dyDescent="0.6">
      <c r="A60" s="99" t="s">
        <v>154</v>
      </c>
      <c r="B60" s="99"/>
      <c r="C60" s="99"/>
      <c r="D60" s="99"/>
      <c r="E60" s="99"/>
      <c r="F60" s="99"/>
    </row>
    <row r="61" spans="1:11" x14ac:dyDescent="0.35">
      <c r="A61" s="51"/>
      <c r="B61" s="52" t="s">
        <v>43</v>
      </c>
      <c r="C61" s="52" t="s">
        <v>155</v>
      </c>
      <c r="D61" s="52" t="s">
        <v>45</v>
      </c>
      <c r="E61" s="52" t="s">
        <v>138</v>
      </c>
      <c r="F61" s="52" t="s">
        <v>139</v>
      </c>
    </row>
    <row r="62" spans="1:11" x14ac:dyDescent="0.35">
      <c r="A62" s="51" t="s">
        <v>156</v>
      </c>
      <c r="B62" s="78">
        <v>-7973633</v>
      </c>
      <c r="C62" s="78">
        <v>-9087000</v>
      </c>
      <c r="D62" s="78">
        <v>-10320750</v>
      </c>
      <c r="E62" s="78">
        <v>-11736938</v>
      </c>
      <c r="F62" s="78">
        <v>-13362797</v>
      </c>
    </row>
    <row r="63" spans="1:11" x14ac:dyDescent="0.35">
      <c r="A63" s="51" t="s">
        <v>66</v>
      </c>
      <c r="B63" s="73">
        <v>8400000</v>
      </c>
      <c r="C63" s="73">
        <v>9660000</v>
      </c>
      <c r="D63" s="73">
        <v>11109000</v>
      </c>
      <c r="E63" s="73">
        <v>12775350</v>
      </c>
      <c r="F63" s="73">
        <v>14691652.5</v>
      </c>
    </row>
    <row r="64" spans="1:11" x14ac:dyDescent="0.35">
      <c r="A64" s="51" t="s">
        <v>157</v>
      </c>
      <c r="B64" s="80">
        <v>426366.67</v>
      </c>
      <c r="C64" s="73">
        <v>573000</v>
      </c>
      <c r="D64" s="73">
        <v>788250</v>
      </c>
      <c r="E64" s="73">
        <v>1038412.5</v>
      </c>
      <c r="F64" s="73">
        <v>1328855.6299999999</v>
      </c>
    </row>
    <row r="65" spans="1:6" x14ac:dyDescent="0.35">
      <c r="A65" s="51" t="s">
        <v>158</v>
      </c>
      <c r="B65" s="80">
        <v>426366.67</v>
      </c>
      <c r="C65" s="73">
        <v>452670</v>
      </c>
      <c r="D65" s="73">
        <v>622717.5</v>
      </c>
      <c r="E65" s="73">
        <v>820345.87</v>
      </c>
      <c r="F65" s="73">
        <v>1049795.94</v>
      </c>
    </row>
  </sheetData>
  <mergeCells count="3">
    <mergeCell ref="B26:D26"/>
    <mergeCell ref="A60:F60"/>
    <mergeCell ref="B42:F42"/>
  </mergeCells>
  <hyperlinks>
    <hyperlink ref="A18" r:id="rId1" display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xr:uid="{6C75E6EF-5B09-4EC0-87CD-C8B2EE1D4F19}"/>
    <hyperlink ref="A16" r:id="rId2" display="https://www.amazon.com/Tile-Bluetooth-Battery-Water-Resistant-Compatible/dp/B09998MBFM/ref=sr_1_3?keywords=tile+mate&amp;qid=1699389931&amp;sr=8-3" xr:uid="{E7A13516-0B4B-43EE-9C71-F5038EC80C46}"/>
    <hyperlink ref="A17" r:id="rId3" display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xr:uid="{CDC43928-CCA7-4817-AF9E-ADAD47ACE1FA}"/>
    <hyperlink ref="H2" r:id="rId4" display="https://www.statista.com/statistics/183659/number-of-families-in-the-us/" xr:uid="{FEB41F3D-1683-4AEE-8D3B-0F38FE511FC4}"/>
    <hyperlink ref="H3" r:id="rId5" display="https://www.census.gov/newsroom/press-releases/2022/americas-families-and-living-arrangements.html" xr:uid="{421058CC-6028-4A88-89BA-B6564BD98FFA}"/>
    <hyperlink ref="A15" r:id="rId6" display="https://www.apple.com/shop/buy-airtag/airtag" xr:uid="{E977237D-717E-4BBD-8E89-A3DC18F2C7F6}"/>
    <hyperlink ref="A33" r:id="rId7" display="https://fitsmallbusiness.com/fulfillment-by-amazon/" xr:uid="{6AE5DE3F-C02D-4D0A-95A9-25517D6FECA9}"/>
    <hyperlink ref="K54" r:id="rId8" display="https://www.investopedia.com/terms/c/corporatetax.asp" xr:uid="{707277ED-57FC-48F1-B9A4-8DACB8BBFB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Timeline</vt:lpstr>
      <vt:lpstr>Pro Forma Income Statement</vt:lpstr>
      <vt:lpstr>Break-Even Analysis</vt:lpstr>
      <vt:lpstr>Start-Up Budget</vt:lpstr>
      <vt:lpstr>Sources &amp; Usage of Funds</vt:lpstr>
      <vt:lpstr>Investment Offer &amp; Return</vt:lpstr>
      <vt:lpstr>Simple Income 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Kotian</dc:creator>
  <cp:keywords/>
  <dc:description/>
  <cp:lastModifiedBy>Rahul Kotian</cp:lastModifiedBy>
  <cp:revision/>
  <dcterms:created xsi:type="dcterms:W3CDTF">2023-10-26T23:02:37Z</dcterms:created>
  <dcterms:modified xsi:type="dcterms:W3CDTF">2023-11-16T00:49:05Z</dcterms:modified>
  <cp:category/>
  <cp:contentStatus/>
</cp:coreProperties>
</file>