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ei\OneDrive\Documents\"/>
    </mc:Choice>
  </mc:AlternateContent>
  <xr:revisionPtr revIDLastSave="0" documentId="13_ncr:1_{C8B8FC76-B4E8-4C98-ACA6-7534A38B39D0}" xr6:coauthVersionLast="47" xr6:coauthVersionMax="47" xr10:uidLastSave="{00000000-0000-0000-0000-000000000000}"/>
  <bookViews>
    <workbookView xWindow="4356" yWindow="984" windowWidth="23040" windowHeight="12120" activeTab="4" xr2:uid="{7548BF41-8470-4A4A-894D-4B3AE8DB6165}"/>
  </bookViews>
  <sheets>
    <sheet name="Portfolio Overview" sheetId="1" r:id="rId1"/>
    <sheet name="MTM &amp; PnL" sheetId="2" r:id="rId2"/>
    <sheet name="Historical Prices" sheetId="6" r:id="rId3"/>
    <sheet name="Risk Metrics" sheetId="4" r:id="rId4"/>
    <sheet name="UAT Checks" sheetId="3" r:id="rId5"/>
  </sheets>
  <definedNames>
    <definedName name="_xlnm._FilterDatabase" localSheetId="0" hidden="1">'Portfolio Overview'!$B$4:$J$4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2" l="1"/>
  <c r="L20" i="2"/>
  <c r="K20" i="2"/>
  <c r="K5" i="2"/>
  <c r="H5" i="4"/>
  <c r="Q5" i="2"/>
  <c r="H7" i="4" s="1"/>
  <c r="Q4" i="2"/>
  <c r="H6" i="4" s="1"/>
  <c r="H8" i="4" s="1"/>
  <c r="E12" i="2"/>
  <c r="D7" i="3"/>
  <c r="D6" i="3"/>
  <c r="D6" i="4"/>
  <c r="D7" i="4"/>
  <c r="D5" i="4"/>
  <c r="C6" i="4"/>
  <c r="C7" i="4"/>
  <c r="C5" i="4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I6" i="6"/>
  <c r="J6" i="6" s="1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G35" i="6" s="1"/>
  <c r="I5" i="6"/>
  <c r="F5" i="6"/>
  <c r="C5" i="6"/>
  <c r="D9" i="2"/>
  <c r="F9" i="2" s="1"/>
  <c r="D10" i="2"/>
  <c r="F10" i="2" s="1"/>
  <c r="L10" i="2" s="1"/>
  <c r="D11" i="2"/>
  <c r="F11" i="2" s="1"/>
  <c r="L11" i="2" s="1"/>
  <c r="D12" i="2"/>
  <c r="F12" i="2" s="1"/>
  <c r="H12" i="2" s="1"/>
  <c r="J12" i="2" s="1"/>
  <c r="D13" i="2"/>
  <c r="F13" i="2" s="1"/>
  <c r="D14" i="2"/>
  <c r="F14" i="2" s="1"/>
  <c r="D15" i="2"/>
  <c r="F15" i="2" s="1"/>
  <c r="D16" i="2"/>
  <c r="F16" i="2" s="1"/>
  <c r="D17" i="2"/>
  <c r="F17" i="2" s="1"/>
  <c r="L17" i="2" s="1"/>
  <c r="D18" i="2"/>
  <c r="F18" i="2" s="1"/>
  <c r="H18" i="2" s="1"/>
  <c r="J18" i="2" s="1"/>
  <c r="D19" i="2"/>
  <c r="F19" i="2" s="1"/>
  <c r="H19" i="2" s="1"/>
  <c r="J19" i="2" s="1"/>
  <c r="D8" i="2"/>
  <c r="F8" i="2" s="1"/>
  <c r="H8" i="2" s="1"/>
  <c r="J8" i="2" s="1"/>
  <c r="C19" i="2"/>
  <c r="E19" i="2" s="1"/>
  <c r="G19" i="2" s="1"/>
  <c r="I19" i="2" s="1"/>
  <c r="C18" i="2"/>
  <c r="E18" i="2" s="1"/>
  <c r="G18" i="2" s="1"/>
  <c r="C17" i="2"/>
  <c r="E17" i="2" s="1"/>
  <c r="G17" i="2" s="1"/>
  <c r="I17" i="2" s="1"/>
  <c r="C16" i="2"/>
  <c r="E16" i="2" s="1"/>
  <c r="G16" i="2" s="1"/>
  <c r="I16" i="2" s="1"/>
  <c r="C15" i="2"/>
  <c r="E15" i="2" s="1"/>
  <c r="G15" i="2" s="1"/>
  <c r="I15" i="2" s="1"/>
  <c r="C14" i="2"/>
  <c r="E14" i="2" s="1"/>
  <c r="G14" i="2" s="1"/>
  <c r="I14" i="2" s="1"/>
  <c r="C13" i="2"/>
  <c r="E13" i="2" s="1"/>
  <c r="G13" i="2" s="1"/>
  <c r="I13" i="2" s="1"/>
  <c r="C12" i="2"/>
  <c r="G12" i="2" s="1"/>
  <c r="I12" i="2" s="1"/>
  <c r="C11" i="2"/>
  <c r="E11" i="2" s="1"/>
  <c r="G11" i="2" s="1"/>
  <c r="I11" i="2" s="1"/>
  <c r="C10" i="2"/>
  <c r="E10" i="2" s="1"/>
  <c r="G10" i="2" s="1"/>
  <c r="I10" i="2" s="1"/>
  <c r="C9" i="2"/>
  <c r="E9" i="2" s="1"/>
  <c r="G9" i="2" s="1"/>
  <c r="I9" i="2" s="1"/>
  <c r="C8" i="2"/>
  <c r="E8" i="2" s="1"/>
  <c r="G8" i="2" s="1"/>
  <c r="I8" i="2" s="1"/>
  <c r="Q6" i="2" l="1"/>
  <c r="K19" i="2"/>
  <c r="M19" i="2" s="1"/>
  <c r="N19" i="2" s="1"/>
  <c r="L19" i="2"/>
  <c r="L18" i="2"/>
  <c r="L16" i="2"/>
  <c r="L15" i="2"/>
  <c r="L14" i="2"/>
  <c r="L13" i="2"/>
  <c r="K18" i="2"/>
  <c r="M18" i="2" s="1"/>
  <c r="N18" i="2" s="1"/>
  <c r="K12" i="2"/>
  <c r="L9" i="2"/>
  <c r="L8" i="2"/>
  <c r="K8" i="2"/>
  <c r="M8" i="2"/>
  <c r="N8" i="2" s="1"/>
  <c r="L12" i="2"/>
  <c r="G26" i="6"/>
  <c r="G25" i="6"/>
  <c r="G24" i="6"/>
  <c r="G20" i="6"/>
  <c r="G21" i="6"/>
  <c r="G19" i="6"/>
  <c r="G18" i="6"/>
  <c r="G6" i="6"/>
  <c r="G14" i="6"/>
  <c r="G13" i="6"/>
  <c r="G12" i="6"/>
  <c r="G11" i="6"/>
  <c r="G30" i="6"/>
  <c r="G10" i="6"/>
  <c r="G29" i="6"/>
  <c r="G28" i="6"/>
  <c r="G8" i="6"/>
  <c r="G23" i="6"/>
  <c r="G22" i="6"/>
  <c r="G17" i="6"/>
  <c r="G16" i="6"/>
  <c r="G15" i="6"/>
  <c r="G34" i="6"/>
  <c r="G33" i="6"/>
  <c r="G32" i="6"/>
  <c r="G31" i="6"/>
  <c r="G9" i="6"/>
  <c r="G27" i="6"/>
  <c r="G7" i="6"/>
  <c r="I7" i="6"/>
  <c r="D6" i="6"/>
  <c r="D35" i="6"/>
  <c r="H11" i="2"/>
  <c r="K11" i="2" s="1"/>
  <c r="M11" i="2" s="1"/>
  <c r="N11" i="2" s="1"/>
  <c r="H10" i="2"/>
  <c r="J10" i="2" s="1"/>
  <c r="H9" i="2"/>
  <c r="J9" i="2" s="1"/>
  <c r="I18" i="2"/>
  <c r="H17" i="2"/>
  <c r="J17" i="2" s="1"/>
  <c r="H15" i="2"/>
  <c r="J15" i="2" s="1"/>
  <c r="H14" i="2"/>
  <c r="J14" i="2" s="1"/>
  <c r="H13" i="2"/>
  <c r="J13" i="2" s="1"/>
  <c r="H16" i="2"/>
  <c r="J16" i="2" s="1"/>
  <c r="K15" i="2" l="1"/>
  <c r="M15" i="2" s="1"/>
  <c r="N15" i="2" s="1"/>
  <c r="K16" i="2"/>
  <c r="M16" i="2" s="1"/>
  <c r="N16" i="2" s="1"/>
  <c r="K17" i="2"/>
  <c r="M17" i="2" s="1"/>
  <c r="N17" i="2" s="1"/>
  <c r="K14" i="2"/>
  <c r="M14" i="2" s="1"/>
  <c r="N14" i="2" s="1"/>
  <c r="K13" i="2"/>
  <c r="M13" i="2" s="1"/>
  <c r="N13" i="2" s="1"/>
  <c r="M12" i="2"/>
  <c r="N12" i="2" s="1"/>
  <c r="K10" i="2"/>
  <c r="M10" i="2" s="1"/>
  <c r="N10" i="2" s="1"/>
  <c r="K9" i="2"/>
  <c r="M9" i="2" s="1"/>
  <c r="N9" i="2" s="1"/>
  <c r="Q3" i="2"/>
  <c r="E6" i="4"/>
  <c r="I8" i="6"/>
  <c r="J7" i="6"/>
  <c r="D11" i="6"/>
  <c r="D18" i="6"/>
  <c r="D19" i="6"/>
  <c r="D20" i="6"/>
  <c r="D7" i="6"/>
  <c r="D8" i="6"/>
  <c r="D9" i="6"/>
  <c r="D12" i="6"/>
  <c r="D13" i="6"/>
  <c r="D14" i="6"/>
  <c r="D15" i="6"/>
  <c r="D16" i="6"/>
  <c r="D30" i="6"/>
  <c r="D32" i="6"/>
  <c r="D33" i="6"/>
  <c r="D34" i="6"/>
  <c r="D21" i="6"/>
  <c r="D27" i="6"/>
  <c r="D22" i="6"/>
  <c r="D24" i="6"/>
  <c r="D28" i="6"/>
  <c r="D26" i="6"/>
  <c r="D17" i="6"/>
  <c r="D29" i="6"/>
  <c r="D23" i="6"/>
  <c r="D10" i="6"/>
  <c r="D25" i="6"/>
  <c r="D31" i="6"/>
  <c r="J11" i="2"/>
  <c r="M20" i="2" l="1"/>
  <c r="D5" i="3" s="1"/>
  <c r="D8" i="3"/>
  <c r="F6" i="4"/>
  <c r="G6" i="4"/>
  <c r="E5" i="4"/>
  <c r="I9" i="6"/>
  <c r="J8" i="6"/>
  <c r="L4" i="2"/>
  <c r="L3" i="2"/>
  <c r="F5" i="4" l="1"/>
  <c r="G5" i="4"/>
  <c r="I10" i="6"/>
  <c r="J9" i="6"/>
  <c r="I11" i="6" l="1"/>
  <c r="J10" i="6"/>
  <c r="I12" i="6" l="1"/>
  <c r="J11" i="6"/>
  <c r="I13" i="6" l="1"/>
  <c r="J12" i="6"/>
  <c r="I14" i="6" l="1"/>
  <c r="J13" i="6"/>
  <c r="I15" i="6" l="1"/>
  <c r="J14" i="6"/>
  <c r="I16" i="6" l="1"/>
  <c r="J15" i="6"/>
  <c r="I17" i="6" l="1"/>
  <c r="J16" i="6"/>
  <c r="I18" i="6" l="1"/>
  <c r="J17" i="6"/>
  <c r="I19" i="6" l="1"/>
  <c r="J18" i="6"/>
  <c r="I20" i="6" l="1"/>
  <c r="J19" i="6"/>
  <c r="I21" i="6" l="1"/>
  <c r="J20" i="6"/>
  <c r="I22" i="6" l="1"/>
  <c r="J21" i="6"/>
  <c r="I23" i="6" l="1"/>
  <c r="J22" i="6"/>
  <c r="I24" i="6" l="1"/>
  <c r="J23" i="6"/>
  <c r="I25" i="6" l="1"/>
  <c r="J24" i="6"/>
  <c r="I26" i="6" l="1"/>
  <c r="J25" i="6"/>
  <c r="I27" i="6" l="1"/>
  <c r="J26" i="6"/>
  <c r="I28" i="6" l="1"/>
  <c r="J27" i="6"/>
  <c r="I29" i="6" l="1"/>
  <c r="J28" i="6"/>
  <c r="I30" i="6" l="1"/>
  <c r="J29" i="6"/>
  <c r="I31" i="6" l="1"/>
  <c r="J30" i="6"/>
  <c r="I32" i="6" l="1"/>
  <c r="J31" i="6"/>
  <c r="I33" i="6" l="1"/>
  <c r="J32" i="6"/>
  <c r="I34" i="6" l="1"/>
  <c r="J33" i="6"/>
  <c r="I35" i="6" l="1"/>
  <c r="J35" i="6" s="1"/>
  <c r="J34" i="6"/>
  <c r="E7" i="4" l="1"/>
  <c r="F7" i="4" l="1"/>
  <c r="G7" i="4"/>
  <c r="G8" i="4" l="1"/>
  <c r="D9" i="3" s="1"/>
</calcChain>
</file>

<file path=xl/sharedStrings.xml><?xml version="1.0" encoding="utf-8"?>
<sst xmlns="http://schemas.openxmlformats.org/spreadsheetml/2006/main" count="181" uniqueCount="104">
  <si>
    <t>Ticker</t>
  </si>
  <si>
    <t>Name</t>
  </si>
  <si>
    <t>Asset Class</t>
  </si>
  <si>
    <t>Strategy</t>
  </si>
  <si>
    <t>Position (Qty)</t>
  </si>
  <si>
    <t>Entry Price</t>
  </si>
  <si>
    <t>Current Price</t>
  </si>
  <si>
    <t>Currency</t>
  </si>
  <si>
    <t>Trade Date</t>
  </si>
  <si>
    <t>AAPL</t>
  </si>
  <si>
    <t>Apple Inc.</t>
  </si>
  <si>
    <t>Equity</t>
  </si>
  <si>
    <t>L/S Equity</t>
  </si>
  <si>
    <t>USD</t>
  </si>
  <si>
    <t>TLT</t>
  </si>
  <si>
    <t>Bond</t>
  </si>
  <si>
    <t>Fixed Income</t>
  </si>
  <si>
    <t>EURUSD</t>
  </si>
  <si>
    <t>FX</t>
  </si>
  <si>
    <t>Macro FX</t>
  </si>
  <si>
    <t>AMZN</t>
  </si>
  <si>
    <t>Amazon.com Inc.</t>
  </si>
  <si>
    <t>USDJPY</t>
  </si>
  <si>
    <t>TSLA</t>
  </si>
  <si>
    <t>Tesla Inc.</t>
  </si>
  <si>
    <t>MTM &amp; PnL</t>
  </si>
  <si>
    <t>Historical Prices</t>
  </si>
  <si>
    <t>Risk Metrics</t>
  </si>
  <si>
    <t>UAT Checks</t>
  </si>
  <si>
    <t>Portfolio Overview</t>
  </si>
  <si>
    <t>MSFT</t>
  </si>
  <si>
    <t>Microsoft Corp.</t>
  </si>
  <si>
    <t>US Treasury ETF</t>
  </si>
  <si>
    <t>IEF</t>
  </si>
  <si>
    <t>7–10 Yr Treasury ETF</t>
  </si>
  <si>
    <t>BND</t>
  </si>
  <si>
    <t>Total Bond Market ETF</t>
  </si>
  <si>
    <t>EUR/USD Spot</t>
  </si>
  <si>
    <t>USD/JPY Spot</t>
  </si>
  <si>
    <t>GBPUSD</t>
  </si>
  <si>
    <t>GBP/USD Spot</t>
  </si>
  <si>
    <t>FXF</t>
  </si>
  <si>
    <t>Swiss Franc Trust ETF</t>
  </si>
  <si>
    <t>SHY</t>
  </si>
  <si>
    <t>1–3 Yr Treasury ETF</t>
  </si>
  <si>
    <t>Market Value</t>
  </si>
  <si>
    <t>Total Cost</t>
  </si>
  <si>
    <t>MTM PnL</t>
  </si>
  <si>
    <t>% Return</t>
  </si>
  <si>
    <t>Total MTM per strategy</t>
  </si>
  <si>
    <t>Total PnL per asset class</t>
  </si>
  <si>
    <t>Portfolio-level % return</t>
  </si>
  <si>
    <t>Summary:</t>
  </si>
  <si>
    <t>Price</t>
  </si>
  <si>
    <t>Daily Returns</t>
  </si>
  <si>
    <t>-</t>
  </si>
  <si>
    <t>Day -30</t>
  </si>
  <si>
    <t>Day -29</t>
  </si>
  <si>
    <t>Day -28</t>
  </si>
  <si>
    <t>Day -27</t>
  </si>
  <si>
    <t>Day -26</t>
  </si>
  <si>
    <t>Day -25</t>
  </si>
  <si>
    <t>Day -24</t>
  </si>
  <si>
    <t>Day -23</t>
  </si>
  <si>
    <t>Day -22</t>
  </si>
  <si>
    <t>Day -21</t>
  </si>
  <si>
    <t>Day -20</t>
  </si>
  <si>
    <t>Day -19</t>
  </si>
  <si>
    <t>Day -18</t>
  </si>
  <si>
    <t>Day -17</t>
  </si>
  <si>
    <t>Day -16</t>
  </si>
  <si>
    <t>Day -15</t>
  </si>
  <si>
    <t>Day -14</t>
  </si>
  <si>
    <t>Day -13</t>
  </si>
  <si>
    <t>Day -12</t>
  </si>
  <si>
    <t>Day -11</t>
  </si>
  <si>
    <t>Day -10</t>
  </si>
  <si>
    <t>Day -9</t>
  </si>
  <si>
    <t>Day -8</t>
  </si>
  <si>
    <t>Day -7</t>
  </si>
  <si>
    <t>Day -6</t>
  </si>
  <si>
    <t>Day -5</t>
  </si>
  <si>
    <t>Day -4</t>
  </si>
  <si>
    <t>Day -3</t>
  </si>
  <si>
    <t>Day -2</t>
  </si>
  <si>
    <t>Day -1</t>
  </si>
  <si>
    <t>Day -0</t>
  </si>
  <si>
    <t>Std Dev (σ)</t>
  </si>
  <si>
    <t>Volatility (Annualized)</t>
  </si>
  <si>
    <t>1-Day VaR (95%)</t>
  </si>
  <si>
    <t>Portfolio Exposure</t>
  </si>
  <si>
    <t>Check ID</t>
  </si>
  <si>
    <t>Description</t>
  </si>
  <si>
    <t>Result</t>
  </si>
  <si>
    <t>Total MTM = Sum of individual MTMs</t>
  </si>
  <si>
    <t>Entry price and current price nonzero</t>
  </si>
  <si>
    <t>Currency present for all rows</t>
  </si>
  <si>
    <t>PnL = MV – Total Cost</t>
  </si>
  <si>
    <t>VaR not higher than portfolio value</t>
  </si>
  <si>
    <t>Sum</t>
  </si>
  <si>
    <t>Average</t>
  </si>
  <si>
    <t>Running Total</t>
  </si>
  <si>
    <t>Count</t>
  </si>
  <si>
    <t>Total AUM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</si>
</sst>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5" fillId="0" borderId="0" xfId="0" applyFont="1" applyAlignment="1">
      <alignment vertical="center" wrapText="1"/>
    </xf>
    <xf numFmtId="9" fontId="0" fillId="0" borderId="0" xfId="1" applyFont="1"/>
    <xf numFmtId="0" fontId="0" fillId="3" borderId="0" xfId="0" applyFill="1"/>
    <xf numFmtId="9" fontId="0" fillId="3" borderId="0" xfId="1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vertical="center" wrapText="1"/>
    </xf>
    <xf numFmtId="10" fontId="0" fillId="0" borderId="0" xfId="1" applyNumberFormat="1" applyFont="1"/>
    <xf numFmtId="0" fontId="6" fillId="4" borderId="0" xfId="0" applyFont="1" applyFill="1"/>
    <xf numFmtId="0" fontId="0" fillId="4" borderId="0" xfId="0" applyFill="1"/>
    <xf numFmtId="0" fontId="1" fillId="4" borderId="0" xfId="0" applyFont="1" applyFill="1"/>
    <xf numFmtId="10" fontId="1" fillId="4" borderId="0" xfId="1" applyNumberFormat="1" applyFont="1" applyFill="1" applyAlignment="1">
      <alignment horizontal="left"/>
    </xf>
    <xf numFmtId="2" fontId="0" fillId="0" borderId="0" xfId="0" applyNumberFormat="1"/>
    <xf numFmtId="0" fontId="0" fillId="5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4" fontId="0" fillId="3" borderId="5" xfId="0" applyNumberFormat="1" applyFill="1" applyBorder="1" applyAlignment="1">
      <alignment horizontal="center"/>
    </xf>
    <xf numFmtId="172" fontId="0" fillId="3" borderId="5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10" fontId="8" fillId="3" borderId="6" xfId="1" applyNumberFormat="1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8" borderId="0" xfId="0" applyFill="1"/>
    <xf numFmtId="0" fontId="1" fillId="4" borderId="2" xfId="0" applyFont="1" applyFill="1" applyBorder="1"/>
    <xf numFmtId="2" fontId="1" fillId="0" borderId="2" xfId="0" applyNumberFormat="1" applyFont="1" applyBorder="1"/>
    <xf numFmtId="3" fontId="0" fillId="4" borderId="0" xfId="0" applyNumberFormat="1" applyFill="1"/>
    <xf numFmtId="3" fontId="1" fillId="4" borderId="2" xfId="0" applyNumberFormat="1" applyFont="1" applyFill="1" applyBorder="1"/>
    <xf numFmtId="0" fontId="1" fillId="7" borderId="2" xfId="0" applyFont="1" applyFill="1" applyBorder="1"/>
    <xf numFmtId="10" fontId="1" fillId="0" borderId="2" xfId="1" applyNumberFormat="1" applyFont="1" applyBorder="1"/>
    <xf numFmtId="0" fontId="0" fillId="7" borderId="0" xfId="0" applyFill="1" applyBorder="1"/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174" fontId="0" fillId="7" borderId="0" xfId="0" applyNumberFormat="1" applyFill="1" applyBorder="1" applyAlignment="1">
      <alignment horizontal="center"/>
    </xf>
    <xf numFmtId="10" fontId="8" fillId="7" borderId="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theme="1"/>
      </font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AUm = $ 5.8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'MTM &amp; PnL'!$Q$2</c:f>
              <c:strCache>
                <c:ptCount val="1"/>
                <c:pt idx="0">
                  <c:v>Market Value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98-46CF-8719-2CA165B8B1A2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98-46CF-8719-2CA165B8B1A2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98-46CF-8719-2CA165B8B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'MTM &amp; PnL'!$P$3:$P$5</c:f>
              <c:strCache>
                <c:ptCount val="3"/>
                <c:pt idx="0">
                  <c:v>Equity</c:v>
                </c:pt>
                <c:pt idx="1">
                  <c:v>Bond</c:v>
                </c:pt>
                <c:pt idx="2">
                  <c:v>FX</c:v>
                </c:pt>
              </c:strCache>
            </c:strRef>
          </c:cat>
          <c:val>
            <c:numRef>
              <c:f>'MTM &amp; PnL'!$Q$3:$Q$5</c:f>
              <c:numCache>
                <c:formatCode>#,##0</c:formatCode>
                <c:ptCount val="3"/>
                <c:pt idx="0">
                  <c:v>2031000</c:v>
                </c:pt>
                <c:pt idx="1">
                  <c:v>2028050</c:v>
                </c:pt>
                <c:pt idx="2">
                  <c:v>1739475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8-46CF-8719-2CA165B8B1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2</xdr:row>
      <xdr:rowOff>170411</xdr:rowOff>
    </xdr:from>
    <xdr:to>
      <xdr:col>17</xdr:col>
      <xdr:colOff>45720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F6A19-C3E5-4820-9174-40279DA8C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235A-409D-4B15-AA4B-CBA7473FB3AA}">
  <dimension ref="A1:J18"/>
  <sheetViews>
    <sheetView showGridLines="0" workbookViewId="0">
      <selection activeCell="J25" sqref="J25"/>
    </sheetView>
  </sheetViews>
  <sheetFormatPr defaultRowHeight="14.4"/>
  <cols>
    <col min="1" max="1" width="4.21875" customWidth="1"/>
    <col min="2" max="2" width="8.21875" bestFit="1" customWidth="1"/>
    <col min="3" max="3" width="22.33203125" bestFit="1" customWidth="1"/>
    <col min="4" max="4" width="12.21875" bestFit="1" customWidth="1"/>
    <col min="5" max="5" width="13.88671875" bestFit="1" customWidth="1"/>
    <col min="6" max="6" width="14.77734375" bestFit="1" customWidth="1"/>
    <col min="7" max="7" width="12.21875" bestFit="1" customWidth="1"/>
    <col min="8" max="8" width="14.109375" bestFit="1" customWidth="1"/>
    <col min="9" max="9" width="10.77734375" bestFit="1" customWidth="1"/>
    <col min="10" max="10" width="12.33203125" bestFit="1" customWidth="1"/>
  </cols>
  <sheetData>
    <row r="1" spans="1:10" ht="14.4" customHeight="1">
      <c r="B1" s="14" t="s">
        <v>29</v>
      </c>
      <c r="C1" s="14"/>
    </row>
    <row r="2" spans="1:10" ht="14.4" customHeight="1">
      <c r="A2" s="37"/>
      <c r="B2" s="14"/>
      <c r="C2" s="14"/>
    </row>
    <row r="3" spans="1:10" s="3" customFormat="1"/>
    <row r="4" spans="1:10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</row>
    <row r="5" spans="1:10">
      <c r="B5" s="7" t="s">
        <v>9</v>
      </c>
      <c r="C5" s="7" t="s">
        <v>10</v>
      </c>
      <c r="D5" s="7" t="s">
        <v>11</v>
      </c>
      <c r="E5" s="7" t="s">
        <v>12</v>
      </c>
      <c r="F5" s="7">
        <v>5000</v>
      </c>
      <c r="G5" s="7">
        <v>160</v>
      </c>
      <c r="H5" s="7">
        <v>175</v>
      </c>
      <c r="I5" s="7" t="s">
        <v>13</v>
      </c>
      <c r="J5" s="8">
        <v>45444</v>
      </c>
    </row>
    <row r="6" spans="1:10">
      <c r="B6" s="7" t="s">
        <v>30</v>
      </c>
      <c r="C6" s="7" t="s">
        <v>31</v>
      </c>
      <c r="D6" s="7" t="s">
        <v>11</v>
      </c>
      <c r="E6" s="7" t="s">
        <v>12</v>
      </c>
      <c r="F6" s="7">
        <v>-1000</v>
      </c>
      <c r="G6" s="7">
        <v>335</v>
      </c>
      <c r="H6" s="7">
        <v>325</v>
      </c>
      <c r="I6" s="7" t="s">
        <v>13</v>
      </c>
      <c r="J6" s="8">
        <v>45444</v>
      </c>
    </row>
    <row r="7" spans="1:10">
      <c r="B7" s="7" t="s">
        <v>20</v>
      </c>
      <c r="C7" s="7" t="s">
        <v>21</v>
      </c>
      <c r="D7" s="7" t="s">
        <v>11</v>
      </c>
      <c r="E7" s="7" t="s">
        <v>12</v>
      </c>
      <c r="F7" s="7">
        <v>1200</v>
      </c>
      <c r="G7" s="7">
        <v>125</v>
      </c>
      <c r="H7" s="7">
        <v>130</v>
      </c>
      <c r="I7" s="7" t="s">
        <v>13</v>
      </c>
      <c r="J7" s="8">
        <v>45453</v>
      </c>
    </row>
    <row r="8" spans="1:10">
      <c r="B8" s="7" t="s">
        <v>23</v>
      </c>
      <c r="C8" s="7" t="s">
        <v>24</v>
      </c>
      <c r="D8" s="7" t="s">
        <v>11</v>
      </c>
      <c r="E8" s="7" t="s">
        <v>12</v>
      </c>
      <c r="F8" s="7">
        <v>-2500</v>
      </c>
      <c r="G8" s="7">
        <v>260</v>
      </c>
      <c r="H8" s="7">
        <v>270</v>
      </c>
      <c r="I8" s="7" t="s">
        <v>13</v>
      </c>
      <c r="J8" s="8">
        <v>45478</v>
      </c>
    </row>
    <row r="9" spans="1:10">
      <c r="B9" s="7" t="s">
        <v>14</v>
      </c>
      <c r="C9" s="7" t="s">
        <v>32</v>
      </c>
      <c r="D9" s="7" t="s">
        <v>15</v>
      </c>
      <c r="E9" s="7" t="s">
        <v>16</v>
      </c>
      <c r="F9" s="7">
        <v>2000</v>
      </c>
      <c r="G9" s="7">
        <v>99</v>
      </c>
      <c r="H9" s="7">
        <v>96.5</v>
      </c>
      <c r="I9" s="7" t="s">
        <v>13</v>
      </c>
      <c r="J9" s="8">
        <v>45427</v>
      </c>
    </row>
    <row r="10" spans="1:10">
      <c r="B10" s="7" t="s">
        <v>33</v>
      </c>
      <c r="C10" s="7" t="s">
        <v>34</v>
      </c>
      <c r="D10" s="7" t="s">
        <v>15</v>
      </c>
      <c r="E10" s="7" t="s">
        <v>16</v>
      </c>
      <c r="F10" s="7">
        <v>15000</v>
      </c>
      <c r="G10" s="7">
        <v>93.5</v>
      </c>
      <c r="H10" s="7">
        <v>94.25</v>
      </c>
      <c r="I10" s="7" t="s">
        <v>13</v>
      </c>
      <c r="J10" s="8">
        <v>45427</v>
      </c>
    </row>
    <row r="11" spans="1:10">
      <c r="B11" s="7" t="s">
        <v>35</v>
      </c>
      <c r="C11" s="7" t="s">
        <v>36</v>
      </c>
      <c r="D11" s="7" t="s">
        <v>15</v>
      </c>
      <c r="E11" s="7" t="s">
        <v>16</v>
      </c>
      <c r="F11" s="7">
        <v>3000</v>
      </c>
      <c r="G11" s="7">
        <v>72.400000000000006</v>
      </c>
      <c r="H11" s="7">
        <v>71.849999999999994</v>
      </c>
      <c r="I11" s="7" t="s">
        <v>13</v>
      </c>
      <c r="J11" s="8">
        <v>45444</v>
      </c>
    </row>
    <row r="12" spans="1:10">
      <c r="B12" s="7" t="s">
        <v>17</v>
      </c>
      <c r="C12" s="7" t="s">
        <v>37</v>
      </c>
      <c r="D12" s="7" t="s">
        <v>18</v>
      </c>
      <c r="E12" s="7" t="s">
        <v>19</v>
      </c>
      <c r="F12" s="9">
        <v>10000</v>
      </c>
      <c r="G12" s="7">
        <v>1.1200000000000001</v>
      </c>
      <c r="H12" s="7">
        <v>1.105</v>
      </c>
      <c r="I12" s="7" t="s">
        <v>13</v>
      </c>
      <c r="J12" s="8">
        <v>45474</v>
      </c>
    </row>
    <row r="13" spans="1:10">
      <c r="B13" s="7" t="s">
        <v>22</v>
      </c>
      <c r="C13" s="7" t="s">
        <v>38</v>
      </c>
      <c r="D13" s="7" t="s">
        <v>18</v>
      </c>
      <c r="E13" s="7" t="s">
        <v>19</v>
      </c>
      <c r="F13" s="9">
        <v>-8000</v>
      </c>
      <c r="G13" s="7">
        <v>156.5</v>
      </c>
      <c r="H13" s="7">
        <v>154</v>
      </c>
      <c r="I13" s="7" t="s">
        <v>13</v>
      </c>
      <c r="J13" s="8">
        <v>45458</v>
      </c>
    </row>
    <row r="14" spans="1:10">
      <c r="B14" s="7" t="s">
        <v>39</v>
      </c>
      <c r="C14" s="7" t="s">
        <v>40</v>
      </c>
      <c r="D14" s="7" t="s">
        <v>18</v>
      </c>
      <c r="E14" s="7" t="s">
        <v>19</v>
      </c>
      <c r="F14" s="9">
        <v>7000</v>
      </c>
      <c r="G14" s="7">
        <v>1.2849999999999999</v>
      </c>
      <c r="H14" s="7">
        <v>1.2749999999999999</v>
      </c>
      <c r="I14" s="7" t="s">
        <v>13</v>
      </c>
      <c r="J14" s="8">
        <v>45474</v>
      </c>
    </row>
    <row r="15" spans="1:10">
      <c r="B15" s="7" t="s">
        <v>41</v>
      </c>
      <c r="C15" s="7" t="s">
        <v>42</v>
      </c>
      <c r="D15" s="7" t="s">
        <v>18</v>
      </c>
      <c r="E15" s="7" t="s">
        <v>19</v>
      </c>
      <c r="F15" s="7">
        <v>5000</v>
      </c>
      <c r="G15" s="7">
        <v>96</v>
      </c>
      <c r="H15" s="7">
        <v>97.5</v>
      </c>
      <c r="I15" s="7" t="s">
        <v>13</v>
      </c>
      <c r="J15" s="8">
        <v>45432</v>
      </c>
    </row>
    <row r="16" spans="1:10">
      <c r="B16" s="7" t="s">
        <v>43</v>
      </c>
      <c r="C16" s="7" t="s">
        <v>44</v>
      </c>
      <c r="D16" s="7" t="s">
        <v>15</v>
      </c>
      <c r="E16" s="7" t="s">
        <v>16</v>
      </c>
      <c r="F16" s="7">
        <v>2500</v>
      </c>
      <c r="G16" s="7">
        <v>82.1</v>
      </c>
      <c r="H16" s="7">
        <v>82.3</v>
      </c>
      <c r="I16" s="7" t="s">
        <v>13</v>
      </c>
      <c r="J16" s="8">
        <v>45463</v>
      </c>
    </row>
    <row r="18" spans="2:10">
      <c r="B18" s="6"/>
      <c r="C18" s="6"/>
      <c r="D18" s="6"/>
      <c r="E18" s="6"/>
      <c r="F18" s="6"/>
      <c r="G18" s="6"/>
      <c r="H18" s="6"/>
      <c r="I18" s="6"/>
      <c r="J18" s="6"/>
    </row>
  </sheetData>
  <mergeCells count="1">
    <mergeCell ref="B1:C2"/>
  </mergeCells>
  <conditionalFormatting sqref="E5:E16">
    <cfRule type="containsText" dxfId="5" priority="1" operator="containsText" text="Macro FX">
      <formula>NOT(ISERROR(SEARCH("Macro FX",E5)))</formula>
    </cfRule>
    <cfRule type="containsText" dxfId="4" priority="2" operator="containsText" text="Fixed Income">
      <formula>NOT(ISERROR(SEARCH("Fixed Income",E5)))</formula>
    </cfRule>
    <cfRule type="containsText" dxfId="3" priority="3" operator="containsText" text="L/S Equity">
      <formula>NOT(ISERROR(SEARCH("L/S Equity",E5)))</formula>
    </cfRule>
  </conditionalFormatting>
  <dataValidations count="2">
    <dataValidation type="list" allowBlank="1" showInputMessage="1" showErrorMessage="1" sqref="D5:D16" xr:uid="{89738F97-FAC1-42C0-9860-F1100882B5FB}">
      <formula1>"Equity, Bond, FX"</formula1>
    </dataValidation>
    <dataValidation type="list" allowBlank="1" showInputMessage="1" showErrorMessage="1" sqref="E5:E16" xr:uid="{9C652BE1-0DA3-42F5-B00A-1AFE3D9D0EED}">
      <formula1>"L/S Equity, Fixed Income, Macro FX"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EE4A-10F0-4F48-8D72-CD3B53228F69}">
  <dimension ref="A1:Q23"/>
  <sheetViews>
    <sheetView showGridLines="0" topLeftCell="B1" workbookViewId="0">
      <pane ySplit="7" topLeftCell="A8" activePane="bottomLeft" state="frozen"/>
      <selection pane="bottomLeft" activeCell="Q6" sqref="Q6"/>
    </sheetView>
  </sheetViews>
  <sheetFormatPr defaultRowHeight="14.4"/>
  <cols>
    <col min="1" max="1" width="2.88671875" customWidth="1"/>
    <col min="2" max="2" width="7.88671875" bestFit="1" customWidth="1"/>
    <col min="3" max="3" width="19.77734375" bestFit="1" customWidth="1"/>
    <col min="4" max="4" width="10" bestFit="1" customWidth="1"/>
    <col min="5" max="5" width="11.77734375" bestFit="1" customWidth="1"/>
    <col min="6" max="6" width="12.5546875" bestFit="1" customWidth="1"/>
    <col min="7" max="7" width="10" bestFit="1" customWidth="1"/>
    <col min="8" max="8" width="11.88671875" bestFit="1" customWidth="1"/>
    <col min="9" max="9" width="8.5546875" bestFit="1" customWidth="1"/>
    <col min="10" max="10" width="20.88671875" bestFit="1" customWidth="1"/>
    <col min="11" max="11" width="12.33203125" bestFit="1" customWidth="1"/>
    <col min="12" max="12" width="9.33203125" bestFit="1" customWidth="1"/>
    <col min="13" max="13" width="9.109375" bestFit="1" customWidth="1"/>
    <col min="14" max="14" width="8.5546875" bestFit="1" customWidth="1"/>
    <col min="16" max="16" width="16.33203125" bestFit="1" customWidth="1"/>
    <col min="17" max="17" width="11.88671875" bestFit="1" customWidth="1"/>
  </cols>
  <sheetData>
    <row r="1" spans="1:17" ht="14.4" customHeight="1">
      <c r="B1" s="14" t="s">
        <v>25</v>
      </c>
      <c r="C1" s="14"/>
    </row>
    <row r="2" spans="1:17" ht="14.4" customHeight="1">
      <c r="A2" s="37"/>
      <c r="B2" s="14"/>
      <c r="C2" s="14"/>
      <c r="J2" s="18" t="s">
        <v>52</v>
      </c>
      <c r="K2" s="19"/>
      <c r="L2" s="19"/>
      <c r="P2" s="39" t="s">
        <v>2</v>
      </c>
      <c r="Q2" s="39" t="s">
        <v>45</v>
      </c>
    </row>
    <row r="3" spans="1:17" ht="14.4" customHeight="1">
      <c r="A3" s="15"/>
      <c r="B3" s="15"/>
      <c r="C3" s="15"/>
      <c r="J3" s="19" t="s">
        <v>49</v>
      </c>
      <c r="K3" s="16" t="s">
        <v>12</v>
      </c>
      <c r="L3" s="19">
        <f>SUMIF(E8:E19,K3,M8:M19)</f>
        <v>66000</v>
      </c>
      <c r="M3" s="11"/>
      <c r="P3" s="19" t="s">
        <v>11</v>
      </c>
      <c r="Q3" s="42">
        <f>SUMIF(D8:D19,P3,K8:K19)</f>
        <v>2031000</v>
      </c>
    </row>
    <row r="4" spans="1:17" ht="14.4" customHeight="1">
      <c r="A4" s="15"/>
      <c r="B4" s="15"/>
      <c r="C4" s="15"/>
      <c r="J4" s="19" t="s">
        <v>50</v>
      </c>
      <c r="K4" s="16" t="s">
        <v>11</v>
      </c>
      <c r="L4" s="19">
        <f>SUMIF(D8:D19, K4, M8:M19)</f>
        <v>66000</v>
      </c>
      <c r="M4" s="11"/>
      <c r="P4" s="19" t="s">
        <v>15</v>
      </c>
      <c r="Q4" s="42">
        <f>SUMIF(D9:D20,P4,K9:K20)</f>
        <v>2028050</v>
      </c>
    </row>
    <row r="5" spans="1:17" ht="14.4" customHeight="1">
      <c r="A5" s="15"/>
      <c r="B5" s="15"/>
      <c r="C5" s="15"/>
      <c r="J5" s="20" t="s">
        <v>51</v>
      </c>
      <c r="K5" s="21">
        <f>M20/SUM(L8:L19)</f>
        <v>1.7228984552931658E-2</v>
      </c>
      <c r="L5" s="19"/>
      <c r="P5" s="19" t="s">
        <v>18</v>
      </c>
      <c r="Q5" s="42">
        <f>SUMIF(D10:D21,P5,K10:K21)</f>
        <v>1739475</v>
      </c>
    </row>
    <row r="6" spans="1:17" ht="14.4" customHeight="1">
      <c r="P6" s="40" t="s">
        <v>103</v>
      </c>
      <c r="Q6" s="43">
        <f>SUM(Q3:Q5)</f>
        <v>5798525</v>
      </c>
    </row>
    <row r="7" spans="1:17"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  <c r="K7" s="4" t="s">
        <v>45</v>
      </c>
      <c r="L7" s="4" t="s">
        <v>46</v>
      </c>
      <c r="M7" s="4" t="s">
        <v>47</v>
      </c>
      <c r="N7" s="4" t="s">
        <v>48</v>
      </c>
    </row>
    <row r="8" spans="1:17">
      <c r="B8" s="7" t="s">
        <v>9</v>
      </c>
      <c r="C8" s="1" t="str">
        <f>VLOOKUP($B8,'Portfolio Overview'!B5:C16,2,0)</f>
        <v>Apple Inc.</v>
      </c>
      <c r="D8" s="1" t="str">
        <f>VLOOKUP(B8,'Portfolio Overview'!B5:D16,3,)</f>
        <v>Equity</v>
      </c>
      <c r="E8" s="1" t="str">
        <f>VLOOKUP(C8,'Portfolio Overview'!C5:E16,3,)</f>
        <v>L/S Equity</v>
      </c>
      <c r="F8" s="1">
        <f>VLOOKUP(D8,'Portfolio Overview'!D5:F16,3,)</f>
        <v>5000</v>
      </c>
      <c r="G8" s="1">
        <f>VLOOKUP(E8,'Portfolio Overview'!E5:G16,3,)</f>
        <v>160</v>
      </c>
      <c r="H8" s="1">
        <f>VLOOKUP(F8,'Portfolio Overview'!F5:H16,3,)</f>
        <v>175</v>
      </c>
      <c r="I8" s="1" t="str">
        <f>VLOOKUP(G8,'Portfolio Overview'!G5:I16,3,)</f>
        <v>USD</v>
      </c>
      <c r="J8" s="2">
        <f>VLOOKUP(H8,'Portfolio Overview'!H5:J16,3,)</f>
        <v>45444</v>
      </c>
      <c r="K8" s="12">
        <f>ABS(F8*H8)</f>
        <v>875000</v>
      </c>
      <c r="L8" s="12">
        <f>ABS(F8*G8)</f>
        <v>800000</v>
      </c>
      <c r="M8" s="12">
        <f>IF(F8&gt;0, K8-L8, -(K8-L8))</f>
        <v>75000</v>
      </c>
      <c r="N8" s="13">
        <f>M8/L8</f>
        <v>9.375E-2</v>
      </c>
      <c r="O8" s="34"/>
    </row>
    <row r="9" spans="1:17">
      <c r="B9" s="7" t="s">
        <v>30</v>
      </c>
      <c r="C9" s="1" t="str">
        <f>VLOOKUP($B9,'Portfolio Overview'!B6:C17,2,0)</f>
        <v>Microsoft Corp.</v>
      </c>
      <c r="D9" s="1" t="str">
        <f>VLOOKUP(B9,'Portfolio Overview'!B6:D17,3,)</f>
        <v>Equity</v>
      </c>
      <c r="E9" s="1" t="str">
        <f>VLOOKUP(C9,'Portfolio Overview'!C6:E17,3,)</f>
        <v>L/S Equity</v>
      </c>
      <c r="F9" s="1">
        <f>VLOOKUP(D9,'Portfolio Overview'!D6:F17,3,)</f>
        <v>-1000</v>
      </c>
      <c r="G9" s="1">
        <f>VLOOKUP(E9,'Portfolio Overview'!E6:G17,3,)</f>
        <v>335</v>
      </c>
      <c r="H9" s="1">
        <f>VLOOKUP(F9,'Portfolio Overview'!F6:H17,3,)</f>
        <v>325</v>
      </c>
      <c r="I9" s="1" t="str">
        <f>VLOOKUP(G9,'Portfolio Overview'!G6:I17,3,)</f>
        <v>USD</v>
      </c>
      <c r="J9" s="2">
        <f>VLOOKUP(H9,'Portfolio Overview'!H6:J17,3,)</f>
        <v>45444</v>
      </c>
      <c r="K9" s="12">
        <f t="shared" ref="K9:K19" si="0">ABS(F9*H9)</f>
        <v>325000</v>
      </c>
      <c r="L9" s="12">
        <f t="shared" ref="L9:L19" si="1">ABS(F9*G9)</f>
        <v>335000</v>
      </c>
      <c r="M9" s="12">
        <f t="shared" ref="M9:M19" si="2">IF(F9&gt;0, K9-L9, -(K9-L9))</f>
        <v>10000</v>
      </c>
      <c r="N9" s="13">
        <f t="shared" ref="N9:N19" si="3">M9/L9</f>
        <v>2.9850746268656716E-2</v>
      </c>
    </row>
    <row r="10" spans="1:17">
      <c r="B10" s="7" t="s">
        <v>20</v>
      </c>
      <c r="C10" s="1" t="str">
        <f>VLOOKUP($B10,'Portfolio Overview'!B7:C18,2,0)</f>
        <v>Amazon.com Inc.</v>
      </c>
      <c r="D10" s="1" t="str">
        <f>VLOOKUP(B10,'Portfolio Overview'!B7:D18,3,)</f>
        <v>Equity</v>
      </c>
      <c r="E10" s="1" t="str">
        <f>VLOOKUP(C10,'Portfolio Overview'!C7:E18,3,)</f>
        <v>L/S Equity</v>
      </c>
      <c r="F10" s="1">
        <f>VLOOKUP(D10,'Portfolio Overview'!D7:F18,3,)</f>
        <v>1200</v>
      </c>
      <c r="G10" s="1">
        <f>VLOOKUP(E10,'Portfolio Overview'!E7:G18,3,)</f>
        <v>125</v>
      </c>
      <c r="H10" s="1">
        <f>VLOOKUP(F10,'Portfolio Overview'!F7:H18,3,)</f>
        <v>130</v>
      </c>
      <c r="I10" s="1" t="str">
        <f>VLOOKUP(G10,'Portfolio Overview'!G7:I18,3,)</f>
        <v>USD</v>
      </c>
      <c r="J10" s="2">
        <f>VLOOKUP(H10,'Portfolio Overview'!H7:J18,3,)</f>
        <v>45453</v>
      </c>
      <c r="K10" s="12">
        <f t="shared" si="0"/>
        <v>156000</v>
      </c>
      <c r="L10" s="12">
        <f t="shared" si="1"/>
        <v>150000</v>
      </c>
      <c r="M10" s="12">
        <f t="shared" si="2"/>
        <v>6000</v>
      </c>
      <c r="N10" s="13">
        <f t="shared" si="3"/>
        <v>0.04</v>
      </c>
    </row>
    <row r="11" spans="1:17">
      <c r="B11" s="7" t="s">
        <v>23</v>
      </c>
      <c r="C11" s="1" t="str">
        <f>VLOOKUP($B11,'Portfolio Overview'!B8:C19,2,0)</f>
        <v>Tesla Inc.</v>
      </c>
      <c r="D11" s="1" t="str">
        <f>VLOOKUP(B11,'Portfolio Overview'!B8:D19,3,)</f>
        <v>Equity</v>
      </c>
      <c r="E11" s="1" t="str">
        <f>VLOOKUP(C11,'Portfolio Overview'!C8:E19,3,)</f>
        <v>L/S Equity</v>
      </c>
      <c r="F11" s="1">
        <f>VLOOKUP(D11,'Portfolio Overview'!D8:F19,3,)</f>
        <v>-2500</v>
      </c>
      <c r="G11" s="1">
        <f>VLOOKUP(E11,'Portfolio Overview'!E8:G19,3,)</f>
        <v>260</v>
      </c>
      <c r="H11" s="1">
        <f>VLOOKUP(F11,'Portfolio Overview'!F8:H19,3,)</f>
        <v>270</v>
      </c>
      <c r="I11" s="1" t="str">
        <f>VLOOKUP(G11,'Portfolio Overview'!G8:I19,3,)</f>
        <v>USD</v>
      </c>
      <c r="J11" s="2">
        <f>VLOOKUP(H11,'Portfolio Overview'!H8:J19,3,)</f>
        <v>45478</v>
      </c>
      <c r="K11" s="12">
        <f t="shared" si="0"/>
        <v>675000</v>
      </c>
      <c r="L11" s="12">
        <f t="shared" si="1"/>
        <v>650000</v>
      </c>
      <c r="M11" s="12">
        <f t="shared" si="2"/>
        <v>-25000</v>
      </c>
      <c r="N11" s="13">
        <f t="shared" si="3"/>
        <v>-3.8461538461538464E-2</v>
      </c>
    </row>
    <row r="12" spans="1:17">
      <c r="B12" s="7" t="s">
        <v>14</v>
      </c>
      <c r="C12" s="1" t="str">
        <f>VLOOKUP($B12,'Portfolio Overview'!B9:C20,2,0)</f>
        <v>US Treasury ETF</v>
      </c>
      <c r="D12" s="1" t="str">
        <f>VLOOKUP(B12,'Portfolio Overview'!B9:D20,3,)</f>
        <v>Bond</v>
      </c>
      <c r="E12" s="1" t="str">
        <f>VLOOKUP(C12,'Portfolio Overview'!C9:E20,3,)</f>
        <v>Fixed Income</v>
      </c>
      <c r="F12" s="1">
        <f>VLOOKUP(D12,'Portfolio Overview'!D9:F20,3,)</f>
        <v>2000</v>
      </c>
      <c r="G12" s="1">
        <f>VLOOKUP(E12,'Portfolio Overview'!E9:G20,3,)</f>
        <v>99</v>
      </c>
      <c r="H12" s="1">
        <f>VLOOKUP(F12,'Portfolio Overview'!F9:H20,3,)</f>
        <v>96.5</v>
      </c>
      <c r="I12" s="1" t="str">
        <f>VLOOKUP(G12,'Portfolio Overview'!G9:I20,3,)</f>
        <v>USD</v>
      </c>
      <c r="J12" s="2">
        <f>VLOOKUP(H12,'Portfolio Overview'!H9:J20,3,)</f>
        <v>45427</v>
      </c>
      <c r="K12" s="12">
        <f t="shared" si="0"/>
        <v>193000</v>
      </c>
      <c r="L12" s="12">
        <f t="shared" si="1"/>
        <v>198000</v>
      </c>
      <c r="M12" s="12">
        <f t="shared" si="2"/>
        <v>-5000</v>
      </c>
      <c r="N12" s="13">
        <f t="shared" si="3"/>
        <v>-2.5252525252525252E-2</v>
      </c>
    </row>
    <row r="13" spans="1:17">
      <c r="B13" s="7" t="s">
        <v>33</v>
      </c>
      <c r="C13" s="1" t="str">
        <f>VLOOKUP($B13,'Portfolio Overview'!B10:C21,2,0)</f>
        <v>7–10 Yr Treasury ETF</v>
      </c>
      <c r="D13" s="1" t="str">
        <f>VLOOKUP(B13,'Portfolio Overview'!B10:D21,3,)</f>
        <v>Bond</v>
      </c>
      <c r="E13" s="1" t="str">
        <f>VLOOKUP(C13,'Portfolio Overview'!C10:E21,3,)</f>
        <v>Fixed Income</v>
      </c>
      <c r="F13" s="1">
        <f>VLOOKUP(D13,'Portfolio Overview'!D10:F21,3,)</f>
        <v>15000</v>
      </c>
      <c r="G13" s="1">
        <f>VLOOKUP(E13,'Portfolio Overview'!E10:G21,3,)</f>
        <v>93.5</v>
      </c>
      <c r="H13" s="1">
        <f>VLOOKUP(F13,'Portfolio Overview'!F10:H21,3,)</f>
        <v>94.25</v>
      </c>
      <c r="I13" s="1" t="str">
        <f>VLOOKUP(G13,'Portfolio Overview'!G10:I21,3,)</f>
        <v>USD</v>
      </c>
      <c r="J13" s="2">
        <f>VLOOKUP(H13,'Portfolio Overview'!H10:J21,3,)</f>
        <v>45427</v>
      </c>
      <c r="K13" s="12">
        <f t="shared" si="0"/>
        <v>1413750</v>
      </c>
      <c r="L13" s="12">
        <f t="shared" si="1"/>
        <v>1402500</v>
      </c>
      <c r="M13" s="12">
        <f t="shared" si="2"/>
        <v>11250</v>
      </c>
      <c r="N13" s="13">
        <f t="shared" si="3"/>
        <v>8.0213903743315516E-3</v>
      </c>
    </row>
    <row r="14" spans="1:17">
      <c r="B14" s="7" t="s">
        <v>35</v>
      </c>
      <c r="C14" s="1" t="str">
        <f>VLOOKUP($B14,'Portfolio Overview'!B11:C22,2,0)</f>
        <v>Total Bond Market ETF</v>
      </c>
      <c r="D14" s="1" t="str">
        <f>VLOOKUP(B14,'Portfolio Overview'!B11:D22,3,)</f>
        <v>Bond</v>
      </c>
      <c r="E14" s="1" t="str">
        <f>VLOOKUP(C14,'Portfolio Overview'!C11:E22,3,)</f>
        <v>Fixed Income</v>
      </c>
      <c r="F14" s="1">
        <f>VLOOKUP(D14,'Portfolio Overview'!D11:F22,3,)</f>
        <v>3000</v>
      </c>
      <c r="G14" s="1">
        <f>VLOOKUP(E14,'Portfolio Overview'!E11:G22,3,)</f>
        <v>72.400000000000006</v>
      </c>
      <c r="H14" s="1">
        <f>VLOOKUP(F14,'Portfolio Overview'!F11:H22,3,)</f>
        <v>71.849999999999994</v>
      </c>
      <c r="I14" s="1" t="str">
        <f>VLOOKUP(G14,'Portfolio Overview'!G11:I22,3,)</f>
        <v>USD</v>
      </c>
      <c r="J14" s="2">
        <f>VLOOKUP(H14,'Portfolio Overview'!H11:J22,3,)</f>
        <v>45444</v>
      </c>
      <c r="K14" s="12">
        <f t="shared" si="0"/>
        <v>215549.99999999997</v>
      </c>
      <c r="L14" s="12">
        <f t="shared" si="1"/>
        <v>217200.00000000003</v>
      </c>
      <c r="M14" s="12">
        <f t="shared" si="2"/>
        <v>-1650.0000000000582</v>
      </c>
      <c r="N14" s="13">
        <f t="shared" si="3"/>
        <v>-7.596685082873195E-3</v>
      </c>
    </row>
    <row r="15" spans="1:17">
      <c r="B15" s="7" t="s">
        <v>17</v>
      </c>
      <c r="C15" s="1" t="str">
        <f>VLOOKUP($B15,'Portfolio Overview'!B12:C23,2,0)</f>
        <v>EUR/USD Spot</v>
      </c>
      <c r="D15" s="1" t="str">
        <f>VLOOKUP(B15,'Portfolio Overview'!B12:D23,3,)</f>
        <v>FX</v>
      </c>
      <c r="E15" s="1" t="str">
        <f>VLOOKUP(C15,'Portfolio Overview'!C12:E23,3,)</f>
        <v>Macro FX</v>
      </c>
      <c r="F15" s="1">
        <f>VLOOKUP(D15,'Portfolio Overview'!D12:F23,3,)</f>
        <v>10000</v>
      </c>
      <c r="G15" s="1">
        <f>VLOOKUP(E15,'Portfolio Overview'!E12:G23,3,)</f>
        <v>1.1200000000000001</v>
      </c>
      <c r="H15" s="1">
        <f>VLOOKUP(F15,'Portfolio Overview'!F12:H23,3,)</f>
        <v>1.105</v>
      </c>
      <c r="I15" s="1" t="str">
        <f>VLOOKUP(G15,'Portfolio Overview'!G12:I23,3,)</f>
        <v>USD</v>
      </c>
      <c r="J15" s="2">
        <f>VLOOKUP(H15,'Portfolio Overview'!H12:J23,3,)</f>
        <v>45474</v>
      </c>
      <c r="K15" s="12">
        <f t="shared" si="0"/>
        <v>11050</v>
      </c>
      <c r="L15" s="12">
        <f t="shared" si="1"/>
        <v>11200.000000000002</v>
      </c>
      <c r="M15" s="12">
        <f t="shared" si="2"/>
        <v>-150.00000000000182</v>
      </c>
      <c r="N15" s="13">
        <f t="shared" si="3"/>
        <v>-1.3392857142857303E-2</v>
      </c>
    </row>
    <row r="16" spans="1:17">
      <c r="B16" s="7" t="s">
        <v>22</v>
      </c>
      <c r="C16" s="1" t="str">
        <f>VLOOKUP($B16,'Portfolio Overview'!B13:C24,2,0)</f>
        <v>USD/JPY Spot</v>
      </c>
      <c r="D16" s="1" t="str">
        <f>VLOOKUP(B16,'Portfolio Overview'!B13:D24,3,)</f>
        <v>FX</v>
      </c>
      <c r="E16" s="1" t="str">
        <f>VLOOKUP(C16,'Portfolio Overview'!C13:E24,3,)</f>
        <v>Macro FX</v>
      </c>
      <c r="F16" s="1">
        <f>VLOOKUP(D16,'Portfolio Overview'!D13:F24,3,)</f>
        <v>-8000</v>
      </c>
      <c r="G16" s="1">
        <f>VLOOKUP(E16,'Portfolio Overview'!E13:G24,3,)</f>
        <v>156.5</v>
      </c>
      <c r="H16" s="1">
        <f>VLOOKUP(F16,'Portfolio Overview'!F13:H24,3,)</f>
        <v>154</v>
      </c>
      <c r="I16" s="1" t="str">
        <f>VLOOKUP(G16,'Portfolio Overview'!G13:I24,3,)</f>
        <v>USD</v>
      </c>
      <c r="J16" s="2">
        <f>VLOOKUP(H16,'Portfolio Overview'!H13:J24,3,)</f>
        <v>45458</v>
      </c>
      <c r="K16" s="12">
        <f t="shared" si="0"/>
        <v>1232000</v>
      </c>
      <c r="L16" s="12">
        <f t="shared" si="1"/>
        <v>1252000</v>
      </c>
      <c r="M16" s="12">
        <f t="shared" si="2"/>
        <v>20000</v>
      </c>
      <c r="N16" s="13">
        <f t="shared" si="3"/>
        <v>1.5974440894568689E-2</v>
      </c>
    </row>
    <row r="17" spans="2:14">
      <c r="B17" s="7" t="s">
        <v>39</v>
      </c>
      <c r="C17" s="1" t="str">
        <f>VLOOKUP($B17,'Portfolio Overview'!B14:C25,2,0)</f>
        <v>GBP/USD Spot</v>
      </c>
      <c r="D17" s="1" t="str">
        <f>VLOOKUP(B17,'Portfolio Overview'!B14:D25,3,)</f>
        <v>FX</v>
      </c>
      <c r="E17" s="1" t="str">
        <f>VLOOKUP(C17,'Portfolio Overview'!C14:E25,3,)</f>
        <v>Macro FX</v>
      </c>
      <c r="F17" s="1">
        <f>VLOOKUP(D17,'Portfolio Overview'!D14:F25,3,)</f>
        <v>7000</v>
      </c>
      <c r="G17" s="1">
        <f>VLOOKUP(E17,'Portfolio Overview'!E14:G25,3,)</f>
        <v>1.2849999999999999</v>
      </c>
      <c r="H17" s="1">
        <f>VLOOKUP(F17,'Portfolio Overview'!F14:H25,3,)</f>
        <v>1.2749999999999999</v>
      </c>
      <c r="I17" s="1" t="str">
        <f>VLOOKUP(G17,'Portfolio Overview'!G14:I25,3,)</f>
        <v>USD</v>
      </c>
      <c r="J17" s="2">
        <f>VLOOKUP(H17,'Portfolio Overview'!H14:J25,3,)</f>
        <v>45474</v>
      </c>
      <c r="K17" s="12">
        <f t="shared" si="0"/>
        <v>8925</v>
      </c>
      <c r="L17" s="12">
        <f t="shared" si="1"/>
        <v>8995</v>
      </c>
      <c r="M17" s="12">
        <f t="shared" si="2"/>
        <v>-70</v>
      </c>
      <c r="N17" s="13">
        <f t="shared" si="3"/>
        <v>-7.7821011673151752E-3</v>
      </c>
    </row>
    <row r="18" spans="2:14">
      <c r="B18" s="7" t="s">
        <v>41</v>
      </c>
      <c r="C18" s="1" t="str">
        <f>VLOOKUP($B18,'Portfolio Overview'!B15:C26,2,0)</f>
        <v>Swiss Franc Trust ETF</v>
      </c>
      <c r="D18" s="1" t="str">
        <f>VLOOKUP(B18,'Portfolio Overview'!B15:D26,3,)</f>
        <v>FX</v>
      </c>
      <c r="E18" s="1" t="str">
        <f>VLOOKUP(C18,'Portfolio Overview'!C15:E26,3,)</f>
        <v>Macro FX</v>
      </c>
      <c r="F18" s="1">
        <f>VLOOKUP(D18,'Portfolio Overview'!D15:F26,3,)</f>
        <v>5000</v>
      </c>
      <c r="G18" s="1">
        <f>VLOOKUP(E18,'Portfolio Overview'!E15:G26,3,)</f>
        <v>96</v>
      </c>
      <c r="H18" s="1">
        <f>VLOOKUP(F18,'Portfolio Overview'!F15:H26,3,)</f>
        <v>97.5</v>
      </c>
      <c r="I18" s="1" t="str">
        <f>VLOOKUP(G18,'Portfolio Overview'!G15:I26,3,)</f>
        <v>USD</v>
      </c>
      <c r="J18" s="2">
        <f>VLOOKUP(H18,'Portfolio Overview'!H15:J26,3,)</f>
        <v>45432</v>
      </c>
      <c r="K18" s="12">
        <f t="shared" si="0"/>
        <v>487500</v>
      </c>
      <c r="L18" s="12">
        <f t="shared" si="1"/>
        <v>480000</v>
      </c>
      <c r="M18" s="12">
        <f t="shared" si="2"/>
        <v>7500</v>
      </c>
      <c r="N18" s="13">
        <f t="shared" si="3"/>
        <v>1.5625E-2</v>
      </c>
    </row>
    <row r="19" spans="2:14">
      <c r="B19" s="7" t="s">
        <v>43</v>
      </c>
      <c r="C19" s="1" t="str">
        <f>VLOOKUP($B19,'Portfolio Overview'!B16:C27,2,0)</f>
        <v>1–3 Yr Treasury ETF</v>
      </c>
      <c r="D19" s="1" t="str">
        <f>VLOOKUP(B19,'Portfolio Overview'!B16:D27,3,)</f>
        <v>Bond</v>
      </c>
      <c r="E19" s="1" t="str">
        <f>VLOOKUP(C19,'Portfolio Overview'!C16:E27,3,)</f>
        <v>Fixed Income</v>
      </c>
      <c r="F19" s="1">
        <f>VLOOKUP(D19,'Portfolio Overview'!D16:F27,3,)</f>
        <v>2500</v>
      </c>
      <c r="G19" s="1">
        <f>VLOOKUP(E19,'Portfolio Overview'!E16:G27,3,)</f>
        <v>82.1</v>
      </c>
      <c r="H19" s="1">
        <f>VLOOKUP(F19,'Portfolio Overview'!F16:H27,3,)</f>
        <v>82.3</v>
      </c>
      <c r="I19" s="1" t="str">
        <f>VLOOKUP(G19,'Portfolio Overview'!G16:I27,3,)</f>
        <v>USD</v>
      </c>
      <c r="J19" s="2">
        <f>VLOOKUP(H19,'Portfolio Overview'!H16:J27,3,)</f>
        <v>45463</v>
      </c>
      <c r="K19" s="12">
        <f t="shared" si="0"/>
        <v>205750</v>
      </c>
      <c r="L19" s="12">
        <f t="shared" si="1"/>
        <v>205250</v>
      </c>
      <c r="M19" s="12">
        <f t="shared" si="2"/>
        <v>500</v>
      </c>
      <c r="N19" s="13">
        <f t="shared" si="3"/>
        <v>2.4360535931790498E-3</v>
      </c>
    </row>
    <row r="20" spans="2:14" ht="14.4" customHeight="1">
      <c r="K20" s="44">
        <f t="shared" ref="K20:L20" si="4">SUM(K8:K19)</f>
        <v>5798525</v>
      </c>
      <c r="L20" s="44">
        <f t="shared" si="4"/>
        <v>5710145</v>
      </c>
      <c r="M20" s="44">
        <f>SUM(M8:M19)</f>
        <v>98379.999999999942</v>
      </c>
      <c r="N20" s="45">
        <f>M20/SUM(L8:L19)</f>
        <v>1.7228984552931658E-2</v>
      </c>
    </row>
    <row r="22" spans="2:14">
      <c r="F22" s="6"/>
      <c r="G22" s="6"/>
      <c r="H22" s="6"/>
      <c r="I22" s="6"/>
      <c r="J22" s="6"/>
    </row>
    <row r="23" spans="2:14">
      <c r="F23" s="7"/>
      <c r="G23" s="10"/>
      <c r="H23" s="10"/>
      <c r="I23" s="10"/>
      <c r="J23" s="10"/>
    </row>
  </sheetData>
  <mergeCells count="1">
    <mergeCell ref="B1:C2"/>
  </mergeCells>
  <conditionalFormatting sqref="K3">
    <cfRule type="containsText" dxfId="2" priority="1" operator="containsText" text="Macro FX">
      <formula>NOT(ISERROR(SEARCH("Macro FX",K3)))</formula>
    </cfRule>
    <cfRule type="containsText" dxfId="1" priority="2" operator="containsText" text="Fixed Income">
      <formula>NOT(ISERROR(SEARCH("Fixed Income",K3)))</formula>
    </cfRule>
    <cfRule type="containsText" dxfId="0" priority="3" operator="containsText" text="L/S Equity">
      <formula>NOT(ISERROR(SEARCH("L/S Equity",K3)))</formula>
    </cfRule>
  </conditionalFormatting>
  <dataValidations count="2">
    <dataValidation type="list" allowBlank="1" showInputMessage="1" showErrorMessage="1" sqref="K3" xr:uid="{FF2C1BED-E3BA-465D-93C2-46EA394D50D9}">
      <formula1>"L/S Equity, Fixed Income, Macro FX"</formula1>
    </dataValidation>
    <dataValidation type="list" allowBlank="1" showInputMessage="1" showErrorMessage="1" sqref="K4" xr:uid="{B5E43B1D-7F46-4C30-B392-0B7FDF3DD8A1}">
      <formula1>"Equity, Bond, FX"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1413-583A-44F9-B57B-0784BA34C0E7}">
  <dimension ref="A1:N60"/>
  <sheetViews>
    <sheetView showGridLines="0" workbookViewId="0">
      <pane ySplit="4" topLeftCell="A5" activePane="bottomLeft" state="frozen"/>
      <selection pane="bottomLeft" activeCell="O11" sqref="O11"/>
    </sheetView>
  </sheetViews>
  <sheetFormatPr defaultRowHeight="14.4"/>
  <cols>
    <col min="1" max="1" width="2.88671875" customWidth="1"/>
    <col min="2" max="2" width="11.5546875" bestFit="1" customWidth="1"/>
    <col min="3" max="3" width="9.5546875" bestFit="1" customWidth="1"/>
    <col min="4" max="4" width="11.6640625" bestFit="1" customWidth="1"/>
    <col min="5" max="5" width="2.77734375" customWidth="1"/>
    <col min="7" max="7" width="11.6640625" bestFit="1" customWidth="1"/>
    <col min="8" max="8" width="2.77734375" customWidth="1"/>
    <col min="10" max="10" width="11.6640625" bestFit="1" customWidth="1"/>
    <col min="11" max="11" width="2.77734375" customWidth="1"/>
    <col min="13" max="13" width="11.6640625" bestFit="1" customWidth="1"/>
  </cols>
  <sheetData>
    <row r="1" spans="1:14" ht="14.4" customHeight="1">
      <c r="B1" s="14" t="s">
        <v>26</v>
      </c>
      <c r="C1" s="14"/>
    </row>
    <row r="2" spans="1:14" ht="14.4" customHeight="1">
      <c r="A2" s="37"/>
      <c r="B2" s="14"/>
      <c r="C2" s="14"/>
      <c r="L2" s="46"/>
      <c r="M2" s="46"/>
      <c r="N2" s="46"/>
    </row>
    <row r="3" spans="1:14">
      <c r="B3" s="4" t="s">
        <v>0</v>
      </c>
      <c r="C3" s="23" t="s">
        <v>9</v>
      </c>
      <c r="D3" s="23"/>
      <c r="F3" s="23" t="s">
        <v>14</v>
      </c>
      <c r="G3" s="23"/>
      <c r="I3" s="23" t="s">
        <v>17</v>
      </c>
      <c r="J3" s="23"/>
      <c r="L3" s="47"/>
      <c r="M3" s="47"/>
      <c r="N3" s="46"/>
    </row>
    <row r="4" spans="1:14">
      <c r="C4" s="24" t="s">
        <v>53</v>
      </c>
      <c r="D4" s="25" t="s">
        <v>54</v>
      </c>
      <c r="E4" s="5"/>
      <c r="F4" s="24" t="s">
        <v>53</v>
      </c>
      <c r="G4" s="25" t="s">
        <v>54</v>
      </c>
      <c r="H4" s="5"/>
      <c r="I4" s="24" t="s">
        <v>53</v>
      </c>
      <c r="J4" s="25" t="s">
        <v>54</v>
      </c>
      <c r="K4" s="5"/>
      <c r="L4" s="48"/>
      <c r="M4" s="48"/>
      <c r="N4" s="46"/>
    </row>
    <row r="5" spans="1:14">
      <c r="B5" s="1" t="s">
        <v>56</v>
      </c>
      <c r="C5" s="26">
        <f>'Portfolio Overview'!H5</f>
        <v>175</v>
      </c>
      <c r="D5" s="32" t="s">
        <v>55</v>
      </c>
      <c r="E5" s="5"/>
      <c r="F5" s="26">
        <f>'Portfolio Overview'!H9</f>
        <v>96.5</v>
      </c>
      <c r="G5" s="32" t="s">
        <v>55</v>
      </c>
      <c r="H5" s="5"/>
      <c r="I5" s="28">
        <f>'Portfolio Overview'!H12</f>
        <v>1.105</v>
      </c>
      <c r="J5" s="32" t="s">
        <v>55</v>
      </c>
      <c r="K5" s="5"/>
      <c r="L5" s="48"/>
      <c r="M5" s="49"/>
      <c r="N5" s="48"/>
    </row>
    <row r="6" spans="1:14">
      <c r="B6" s="7" t="s">
        <v>57</v>
      </c>
      <c r="C6" s="27">
        <f ca="1">C5*(1+RAND()*0.02-0.01)</f>
        <v>176.23106988421668</v>
      </c>
      <c r="D6" s="31">
        <f ca="1">LN(C6/C5)</f>
        <v>7.010057088297628E-3</v>
      </c>
      <c r="E6" s="5"/>
      <c r="F6" s="27">
        <f ca="1">F5*(1 + RAND()*0.02 - 0.01)</f>
        <v>96.475092301642576</v>
      </c>
      <c r="G6" s="31">
        <f ca="1">LN(F6/F5)</f>
        <v>-2.5814418014956337E-4</v>
      </c>
      <c r="H6" s="5"/>
      <c r="I6" s="28">
        <f ca="1">I5*(1 + RAND()*0.02 - 0.01)</f>
        <v>1.1083536646513581</v>
      </c>
      <c r="J6" s="31">
        <f ca="1">LN(I6/I5)</f>
        <v>3.0303943480797253E-3</v>
      </c>
      <c r="K6" s="5"/>
      <c r="L6" s="50"/>
      <c r="M6" s="51"/>
      <c r="N6" s="46"/>
    </row>
    <row r="7" spans="1:14">
      <c r="B7" s="1" t="s">
        <v>58</v>
      </c>
      <c r="C7" s="27">
        <f t="shared" ref="C7:C35" ca="1" si="0">C6*(1+RAND()*0.02-0.01)</f>
        <v>176.05387761713996</v>
      </c>
      <c r="D7" s="31">
        <f t="shared" ref="D7:D35" ca="1" si="1">C7/C6-1</f>
        <v>-1.0054541868986799E-3</v>
      </c>
      <c r="E7" s="5"/>
      <c r="F7" s="27">
        <f t="shared" ref="F7:F35" ca="1" si="2">F6*(1 + RAND()*0.02 - 0.01)</f>
        <v>97.055839464474758</v>
      </c>
      <c r="G7" s="31">
        <f t="shared" ref="G7:G35" ca="1" si="3">LN(F7/F6)</f>
        <v>6.0016132895128688E-3</v>
      </c>
      <c r="H7" s="5"/>
      <c r="I7" s="28">
        <f t="shared" ref="I7:I35" ca="1" si="4">I6*(1 + RAND()*0.02 - 0.01)</f>
        <v>1.1170857871845605</v>
      </c>
      <c r="J7" s="31">
        <f t="shared" ref="J7:J35" ca="1" si="5">LN(I7/I6)</f>
        <v>7.8475892387757373E-3</v>
      </c>
      <c r="K7" s="5"/>
      <c r="L7" s="50"/>
      <c r="M7" s="51"/>
      <c r="N7" s="46"/>
    </row>
    <row r="8" spans="1:14">
      <c r="B8" s="7" t="s">
        <v>59</v>
      </c>
      <c r="C8" s="27">
        <f t="shared" ca="1" si="0"/>
        <v>175.82356783442549</v>
      </c>
      <c r="D8" s="31">
        <f t="shared" ca="1" si="1"/>
        <v>-1.3081778477798123E-3</v>
      </c>
      <c r="E8" s="5"/>
      <c r="F8" s="27">
        <f t="shared" ca="1" si="2"/>
        <v>97.769988574961559</v>
      </c>
      <c r="G8" s="31">
        <f t="shared" ca="1" si="3"/>
        <v>7.3311872069901085E-3</v>
      </c>
      <c r="H8" s="5"/>
      <c r="I8" s="28">
        <f t="shared" ca="1" si="4"/>
        <v>1.1251405171860187</v>
      </c>
      <c r="J8" s="31">
        <f t="shared" ca="1" si="5"/>
        <v>7.1846134652860105E-3</v>
      </c>
      <c r="K8" s="5"/>
      <c r="L8" s="50"/>
      <c r="M8" s="51"/>
      <c r="N8" s="46"/>
    </row>
    <row r="9" spans="1:14">
      <c r="B9" s="1" t="s">
        <v>60</v>
      </c>
      <c r="C9" s="27">
        <f t="shared" ca="1" si="0"/>
        <v>176.37256709305103</v>
      </c>
      <c r="D9" s="31">
        <f t="shared" ca="1" si="1"/>
        <v>3.1224440806623122E-3</v>
      </c>
      <c r="E9" s="5"/>
      <c r="F9" s="27">
        <f t="shared" ca="1" si="2"/>
        <v>97.47745701508147</v>
      </c>
      <c r="G9" s="31">
        <f t="shared" ca="1" si="3"/>
        <v>-2.9965234923968798E-3</v>
      </c>
      <c r="H9" s="5"/>
      <c r="I9" s="28">
        <f t="shared" ca="1" si="4"/>
        <v>1.1330475533502893</v>
      </c>
      <c r="J9" s="31">
        <f t="shared" ca="1" si="5"/>
        <v>7.0030203262022661E-3</v>
      </c>
      <c r="K9" s="5"/>
      <c r="L9" s="50"/>
      <c r="M9" s="51"/>
      <c r="N9" s="46"/>
    </row>
    <row r="10" spans="1:14">
      <c r="B10" s="7" t="s">
        <v>61</v>
      </c>
      <c r="C10" s="27">
        <f t="shared" ca="1" si="0"/>
        <v>175.23654842523845</v>
      </c>
      <c r="D10" s="31">
        <f t="shared" ca="1" si="1"/>
        <v>-6.4410168006072688E-3</v>
      </c>
      <c r="E10" s="5"/>
      <c r="F10" s="27">
        <f t="shared" ca="1" si="2"/>
        <v>98.450018267381623</v>
      </c>
      <c r="G10" s="31">
        <f t="shared" ca="1" si="3"/>
        <v>9.9278494660593759E-3</v>
      </c>
      <c r="H10" s="5"/>
      <c r="I10" s="28">
        <f t="shared" ca="1" si="4"/>
        <v>1.1394828606854508</v>
      </c>
      <c r="J10" s="31">
        <f t="shared" ca="1" si="5"/>
        <v>5.6635761590107317E-3</v>
      </c>
      <c r="K10" s="5"/>
      <c r="L10" s="50"/>
      <c r="M10" s="51"/>
      <c r="N10" s="46"/>
    </row>
    <row r="11" spans="1:14">
      <c r="B11" s="1" t="s">
        <v>62</v>
      </c>
      <c r="C11" s="27">
        <f t="shared" ca="1" si="0"/>
        <v>175.1237494982783</v>
      </c>
      <c r="D11" s="31">
        <f t="shared" ca="1" si="1"/>
        <v>-6.436952106956273E-4</v>
      </c>
      <c r="E11" s="5"/>
      <c r="F11" s="27">
        <f t="shared" ca="1" si="2"/>
        <v>97.500439989845304</v>
      </c>
      <c r="G11" s="31">
        <f t="shared" ca="1" si="3"/>
        <v>-9.6920999249746932E-3</v>
      </c>
      <c r="H11" s="5"/>
      <c r="I11" s="28">
        <f t="shared" ca="1" si="4"/>
        <v>1.1505925777333887</v>
      </c>
      <c r="J11" s="31">
        <f t="shared" ca="1" si="5"/>
        <v>9.7025661399236067E-3</v>
      </c>
      <c r="K11" s="5"/>
      <c r="L11" s="50"/>
      <c r="M11" s="51"/>
      <c r="N11" s="46"/>
    </row>
    <row r="12" spans="1:14">
      <c r="B12" s="7" t="s">
        <v>63</v>
      </c>
      <c r="C12" s="27">
        <f t="shared" ca="1" si="0"/>
        <v>174.95863235582669</v>
      </c>
      <c r="D12" s="31">
        <f t="shared" ca="1" si="1"/>
        <v>-9.4285979442909618E-4</v>
      </c>
      <c r="E12" s="5"/>
      <c r="F12" s="27">
        <f t="shared" ca="1" si="2"/>
        <v>97.12887428842555</v>
      </c>
      <c r="G12" s="31">
        <f t="shared" ca="1" si="3"/>
        <v>-3.8181931042241221E-3</v>
      </c>
      <c r="H12" s="5"/>
      <c r="I12" s="28">
        <f t="shared" ca="1" si="4"/>
        <v>1.143915933851444</v>
      </c>
      <c r="J12" s="31">
        <f t="shared" ca="1" si="5"/>
        <v>-5.8196887850894882E-3</v>
      </c>
      <c r="K12" s="5"/>
      <c r="L12" s="50"/>
      <c r="M12" s="51"/>
      <c r="N12" s="46"/>
    </row>
    <row r="13" spans="1:14">
      <c r="B13" s="1" t="s">
        <v>64</v>
      </c>
      <c r="C13" s="27">
        <f t="shared" ca="1" si="0"/>
        <v>173.31379025236095</v>
      </c>
      <c r="D13" s="31">
        <f t="shared" ca="1" si="1"/>
        <v>-9.4013200795974861E-3</v>
      </c>
      <c r="E13" s="5"/>
      <c r="F13" s="27">
        <f t="shared" ca="1" si="2"/>
        <v>96.983188458721045</v>
      </c>
      <c r="G13" s="31">
        <f t="shared" ca="1" si="3"/>
        <v>-1.5010489816760103E-3</v>
      </c>
      <c r="H13" s="5"/>
      <c r="I13" s="28">
        <f t="shared" ca="1" si="4"/>
        <v>1.1467671540190219</v>
      </c>
      <c r="J13" s="31">
        <f t="shared" ca="1" si="5"/>
        <v>2.4894073345443361E-3</v>
      </c>
      <c r="K13" s="5"/>
      <c r="L13" s="50"/>
      <c r="M13" s="51"/>
      <c r="N13" s="46"/>
    </row>
    <row r="14" spans="1:14">
      <c r="B14" s="7" t="s">
        <v>65</v>
      </c>
      <c r="C14" s="27">
        <f t="shared" ca="1" si="0"/>
        <v>173.48355590992537</v>
      </c>
      <c r="D14" s="31">
        <f t="shared" ca="1" si="1"/>
        <v>9.7952769550091467E-4</v>
      </c>
      <c r="E14" s="5"/>
      <c r="F14" s="27">
        <f t="shared" ca="1" si="2"/>
        <v>96.999381464161232</v>
      </c>
      <c r="G14" s="31">
        <f t="shared" ca="1" si="3"/>
        <v>1.6695320083896347E-4</v>
      </c>
      <c r="H14" s="5"/>
      <c r="I14" s="28">
        <f t="shared" ca="1" si="4"/>
        <v>1.1443521736434705</v>
      </c>
      <c r="J14" s="31">
        <f t="shared" ca="1" si="5"/>
        <v>-2.1081235191709666E-3</v>
      </c>
      <c r="K14" s="5"/>
      <c r="L14" s="50"/>
      <c r="M14" s="51"/>
      <c r="N14" s="46"/>
    </row>
    <row r="15" spans="1:14">
      <c r="B15" s="1" t="s">
        <v>66</v>
      </c>
      <c r="C15" s="27">
        <f t="shared" ca="1" si="0"/>
        <v>174.90742255916834</v>
      </c>
      <c r="D15" s="31">
        <f t="shared" ca="1" si="1"/>
        <v>8.2075020988285896E-3</v>
      </c>
      <c r="E15" s="5"/>
      <c r="F15" s="27">
        <f t="shared" ca="1" si="2"/>
        <v>96.952921704030217</v>
      </c>
      <c r="G15" s="31">
        <f t="shared" ca="1" si="3"/>
        <v>-4.7908439611934534E-4</v>
      </c>
      <c r="H15" s="5"/>
      <c r="I15" s="28">
        <f t="shared" ca="1" si="4"/>
        <v>1.142171591272132</v>
      </c>
      <c r="J15" s="31">
        <f t="shared" ca="1" si="5"/>
        <v>-1.9073346762134393E-3</v>
      </c>
      <c r="K15" s="5"/>
      <c r="L15" s="50"/>
      <c r="M15" s="51"/>
      <c r="N15" s="46"/>
    </row>
    <row r="16" spans="1:14">
      <c r="B16" s="7" t="s">
        <v>67</v>
      </c>
      <c r="C16" s="27">
        <f t="shared" ca="1" si="0"/>
        <v>174.66532974172159</v>
      </c>
      <c r="D16" s="31">
        <f t="shared" ca="1" si="1"/>
        <v>-1.384119746918433E-3</v>
      </c>
      <c r="E16" s="5"/>
      <c r="F16" s="27">
        <f t="shared" ca="1" si="2"/>
        <v>97.262730815675638</v>
      </c>
      <c r="G16" s="31">
        <f t="shared" ca="1" si="3"/>
        <v>3.1903646323739182E-3</v>
      </c>
      <c r="H16" s="5"/>
      <c r="I16" s="28">
        <f t="shared" ca="1" si="4"/>
        <v>1.140287433070216</v>
      </c>
      <c r="J16" s="31">
        <f t="shared" ca="1" si="5"/>
        <v>-1.6509901030450187E-3</v>
      </c>
      <c r="K16" s="5"/>
      <c r="L16" s="50"/>
      <c r="M16" s="51"/>
      <c r="N16" s="46"/>
    </row>
    <row r="17" spans="2:14">
      <c r="B17" s="1" t="s">
        <v>68</v>
      </c>
      <c r="C17" s="27">
        <f t="shared" ca="1" si="0"/>
        <v>176.25571317300876</v>
      </c>
      <c r="D17" s="31">
        <f t="shared" ca="1" si="1"/>
        <v>9.105318345884017E-3</v>
      </c>
      <c r="E17" s="5"/>
      <c r="F17" s="27">
        <f t="shared" ca="1" si="2"/>
        <v>96.291455216600866</v>
      </c>
      <c r="G17" s="31">
        <f t="shared" ca="1" si="3"/>
        <v>-1.0036298070330862E-2</v>
      </c>
      <c r="H17" s="5"/>
      <c r="I17" s="28">
        <f t="shared" ca="1" si="4"/>
        <v>1.1452460475768147</v>
      </c>
      <c r="J17" s="31">
        <f t="shared" ca="1" si="5"/>
        <v>4.339137736286189E-3</v>
      </c>
      <c r="K17" s="5"/>
      <c r="L17" s="50"/>
      <c r="M17" s="51"/>
      <c r="N17" s="46"/>
    </row>
    <row r="18" spans="2:14">
      <c r="B18" s="7" t="s">
        <v>69</v>
      </c>
      <c r="C18" s="27">
        <f t="shared" ca="1" si="0"/>
        <v>176.81829495195291</v>
      </c>
      <c r="D18" s="31">
        <f t="shared" ca="1" si="1"/>
        <v>3.1918498913674487E-3</v>
      </c>
      <c r="E18" s="5"/>
      <c r="F18" s="27">
        <f t="shared" ca="1" si="2"/>
        <v>97.202842984216815</v>
      </c>
      <c r="G18" s="31">
        <f t="shared" ca="1" si="3"/>
        <v>9.420375856626393E-3</v>
      </c>
      <c r="H18" s="5"/>
      <c r="I18" s="28">
        <f t="shared" ca="1" si="4"/>
        <v>1.1368059037516418</v>
      </c>
      <c r="J18" s="31">
        <f t="shared" ca="1" si="5"/>
        <v>-7.3970115398222973E-3</v>
      </c>
      <c r="K18" s="5"/>
      <c r="L18" s="50"/>
      <c r="M18" s="51"/>
      <c r="N18" s="46"/>
    </row>
    <row r="19" spans="2:14">
      <c r="B19" s="1" t="s">
        <v>70</v>
      </c>
      <c r="C19" s="27">
        <f t="shared" ca="1" si="0"/>
        <v>177.93392528755979</v>
      </c>
      <c r="D19" s="31">
        <f t="shared" ca="1" si="1"/>
        <v>6.3094734394426588E-3</v>
      </c>
      <c r="E19" s="5"/>
      <c r="F19" s="27">
        <f t="shared" ca="1" si="2"/>
        <v>98.009839799059378</v>
      </c>
      <c r="G19" s="31">
        <f t="shared" ca="1" si="3"/>
        <v>8.2679198955960004E-3</v>
      </c>
      <c r="H19" s="5"/>
      <c r="I19" s="28">
        <f t="shared" ca="1" si="4"/>
        <v>1.1273941580414364</v>
      </c>
      <c r="J19" s="31">
        <f t="shared" ca="1" si="5"/>
        <v>-8.3135762401265294E-3</v>
      </c>
      <c r="K19" s="5"/>
      <c r="L19" s="50"/>
      <c r="M19" s="51"/>
      <c r="N19" s="46"/>
    </row>
    <row r="20" spans="2:14">
      <c r="B20" s="7" t="s">
        <v>71</v>
      </c>
      <c r="C20" s="27">
        <f t="shared" ca="1" si="0"/>
        <v>178.29936587885419</v>
      </c>
      <c r="D20" s="31">
        <f t="shared" ca="1" si="1"/>
        <v>2.0537994129214976E-3</v>
      </c>
      <c r="E20" s="5"/>
      <c r="F20" s="27">
        <f t="shared" ca="1" si="2"/>
        <v>97.305368129245693</v>
      </c>
      <c r="G20" s="31">
        <f t="shared" ca="1" si="3"/>
        <v>-7.2137211660211102E-3</v>
      </c>
      <c r="H20" s="5"/>
      <c r="I20" s="28">
        <f t="shared" ca="1" si="4"/>
        <v>1.1206225826181242</v>
      </c>
      <c r="J20" s="31">
        <f t="shared" ca="1" si="5"/>
        <v>-6.0245066523186876E-3</v>
      </c>
      <c r="K20" s="5"/>
      <c r="L20" s="50"/>
      <c r="M20" s="51"/>
      <c r="N20" s="46"/>
    </row>
    <row r="21" spans="2:14">
      <c r="B21" s="1" t="s">
        <v>72</v>
      </c>
      <c r="C21" s="27">
        <f t="shared" ca="1" si="0"/>
        <v>176.76074617285414</v>
      </c>
      <c r="D21" s="31">
        <f t="shared" ca="1" si="1"/>
        <v>-8.6294177122618887E-3</v>
      </c>
      <c r="E21" s="5"/>
      <c r="F21" s="27">
        <f t="shared" ca="1" si="2"/>
        <v>97.358836043010214</v>
      </c>
      <c r="G21" s="31">
        <f t="shared" ca="1" si="3"/>
        <v>5.4933484393240568E-4</v>
      </c>
      <c r="H21" s="5"/>
      <c r="I21" s="28">
        <f t="shared" ca="1" si="4"/>
        <v>1.1171768406844291</v>
      </c>
      <c r="J21" s="31">
        <f t="shared" ca="1" si="5"/>
        <v>-3.0795831128116436E-3</v>
      </c>
      <c r="K21" s="5"/>
      <c r="L21" s="50"/>
      <c r="M21" s="51"/>
      <c r="N21" s="46"/>
    </row>
    <row r="22" spans="2:14">
      <c r="B22" s="7" t="s">
        <v>73</v>
      </c>
      <c r="C22" s="27">
        <f t="shared" ca="1" si="0"/>
        <v>176.53523958719785</v>
      </c>
      <c r="D22" s="31">
        <f t="shared" ca="1" si="1"/>
        <v>-1.275772989981383E-3</v>
      </c>
      <c r="E22" s="5"/>
      <c r="F22" s="27">
        <f t="shared" ca="1" si="2"/>
        <v>98.093599548309754</v>
      </c>
      <c r="G22" s="31">
        <f t="shared" ca="1" si="3"/>
        <v>7.5186268659832309E-3</v>
      </c>
      <c r="H22" s="5"/>
      <c r="I22" s="28">
        <f t="shared" ca="1" si="4"/>
        <v>1.1269039516908472</v>
      </c>
      <c r="J22" s="31">
        <f t="shared" ca="1" si="5"/>
        <v>8.6691815724654134E-3</v>
      </c>
      <c r="K22" s="5"/>
      <c r="L22" s="50"/>
      <c r="M22" s="51"/>
      <c r="N22" s="46"/>
    </row>
    <row r="23" spans="2:14">
      <c r="B23" s="1" t="s">
        <v>74</v>
      </c>
      <c r="C23" s="27">
        <f t="shared" ca="1" si="0"/>
        <v>177.10298514398878</v>
      </c>
      <c r="D23" s="31">
        <f t="shared" ca="1" si="1"/>
        <v>3.2160465985064945E-3</v>
      </c>
      <c r="E23" s="5"/>
      <c r="F23" s="27">
        <f t="shared" ca="1" si="2"/>
        <v>98.290474331086898</v>
      </c>
      <c r="G23" s="31">
        <f t="shared" ca="1" si="3"/>
        <v>2.0049981125392644E-3</v>
      </c>
      <c r="H23" s="5"/>
      <c r="I23" s="28">
        <f t="shared" ca="1" si="4"/>
        <v>1.1205548742832978</v>
      </c>
      <c r="J23" s="31">
        <f t="shared" ca="1" si="5"/>
        <v>-5.6500205691466902E-3</v>
      </c>
      <c r="K23" s="5"/>
      <c r="L23" s="50"/>
      <c r="M23" s="51"/>
      <c r="N23" s="46"/>
    </row>
    <row r="24" spans="2:14">
      <c r="B24" s="7" t="s">
        <v>75</v>
      </c>
      <c r="C24" s="27">
        <f t="shared" ca="1" si="0"/>
        <v>178.31659688022029</v>
      </c>
      <c r="D24" s="31">
        <f t="shared" ca="1" si="1"/>
        <v>6.8525763992335342E-3</v>
      </c>
      <c r="E24" s="5"/>
      <c r="F24" s="27">
        <f t="shared" ca="1" si="2"/>
        <v>98.678095844516776</v>
      </c>
      <c r="G24" s="31">
        <f t="shared" ca="1" si="3"/>
        <v>3.9358768099431053E-3</v>
      </c>
      <c r="H24" s="5"/>
      <c r="I24" s="28">
        <f t="shared" ca="1" si="4"/>
        <v>1.1298391339637628</v>
      </c>
      <c r="J24" s="31">
        <f t="shared" ca="1" si="5"/>
        <v>8.2512771735497922E-3</v>
      </c>
      <c r="K24" s="5"/>
      <c r="L24" s="50"/>
      <c r="M24" s="51"/>
      <c r="N24" s="46"/>
    </row>
    <row r="25" spans="2:14">
      <c r="B25" s="1" t="s">
        <v>76</v>
      </c>
      <c r="C25" s="27">
        <f t="shared" ca="1" si="0"/>
        <v>178.18456150493503</v>
      </c>
      <c r="D25" s="31">
        <f t="shared" ca="1" si="1"/>
        <v>-7.4045477311313057E-4</v>
      </c>
      <c r="E25" s="5"/>
      <c r="F25" s="27">
        <f t="shared" ca="1" si="2"/>
        <v>97.813346378956453</v>
      </c>
      <c r="G25" s="31">
        <f t="shared" ca="1" si="3"/>
        <v>-8.8019614368154472E-3</v>
      </c>
      <c r="H25" s="5"/>
      <c r="I25" s="28">
        <f t="shared" ca="1" si="4"/>
        <v>1.1220169900823096</v>
      </c>
      <c r="J25" s="31">
        <f t="shared" ca="1" si="5"/>
        <v>-6.9473136043843725E-3</v>
      </c>
      <c r="K25" s="5"/>
      <c r="L25" s="50"/>
      <c r="M25" s="51"/>
      <c r="N25" s="46"/>
    </row>
    <row r="26" spans="2:14">
      <c r="B26" s="7" t="s">
        <v>77</v>
      </c>
      <c r="C26" s="27">
        <f t="shared" ca="1" si="0"/>
        <v>178.07386957279505</v>
      </c>
      <c r="D26" s="31">
        <f t="shared" ca="1" si="1"/>
        <v>-6.2122066695957656E-4</v>
      </c>
      <c r="E26" s="5"/>
      <c r="F26" s="27">
        <f t="shared" ca="1" si="2"/>
        <v>98.151695948452144</v>
      </c>
      <c r="G26" s="31">
        <f t="shared" ca="1" si="3"/>
        <v>3.4531659493331479E-3</v>
      </c>
      <c r="H26" s="5"/>
      <c r="I26" s="28">
        <f t="shared" ca="1" si="4"/>
        <v>1.1233914597056625</v>
      </c>
      <c r="J26" s="31">
        <f t="shared" ca="1" si="5"/>
        <v>1.2242492408472672E-3</v>
      </c>
      <c r="K26" s="5"/>
      <c r="L26" s="50"/>
      <c r="M26" s="51"/>
      <c r="N26" s="46"/>
    </row>
    <row r="27" spans="2:14">
      <c r="B27" s="1" t="s">
        <v>78</v>
      </c>
      <c r="C27" s="27">
        <f t="shared" ca="1" si="0"/>
        <v>178.82429974839562</v>
      </c>
      <c r="D27" s="31">
        <f t="shared" ca="1" si="1"/>
        <v>4.2141510003734783E-3</v>
      </c>
      <c r="E27" s="5"/>
      <c r="F27" s="27">
        <f t="shared" ca="1" si="2"/>
        <v>97.496223901775991</v>
      </c>
      <c r="G27" s="31">
        <f t="shared" ca="1" si="3"/>
        <v>-6.700551680708767E-3</v>
      </c>
      <c r="H27" s="5"/>
      <c r="I27" s="28">
        <f t="shared" ca="1" si="4"/>
        <v>1.1283857547240719</v>
      </c>
      <c r="J27" s="31">
        <f t="shared" ca="1" si="5"/>
        <v>4.4358768494494726E-3</v>
      </c>
      <c r="K27" s="5"/>
      <c r="L27" s="50"/>
      <c r="M27" s="51"/>
      <c r="N27" s="46"/>
    </row>
    <row r="28" spans="2:14">
      <c r="B28" s="7" t="s">
        <v>79</v>
      </c>
      <c r="C28" s="27">
        <f t="shared" ca="1" si="0"/>
        <v>179.77935475943889</v>
      </c>
      <c r="D28" s="31">
        <f t="shared" ca="1" si="1"/>
        <v>5.3407451469795753E-3</v>
      </c>
      <c r="E28" s="5"/>
      <c r="F28" s="27">
        <f t="shared" ca="1" si="2"/>
        <v>97.71755501376424</v>
      </c>
      <c r="G28" s="31">
        <f t="shared" ca="1" si="3"/>
        <v>2.2675777094883481E-3</v>
      </c>
      <c r="H28" s="5"/>
      <c r="I28" s="28">
        <f t="shared" ca="1" si="4"/>
        <v>1.1208267899325861</v>
      </c>
      <c r="J28" s="31">
        <f t="shared" ca="1" si="5"/>
        <v>-6.7214574875625677E-3</v>
      </c>
      <c r="K28" s="5"/>
      <c r="L28" s="50"/>
      <c r="M28" s="51"/>
      <c r="N28" s="46"/>
    </row>
    <row r="29" spans="2:14">
      <c r="B29" s="1" t="s">
        <v>80</v>
      </c>
      <c r="C29" s="27">
        <f t="shared" ca="1" si="0"/>
        <v>178.03016920818877</v>
      </c>
      <c r="D29" s="31">
        <f t="shared" ca="1" si="1"/>
        <v>-9.7296241472815126E-3</v>
      </c>
      <c r="E29" s="5"/>
      <c r="F29" s="27">
        <f t="shared" ca="1" si="2"/>
        <v>97.137580983535983</v>
      </c>
      <c r="G29" s="31">
        <f t="shared" ca="1" si="3"/>
        <v>-5.9528915157046319E-3</v>
      </c>
      <c r="H29" s="5"/>
      <c r="I29" s="28">
        <f t="shared" ca="1" si="4"/>
        <v>1.1176899261941624</v>
      </c>
      <c r="J29" s="31">
        <f t="shared" ca="1" si="5"/>
        <v>-2.8026288739258515E-3</v>
      </c>
      <c r="K29" s="5"/>
      <c r="L29" s="50"/>
      <c r="M29" s="51"/>
      <c r="N29" s="46"/>
    </row>
    <row r="30" spans="2:14">
      <c r="B30" s="7" t="s">
        <v>81</v>
      </c>
      <c r="C30" s="27">
        <f t="shared" ca="1" si="0"/>
        <v>177.63554511548912</v>
      </c>
      <c r="D30" s="31">
        <f t="shared" ca="1" si="1"/>
        <v>-2.216613591139005E-3</v>
      </c>
      <c r="E30" s="5"/>
      <c r="F30" s="27">
        <f t="shared" ca="1" si="2"/>
        <v>96.377720297412637</v>
      </c>
      <c r="G30" s="31">
        <f t="shared" ca="1" si="3"/>
        <v>-7.8532765769996193E-3</v>
      </c>
      <c r="H30" s="5"/>
      <c r="I30" s="28">
        <f t="shared" ca="1" si="4"/>
        <v>1.1122573272947154</v>
      </c>
      <c r="J30" s="31">
        <f t="shared" ca="1" si="5"/>
        <v>-4.8724108954686859E-3</v>
      </c>
      <c r="K30" s="5"/>
      <c r="L30" s="50"/>
      <c r="M30" s="51"/>
      <c r="N30" s="46"/>
    </row>
    <row r="31" spans="2:14">
      <c r="B31" s="1" t="s">
        <v>82</v>
      </c>
      <c r="C31" s="27">
        <f t="shared" ca="1" si="0"/>
        <v>178.9602810366498</v>
      </c>
      <c r="D31" s="31">
        <f t="shared" ca="1" si="1"/>
        <v>7.4576060793429821E-3</v>
      </c>
      <c r="E31" s="5"/>
      <c r="F31" s="27">
        <f t="shared" ca="1" si="2"/>
        <v>97.102891471797477</v>
      </c>
      <c r="G31" s="31">
        <f t="shared" ca="1" si="3"/>
        <v>7.496095484214889E-3</v>
      </c>
      <c r="H31" s="5"/>
      <c r="I31" s="28">
        <f t="shared" ca="1" si="4"/>
        <v>1.1111865937384069</v>
      </c>
      <c r="J31" s="31">
        <f t="shared" ca="1" si="5"/>
        <v>-9.6313078009226127E-4</v>
      </c>
      <c r="K31" s="5"/>
      <c r="L31" s="50"/>
      <c r="M31" s="51"/>
      <c r="N31" s="46"/>
    </row>
    <row r="32" spans="2:14">
      <c r="B32" s="7" t="s">
        <v>83</v>
      </c>
      <c r="C32" s="27">
        <f t="shared" ca="1" si="0"/>
        <v>179.32888361722246</v>
      </c>
      <c r="D32" s="31">
        <f t="shared" ca="1" si="1"/>
        <v>2.059689325684344E-3</v>
      </c>
      <c r="E32" s="5"/>
      <c r="F32" s="27">
        <f t="shared" ca="1" si="2"/>
        <v>96.842214698649911</v>
      </c>
      <c r="G32" s="31">
        <f t="shared" ca="1" si="3"/>
        <v>-2.6881516658922408E-3</v>
      </c>
      <c r="H32" s="5"/>
      <c r="I32" s="28">
        <f t="shared" ca="1" si="4"/>
        <v>1.1067745089707164</v>
      </c>
      <c r="J32" s="31">
        <f t="shared" ca="1" si="5"/>
        <v>-3.9785103373001316E-3</v>
      </c>
      <c r="K32" s="5"/>
      <c r="L32" s="50"/>
      <c r="M32" s="51"/>
      <c r="N32" s="46"/>
    </row>
    <row r="33" spans="2:14">
      <c r="B33" s="1" t="s">
        <v>84</v>
      </c>
      <c r="C33" s="27">
        <f t="shared" ca="1" si="0"/>
        <v>179.70399442783432</v>
      </c>
      <c r="D33" s="31">
        <f t="shared" ca="1" si="1"/>
        <v>2.0917478715394289E-3</v>
      </c>
      <c r="E33" s="5"/>
      <c r="F33" s="27">
        <f t="shared" ca="1" si="2"/>
        <v>95.961701937382927</v>
      </c>
      <c r="G33" s="31">
        <f t="shared" ca="1" si="3"/>
        <v>-9.1338277577788941E-3</v>
      </c>
      <c r="H33" s="5"/>
      <c r="I33" s="28">
        <f t="shared" ca="1" si="4"/>
        <v>1.1018294366401484</v>
      </c>
      <c r="J33" s="31">
        <f t="shared" ca="1" si="5"/>
        <v>-4.4780148146184758E-3</v>
      </c>
      <c r="K33" s="5"/>
      <c r="L33" s="50"/>
      <c r="M33" s="51"/>
      <c r="N33" s="46"/>
    </row>
    <row r="34" spans="2:14">
      <c r="B34" s="7" t="s">
        <v>85</v>
      </c>
      <c r="C34" s="27">
        <f t="shared" ca="1" si="0"/>
        <v>180.32332504394552</v>
      </c>
      <c r="D34" s="31">
        <f t="shared" ca="1" si="1"/>
        <v>3.4463931538255554E-3</v>
      </c>
      <c r="E34" s="5"/>
      <c r="F34" s="27">
        <f t="shared" ca="1" si="2"/>
        <v>95.573001338440562</v>
      </c>
      <c r="G34" s="31">
        <f t="shared" ca="1" si="3"/>
        <v>-4.0588063250411874E-3</v>
      </c>
      <c r="H34" s="5"/>
      <c r="I34" s="28">
        <f t="shared" ca="1" si="4"/>
        <v>1.1094243116305333</v>
      </c>
      <c r="J34" s="31">
        <f t="shared" ca="1" si="5"/>
        <v>6.8693200512164355E-3</v>
      </c>
      <c r="K34" s="5"/>
      <c r="L34" s="50"/>
      <c r="M34" s="51"/>
      <c r="N34" s="46"/>
    </row>
    <row r="35" spans="2:14">
      <c r="B35" s="1" t="s">
        <v>86</v>
      </c>
      <c r="C35" s="27">
        <f t="shared" ca="1" si="0"/>
        <v>181.3779682404639</v>
      </c>
      <c r="D35" s="31">
        <f t="shared" ca="1" si="1"/>
        <v>5.8486232785546211E-3</v>
      </c>
      <c r="E35" s="5"/>
      <c r="F35" s="27">
        <f t="shared" ca="1" si="2"/>
        <v>94.650176532410057</v>
      </c>
      <c r="G35" s="31">
        <f t="shared" ca="1" si="3"/>
        <v>-9.702624632602996E-3</v>
      </c>
      <c r="H35" s="5"/>
      <c r="I35" s="28">
        <f t="shared" ca="1" si="4"/>
        <v>1.1044835289828083</v>
      </c>
      <c r="J35" s="31">
        <f t="shared" ca="1" si="5"/>
        <v>-4.4634114931301951E-3</v>
      </c>
      <c r="K35" s="5"/>
      <c r="L35" s="50"/>
      <c r="M35" s="51"/>
      <c r="N35" s="46"/>
    </row>
    <row r="36" spans="2:14">
      <c r="L36" s="46"/>
      <c r="M36" s="46"/>
      <c r="N36" s="46"/>
    </row>
    <row r="37" spans="2:14">
      <c r="L37" s="46"/>
      <c r="M37" s="46"/>
      <c r="N37" s="46"/>
    </row>
    <row r="38" spans="2:14">
      <c r="L38" s="46"/>
      <c r="M38" s="46"/>
      <c r="N38" s="46"/>
    </row>
    <row r="39" spans="2:14">
      <c r="L39" s="46"/>
      <c r="M39" s="46"/>
      <c r="N39" s="46"/>
    </row>
    <row r="40" spans="2:14">
      <c r="L40" s="46"/>
      <c r="M40" s="46"/>
      <c r="N40" s="46"/>
    </row>
    <row r="41" spans="2:14">
      <c r="L41" s="46"/>
      <c r="M41" s="46"/>
      <c r="N41" s="46"/>
    </row>
    <row r="42" spans="2:14">
      <c r="L42" s="46"/>
      <c r="M42" s="46"/>
      <c r="N42" s="46"/>
    </row>
    <row r="43" spans="2:14">
      <c r="L43" s="46"/>
      <c r="M43" s="46"/>
      <c r="N43" s="46"/>
    </row>
    <row r="44" spans="2:14">
      <c r="L44" s="46"/>
      <c r="M44" s="46"/>
      <c r="N44" s="46"/>
    </row>
    <row r="45" spans="2:14">
      <c r="L45" s="46"/>
      <c r="M45" s="46"/>
      <c r="N45" s="46"/>
    </row>
    <row r="46" spans="2:14">
      <c r="L46" s="46"/>
      <c r="M46" s="46"/>
      <c r="N46" s="46"/>
    </row>
    <row r="47" spans="2:14">
      <c r="L47" s="46"/>
      <c r="M47" s="46"/>
      <c r="N47" s="46"/>
    </row>
    <row r="48" spans="2:14">
      <c r="L48" s="46"/>
      <c r="M48" s="46"/>
      <c r="N48" s="46"/>
    </row>
    <row r="49" spans="12:14">
      <c r="L49" s="46"/>
      <c r="M49" s="46"/>
      <c r="N49" s="46"/>
    </row>
    <row r="50" spans="12:14">
      <c r="L50" s="46"/>
      <c r="M50" s="46"/>
      <c r="N50" s="46"/>
    </row>
    <row r="51" spans="12:14">
      <c r="L51" s="46"/>
      <c r="M51" s="46"/>
      <c r="N51" s="46"/>
    </row>
    <row r="52" spans="12:14">
      <c r="L52" s="46"/>
      <c r="M52" s="46"/>
      <c r="N52" s="46"/>
    </row>
    <row r="53" spans="12:14">
      <c r="L53" s="46"/>
      <c r="M53" s="46"/>
      <c r="N53" s="46"/>
    </row>
    <row r="54" spans="12:14">
      <c r="L54" s="46"/>
      <c r="M54" s="46"/>
      <c r="N54" s="46"/>
    </row>
    <row r="55" spans="12:14">
      <c r="L55" s="46"/>
      <c r="M55" s="46"/>
      <c r="N55" s="46"/>
    </row>
    <row r="56" spans="12:14">
      <c r="L56" s="46"/>
      <c r="M56" s="46"/>
      <c r="N56" s="46"/>
    </row>
    <row r="57" spans="12:14">
      <c r="L57" s="46"/>
      <c r="M57" s="46"/>
      <c r="N57" s="46"/>
    </row>
    <row r="58" spans="12:14">
      <c r="L58" s="46"/>
      <c r="M58" s="46"/>
      <c r="N58" s="46"/>
    </row>
    <row r="59" spans="12:14">
      <c r="L59" s="46"/>
      <c r="M59" s="46"/>
      <c r="N59" s="46"/>
    </row>
    <row r="60" spans="12:14">
      <c r="L60" s="46"/>
      <c r="M60" s="46"/>
      <c r="N60" s="46"/>
    </row>
  </sheetData>
  <mergeCells count="5">
    <mergeCell ref="C3:D3"/>
    <mergeCell ref="F3:G3"/>
    <mergeCell ref="I3:J3"/>
    <mergeCell ref="L3:M3"/>
    <mergeCell ref="B1:C2"/>
  </mergeCells>
  <phoneticPr fontId="7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9735-962E-4393-893F-1E85E79C25DD}">
  <dimension ref="A1:J8"/>
  <sheetViews>
    <sheetView showGridLines="0" workbookViewId="0">
      <pane ySplit="4" topLeftCell="A5" activePane="bottomLeft" state="frozen"/>
      <selection pane="bottomLeft" activeCell="F7" sqref="F7"/>
    </sheetView>
  </sheetViews>
  <sheetFormatPr defaultRowHeight="14.4"/>
  <cols>
    <col min="1" max="1" width="2.88671875" customWidth="1"/>
    <col min="2" max="2" width="10.33203125" bestFit="1" customWidth="1"/>
    <col min="3" max="3" width="10" bestFit="1" customWidth="1"/>
    <col min="4" max="4" width="11.77734375" bestFit="1" customWidth="1"/>
    <col min="5" max="5" width="10.33203125" bestFit="1" customWidth="1"/>
    <col min="6" max="6" width="19.77734375" bestFit="1" customWidth="1"/>
    <col min="7" max="7" width="15" bestFit="1" customWidth="1"/>
    <col min="8" max="8" width="16.5546875" bestFit="1" customWidth="1"/>
    <col min="9" max="9" width="5.77734375" bestFit="1" customWidth="1"/>
  </cols>
  <sheetData>
    <row r="1" spans="1:10" ht="14.4" customHeight="1">
      <c r="B1" s="14" t="s">
        <v>27</v>
      </c>
      <c r="C1" s="14"/>
    </row>
    <row r="2" spans="1:10" ht="14.4" customHeight="1">
      <c r="A2" s="37"/>
      <c r="B2" s="14"/>
      <c r="C2" s="14"/>
    </row>
    <row r="4" spans="1:10">
      <c r="B4" s="4" t="s">
        <v>0</v>
      </c>
      <c r="C4" s="4" t="s">
        <v>2</v>
      </c>
      <c r="D4" s="4" t="s">
        <v>3</v>
      </c>
      <c r="E4" s="4" t="s">
        <v>87</v>
      </c>
      <c r="F4" s="4" t="s">
        <v>88</v>
      </c>
      <c r="G4" s="4" t="s">
        <v>89</v>
      </c>
      <c r="H4" s="4" t="s">
        <v>90</v>
      </c>
      <c r="I4" s="33"/>
      <c r="J4" s="30"/>
    </row>
    <row r="5" spans="1:10">
      <c r="B5" t="s">
        <v>9</v>
      </c>
      <c r="C5" t="str">
        <f>VLOOKUP(B5,'Portfolio Overview'!B4:D16,3,FALSE)</f>
        <v>Equity</v>
      </c>
      <c r="D5" t="str">
        <f>VLOOKUP(B5,'Portfolio Overview'!B5:E16,4,FALSE)</f>
        <v>L/S Equity</v>
      </c>
      <c r="E5">
        <f ca="1">_xlfn.STDEV.S('Historical Prices'!D6:D35)</f>
        <v>5.0754760327543346E-3</v>
      </c>
      <c r="F5" s="17">
        <f ca="1">E5*SQRT(252)</f>
        <v>8.0570684207620133E-2</v>
      </c>
      <c r="G5" s="22">
        <f ca="1">1.65*E5*SQRT(1)*H5</f>
        <v>17008.681507164689</v>
      </c>
      <c r="H5">
        <f>'MTM &amp; PnL'!Q3</f>
        <v>2031000</v>
      </c>
    </row>
    <row r="6" spans="1:10">
      <c r="B6" t="s">
        <v>14</v>
      </c>
      <c r="C6" t="str">
        <f>VLOOKUP(B6,'Portfolio Overview'!B5:D17,3,FALSE)</f>
        <v>Bond</v>
      </c>
      <c r="D6" t="str">
        <f>VLOOKUP(B6,'Portfolio Overview'!B6:E17,4,FALSE)</f>
        <v>Fixed Income</v>
      </c>
      <c r="E6">
        <f ca="1">_xlfn.STDEV.S('Historical Prices'!G6:G35)</f>
        <v>6.3958728000058883E-3</v>
      </c>
      <c r="F6" s="17">
        <f ca="1">E6*SQRT(252)</f>
        <v>0.10153133307610761</v>
      </c>
      <c r="G6" s="22">
        <f t="shared" ref="G6:G8" ca="1" si="0">1.65*E6*SQRT(1)*H6</f>
        <v>21402.397222885702</v>
      </c>
      <c r="H6">
        <f>'MTM &amp; PnL'!Q4</f>
        <v>2028050</v>
      </c>
    </row>
    <row r="7" spans="1:10">
      <c r="B7" t="s">
        <v>17</v>
      </c>
      <c r="C7" t="str">
        <f>VLOOKUP(B7,'Portfolio Overview'!B6:D18,3,FALSE)</f>
        <v>FX</v>
      </c>
      <c r="D7" t="str">
        <f>VLOOKUP(B7,'Portfolio Overview'!B7:E18,4,FALSE)</f>
        <v>Macro FX</v>
      </c>
      <c r="E7">
        <f ca="1">_xlfn.STDEV.S('Historical Prices'!J6:J35)</f>
        <v>5.7602763821109852E-3</v>
      </c>
      <c r="F7" s="17">
        <f t="shared" ref="F7:F8" ca="1" si="1">E7*SQRT(252)</f>
        <v>9.1441552740387219E-2</v>
      </c>
      <c r="G7" s="22">
        <f t="shared" ca="1" si="0"/>
        <v>16532.763653624632</v>
      </c>
      <c r="H7">
        <f>'MTM &amp; PnL'!Q5</f>
        <v>1739475</v>
      </c>
    </row>
    <row r="8" spans="1:10">
      <c r="G8" s="41">
        <f ca="1">SUM(G5:G7)</f>
        <v>54943.842383675015</v>
      </c>
      <c r="H8" s="41">
        <f>SUM(H5:H7)</f>
        <v>5798525</v>
      </c>
    </row>
  </sheetData>
  <mergeCells count="1">
    <mergeCell ref="B1:C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1F04-9D59-42B9-B6EE-94C65A11691D}">
  <dimension ref="A1:F11"/>
  <sheetViews>
    <sheetView showGridLines="0" tabSelected="1" workbookViewId="0">
      <pane ySplit="4" topLeftCell="A5" activePane="bottomLeft" state="frozen"/>
      <selection pane="bottomLeft" activeCell="E28" sqref="E28"/>
    </sheetView>
  </sheetViews>
  <sheetFormatPr defaultRowHeight="14.4"/>
  <cols>
    <col min="1" max="1" width="2.88671875" customWidth="1"/>
    <col min="3" max="3" width="31.77734375" bestFit="1" customWidth="1"/>
    <col min="4" max="4" width="14.88671875" bestFit="1" customWidth="1"/>
    <col min="5" max="5" width="9" bestFit="1" customWidth="1"/>
    <col min="6" max="6" width="16.6640625" bestFit="1" customWidth="1"/>
  </cols>
  <sheetData>
    <row r="1" spans="1:6" ht="14.4" customHeight="1">
      <c r="B1" s="38" t="s">
        <v>28</v>
      </c>
      <c r="C1" s="38"/>
    </row>
    <row r="2" spans="1:6" ht="14.4" customHeight="1">
      <c r="A2" s="37"/>
      <c r="B2" s="38"/>
      <c r="C2" s="38"/>
    </row>
    <row r="4" spans="1:6">
      <c r="B4" s="4" t="s">
        <v>91</v>
      </c>
      <c r="C4" s="4" t="s">
        <v>92</v>
      </c>
      <c r="D4" s="4" t="s">
        <v>93</v>
      </c>
      <c r="F4" s="29"/>
    </row>
    <row r="5" spans="1:6">
      <c r="B5" s="35">
        <v>1</v>
      </c>
      <c r="C5" s="1" t="s">
        <v>94</v>
      </c>
      <c r="D5" s="36" t="str">
        <f>IF(SUM('MTM &amp; PnL'!M8:M19) = 'MTM &amp; PnL'!M20, "OK", "Check")</f>
        <v>OK</v>
      </c>
      <c r="E5" s="1"/>
      <c r="F5" s="1"/>
    </row>
    <row r="6" spans="1:6">
      <c r="B6" s="35">
        <v>2</v>
      </c>
      <c r="C6" s="1" t="s">
        <v>95</v>
      </c>
      <c r="D6" s="36" t="str">
        <f>IF(COUNTIF('Portfolio Overview'!G5:H16,0)=0,"OK","Zero price")</f>
        <v>OK</v>
      </c>
      <c r="E6" s="1"/>
      <c r="F6" s="1"/>
    </row>
    <row r="7" spans="1:6">
      <c r="B7" s="35">
        <v>3</v>
      </c>
      <c r="C7" s="1" t="s">
        <v>96</v>
      </c>
      <c r="D7" s="36" t="str">
        <f>IF(COUNTA('Portfolio Overview'!I5:I16)=COUNTA('Portfolio Overview'!B5:B16),"OK","Missing")</f>
        <v>OK</v>
      </c>
      <c r="E7" s="1"/>
      <c r="F7" s="1"/>
    </row>
    <row r="8" spans="1:6">
      <c r="B8" s="35">
        <v>4</v>
      </c>
      <c r="C8" s="1" t="s">
        <v>97</v>
      </c>
      <c r="D8" s="36" t="str">
        <f>IF('MTM &amp; PnL'!M8= ('MTM &amp; PnL'!K8-'MTM &amp; PnL'!L8),"OK","Mismatch")</f>
        <v>OK</v>
      </c>
      <c r="E8" s="1"/>
      <c r="F8" s="1"/>
    </row>
    <row r="9" spans="1:6">
      <c r="B9" s="35">
        <v>5</v>
      </c>
      <c r="C9" s="1" t="s">
        <v>98</v>
      </c>
      <c r="D9" s="36" t="str">
        <f ca="1">IF('Risk Metrics'!H8&gt;'Risk Metrics'!G8,"OK","VaR &gt; MV")</f>
        <v>OK</v>
      </c>
      <c r="E9" s="1"/>
      <c r="F9" s="1"/>
    </row>
    <row r="10" spans="1:6">
      <c r="B10" s="35"/>
    </row>
    <row r="11" spans="1:6">
      <c r="B11" s="35"/>
      <c r="E11" s="1"/>
      <c r="F11" s="1"/>
    </row>
  </sheetData>
  <mergeCells count="1">
    <mergeCell ref="B1:C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 Overview</vt:lpstr>
      <vt:lpstr>MTM &amp; PnL</vt:lpstr>
      <vt:lpstr>Historical Prices</vt:lpstr>
      <vt:lpstr>Risk Metrics</vt:lpstr>
      <vt:lpstr>UAT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Rahul Kumar</cp:lastModifiedBy>
  <dcterms:created xsi:type="dcterms:W3CDTF">2025-07-27T15:41:52Z</dcterms:created>
  <dcterms:modified xsi:type="dcterms:W3CDTF">2025-07-31T20:17:44Z</dcterms:modified>
</cp:coreProperties>
</file>